
<file path=[Content_Types].xml><?xml version="1.0" encoding="utf-8"?>
<Types xmlns="http://schemas.openxmlformats.org/package/2006/content-types">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drawingml.chart+xml" PartName="/xl/charts/chart11.xml"/>
  <Override ContentType="application/vnd.openxmlformats-officedocument.drawingml.chart+xml" PartName="/xl/charts/chart7.xml"/>
  <Override ContentType="application/vnd.openxmlformats-officedocument.drawingml.chart+xml" PartName="/xl/charts/chart14.xml"/>
  <Override ContentType="application/vnd.openxmlformats-officedocument.drawingml.chart+xml" PartName="/xl/charts/chart13.xml"/>
  <Override ContentType="application/vnd.openxmlformats-officedocument.drawingml.chart+xml" PartName="/xl/charts/chart4.xml"/>
  <Override ContentType="application/vnd.openxmlformats-officedocument.drawingml.chart+xml" PartName="/xl/charts/chart2.xml"/>
  <Override ContentType="application/vnd.openxmlformats-officedocument.drawingml.chart+xml" PartName="/xl/charts/chart1.xml"/>
  <Override ContentType="application/vnd.openxmlformats-officedocument.drawingml.chart+xml" PartName="/xl/charts/chart10.xml"/>
  <Override ContentType="application/vnd.openxmlformats-officedocument.drawingml.chart+xml" PartName="/xl/charts/chart6.xml"/>
  <Override ContentType="application/vnd.openxmlformats-officedocument.drawingml.chart+xml" PartName="/xl/charts/chart8.xml"/>
  <Override ContentType="application/vnd.openxmlformats-officedocument.drawingml.chart+xml" PartName="/xl/charts/chart9.xml"/>
  <Override ContentType="application/vnd.openxmlformats-officedocument.drawingml.chart+xml" PartName="/xl/charts/chart12.xml"/>
  <Override ContentType="application/vnd.openxmlformats-officedocument.drawingml.chart+xml" PartName="/xl/charts/chart5.xml"/>
  <Override ContentType="application/vnd.openxmlformats-officedocument.drawingml.chart+xml" PartName="/xl/charts/chart3.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workbookPr/>
  <sheets>
    <sheet state="visible" name="Asia Pacific &amp; Europe (excl UK)" sheetId="1" r:id="rId3"/>
    <sheet state="visible" name="Canada" sheetId="2" r:id="rId4"/>
    <sheet state="visible" name="USA" sheetId="3" r:id="rId5"/>
    <sheet state="visible" name="UK" sheetId="4" r:id="rId6"/>
    <sheet state="visible" name="Range Units" sheetId="5" r:id="rId7"/>
    <sheet state="visible" name="Feedback" sheetId="6" r:id="rId8"/>
    <sheet state="visible" name="Charts" sheetId="7" r:id="rId9"/>
    <sheet state="visible" name="Stats" sheetId="8" r:id="rId10"/>
    <sheet state="hidden" name="Charts Data" sheetId="9" r:id="rId11"/>
    <sheet state="hidden" name="Administrative" sheetId="10" r:id="rId12"/>
    <sheet state="hidden" name="Editor Comments" sheetId="11" r:id="rId13"/>
    <sheet state="hidden" name="Stats Data" sheetId="12" r:id="rId14"/>
    <sheet state="hidden" name="Temperature effect" sheetId="13" r:id="rId15"/>
    <sheet state="hidden" name="Column names compared" sheetId="14" r:id="rId16"/>
  </sheets>
  <definedNames>
    <definedName name="NamedRange1">USA!$65:$65</definedName>
  </definedNames>
  <calcPr/>
</workbook>
</file>

<file path=xl/sharedStrings.xml><?xml version="1.0" encoding="utf-8"?>
<sst xmlns="http://schemas.openxmlformats.org/spreadsheetml/2006/main" count="29172" uniqueCount="2819">
  <si>
    <t>For</t>
  </si>
  <si>
    <t>If this doesn't look correct, check mileage and dates</t>
  </si>
  <si>
    <t>Please enter this especially if your battery is 70,75,90 or 100 kWh. Tesla doesn't publish typical range numbers. We need this data.</t>
  </si>
  <si>
    <t>Results of trip data</t>
  </si>
  <si>
    <t>Cycles = ((Mileage * Average energy consumption) + (Vampire loss in Wh/day * battery life in days)) / Average battery capacity</t>
  </si>
  <si>
    <t>These are needed to equalize columns with UK and USA</t>
  </si>
  <si>
    <t>used for charts username selection</t>
  </si>
  <si>
    <t>No entry needed. This shows how you are doing compared to other cars. Check feedback page 17-06-2015 for more info. This column is used for stats page.</t>
  </si>
  <si>
    <t>These columns are for monitoring changes against vandalism</t>
  </si>
  <si>
    <t>no entry needed</t>
  </si>
  <si>
    <t>required</t>
  </si>
  <si>
    <t>dependent</t>
  </si>
  <si>
    <t>optional</t>
  </si>
  <si>
    <t>ID</t>
  </si>
  <si>
    <t>Username (can be anything inoffensive)</t>
  </si>
  <si>
    <t>Location</t>
  </si>
  <si>
    <t>Vehicle manufacture date (double click empty cell)</t>
  </si>
  <si>
    <t>Date of range reading
(double click empty cell)</t>
  </si>
  <si>
    <t>Model</t>
  </si>
  <si>
    <t>Mileage in km</t>
  </si>
  <si>
    <t>Date of range reading
 (double click empty cell)</t>
  </si>
  <si>
    <t>Mileage in miles
(type just digits, no comma)</t>
  </si>
  <si>
    <t>EPA rated range at 100% charge
in km</t>
  </si>
  <si>
    <t>Range mode on/off at time of reading?</t>
  </si>
  <si>
    <t>EPA rated range at 100% charge
in miles</t>
  </si>
  <si>
    <t>Typical Range at 100% charge
in km</t>
  </si>
  <si>
    <t>Did you have a battery replacement?</t>
  </si>
  <si>
    <t>What happened to EPA range after replacement?</t>
  </si>
  <si>
    <t>At what km did you replace battery?</t>
  </si>
  <si>
    <t>What happened to typical range after replacement?</t>
  </si>
  <si>
    <t>At what miles did you replace battery?</t>
  </si>
  <si>
    <t>Lifetime average energy consumption at the time of reading Wh/km</t>
  </si>
  <si>
    <t>Lifetime average energy consumption at the time of reading Wh/mi</t>
  </si>
  <si>
    <t>Unanswered questions</t>
  </si>
  <si>
    <t>Frequency of supercharging</t>
  </si>
  <si>
    <t>Frequency of 100% charge</t>
  </si>
  <si>
    <t>Frequency of almost empty (8km or less)</t>
  </si>
  <si>
    <t>Daily charge level</t>
  </si>
  <si>
    <t>Daily charge power in kW</t>
  </si>
  <si>
    <t>What was 100% rated range when the car was new?</t>
  </si>
  <si>
    <t>Range mode on/off at time of reading previous column?</t>
  </si>
  <si>
    <t>Rated range at the beginning of the trip</t>
  </si>
  <si>
    <t>Rated range at the end of the trip</t>
  </si>
  <si>
    <t>kWh consumption for this trip
(comma or dot is fine)</t>
  </si>
  <si>
    <t>Range mode on/off when you read these trip numbers?</t>
  </si>
  <si>
    <t>Comments (tire or wheel information is not important)</t>
  </si>
  <si>
    <t>Frequency of almost empty (5mi or less)</t>
  </si>
  <si>
    <t>What was 100% typical range when the car was new?</t>
  </si>
  <si>
    <t>Typical range at the beginning of the trip</t>
  </si>
  <si>
    <t>Typical range at the end of the trip</t>
  </si>
  <si>
    <t>Static data (paste values here)</t>
  </si>
  <si>
    <t>Display changes</t>
  </si>
  <si>
    <t>Blank column for arrayformula in "Charts Data"</t>
  </si>
  <si>
    <t>Mayhemm</t>
  </si>
  <si>
    <t>Muzzman1</t>
  </si>
  <si>
    <t>Canada</t>
  </si>
  <si>
    <t>USA</t>
  </si>
  <si>
    <t>Model S P85+</t>
  </si>
  <si>
    <t>bpsmits</t>
  </si>
  <si>
    <t>Model S 85</t>
  </si>
  <si>
    <t>Asia Pacific &amp; Europe (excl UK)</t>
  </si>
  <si>
    <t>Off</t>
  </si>
  <si>
    <t>On</t>
  </si>
  <si>
    <t>No</t>
  </si>
  <si>
    <t>E) monthly</t>
  </si>
  <si>
    <t>D) twice a month</t>
  </si>
  <si>
    <t>G) once or twice a year</t>
  </si>
  <si>
    <t>C) weekly</t>
  </si>
  <si>
    <t>H) never</t>
  </si>
  <si>
    <t>F) a few times a year</t>
  </si>
  <si>
    <t>19" drive unit replace 3 times</t>
  </si>
  <si>
    <t/>
  </si>
  <si>
    <t>bpsmits|Asia Pacific &amp; Europe (excl UK)|20-Nov-2013|18-Sep-2014|Model S 85|33366|393|On|No|||212|D) twice a month|C) weekly|G) once or twice a year|0.8||||||||19" drive unit replace 3 times</t>
  </si>
  <si>
    <t>(Matteo: Hi. Please check trip numbers)</t>
  </si>
  <si>
    <t>Answer all trip questions</t>
  </si>
  <si>
    <t>Muzzman1|USA|22-Mar-2014|08-Apr-2014|Model S 85|2000|271|On|No|||303|E) monthly|G) once or twice a year|H) never|0.7||||||||</t>
  </si>
  <si>
    <t>Hans Noordsij</t>
  </si>
  <si>
    <t>Muzzman1|USA|22-Mar-2014|16-Apr-2015|Model S 85|21000|256|On|No|||303|E) monthly|G) once or twice a year|H) never|0.7||||||||</t>
  </si>
  <si>
    <t>ghurenkamp</t>
  </si>
  <si>
    <t>Model S P85</t>
  </si>
  <si>
    <t>B) twice a week</t>
  </si>
  <si>
    <t>ghurenkamp|USA|07-Jun-2013|11-May-2015|Model S P85|43715|251|Off|No|||304|C) weekly|F) a few times a year|G) once or twice a year|0.9|7.3|260|Off|||||</t>
  </si>
  <si>
    <t>Mayhemm|Canada|02-May-2014|12-May-2015|Model S P85+|29628.8|414|Off|No|||201|F) a few times a year|F) a few times a year|F) a few times a year|0.7||||414|-24.2||Off|(Matteo: Hi. Please check trip numbers)</t>
  </si>
  <si>
    <t>Hans Noordsij|Asia Pacific &amp; Europe (excl UK)|29-Mar-2014|18-Sep-2014|Model S 85|32000|392|On|No|||218|B) twice a week|D) twice a month|H) never|||||||||</t>
  </si>
  <si>
    <t>Janc</t>
  </si>
  <si>
    <t>KL</t>
  </si>
  <si>
    <t>Model S 85D</t>
  </si>
  <si>
    <t>21" S85D, Northern California</t>
  </si>
  <si>
    <t>KL|USA|28-Feb-2015|11-May-2015|Model S 85D|13679|269|Off|No|||324|D) twice a month|D) twice a month|H) never|0.8||||||||21" S85D, Northern California</t>
  </si>
  <si>
    <t>terrymisu</t>
  </si>
  <si>
    <t>Model S P85D</t>
  </si>
  <si>
    <t>21" P85D, Northern California</t>
  </si>
  <si>
    <t>Dark Matter</t>
  </si>
  <si>
    <t>terrymisu|USA|07-May-2015|28-May-2015|Model S P85D|1061|253|On|No|||389|C) weekly|H) never|H) never|0.8||||||||21" P85D, Northern California</t>
  </si>
  <si>
    <t>SCCRENDO</t>
  </si>
  <si>
    <t>Janc|Asia Pacific &amp; Europe (excl UK)|24-Jun-2014|18-Sep-2014|Model S 85|7100|391|On|No|||215|H) never|H) never|H) never|||||||||</t>
  </si>
  <si>
    <t>Merijn</t>
  </si>
  <si>
    <t>Dark Matter|Canada|11-Dec-2014|03-Jun-2015|Model S 85|11896|424|Off|No|||232|E) monthly|G) once or twice a year|H) never|0.9||||||||</t>
  </si>
  <si>
    <t>SCCRENDO|USA|01-Apr-2013|31-May-2015|Model S 85|60350|250|Off|No|||336||H) never||||||||||</t>
  </si>
  <si>
    <t>Merijn|Asia Pacific &amp; Europe (excl UK)|18-Nov-2013|18-Sep-2014|Model S 85|35000|381|Off|No|||224|H) never|H) never|H) never|||||||||</t>
  </si>
  <si>
    <t>Coltsmild</t>
  </si>
  <si>
    <t>RCH1708</t>
  </si>
  <si>
    <t>tes-s</t>
  </si>
  <si>
    <t>Unspecified 85 kWh</t>
  </si>
  <si>
    <t>Unknown</t>
  </si>
  <si>
    <t>Coltsmild|Canada|06-Aug-2013|12-Jun-2015|Model S 85|73623|405|On|No|||223|D) twice a month|F) a few times a year|G) once or twice a year|0.9||426|Off|||||</t>
  </si>
  <si>
    <t>Knobby</t>
  </si>
  <si>
    <t>tes-s|USA|09-Aug-2013|31-May-2015|Model S 85|46335|252|Off|No|||318||||||||||||</t>
  </si>
  <si>
    <t>l_younis</t>
  </si>
  <si>
    <t>Model S 60</t>
  </si>
  <si>
    <t>Knobby|Canada|25-Apr-2014|14-Jun-2015|Model S P85|15425|408|On|No|||194|F) a few times a year|F) a few times a year|F) a few times a year|0.7||430|Off|||||</t>
  </si>
  <si>
    <t>19"</t>
  </si>
  <si>
    <t>Ugliest1</t>
  </si>
  <si>
    <t>RCH1708|Asia Pacific &amp; Europe (excl UK)|21-Nov-2013|18-Sep-2014|Unspecified 85 kWh|27000|381|Unknown|No|||229|D) twice a month|D) twice a month|G) once or twice a year|||||||||19"</t>
  </si>
  <si>
    <t>S-19910</t>
  </si>
  <si>
    <t>l_younis|USA|01-May-2014|01-May-2015|Model S 60|24903|190|On|No|||316|D) twice a month|D) twice a month|G) once or twice a year|0.9||||||||</t>
  </si>
  <si>
    <t>flabbergasted</t>
  </si>
  <si>
    <t>Last 100% charge RKm 405 by app, 402 in car &gt; after 1km 409, stayed at 409 for 7km</t>
  </si>
  <si>
    <t>Model S 70D</t>
  </si>
  <si>
    <t>Ugliest1|Canada|08-Jan-2014|27-Jun-2015|Model S 85|45756|409|On|No|||210|F) a few times a year|F) a few times a year|H) never|0.8||425|Off|416|50||On|Last 100% charge RKm 405 by app, 402 in car &gt; after 1km 409, stayed at 409 for 7km</t>
  </si>
  <si>
    <t>mknox</t>
  </si>
  <si>
    <t>flabbergasted|USA|01-Jun-2015|02-Jun-2015|Model S 70D|50|240|Off|No|||335|F) a few times a year|G) once or twice a year|G) once or twice a year|||||||||</t>
  </si>
  <si>
    <t>Sparky</t>
  </si>
  <si>
    <t>mknox|Canada|09-Mar-2013|07-Jun-2015|Model S 85|82059|389|Off|No|||211|F) a few times a year|G) once or twice a year|H) never|0.9||426|Off|||||</t>
  </si>
  <si>
    <t>S-19910|Asia Pacific &amp; Europe (excl UK)|26-Nov-2013|18-Sep-2014|Model S P85|47352|377|Off|No|||218|D) twice a month|D) twice a month|G) once or twice a year|0.9|22|399|Off|||||19"</t>
  </si>
  <si>
    <t>Kalud</t>
  </si>
  <si>
    <t>Go4IT</t>
  </si>
  <si>
    <t>A) daily</t>
  </si>
  <si>
    <t>drive unit replaced twice</t>
  </si>
  <si>
    <t>Sparky|USA|29-Mar-2014|02-Jun-2015|Model S 85|27744|261|Off|No|||329|D) twice a month|F) a few times a year|H) never|||||||||</t>
  </si>
  <si>
    <t>Go4IT|Asia Pacific &amp; Europe (excl UK)|10-Sep-2013|19-Sep-2014|Model S P85|67000|385|On|No|||220|D) twice a month|A) daily|G) once or twice a year|1||||||||drive unit replaced twice</t>
  </si>
  <si>
    <t>Groeneweg1</t>
  </si>
  <si>
    <t>pvh</t>
  </si>
  <si>
    <t>Kalud|Canada|29-Nov-2013|22-Oct-2015|Model S P85|59365|414|Off|No|||233|F) a few times a year|F) a few times a year|F) a few times a year|0.9|19|430|Off|||||</t>
  </si>
  <si>
    <t>Groeneweg1|USA|27-Feb-2013|05-Jun-2015|Model S 60|50300|199|On|No|||298|D) twice a month|D) twice a month|G) once or twice a year|0.8||||||||</t>
  </si>
  <si>
    <t>drive unit replaced 8500km, 21" P+</t>
  </si>
  <si>
    <t>Groeneweg2</t>
  </si>
  <si>
    <t>Dark Matter|Canada|11-Dec-2014|27-Oct-2015|Model S 85|19996|421|Off|No|||209|E) monthly|G) once or twice a year|H) never|0.9||||||||</t>
  </si>
  <si>
    <t>jdw</t>
  </si>
  <si>
    <t>pvh|Asia Pacific &amp; Europe (excl UK)|13-Mar-2014|19-Sep-2014|Model S P85+|14977|395|Unknown|No|||245|D) twice a month|D) twice a month|F) a few times a year|||||||||drive unit replaced 8500km, 21" P+</t>
  </si>
  <si>
    <t>pvandamcom</t>
  </si>
  <si>
    <t>Groeneweg2|USA|28-Mar-2014|05-Jun-2015|Model S 60|36800|178|On|No|||300|E) monthly|C) weekly|F) a few times a year|0.9||||||||</t>
  </si>
  <si>
    <t>(Matteo: I recovered this old entry and added a new one for you)</t>
  </si>
  <si>
    <t>DavidH</t>
  </si>
  <si>
    <t>jdw|Canada|18-Jun-2015|07-Nov-2015|Model S 85D|6900|428|Off|No|||209|E) monthly|F) a few times a year|H) never|0.9|8|435|Off|||||(Matteo: I recovered this old entry and added a new one for you)</t>
  </si>
  <si>
    <t>Sheffie</t>
  </si>
  <si>
    <t>pvandamcom|Asia Pacific &amp; Europe (excl UK)|16-Aug-2014|20-Sep-2014|Model S P85|3434|394|Unknown|No|||224|H) never|C) weekly|H) never|||||||||</t>
  </si>
  <si>
    <t>Rprp</t>
  </si>
  <si>
    <t>Sheffie|Canada|10-Feb-2015|04-Dec-2015|Model S P85D|19985|408|Off|No|||225|E) monthly|E) monthly|G) once or twice a year|0.9|15|408|Off|||||</t>
  </si>
  <si>
    <t>DMC</t>
  </si>
  <si>
    <t>DavidH|USA|26-Mar-2014|09-Jun-2015|Model S 85|49700|253|Off|No|||321|C) weekly|E) monthly|F) a few times a year|0.8|10|271|Off|||||</t>
  </si>
  <si>
    <t>21"</t>
  </si>
  <si>
    <t>DMC|Canada|31-Mar-2015|04-Dec-2015|Model S 85D|24027|415|Off|No|||189|E) monthly|E) monthly|H) never|0.9||425|Off|||||</t>
  </si>
  <si>
    <t>Rprp|Asia Pacific &amp; Europe (excl UK)|31-Dec-2013|21-Sep-2014|Model S P85|46000|381|Unknown|No|||227|C) weekly|C) weekly|G) once or twice a year|||||||||21"</t>
  </si>
  <si>
    <t>SmartElectric</t>
  </si>
  <si>
    <t>Xfrank</t>
  </si>
  <si>
    <t>76.5</t>
  </si>
  <si>
    <t>(274.43 * 76.5 / 270) / 77.5 = 1.0033</t>
  </si>
  <si>
    <t>SmartElectric|Canada|02-Feb-2013|11-Nov-2015|Model S 85|70000|410|Off|No|||220|D) twice a month|D) twice a month|F) a few times a year|0.9|7|425|Off|||||</t>
  </si>
  <si>
    <t>DavidH|USA|26-Mar-2014|27-Mar-2014|Model S 85|50|271|Off|No|||310|||||10|271|Off|270|0|76.5|On|</t>
  </si>
  <si>
    <t>Beeeerock</t>
  </si>
  <si>
    <t>Benjamin Brooks</t>
  </si>
  <si>
    <t>Xfrank|Asia Pacific &amp; Europe (excl UK)|23-Nov-2013|21-Sep-2014|Model S 60|14995|284|Unknown|No|||207|F) a few times a year|F) a few times a year|G) once or twice a year|||||||||</t>
  </si>
  <si>
    <t>AnalysiZ P85</t>
  </si>
  <si>
    <t>Noticed app and car varied by 1km for rated range at 100%</t>
  </si>
  <si>
    <t>Beeeerock|Canada|20-May-2015|13-Dec-2015|Model S 85D|27000|430|Off|No|||195|E) monthly|E) monthly|G) once or twice a year|0.9||436|Off|||||Noticed app and car varied by 1km for rated range at 100%</t>
  </si>
  <si>
    <t>19" S85, Nothern California</t>
  </si>
  <si>
    <t>Benjamin Brooks|USA|05-Feb-2013|19-Jun-2015|Model S 85|32660|254|On|No|||299|E) monthly|F) a few times a year|F) a few times a year|0.9|1|270|Off|||||19" S85, Nothern California</t>
  </si>
  <si>
    <t>AmpedRealtor</t>
  </si>
  <si>
    <t>fsch</t>
  </si>
  <si>
    <t>AnalysiZ P85|Asia Pacific &amp; Europe (excl UK)|13-Nov-2013|22-Sep-2014|Model S P85|16045|383|On|No|||200|H) never|H) never|H) never|||||||||</t>
  </si>
  <si>
    <t>Patrick Claerhout</t>
  </si>
  <si>
    <t>fsch|Canada|15-Mar-2013|09-Sep-2015|Model S 85|100000|406|Off|No|||227|C) weekly|||||||||||</t>
  </si>
  <si>
    <t>AmpedRealtor|USA|26-Aug-2013|04-Aug-2015|Model S P85|27319|258|On|No|||294|F) a few times a year|F) a few times a year|F) a few times a year|0.9||||||||</t>
  </si>
  <si>
    <t>Taurusking</t>
  </si>
  <si>
    <t>Patrick Claerhout|Asia Pacific &amp; Europe (excl UK)|06-Nov-2013|22-Sep-2014|Model S 85|30650|383|Unknown|No|||207|G) once or twice a year|E) monthly|H) never|||||||||</t>
  </si>
  <si>
    <t>fsch|Canada|15-Mar-2013|01-Jan-2016|Model S 85|109350|396|Off|No|||227|G) once or twice a year|F) a few times a year|F) a few times a year|0.9|9|||||||</t>
  </si>
  <si>
    <t>PaulW5</t>
  </si>
  <si>
    <t>Taurusking|USA|18-Oct-2014|26-Jun-2015|Model S 85|25714|255|On|No|||278|E) monthly|F) a few times a year|F) a few times a year|0.9||265||||||</t>
  </si>
  <si>
    <t>jdw|Canada|18-Jun-2015|28-Feb-2016|Model S 85D|10680|428|Off|No|||209|E) monthly|F) a few times a year|H) never|0.9|8|435|Off|||||</t>
  </si>
  <si>
    <t>PaulW5|Asia Pacific &amp; Europe (excl UK)|12-Dec-2013|23-Sep-2014|Unspecified 85 kWh|22850|385|Unknown|No|||249|E) monthly|D) twice a month|H) never|||||||||</t>
  </si>
  <si>
    <t>BasvdPoel</t>
  </si>
  <si>
    <t>fsch|Canada|15-Mar-2013|22-Apr-2016|Model S 85|117272|401|Off|No|||243|G) once or twice a year|F) a few times a year|F) a few times a year|0.9|9||Off|||||</t>
  </si>
  <si>
    <t>(Matteo: It is better to submit a new entry instead editing the old one. I have recovered your old entry.)</t>
  </si>
  <si>
    <t>Sparky|USA|29-Mar-2014|03-Jul-2015|Model S 85|32016|262|Off|No|||329|D) twice a month|F) a few times a year|H) never|||||||||(Matteo: It is better to submit a new entry instead editing the old one. I have recovered your old entry.)</t>
  </si>
  <si>
    <t>BasvdPoel|Asia Pacific &amp; Europe (excl UK)|28-May-2014|24-Sep-2014|Model S 85|6053|392|Off|No|||216|G) once or twice a year|E) monthly|G) once or twice a year|||||||||</t>
  </si>
  <si>
    <t>Energie Gratiz</t>
  </si>
  <si>
    <t>Raibman</t>
  </si>
  <si>
    <t>fsch|Canada|15-Mar-2013|08-Sep-2016|Model S 85|132000|400|Off|No|||215.12|E) monthly|F) a few times a year|F) a few times a year|0.9|9|||||||</t>
  </si>
  <si>
    <t>Raibman|USA|30-Jun-2015|07-Jul-2015|Model S 85D|400|270|On|No|||318||||||||||||</t>
  </si>
  <si>
    <t>notacarguy</t>
  </si>
  <si>
    <t>Energie Gratiz|Asia Pacific &amp; Europe (excl UK)|10-Dec-2013|24-Sep-2014|Model S P85|73353|380|Unknown|No|||218|C) weekly|H) never|G) once or twice a year|||||||||</t>
  </si>
  <si>
    <t>HWS</t>
  </si>
  <si>
    <t>Dark Matter|Canada|11-Dec-2014|10-Sep-2016|Model S 85|36474|422|Off|No|||204|E) monthly|G) once or twice a year|H) never|0.9||||||||</t>
  </si>
  <si>
    <t>Kensiko</t>
  </si>
  <si>
    <t>Yes</t>
  </si>
  <si>
    <t>Didn't change</t>
  </si>
  <si>
    <t>notacarguy|USA|20-Nov-2014|17-Jul-2015|Model S 60|17200|191|Off|No|||311|H) never|F) a few times a year|F) a few times a year|0.9||205|Off|||||</t>
  </si>
  <si>
    <t>nwe motor, 21"</t>
  </si>
  <si>
    <t>Kensiko|Canada|01-May-2014|12-Oct-2016|Model S 60|54401|307|On|No|||190|F) a few times a year|E) monthly|H) never|0.8||||||||</t>
  </si>
  <si>
    <t>HWS|Asia Pacific &amp; Europe (excl UK)|29-Nov-2013|24-Sep-2014|Model S P85|18200|381|Unknown|Yes|Didn't change|2100|248|E) monthly|E) monthly|H) never|||||||||nwe motor, 21"</t>
  </si>
  <si>
    <t>KrisB</t>
  </si>
  <si>
    <t>jdw|Canada|18-Jun-2015|16-Oct-2016|Model S 85D|19550|432|Off|No|||212|E) monthly|E) monthly|H) never|0.9|9|435|Off|||||</t>
  </si>
  <si>
    <t>TStolz</t>
  </si>
  <si>
    <t>Benjamin Brooks|USA|05-Feb-2013|17-Jul-2015|Model S 85|34622|254|On|No|||299|E) monthly|F) a few times a year|F) a few times a year|0.9|1|270|Off|||||19" S85, Nothern California</t>
  </si>
  <si>
    <t>KrisB|Asia Pacific &amp; Europe (excl UK)|26-Mar-2014|24-Sep-2014|Model S P85|19800|385|On|No|||163|F) a few times a year|G) once or twice a year|H) never|||||||||19"</t>
  </si>
  <si>
    <t>CPA</t>
  </si>
  <si>
    <t>MjjVonk</t>
  </si>
  <si>
    <t xml:space="preserve">We have a heated garage .. never too hot or cold .. this car is babied! </t>
  </si>
  <si>
    <t xml:space="preserve">TStolz|Canada|15-Feb-2014|31-Oct-2016|Model S 85D|90000|428|On|No|||214|E) monthly|F) a few times a year|H) never|0.9|9.6|435|Off|||||We have a heated garage .. never too hot or cold .. this car is babied! </t>
  </si>
  <si>
    <t>Forty Creek</t>
  </si>
  <si>
    <t>MjjVonk|Asia Pacific &amp; Europe (excl UK)|11-Dec-2013|24-Sep-2014|Model S P85|33598|384|Off|No|||202|D) twice a month|E) monthly|G) once or twice a year|||||||||</t>
  </si>
  <si>
    <t>widodh</t>
  </si>
  <si>
    <t>CPA|USA|23-May-2014|27-Jul-2015|Model S 85|20240|260|Off|No|||289|C) weekly|F) a few times a year|H) never|0.6||266|Off|||||</t>
  </si>
  <si>
    <t>(Matteo: Hi. I recovered your old data and submitted the changes you made as a new entry.)</t>
  </si>
  <si>
    <t>ZSW</t>
  </si>
  <si>
    <t>Forty Creek|Canada|23-Sep-2013|04-Nov-2016|Model S P85|111001|398|Off|No|||212|D) twice a month|F) a few times a year|G) once or twice a year|0.8|9.6|425|Off|||||(Matteo: Hi. I recovered your old data and submitted the changes you made as a new entry.)</t>
  </si>
  <si>
    <t>widodh|Asia Pacific &amp; Europe (excl UK)|26-Sep-2013|24-Sep-2014|Model S 85|49600|386|Unknown|No|||221|D) twice a month|E) monthly|H) never|||||||||</t>
  </si>
  <si>
    <t>Wim S.</t>
  </si>
  <si>
    <t>19" P85D, Maryland</t>
  </si>
  <si>
    <t>ZSW|USA|05-Mar-2015|29-Jul-2015|Model S P85D|9100|254|On|No|||316|D) twice a month|E) monthly|H) never|0.9||255|On|||||19" P85D, Maryland</t>
  </si>
  <si>
    <t>mmccord</t>
  </si>
  <si>
    <t>fsch|Canada|15-Mar-2013|28-Nov-2016|Model S 85|139000|388|Off|No|||243|E) monthly|F) a few times a year|F) a few times a year|0.9|9||Off|||||</t>
  </si>
  <si>
    <t>Drive unit replaced twice, 21"</t>
  </si>
  <si>
    <t>Wim S.|Asia Pacific &amp; Europe (excl UK)|23-Nov-2013|24-Sep-2014|Model S 85|17800|386|Unknown|No|||219|E) monthly|E) monthly|H) never|||||||||Drive unit replaced twice, 21"</t>
  </si>
  <si>
    <t>CarlosW</t>
  </si>
  <si>
    <t>mmccord|USA|20-Apr-2015|14-Aug-2015|Model S 85D|12500|261|Off|No|||298|D) twice a month|E) monthly|H) never|0.8|10|270|Off|||||</t>
  </si>
  <si>
    <t>mcalahan</t>
  </si>
  <si>
    <t>fsch|Canada|15-Mar-2013|17-Dec-2016|Model S 85|140626|398|Off|No|||214|E) monthly|F) a few times a year|F) a few times a year|0.9|9||Off|||||</t>
  </si>
  <si>
    <t>21", bij aanschaf typ range 303</t>
  </si>
  <si>
    <t>CarlosW|Asia Pacific &amp; Europe (excl UK)|13-Nov-2013|25-Sep-2014|Model S 60|15300|285|Unknown|No|||231|F) a few times a year|G) once or twice a year|H) never|||||||||21", bij aanschaf typ range 303</t>
  </si>
  <si>
    <t>JCK</t>
  </si>
  <si>
    <t>7.7</t>
  </si>
  <si>
    <t>19" S85, Altanta, Georgia</t>
  </si>
  <si>
    <t>jdw|Canada|18-Jun-2015|29-Dec-2016|Model S 85D|22611|435|Off|No|||218|F) a few times a year|F) a few times a year|H) never|0.9|8|435|Off|||||</t>
  </si>
  <si>
    <t>mcalahan|USA|15-Nov-2014|14-Aug-2015|Model S 85|13734|262|Off|No|||307|D) twice a month|D) twice a month|G) once or twice a year|0.8|7.7|265|Off|||||19" S85, Altanta, Georgia</t>
  </si>
  <si>
    <t>JCK|Asia Pacific &amp; Europe (excl UK)|19-Sep-2013|25-Sep-2014|Model S 85|39200|385|On|No|||204|D) twice a month|D) twice a month|H) never|||||||||drive unit replaced twice</t>
  </si>
  <si>
    <t>PaulusdB</t>
  </si>
  <si>
    <t>Forty Creek|Canada|23-Sep-2013|17-Feb-2017|Model S P85|120000|403|Off|No|||214.58|D) twice a month|F) a few times a year|G) once or twice a year|0.8|9.6|425|Off|||||</t>
  </si>
  <si>
    <t>19" winter - 20" zomer</t>
  </si>
  <si>
    <t>PaulusdB|Asia Pacific &amp; Europe (excl UK)|13-Nov-2013|25-Sep-2014|Model S P85+|21530|388|On|No|||225|E) monthly|E) monthly|F) a few times a year|||||||||19" winter - 20" zomer</t>
  </si>
  <si>
    <t>selsrog</t>
  </si>
  <si>
    <t>fsch|Canada|15-Mar-2013|18-Mar-2017|Model S 85|147433|382|Off|No|||214|E) monthly|F) a few times a year|F) a few times a year|0.9|9||Off|||||</t>
  </si>
  <si>
    <t>Benjamin Brooks|USA|05-Feb-2013|28-Aug-2015|Model S 85|36269|254|On|No|||299|E) monthly|F) a few times a year|F) a few times a year|0.9|1|270|Off|||||19" S85, Nothern California</t>
  </si>
  <si>
    <t>dredog03</t>
  </si>
  <si>
    <t>selsrog|Asia Pacific &amp; Europe (excl UK)|20-Jun-2014|25-Sep-2014|Model S 85|8598|388|Unknown|No|||235|F) a few times a year|F) a few times a year|H) never|||||||||</t>
  </si>
  <si>
    <t>Anco</t>
  </si>
  <si>
    <t>Dark Matter|Canada|11-Dec-2014|19-Mar-2017|Model S 85|46800|420|On|No|||211|E) monthly|E) monthly|H) never|0.9||||||||</t>
  </si>
  <si>
    <t>Dark Singularity</t>
  </si>
  <si>
    <t>5.7</t>
  </si>
  <si>
    <t>Model S 60D</t>
  </si>
  <si>
    <t>19", Atlanta</t>
  </si>
  <si>
    <t>dredog03|USA|10-Jun-2014|30-Aug-2015|Model S 60|25500|186|On|No|||266|D) twice a month|E) monthly|G) once or twice a year|0.8|5.7|||||||19", Atlanta</t>
  </si>
  <si>
    <t>Swissojourners</t>
  </si>
  <si>
    <t>Anco|Asia Pacific &amp; Europe (excl UK)|05-Jun-2014|26-Sep-2014|Model S 85|4397|392|Off|No|||215|H) never|E) monthly|H) never|||||||||19"</t>
  </si>
  <si>
    <t>Hans (Amsterdam)</t>
  </si>
  <si>
    <t>Dark Singularity|Canada|01-Feb-2017|19-Mar-2017|Model S 60D|572|351|On|No|||228|F) a few times a year|E) monthly|H) never|0.9||||||||</t>
  </si>
  <si>
    <t>cedv17</t>
  </si>
  <si>
    <t>Model X 60D</t>
  </si>
  <si>
    <t>Hans (Amsterdam)|Asia Pacific &amp; Europe (excl UK)|04-Dec-2013|26-Sep-2014|Unspecified 85 kWh|24000|382|Unknown|No|||207|E) monthly|E) monthly|F) a few times a year|||||||||</t>
  </si>
  <si>
    <t>Swissojourners|USA|01-Dec-2014|02-Sep-2015|Model S 85|12000|263|On|No|||314|E) monthly|D) twice a month|H) never|0.8||265||||||</t>
  </si>
  <si>
    <t>kbekaert</t>
  </si>
  <si>
    <t>zdre</t>
  </si>
  <si>
    <t>cedv17|Canada|28-Dec-2016|21-Mar-2017|Model X 60D|3800|323|On|No|||215|D) twice a month|D) twice a month|H) never|0.8|8|||||||</t>
  </si>
  <si>
    <t>kbekaert|Asia Pacific &amp; Europe (excl UK)|25-Sep-2013|26-Sep-2014|Unspecified 85 kWh|29481|385|Unknown|No|||214|F) a few times a year|G) once or twice a year|H) never|||||||||</t>
  </si>
  <si>
    <t>philhill</t>
  </si>
  <si>
    <t>zdre|USA|15-Apr-2013|02-Sep-2015|Model S 60|28000|197|On|No|||275|H) never|H) never|F) a few times a year|0.7|10|209|On|||||</t>
  </si>
  <si>
    <t>vdiv</t>
  </si>
  <si>
    <t>382 km a week ago, 398 km today... go figure!</t>
  </si>
  <si>
    <t>20"</t>
  </si>
  <si>
    <t>fsch|Canada|15-Mar-2013|25-Mar-2017|Model S 85|147694|398|Off|No|||215|E) monthly|F) a few times a year|F) a few times a year|0.9|9|||||||382 km a week ago, 398 km today... go figure!</t>
  </si>
  <si>
    <t>philhill|Asia Pacific &amp; Europe (excl UK)|04-Jun-2014|26-Sep-2014|Model S P85|6548|385|Unknown|No|||247|G) once or twice a year|E) monthly|G) once or twice a year|||||||||20"</t>
  </si>
  <si>
    <t>1.5</t>
  </si>
  <si>
    <t>pjhartog</t>
  </si>
  <si>
    <t>19", Virginia</t>
  </si>
  <si>
    <t>vdiv|USA|15-May-2015|09-Sep-2015|Model S 70D|4674|237|On|No|||281|D) twice a month|H) never|H) never|0.9|1.5|240|Off|||||19", Virginia</t>
  </si>
  <si>
    <t>jdw|Canada|18-Jun-2015|07-May-2017|Model S 85D|27015|433.14|Off|No|||209|F) a few times a year|F) a few times a year|H) never|0.9|8|435|Off|||||</t>
  </si>
  <si>
    <t xml:space="preserve"> Merijn: range 288 ingevuld, aangepast naar 388</t>
  </si>
  <si>
    <t>pjhartog|Asia Pacific &amp; Europe (excl UK)|19-Sep-2013|26-Sep-2014|Unspecified 85 kWh|26000|388|Unknown|No|||218|E) monthly|E) monthly|H) never||||||||| Merijn: range 288 ingevuld, aangepast naar 388</t>
  </si>
  <si>
    <t>ebullio</t>
  </si>
  <si>
    <t>Kensiko|Canada|01-May-2014|25-Jun-2017|Model S 60|64423|306|On|No|||224|F) a few times a year|F) a few times a year|H) never|0.9|6||On|||||</t>
  </si>
  <si>
    <t>Don't know (km)</t>
  </si>
  <si>
    <t>ebullio|Asia Pacific &amp; Europe (excl UK)|14-Nov-2013|27-Sep-2014|Model S 85|22526|391|Unknown|Yes|Don't know (km)|12000|235|E) monthly|F) a few times a year|H) never|||||||||</t>
  </si>
  <si>
    <t>Benjamin Brooks|USA|05-Feb-2013|11-Sep-2015|Model S 85|36771|253|On|No|||299|E) monthly|F) a few times a year|F) a few times a year|0.9|1|270|Off|||||19" S85, Nothern California</t>
  </si>
  <si>
    <t>fsch|Canada|15-Mar-2013|04-Jul-2017|Model S 85|159750|400|Off|No|||220|E) monthly|E) monthly|F) a few times a year|0.9|9|||||||</t>
  </si>
  <si>
    <t>Maarten ST</t>
  </si>
  <si>
    <t>Me</t>
  </si>
  <si>
    <t>Maarten ST|Asia Pacific &amp; Europe (excl UK)|13-Sep-2013|27-Sep-2014|Model S P85+|28600|394|Unknown|Yes|Don't know (km)|22600|233|E) monthly|F) a few times a year|G) once or twice a year|||||||||</t>
  </si>
  <si>
    <t>TTheo</t>
  </si>
  <si>
    <t>Me|USA|09-Jan-2015|09-Nov-2015|Model S P85|34500|260|On|No|||355|E) monthly|F) a few times a year|F) a few times a year|0.8||||||||</t>
  </si>
  <si>
    <t>btrflyl8e</t>
  </si>
  <si>
    <t>jdw|Canada|18-Jun-2015|05-Aug-2017|Model S 85D|31589|435|Off|No|||206|F) a few times a year|F) a few times a year|H) never|0.9|8|435|Off|||||</t>
  </si>
  <si>
    <t>AC1K</t>
  </si>
  <si>
    <t>TTheo|Asia Pacific &amp; Europe (excl UK)|07-May-2014|27-Sep-2014|Model S 60|9161|280|Unknown|No|||205|H) never|E) monthly|H) never|||||||||</t>
  </si>
  <si>
    <t>jja</t>
  </si>
  <si>
    <t>btrflyl8e|USA|02-May-2013|14-Sep-2015|Model S 60|35000|198|On|No|||309||||0.9||205|Off|||||</t>
  </si>
  <si>
    <t>KidDoc</t>
  </si>
  <si>
    <t>AC1K|Canada|20-Jul-2013|23-Aug-2017|Model S P85|60113|418|On|No|||176|D) twice a month|G) once or twice a year|H) never|0.6|6|425|On|||||</t>
  </si>
  <si>
    <t>jja|Asia Pacific &amp; Europe (excl UK)|26-Nov-2013|28-Sep-2014|Model S 85|20200|384|On|No|||196|F) a few times a year|F) a few times a year|H) never|||||||||19"</t>
  </si>
  <si>
    <t>iKhalid</t>
  </si>
  <si>
    <t>redevries</t>
  </si>
  <si>
    <t>19" Texas</t>
  </si>
  <si>
    <t>iKhalid|Canada|15-Feb-2014|06-Sep-2017|Model S 60|92242|298|Off|No|||220|E) monthly|E) monthly|F) a few times a year|0.9|5|335|Off|||||</t>
  </si>
  <si>
    <t>KidDoc|USA|18-Mar-2014|05-Sep-2015|Model S 85|32000|264|On|No|||334|F) a few times a year|D) twice a month|G) once or twice a year|0.9||265|Off|||||19" Texas</t>
  </si>
  <si>
    <t>CAHL</t>
  </si>
  <si>
    <t>Model S 90D</t>
  </si>
  <si>
    <t>Bollar</t>
  </si>
  <si>
    <t>redevries|Asia Pacific &amp; Europe (excl UK)|15-Nov-2013|30-Sep-2014|Model S 85|35244|391|Unknown|Yes|Don't know (km)|28000|219|F) a few times a year|G) once or twice a year|H) never|||||||||19"</t>
  </si>
  <si>
    <t>luckyluke</t>
  </si>
  <si>
    <t>(474.94 * 24.8 / 144.81) / 81.8 = 0.9943</t>
  </si>
  <si>
    <t>CAHL|Canada|15-Feb-2017|29-Oct-2017|Model S 90D|5704|469|Off|No|||197|D) twice a month|E) monthly|H) never|0.6||473|Off|266|123|24.8|Off|</t>
  </si>
  <si>
    <t>hij ging pas naar 376 toen ik al 6,4km/1,5kWh verbruikt had</t>
  </si>
  <si>
    <t>Bollar|USA|31-Dec-2012|14-Sep-2015|Model S P85|35700|256|Off|No|||334|F) a few times a year|F) a few times a year|F) a few times a year|0.9|20|||||||</t>
  </si>
  <si>
    <t>luckyluke|Asia Pacific &amp; Europe (excl UK)|14-Nov-2013|01-Oct-2014|Unspecified 85 kWh|36369|377|Unknown|No|||255|E) monthly|D) twice a month|G) once or twice a year|||||||||hij ging pas naar 376 toen ik al 6,4km/1,5kWh verbruikt had</t>
  </si>
  <si>
    <t>Poison Dart Brew</t>
  </si>
  <si>
    <t>Willem</t>
  </si>
  <si>
    <t>Model S 90D 2015</t>
  </si>
  <si>
    <t>(477.97 * 65 / 380.76) / 81.8 = 0.9975</t>
  </si>
  <si>
    <t>CAHL|Canada|15-Feb-2017|16-Sep-2017|Model S 90D|2647|472|Off|No|||195|D) twice a month|E) monthly|H) never|0.6||473|Off|466|90|65|Off|</t>
  </si>
  <si>
    <t>Model S 90</t>
  </si>
  <si>
    <t>Increased 24 kms</t>
  </si>
  <si>
    <t>Poison Dart Brew|USA|12-Aug-2015|24-Aug-2015|Model S 90D 2015|864|283|Off|No|||318||||||||||||</t>
  </si>
  <si>
    <t>KyP85D</t>
  </si>
  <si>
    <t>Willem|Asia Pacific &amp; Europe (excl UK)|06-Dec-2013|04-Oct-2014|Unspecified 85 kWh|25050|391|Unknown|No|||193|E) monthly|G) once or twice a year|G) once or twice a year|||||||||</t>
  </si>
  <si>
    <t>Zuid5.nl</t>
  </si>
  <si>
    <t>Original 85 Battery replaced by 90kWh on Nov 14th 2017.</t>
  </si>
  <si>
    <t>Dark Matter|Canada|11-Dec-2014|18-Nov-2017|Model S 90|53900|452|On|Yes|Increased 24 kms|53800|204|E) monthly|F) a few times a year|G) once or twice a year|0.9||||||||Original 85 Battery replaced by 90kWh on Nov 14th 2017.</t>
  </si>
  <si>
    <t>Zuid5.nl|Asia Pacific &amp; Europe (excl UK)|10-Dec-2013|04-Oct-2014|Model S P85|23945|387|Unknown|No|||203|D) twice a month|E) monthly|F) a few times a year|||||||||19"</t>
  </si>
  <si>
    <t>FVO</t>
  </si>
  <si>
    <t>KyP85D|USA|22-Dec-2014|19-Sep-2015|Model S P85D|19918|244|Off|No|||381|D) twice a month|D) twice a month|E) monthly|0.9|20|253|Off|||||</t>
  </si>
  <si>
    <t>ghurenkamp|USA|07-Jun-2013|20-Sep-2015|Model S P85|51123|250|Off|No|||304|C) weekly|F) a few times a year|G) once or twice a year|0.9|7.3|260|Off|||||</t>
  </si>
  <si>
    <t>MarcG</t>
  </si>
  <si>
    <t>MarcG|USA|12-Dec-2014|15-Feb-2015|Model S P85D|5311|256|On|No|||411|C) weekly|C) weekly|H) never|0.9|6|256|On|||||</t>
  </si>
  <si>
    <t>MarcG|USA|12-Dec-2014|01-Mar-2015|Model S P85D|6063|255|On|No|||405|C) weekly|C) weekly|H) never|0.9|6|256|On|||||</t>
  </si>
  <si>
    <t>MarcG|USA|12-Dec-2014|17-Mar-2015|Model S P85D|7814|254|On|No|||397|C) weekly|C) weekly|H) never|0.9|6|256|On|||||</t>
  </si>
  <si>
    <t>MarcG|USA|12-Dec-2014|08-Apr-2015|Model S P85D|9432|253|On|No|||388|C) weekly|D) twice a month|H) never|0.9|6|256|On|||||</t>
  </si>
  <si>
    <t>Met leeg bedoel ik &lt;10km rest (bij vorige Firmware-versie)</t>
  </si>
  <si>
    <t>MarcG|USA|12-Dec-2014|10-May-2015|Model S P85D|11329|252|On|No|||373|C) weekly|D) twice a month|H) never|0.9|6|256|On|||||</t>
  </si>
  <si>
    <t>FVO|Asia Pacific &amp; Europe (excl UK)|20-Nov-2013|05-Oct-2014|Model S 85|27000|382|Unknown|No|||209|E) monthly|F) a few times a year|F) a few times a year|||||||||Met leeg bedoel ik &lt;10km rest (bij vorige Firmware-versie)</t>
  </si>
  <si>
    <t>ErikR</t>
  </si>
  <si>
    <t>MarcG|USA|12-Dec-2014|21-Jun-2015|Model S P85D|13588|251|On|No|||369|C) weekly|E) monthly|H) never|0.9|6|256|On|||||</t>
  </si>
  <si>
    <t>ErikR|Asia Pacific &amp; Europe (excl UK)|30-Sep-2014|06-Oct-2014|Model S 85|1136|399|Off|No|||244|C) weekly|D) twice a month|H) never|0.9||||||||</t>
  </si>
  <si>
    <t>Geert.Snijders</t>
  </si>
  <si>
    <t>MarcG|USA|12-Dec-2014|19-Sep-2015|Model S P85D|17805|250|On|No|||365|C) weekly|E) monthly|H) never|0.9|6|256|On|||||</t>
  </si>
  <si>
    <t>Sean O</t>
  </si>
  <si>
    <t>Bijna altijd superchargen. Soms beetje gewoon bijladen.</t>
  </si>
  <si>
    <t>Geert.Snijders|Asia Pacific &amp; Europe (excl UK)|04-Dec-2013|06-Oct-2014|Model S P85|21500|380|Unknown|No|||230|C) weekly|D) twice a month|H) never|||||||||Bijna altijd superchargen. Soms beetje gewoon bijladen.</t>
  </si>
  <si>
    <t>Sean O|USA|15-Mar-2015|21-Sep-2015|Model S 85|11500|250|Off|No|||338|D) twice a month|F) a few times a year|G) once or twice a year|0.8|6|256|Off|||||</t>
  </si>
  <si>
    <t>gelden</t>
  </si>
  <si>
    <t>Luiping</t>
  </si>
  <si>
    <t xml:space="preserve"> 19" Cyclone Wheels, San Diego, CA</t>
  </si>
  <si>
    <t>suc/rch ingevuld sinds de nieuwe batterij</t>
  </si>
  <si>
    <t>Luiping|USA|01-Sep-2015|11-Oct-2015|Model S 90D 2015|975|283|On|No|||318|F) a few times a year|F) a few times a year|H) never|0.9|10|283|On||||| 19" Cyclone Wheels, San Diego, CA</t>
  </si>
  <si>
    <t>gelden|Asia Pacific &amp; Europe (excl UK)|29-Nov-2013|06-Oct-2014|Model S 85|29700|387|Unknown|Yes|Don't know (km)|26000|263|F) a few times a year|G) once or twice a year|G) once or twice a year|||||||||suc/rch ingevuld sinds de nieuwe batterij</t>
  </si>
  <si>
    <t>kwenix</t>
  </si>
  <si>
    <t>Benjamin Brooks|USA|05-Feb-2013|22-Oct-2015|Model S 85|39139|252|On|No|||298|E) monthly|F) a few times a year|F) a few times a year|0.9|1|270|Off|||||19" S85, Nothern California</t>
  </si>
  <si>
    <t>kwenix|Asia Pacific &amp; Europe (excl UK)|31-Dec-2013|08-Oct-2014|Unspecified 85 kWh|21845|394|Unknown|No|||214|F) a few times a year|D) twice a month|H) never|||||||||19"</t>
  </si>
  <si>
    <t>dieselol</t>
  </si>
  <si>
    <t>Ruben7113</t>
  </si>
  <si>
    <t>dieselol|USA|22-Jul-2013|21-Oct-2015|Model S P85+|43337|250|Off|No|||332||||||||||||</t>
  </si>
  <si>
    <t>Ruben7113|Asia Pacific &amp; Europe (excl UK)|23-Nov-2013|08-Oct-2014|Unspecified 85 kWh|21600|385|Unknown|Yes|Don't know (km)|10000|218|E) monthly|E) monthly|H) never|||||||||19"</t>
  </si>
  <si>
    <t>JoeNe</t>
  </si>
  <si>
    <t>Poison Dart Brew|USA|12-Aug-2015|02-Nov-2015|Model S 90D 2015|4696|268|Off|No|||316|A) daily|D) twice a month|G) once or twice a year|0.9|15|283|Off|||||</t>
  </si>
  <si>
    <t>Pilot_51</t>
  </si>
  <si>
    <t>7.2</t>
  </si>
  <si>
    <t>JoeNe|Asia Pacific &amp; Europe (excl UK)|26-Nov-2013|09-Oct-2014|Model S 85|33150|377|Unknown|No|||229|F) a few times a year|E) monthly|G) once or twice a year|||||||||19"</t>
  </si>
  <si>
    <t>Michigan. Normally charge to 80%, 90% for few months when heat is regularly used. Had 197 range when delivered at ~92%. Only ever charged once to 100% to try recovering range.</t>
  </si>
  <si>
    <t>Gepekop</t>
  </si>
  <si>
    <t>Pilot_51|USA|11-Jun-2014|25-Oct-2015|Model S 60|16217|174|Off|No|||323|H) never|G) once or twice a year|H) never|0.8|7.2|||||||Michigan. Normally charge to 80%, 90% for few months when heat is regularly used. Had 197 range when delivered at ~92%. Only ever charged once to 100% to try recovering range.</t>
  </si>
  <si>
    <t>drive unit 2x vervangen W:19" Z:21"</t>
  </si>
  <si>
    <t>Gepekop|Asia Pacific &amp; Europe (excl UK)|04-Dec-2013|14-Oct-2014|Model S P85|34000|381|Unknown|No|||234|E) monthly|D) twice a month|G) once or twice a year|||||||||drive unit 2x vervangen W:19" Z:21"</t>
  </si>
  <si>
    <t>66.2</t>
  </si>
  <si>
    <t>(253.16 * 66.2 / 242.03) / 77.5 = 0.8935</t>
  </si>
  <si>
    <t>DavidH|USA|26-Mar-2014|04-Nov-2015|Model S 85|61800|250|Off|No|||319|D) twice a month|D) twice a month|G) once or twice a year|0.8|10|271|Off|250|11|66.2|Off|</t>
  </si>
  <si>
    <t>Polly Wog</t>
  </si>
  <si>
    <t>ErikR|Asia Pacific &amp; Europe (excl UK)|30-Sep-2014|30-Oct-2014|Model S 85|4517|394|Off|No|||244|B) twice a week|C) weekly|H) never|0.9||||||||</t>
  </si>
  <si>
    <t>QueenieEye</t>
  </si>
  <si>
    <t>Polly Wog|USA|03-Feb-2014|04-Oct-2015|Model S 85|22300|264|On|No|||291|F) a few times a year|F) a few times a year|H) never|0.9|10|265||||||</t>
  </si>
  <si>
    <t>ChadS</t>
  </si>
  <si>
    <t>Don't know (mi)</t>
  </si>
  <si>
    <t>QueenieEye|Asia Pacific &amp; Europe (excl UK)|22-Nov-2013|01-Nov-2014|Model S 85|39000|377|Unknown|No|||202|F) a few times a year|F) a few times a year|H) never|||||||||</t>
  </si>
  <si>
    <t>Edi99</t>
  </si>
  <si>
    <t>Only charge to 80% 2 months during the summer.</t>
  </si>
  <si>
    <t>ChadS|USA|12-Sep-2012|14-Nov-2015|Model S 85|55200|253|On|Yes|Don't know (mi)|40000|328|F) a few times a year|F) a few times a year|H) never|0.9|15|271|Off|||||Only charge to 80% 2 months during the summer.</t>
  </si>
  <si>
    <t>Liuping</t>
  </si>
  <si>
    <t>drive unit replaced</t>
  </si>
  <si>
    <t>Edi99|Asia Pacific &amp; Europe (excl UK)|23-Sep-2013|07-Nov-2014|Model S P85|52000|381|Unknown|Yes|Don't know (km)|18000|220|D) twice a month|F) a few times a year|H) never|||||||||drive unit replaced</t>
  </si>
  <si>
    <t>19" Cyclone Wheels, San Diego, CA</t>
  </si>
  <si>
    <t>widodh|Asia Pacific &amp; Europe (excl UK)|26-Sep-2013|07-Nov-2014|Model S 85|54000|377|Unknown|No|||221|D) twice a month|D) twice a month|H) never|||||||||</t>
  </si>
  <si>
    <t>Liuping|USA|01-Sep-2015|20-Nov-2015|Model S 90D 2015|2135|278|On|No|||334|F) a few times a year|G) once or twice a year|H) never|0.9||283|On|||||19" Cyclone Wheels, San Diego, CA</t>
  </si>
  <si>
    <t>Benjamin Brooks|USA|05-Feb-2013|29-Nov-2015|Model S 85|39940|253|On|No|||298|E) monthly|F) a few times a year|F) a few times a year|0.9|1|270|Off|||||19" S85, Nothern California</t>
  </si>
  <si>
    <t>Go4IT|Asia Pacific &amp; Europe (excl UK)|10-Sep-2013|10-Nov-2014|Model S P85|73000|379|On|No|||218|D) twice a month|A) daily|G) once or twice a year|1|22|||||||drive unit replaced twice</t>
  </si>
  <si>
    <t>e-Rik</t>
  </si>
  <si>
    <t>7.3</t>
  </si>
  <si>
    <t>ghurenkamp|USA|07-Jun-2013|30-Nov-2015|Model S P85|56544|251|Off|No|||302|C) weekly|F) a few times a year|G) once or twice a year|0.9|7.3|260|Off|||||</t>
  </si>
  <si>
    <t>dirkhh</t>
  </si>
  <si>
    <t>e-Rik|Asia Pacific &amp; Europe (excl UK)|04-Nov-2013|11-Nov-2014|Model S P85|21000|379|Off|No|||218|E) monthly|F) a few times a year|H) never|||||||||</t>
  </si>
  <si>
    <t>Alain13</t>
  </si>
  <si>
    <t>9.6</t>
  </si>
  <si>
    <t>dirkhh|USA|20-Feb-2015|09-Dec-2015|Model S P85D|12800|248|On|No|||325|F) a few times a year|F) a few times a year|H) never|0.9|9.6|253|On|||||</t>
  </si>
  <si>
    <t>efusco</t>
  </si>
  <si>
    <t>Alain13|Asia Pacific &amp; Europe (excl UK)|11-Apr-2014|13-Nov-2014|Unspecified 85 kWh|12000|388|On|No|||224|F) a few times a year|F) a few times a year|H) never|||||||||</t>
  </si>
  <si>
    <t>efusco|USA|26-Nov-2012|09-Dec-2015|Model S 85|61600|251|On|No|||305|F) a few times a year|D) twice a month|G) once or twice a year|0.9||272|On|||||</t>
  </si>
  <si>
    <t>Datum invoer even een week teruggezet, voordat ik 3000km trips ging maken</t>
  </si>
  <si>
    <t>pvandamcom|Asia Pacific &amp; Europe (excl UK)|16-Aug-2014|14-Nov-2014|Model S P85|8000|388|Off|No|||229|D) twice a month|C) weekly|E) monthly|||||||||Datum invoer even een week teruggezet, voordat ik 3000km trips ging maken</t>
  </si>
  <si>
    <t>Michigan. Car went to service where they charged to 100% (176mi), discharged to 0% using HVAC on HI, then charged back to 100% (178mi).</t>
  </si>
  <si>
    <t>Pilot_51|USA|11-Jun-2014|09-Dec-2015|Model S 60|17679|178|Off|No|||323|H) never|G) once or twice a year|G) once or twice a year|0.9|7.2|||||||Michigan. Car went to service where they charged to 100% (176mi), discharged to 0% using HVAC on HI, then charged back to 100% (178mi).</t>
  </si>
  <si>
    <t>wizputer</t>
  </si>
  <si>
    <t>Pas na 1,7 kWh begon de typical range af te nemen. Paar dagen erna rangecharge 379 km en wel direct afname na 1 km...</t>
  </si>
  <si>
    <t>Merijn|Asia Pacific &amp; Europe (excl UK)|18-Nov-2013|16-Nov-2014|Model S 85|42000|380|On|No|||223|E) monthly|D) twice a month|E) monthly|||||||||Pas na 1,7 kWh begon de typical range af te nemen. Paar dagen erna rangecharge 379 km en wel direct afname na 1 km...</t>
  </si>
  <si>
    <t>wizputer|USA|25-Sep-2015|10-Dec-2015|Model S 90D 2015|2132|274|Off|No|||317|F) a few times a year|F) a few times a year|G) once or twice a year|0.6|1|282|Off|||||</t>
  </si>
  <si>
    <t>43.9</t>
  </si>
  <si>
    <t>(182 * 43.9 / 157) / 58.5 = 0.8699</t>
  </si>
  <si>
    <t>dredog03|USA|10-Jun-2014|09-Dec-2015|Model S 60|36200|182|On|No|||259|C) weekly|F) a few times a year|G) once or twice a year|0.9|10|208|On|168|11|43.9|On|</t>
  </si>
  <si>
    <t>ErikR|Asia Pacific &amp; Europe (excl UK)|30-Sep-2014|22-Nov-2014|Model S 85|7024|393|Off|No|||251|C) weekly|D) twice a month|H) never|0.9||||||||</t>
  </si>
  <si>
    <t>9.4</t>
  </si>
  <si>
    <t>ReNe</t>
  </si>
  <si>
    <t>mmccord|USA|20-Apr-2015|07-Dec-2015|Model S 85D|21000|261|Off|No|||323|D) twice a month|D) twice a month|H) never|0.9|9.4|270|Off|||||</t>
  </si>
  <si>
    <t>LM</t>
  </si>
  <si>
    <t>21 inch</t>
  </si>
  <si>
    <t>I get 3% better range with 19" tires. I use both</t>
  </si>
  <si>
    <t>ReNe|Asia Pacific &amp; Europe (excl UK)|04-Dec-2013|24-Nov-2014|Unspecified 85 kWh|32000|383|On|No|||218|D) twice a month|D) twice a month|G) once or twice a year|||||||||21 inch</t>
  </si>
  <si>
    <t>LM|USA|07-Jan-2013|10-Dec-2015|Model S P85+|38000|258|Off|No|||332|E) monthly|G) once or twice a year|E) monthly|0.8|6|268|Off|||||I get 3% better range with 19" tires. I use both</t>
  </si>
  <si>
    <t>Zextraterrestrial</t>
  </si>
  <si>
    <t>Increased 6 miles</t>
  </si>
  <si>
    <t>(Matteo: Hi. I have recovered your old entry and created a new entry with your new data. It is better to submit a new entry if your data changes. Thanks)</t>
  </si>
  <si>
    <t>Zextraterrestrial|USA|28-Nov-2012|12-Oct-2015|Model S P85|42042|257|On|Yes|Increased 6 miles|20796|365|F) a few times a year|F) a few times a year|G) once or twice a year|0.8||272|Off|230||||(Matteo: Hi. I have recovered your old entry and created a new entry with your new data. It is better to submit a new entry if your data changes. Thanks)</t>
  </si>
  <si>
    <t>Go4IT|Asia Pacific &amp; Europe (excl UK)|10-Sep-2013|25-Nov-2014|Model S P85|74500|380|On|No|||220|D) twice a month|A) daily|G) once or twice a year|1|22|||||||drive unit replaced twice</t>
  </si>
  <si>
    <t>jgallops</t>
  </si>
  <si>
    <t>Bram</t>
  </si>
  <si>
    <t>jgallops|USA|19-Feb-2015|20-Nov-2015|Model S 85D|9634|261|Off|No|||335||||||||||||</t>
  </si>
  <si>
    <t>Bram|Asia Pacific &amp; Europe (excl UK)|25-May-2014|26-Nov-2014|Model S 85|14000|391|Unknown|No|||205|C) weekly|F) a few times a year|H) never|||||||||19"</t>
  </si>
  <si>
    <t>DLB</t>
  </si>
  <si>
    <t>Poison Dart Brew|USA|12-Aug-2015|10-Dec-2015|Model S 90D 2015|8122|269|Off|No|||318||||||||||||</t>
  </si>
  <si>
    <t>DLB|Asia Pacific &amp; Europe (excl UK)|20-Sep-2013|27-Nov-2014|Unspecified 85 kWh|22507|383|Off|No|||223|G) once or twice a year|F) a few times a year|H) never|||||||||21"</t>
  </si>
  <si>
    <t>KyP85D|USA|22-Dec-2014|11-Dec-2015|Model S P85D|28747|242|Off|No|||379|D) twice a month|D) twice a month|E) monthly|0.9||||||||</t>
  </si>
  <si>
    <t>CliffG</t>
  </si>
  <si>
    <t>CliffG|USA|11-Dec-2013|12-Dec-2015|Model S 85|23298|265|On|No|||321|F) a few times a year|G) once or twice a year|H) never|0.9|9.6|||||||</t>
  </si>
  <si>
    <t>Xfrank|Asia Pacific &amp; Europe (excl UK)|23-Nov-2013|30-Nov-2014|Model S 60|19700|285|Unknown|No|||208|E) monthly|F) a few times a year|G) once or twice a year|||||||||</t>
  </si>
  <si>
    <t>pdx4s</t>
  </si>
  <si>
    <t>15.4</t>
  </si>
  <si>
    <t>New MXM4 Primacy 19' tires e/m higher by 20%, maybe 7.0 and lower temp., Pdx area</t>
  </si>
  <si>
    <t>(249 * 15.4 / 58) / 77.5 = 0.8531</t>
  </si>
  <si>
    <t>KrisB|Asia Pacific &amp; Europe (excl UK)|26-Mar-2014|05-Dec-2014|Model S P85|24325|387|On|No|||167|E) monthly|F) a few times a year|H) never|||||||||19"</t>
  </si>
  <si>
    <t>pdx4s|USA|20-Aug-2013|12-Dec-2015|Model S P85|30389|249|On|No|||319|E) monthly|F) a few times a year|H) never|0.7|15|268|On|178|120|15.4|On|New MXM4 Primacy 19' tires e/m higher by 20%, maybe 7.0 and lower temp., Pdx area</t>
  </si>
  <si>
    <t>Andyw2100</t>
  </si>
  <si>
    <t>(250.13 * 14 / 44.66) / 77.5 = 1.0118</t>
  </si>
  <si>
    <t>ErikR|Asia Pacific &amp; Europe (excl UK)|30-Sep-2014|11-Dec-2014|Model S 85|9732|393|Off|No|||258|D) twice a month|D) twice a month|H) never|0.9||||||||</t>
  </si>
  <si>
    <t>Andyw2100|USA|13-Dec-2014|08-Nov-2015|Model S P85D|16839|247|Off|No|||330|F) a few times a year|F) a few times a year|H) never|0.9||||221|176.9|14|Off|</t>
  </si>
  <si>
    <t>Nulwoning</t>
  </si>
  <si>
    <t>jepicken</t>
  </si>
  <si>
    <t>19" 3e drive unit</t>
  </si>
  <si>
    <t>Nulwoning|Asia Pacific &amp; Europe (excl UK)|20-Nov-2013|15-Dec-2014|Model S 85|45050|378|On|No|||190|C) weekly|G) once or twice a year|H) never|||||||||19" 3e drive unit</t>
  </si>
  <si>
    <t>jepicken|USA|15-Mar-2015|18-Nov-2015|Model S 85|9640|252|Off|No|||315|F) a few times a year|F) a few times a year|H) never|0.8|10|264|Off|||||</t>
  </si>
  <si>
    <t>James</t>
  </si>
  <si>
    <t>Na 0,3 kWh was de typical al gezakt naar 374.</t>
  </si>
  <si>
    <t>Merijn|Asia Pacific &amp; Europe (excl UK)|18-Nov-2013|16-Dec-2014|Model S 85|45000|378|On|No|||225|D) twice a month|D) twice a month|E) monthly|||||||||Na 0,3 kWh was de typical al gezakt naar 374.</t>
  </si>
  <si>
    <t>brderyck</t>
  </si>
  <si>
    <t>James|USA|28-Aug-2015|27-Dec-2015|Model S 90D 2015|5790|260|Off|No|||339|F) a few times a year|F) a few times a year|H) never|0.9||||||||</t>
  </si>
  <si>
    <t>hoog vebruik komt voornamelijk door het spelen deze 1e week, bij normaal gebruik op 230</t>
  </si>
  <si>
    <t>brderyck|Asia Pacific &amp; Europe (excl UK)|13-Dec-2014|23-Dec-2014|Model S 85|950|394|Off|No|||261|D) twice a month|D) twice a month|H) never|||||||||hoog vebruik komt voornamelijk door het spelen deze 1e week, bij normaal gebruik op 230</t>
  </si>
  <si>
    <t>Benjamin Brooks|USA|05-Feb-2013|05-Jan-2016|Model S 85|41800|252|On|No|||298|E) monthly|F) a few times a year|F) a few times a year|0.9|1|270|Off|||||19" S85, Nothern California</t>
  </si>
  <si>
    <t>drive unit replaced, 21"</t>
  </si>
  <si>
    <t>mcalahan|USA|15-Nov-2014|29-Jan-2016|Model S 85|25283|257|On|No|||310|D) twice a month|D) twice a month|E) monthly|0.8|6|265|On|||||19" S85, Altanta, Georgia</t>
  </si>
  <si>
    <t>Wim S.|Asia Pacific &amp; Europe (excl UK)|23-Nov-2013|01-Jan-2015|Model S 85|20500|378|Unknown|No|||219|E) monthly|E) monthly|H) never|||||||||drive unit replaced, 21"</t>
  </si>
  <si>
    <t>DFibRL8r</t>
  </si>
  <si>
    <t>x-ray</t>
  </si>
  <si>
    <t>(193.42 * 46.6 / 173.16) / 58.5 = 0.8898</t>
  </si>
  <si>
    <t>DFibRL8r|USA|04-Feb-2013|31-Jan-2016|Model S 60|67736|191|Off|No|||291|E) monthly|F) a few times a year|G) once or twice a year|0.8|10||Off|191|20|46.6|Off|</t>
  </si>
  <si>
    <t>19"  2x drive unit vervangen. 6 maanden op 60% geladen, ervan uitgaande dat dat het beste voltage voor de batterij is. Mogelijk daardoor minder gebalanceerde batterij....?</t>
  </si>
  <si>
    <t>x-ray|Asia Pacific &amp; Europe (excl UK)|25-Sep-2013|03-Jan-2015|Unspecified 85 kWh|37000|374|Off|No|||210|D) twice a month|D) twice a month|F) a few times a year|||||||||19"  2x drive unit vervangen. 6 maanden op 60% geladen, ervan uitgaande dat dat het beste voltage voor de batterij is. Mogelijk daardoor minder gebalanceerde batterij....?</t>
  </si>
  <si>
    <t>Zextraterrestrial|USA|28-Nov-2012|08-Jan-2016|Model S P85|44950|257|On|Yes|Increased 6 miles|20796|363|F) a few times a year|F) a few times a year|G) once or twice a year|0.8||272|Off|||||</t>
  </si>
  <si>
    <t>19" typical range at 90%=346</t>
  </si>
  <si>
    <t>BasvdPoel|Asia Pacific &amp; Europe (excl UK)|28-May-2014|06-Jan-2015|Model S 85|10000|391|Off|No|||226|G) once or twice a year|F) a few times a year|G) once or twice a year|||||||||19" typical range at 90%=346</t>
  </si>
  <si>
    <t>Typical Range at 100% charge
in miles</t>
  </si>
  <si>
    <t>wizputer|USA|25-Sep-2015|13-Feb-2016|Model S 90D 2015|4935|277|Off|No|||314|E) monthly|F) a few times a year|G) once or twice a year|0.5|1|282|Off|||||</t>
  </si>
  <si>
    <t>brderyck|Asia Pacific &amp; Europe (excl UK)|13-Dec-2014|15-Jan-2015|Model S 85|3600|394|Off|No|||261|C) weekly|C) weekly|E) monthly|||||||||</t>
  </si>
  <si>
    <t>Dimivdb</t>
  </si>
  <si>
    <t>Benjamin Brooks|USA|05-Feb-2013|08-Mar-2016|Model S 85|43603|253|On|No|||298|E) monthly|F) a few times a year|F) a few times a year|0.9|1|270|Off|||||19" S85, Nothern California</t>
  </si>
  <si>
    <t>Dimivdb|Asia Pacific &amp; Europe (excl UK)|30-Dec-2014|15-Jan-2015|Model S 85|980|394|Off|No|||278|C) weekly|E) monthly|H) never|||||||||21 inch</t>
  </si>
  <si>
    <t>HansBe</t>
  </si>
  <si>
    <t>Benjamin Brooks|USA|05-Feb-2013|30-Mar-2016|Model S 85|44219|253|On|No|||297|E) monthly|F) a few times a year|F) a few times a year|0.9|1|270|Off|||||19" S85, Nothern California</t>
  </si>
  <si>
    <t>HansBe|Asia Pacific &amp; Europe (excl UK)|13-Dec-2014|15-Jan-2015|Model S 85|2650|393|Off|No|||253|H) never|E) monthly|H) never|||||||||19"</t>
  </si>
  <si>
    <t>3kmiles on new MXM4 19</t>
  </si>
  <si>
    <t>(255 * 14.7 / 54) / 77.5 = 0.8957</t>
  </si>
  <si>
    <t>pdx4s|USA|20-Aug-2013|01-Apr-2016|Model S P85|32750|255|On|No|||322|F) a few times a year|F) a few times a year|H) never|0.9|19|265|Off|230|176|14.7|On|3kmiles on new MXM4 19</t>
  </si>
  <si>
    <t>90%=343</t>
  </si>
  <si>
    <t>HWS|Asia Pacific &amp; Europe (excl UK)|29-Nov-2013|15-Jan-2015|Model S P85|27876|381|Off|Yes|Didn't change|2100|249|D) twice a month|D) twice a month|H) never|||||||||90%=343</t>
  </si>
  <si>
    <t>RealNuke</t>
  </si>
  <si>
    <t>jgallops|USA|19-Feb-2015|17-Apr-2016|Model S 85D|12236|268|Off|No|||328|F) a few times a year|F) a few times a year|H) never|0.9||||||||</t>
  </si>
  <si>
    <t>Benjamin Brooks|USA|05-Feb-2013|21-Apr-2016|Model S 85|44883|254|On|No|||297|E) monthly|F) a few times a year|F) a few times a year|0.9|1|270|Off|||||19" S85, Nothern California</t>
  </si>
  <si>
    <t>RealNuke|Asia Pacific &amp; Europe (excl UK)|30-Dec-1899|15-Jan-2015|Unspecified 85 kWh|32080|380|Off|No|||270||||||||||||</t>
  </si>
  <si>
    <t>redevries|Asia Pacific &amp; Europe (excl UK)|15-Nov-2013|15-Jan-2015|Model S 85|51700|389|On|Yes|Don't know (km)|28000|229|E) monthly|E) monthly|G) once or twice a year|||||||||19"</t>
  </si>
  <si>
    <t>James|USA|28-Aug-2015|27-Apr-2016|Model S 90D 2015|10780|267|Off|No|||339|F) a few times a year|F) a few times a year|H) never|0.9||||||||</t>
  </si>
  <si>
    <t>Rprp|Asia Pacific &amp; Europe (excl UK)|31-Dec-2013|15-Jan-2015|Model S P85|61500|373|Off|No|||223|C) weekly|C) weekly|E) monthly|||||||||21 inch</t>
  </si>
  <si>
    <t>DavidH|USA|26-Mar-2014|06-May-2016|Model S 85|73500|253|On|No|||331|D) twice a month|D) twice a month|F) a few times a year|0.8|10|271|On|||||</t>
  </si>
  <si>
    <t>Todd Burch</t>
  </si>
  <si>
    <t>widodh|Asia Pacific &amp; Europe (excl UK)|26-Sep-2013|15-Jan-2015|Model S 85|59500|374|Unknown|No|||227|D) twice a month|D) twice a month|G) once or twice a year|||||||||</t>
  </si>
  <si>
    <t>Todd Burch|USA|01-Oct-2014|04-May-2016|Model S P85|34970|261|On|No|||293|E) monthly|E) monthly|H) never|0.9|10|265|On|||||</t>
  </si>
  <si>
    <t>Smartypnz</t>
  </si>
  <si>
    <t>Go4IT|Asia Pacific &amp; Europe (excl UK)|10-Sep-2013|16-Jan-2015|Model S P85|84000|375|On|No|||220|D) twice a month|A) daily|G) once or twice a year|1|22|||||||drive unit replaced twice</t>
  </si>
  <si>
    <t>Smartypnz|USA|29-Apr-2013|07-May-2016|Model S 85|78926|254|On|No|||322|B) twice a week|D) twice a month|H) never|0.9|10|270|On|||||</t>
  </si>
  <si>
    <t>90%=342</t>
  </si>
  <si>
    <t>HWS|Asia Pacific &amp; Europe (excl UK)|29-Nov-2013|16-Jan-2015|Model S P85|27906|381|Off|Yes|Didn't change|2100|249|D) twice a month|D) twice a month|H) never|||||||||90%=342</t>
  </si>
  <si>
    <t>ghurenkamp|USA|07-Jun-2013|17-May-2016|Model S P85|66281|249|Off|No|||322|C) weekly|F) a few times a year|G) once or twice a year|0.9|7.3|260|Off|||||</t>
  </si>
  <si>
    <t>19" all season</t>
  </si>
  <si>
    <t>TTheo|Asia Pacific &amp; Europe (excl UK)|07-May-2014|16-Jan-2015|Model S 60|14267|272|Off|No|||216|H) never|E) monthly|G) once or twice a year|||||||||19" all season</t>
  </si>
  <si>
    <t>Benjamin Brooks|USA|05-Feb-2013|03-Jun-2016|Model S 85|46559|254|On|No|||297|E) monthly|F) a few times a year|F) a few times a year|0.9|1|270|Off|||||19" S85, Nothern California</t>
  </si>
  <si>
    <t>snail3</t>
  </si>
  <si>
    <t>Edi99|Asia Pacific &amp; Europe (excl UK)|23-Sep-2013|17-Jan-2015|Model S P85|68000|378|Unknown|Yes|Don't know (km)|18000|220|E) monthly|F) a few times a year|H) never|||||||||drive unit replaced</t>
  </si>
  <si>
    <t>snail3|USA|07-Jul-2015|06-Jun-2016|Model S 70D|20506|230|On|No|||280|C) weekly|E) monthly|F) a few times a year|0.9|||On|||||</t>
  </si>
  <si>
    <t>L-P-G</t>
  </si>
  <si>
    <t>ErikR|Asia Pacific &amp; Europe (excl UK)|30-Sep-2014|17-Jan-2015|Model S 85|12199|392|Off|No|||265|D) twice a month|D) twice a month|H) never|0.8||||||||</t>
  </si>
  <si>
    <t>Thor</t>
  </si>
  <si>
    <t>L-P-G|USA|03-Mar-2016|01-Jul-2016|Model S 90D|6861|291.71|On|No|||322|D) twice a month|G) once or twice a year|H) never|0.8|10|293|Off|||||</t>
  </si>
  <si>
    <t>DavidH|USA|26-Mar-2014|01-Jul-2016|Model S 85|81000|253|Off|No|||320|C) weekly|E) monthly|G) once or twice a year|0.8|10|271|Off|||||</t>
  </si>
  <si>
    <t>19" obv 90%=356</t>
  </si>
  <si>
    <t>Thor|Asia Pacific &amp; Europe (excl UK)|17-Dec-2014|18-Jan-2015|Model S 85|4178|398|On|No|||244|C) weekly|D) twice a month|H) never|||||||||19" obv 90%=356</t>
  </si>
  <si>
    <t>Benjamin Brooks|USA|05-Feb-2013|08-Jul-2016|Model S 85|48053|253|On|No|||297|E) monthly|F) a few times a year|F) a few times a year|0.9|1|270|Off|||||19" S85, Nothern California</t>
  </si>
  <si>
    <t>PCMc</t>
  </si>
  <si>
    <t>Xfrank|Asia Pacific &amp; Europe (excl UK)|23-Nov-2013|18-Jan-2015|Model S 60|23373|282|On|No|||211|D) twice a month|F) a few times a year|G) once or twice a year|||||||||</t>
  </si>
  <si>
    <t>Central Indiana. Local city driving with some 2-lane highway.  (Note: update on 7/31 was to add typical daily charging power of 10 kW)</t>
  </si>
  <si>
    <t>(297.72 * 18.9 / 74.94) / 81.8 = 0.918</t>
  </si>
  <si>
    <t>Hans Noordsij|Asia Pacific &amp; Europe (excl UK)|29-Mar-2014|19-Jan-2015|Model S 85|40670|385|On|No|||218|C) weekly|H) never|H) never|||||||||</t>
  </si>
  <si>
    <t>PCMc|USA|30-Jun-2016|16-Jul-2016|Model S 90D|812|294|Off|No|||274|G) once or twice a year|H) never|H) never|0.7|10|295|Off|213|139|18.9|Off|Central Indiana. Local city driving with some 2-lane highway.  (Note: update on 7/31 was to add typical daily charging power of 10 kW)</t>
  </si>
  <si>
    <t>Script</t>
  </si>
  <si>
    <t>selsrog|Asia Pacific &amp; Europe (excl UK)|20-Jun-2014|19-Jan-2015|Model S 85|18500|381|Off|No|||240|E) monthly|F) a few times a year|G) once or twice a year|||||||||</t>
  </si>
  <si>
    <t>Script|USA|01-Apr-2013|16-Jul-2016|Model S P85|55562|252|Off|No|||360|F) a few times a year|F) a few times a year|H) never|0.9||262|Off|||||</t>
  </si>
  <si>
    <t>Central Indiana. 50-50 city driving and interstate</t>
  </si>
  <si>
    <t>kwenix|Asia Pacific &amp; Europe (excl UK)|31-Dec-2013|20-Jan-2015|Unspecified 85 kWh|30000|384|Unknown|No|||221|G) once or twice a year|D) twice a month|H) never|||||||||19"</t>
  </si>
  <si>
    <t>(297.72 * 40 / 155.95) / 81.8 = 0.9335</t>
  </si>
  <si>
    <t>PCMc|USA|30-Jun-2016|30-Jul-2016|Model S 90D|1358|294|Off|No|||275|G) once or twice a year|H) never|H) never|0.8|10|295|Off|240|86|40|Off|Central Indiana. 50-50 city driving and interstate</t>
  </si>
  <si>
    <t>sdoorex</t>
  </si>
  <si>
    <t>sdoorex|USA|01-Apr-2013|11-Jun-2016|Model S P85|45372|243|Off|No|||330|F) a few times a year|G) once or twice a year|H) never|0.6|5|||||||</t>
  </si>
  <si>
    <t>pvh|Asia Pacific &amp; Europe (excl UK)|13-Mar-2014|20-Jan-2015|Model S P85+|23056|384|Off|No|||248|D) twice a month|E) monthly|G) once or twice a year|||||||||drive unit replaced 8500km, 21" P+</t>
  </si>
  <si>
    <t>mcalahan|USA|15-Nov-2014|19-Aug-2016|Model S 85|36967|256|Off|No|||312|D) twice a month|E) monthly|E) monthly|0.8|7.5|265|Off|||||</t>
  </si>
  <si>
    <t>JMG</t>
  </si>
  <si>
    <t>Zuid5.nl|Asia Pacific &amp; Europe (excl UK)|10-Dec-2013|21-Jan-2015|Model S P85|33000|384|On|No|||209|D) twice a month|E) monthly|H) never|||||||||19"</t>
  </si>
  <si>
    <t>JMG|USA|17-Apr-2015|19-Aug-2016|Model S 85D|37951|261|Off|No|||341|E) monthly|E) monthly|G) once or twice a year|0.9|14|272|On|||||</t>
  </si>
  <si>
    <t>ghurenkamp|USA|07-Jun-2013|24-Aug-2016|Model S P85|72029|249|Off|No|||316|B) twice a week|F) a few times a year|G) once or twice a year|0.9|7.3|260|Off|||||</t>
  </si>
  <si>
    <t>ErikR|Asia Pacific &amp; Europe (excl UK)|30-Sep-2014|22-Jan-2015|Model S 85|13425|391|Off|No|||265|D) twice a month|D) twice a month|H) never|0.8||||||||</t>
  </si>
  <si>
    <t>in-clusion</t>
  </si>
  <si>
    <t>21 inch P85+</t>
  </si>
  <si>
    <t>Benjamin Brooks|USA|05-Feb-2013|06-Sep-2016|Model S 85|49639|253|On|No|||297|E) monthly|F) a few times a year|F) a few times a year|0.9|1|270|Off|||||19" S85, Nothern California</t>
  </si>
  <si>
    <t>in-clusion|Asia Pacific &amp; Europe (excl UK)|25-Nov-2013|22-Jan-2015|Model S P85+|36000|379|Off|No|||228|D) twice a month|E) monthly|H) never|||||||||21 inch P85+</t>
  </si>
  <si>
    <t>Spence</t>
  </si>
  <si>
    <t>Maarten ST|Asia Pacific &amp; Europe (excl UK)|13-Sep-2013|24-Jan-2015|Model S P85+|39600|385|Unknown|Yes|Don't know (km)|22600|233|E) monthly|E) monthly|G) once or twice a year|||||||||21 inch P85+</t>
  </si>
  <si>
    <t>Spence|USA|13-Mar-2013|13-Sep-2016|Model S 85|50225|251|Off|No|||321|C) weekly|E) monthly|F) a few times a year|0.9||||||||</t>
  </si>
  <si>
    <t>Keezje</t>
  </si>
  <si>
    <t>eerste 15.000 op 21"; daarna op 19"; 2x drive unit vervangen</t>
  </si>
  <si>
    <t>James|USA|28-Aug-2015|26-Sep-2016|Model S 90D 2015|17560|260|Off|No|||339|F) a few times a year|F) a few times a year|H) never|0.9||||||||</t>
  </si>
  <si>
    <t>Keezje|Asia Pacific &amp; Europe (excl UK)|23-Dec-2013|25-Jan-2015|Model S P85|33000|375|Off|No|||230|D) twice a month|E) monthly|E) monthly|||||||||eerste 15.000 op 21"; daarna op 19"; 2x drive unit vervangen</t>
  </si>
  <si>
    <t>Benjamin Brooks|USA|05-Feb-2013|06-Oct-2016|Model S 85|50510|252|On|No|||297|E) monthly|F) a few times a year|F) a few times a year|0.9|1|270|Off|||||19" S85, Nothern California</t>
  </si>
  <si>
    <t>widodh|Asia Pacific &amp; Europe (excl UK)|26-Sep-2013|25-Jan-2015|Model S 85|63000|374|Off|No|||224|C) weekly|D) twice a month|G) once or twice a year|||||||||</t>
  </si>
  <si>
    <t>Jean</t>
  </si>
  <si>
    <t>PCMc|USA|30-Jun-2016|11-Oct-2016|Model S 90D|4330|300|On|No|||271|F) a few times a year|G) once or twice a year|H) never|0.8|10|295|On|||||Central Indiana. 50-50 city driving and interstate</t>
  </si>
  <si>
    <t>Dom</t>
  </si>
  <si>
    <t>Jean|Asia Pacific &amp; Europe (excl UK)|07-Dec-2013|27-Jan-2015|Unspecified 85 kWh|65065|373|Off|No|||212|E) monthly|D) twice a month|H) never|||||||||</t>
  </si>
  <si>
    <t>Dom|USA|20-Aug-2013|12-Oct-2016|Model S 60|15240|189|Off|No|||320|F) a few times a year|D) twice a month|F) a few times a year|0.9|10|208||||||</t>
  </si>
  <si>
    <t>ebullio|Asia Pacific &amp; Europe (excl UK)|14-Nov-2013|29-Jan-2015|Model S 85|32302|388|Off|Yes|Don't know (km)|12000|238|E) monthly|F) a few times a year|H) never|||||||||19"</t>
  </si>
  <si>
    <t>jgallops|USA|19-Feb-2015|25-Oct-2016|Model S 85D|18642|268|Off|No|||323|E) monthly|F) a few times a year|G) once or twice a year|0.9||||||||</t>
  </si>
  <si>
    <t>(Matteo: Possible error. 45.845km= 391km typical range but was 33.150km=377) 19"</t>
  </si>
  <si>
    <t>JoeNe|Asia Pacific &amp; Europe (excl UK)|26-Nov-2013|31-Jan-2015|Model S 85|45845|391|Off|No|||231|F) a few times a year|E) monthly|F) a few times a year|||||||||(Matteo: Possible error. 45.845km= 391km typical range but was 33.150km=377) 19"</t>
  </si>
  <si>
    <t>mmccord|USA|20-Apr-2015|27-Oct-2016|Model S 85D|50081|262|Off|No|||318|D) twice a month|D) twice a month|H) never|0.9|10|270|Off|||||</t>
  </si>
  <si>
    <t>Thor|Asia Pacific &amp; Europe (excl UK)|17-Dec-2014|31-Jan-2015|Model S 85|5500|395|Off|No|||250|B) twice a week|E) monthly|H) never|||||||||19"</t>
  </si>
  <si>
    <t>tnt71</t>
  </si>
  <si>
    <t>Erik-S85</t>
  </si>
  <si>
    <t>19" NYC area</t>
  </si>
  <si>
    <t>tnt71|USA|20-Feb-2016|20-Oct-2016|Model S 85D|11000|275|Off|No|||299|D) twice a month|F) a few times a year|H) never|0.5|8|270|Off|||||19" NYC area</t>
  </si>
  <si>
    <t>u00mem9</t>
  </si>
  <si>
    <t>Erik-S85|Asia Pacific &amp; Europe (excl UK)|25-Nov-2014|02-Feb-2015|Model S 85|7330|391|Off|No|||245|C) weekly|E) monthly|H) never|||||||||</t>
  </si>
  <si>
    <t>MisterGreen</t>
  </si>
  <si>
    <t>19" OH ('new' 60kWh)</t>
  </si>
  <si>
    <t>u00mem9|USA|20-Jul-2016|20-Oct-2016|Model S 60|11104|207|Off|No|||284|F) a few times a year|C) weekly|H) never|0.9|5|210|Off|||||19" OH ('new' 60kWh)</t>
  </si>
  <si>
    <t>Xenius</t>
  </si>
  <si>
    <t>MisterGreen|Asia Pacific &amp; Europe (excl UK)|01-Dec-2013|02-Feb-2015|Unspecified 85 kWh|50000|386|Unknown|No|||218|H) never|H) never|H) never|||||||||</t>
  </si>
  <si>
    <t>Xenius|USA|20-Jul-2016|03-Nov-2016|Model S 60D|5420|219|On|No|||292|D) twice a month|D) twice a month|H) never|0.9||219|Off|||||</t>
  </si>
  <si>
    <t>gelden|Asia Pacific &amp; Europe (excl UK)|29-Nov-2013|04-Feb-2015|Model S 85|41000|375|Off|Yes|Don't know (km)|26000|266|F) a few times a year|G) once or twice a year|G) once or twice a year|||||||||suc/rch ingevuld sinds de nieuwe batterij</t>
  </si>
  <si>
    <t>DavidH|USA|26-Mar-2014|04-Nov-2016|Model S 85|89100|250|Off|No|||318|C) weekly|D) twice a month|E) monthly|0.8|10|271|Off|||||</t>
  </si>
  <si>
    <t>jcaspar</t>
  </si>
  <si>
    <t>19" 2x drive unit</t>
  </si>
  <si>
    <t>Nulwoning|Asia Pacific &amp; Europe (excl UK)|20-Nov-2013|06-Feb-2015|Model S 85|53833|378|On|No|||192|C) weekly|G) once or twice a year|H) never|||||||||19" 2x drive unit</t>
  </si>
  <si>
    <t>Louis</t>
  </si>
  <si>
    <t>jcaspar|USA|26-Oct-2013|04-Nov-2016|Model S P85|32418|255|On|No|||326|F) a few times a year|E) monthly|H) never|0.8|10|||||||</t>
  </si>
  <si>
    <t>Louis|Asia Pacific &amp; Europe (excl UK)|22-Nov-2013|12-Feb-2015|Model S 60|33000|277|Unknown|No|||193|H) never|H) never|H) never|||||||||</t>
  </si>
  <si>
    <t>(253.16 * 65.4 / 234) / 77.5 = 0.913</t>
  </si>
  <si>
    <t>DavidH|USA|26-Mar-2014|11-Nov-2016|Model S 85|92600|250|Off|No|||327|C) weekly|D) twice a month|E) monthly|0.8|10|271|Off|250|16|65.4|On|</t>
  </si>
  <si>
    <t>txakoli</t>
  </si>
  <si>
    <t>Go4IT|Asia Pacific &amp; Europe (excl UK)|10-Sep-2013|13-Feb-2015|Model S P85|90000|379|Off|No|||220|D) twice a month|A) daily|G) once or twice a year|1|22|||||||drive unit replaced twice</t>
  </si>
  <si>
    <t>chrisdl</t>
  </si>
  <si>
    <t>19" SoCal</t>
  </si>
  <si>
    <t>(262.28 * 43.2 / 157.97) / 77.5 = 0.9255</t>
  </si>
  <si>
    <t>txakoli|USA|13-Sep-2014|03-Nov-2016|Model S 85|24239|259|Off|No|||313|E) monthly|E) monthly|H) never|0.6|7.2|265|Off|259|103|43.2|Off|19" SoCal</t>
  </si>
  <si>
    <t>MNGreene</t>
  </si>
  <si>
    <t>chrisdl|Asia Pacific &amp; Europe (excl UK)|21-Feb-2014|14-Feb-2015|Unspecified 85 kWh|18000|380|Off|No|||217|G) once or twice a year|F) a few times a year|G) once or twice a year|||||||||19"</t>
  </si>
  <si>
    <t>GerardF</t>
  </si>
  <si>
    <t>MNGreene|USA|13-Sep-2013|25-Nov-2016|Model S 85|67000|243|Off|Yes|Don't know (mi)|17000|311|E) monthly|F) a few times a year|G) once or twice a year|0.6||||||||</t>
  </si>
  <si>
    <t xml:space="preserve"> 21" S85</t>
  </si>
  <si>
    <t>GerardF|Asia Pacific &amp; Europe (excl UK)|13-Dec-2013|14-Feb-2015|Model S 85|27000|373|Off|No|||218|D) twice a month|E) monthly|F) a few times a year||||||||| 21" S85</t>
  </si>
  <si>
    <t>brderyck|Asia Pacific &amp; Europe (excl UK)|13-Dec-2014|20-Feb-2015|Model S 85|5500|399|Off|No|||260|D) twice a month|D) twice a month|F) a few times a year|||||||||</t>
  </si>
  <si>
    <t>PCMc|USA|30-Jun-2016|30-Nov-2016|Model S 90D|5995|298|Off|No|||273|F) a few times a year|F) a few times a year|H) never|0.8|10|295||||||</t>
  </si>
  <si>
    <t>sblank</t>
  </si>
  <si>
    <t>zelfde ochtend nog 373 en paar dagen later weer 374</t>
  </si>
  <si>
    <t>Merijn|Asia Pacific &amp; Europe (excl UK)|18-Nov-2013|20-Feb-2015|Model S 85|54432|376|On|No|||228|D) twice a month|D) twice a month|F) a few times a year|||||||||zelfde ochtend nog 373 en paar dagen later weer 374</t>
  </si>
  <si>
    <t>19" SF Bay Area</t>
  </si>
  <si>
    <t>JCar</t>
  </si>
  <si>
    <t>sblank|USA|11-Mar-2013|30-Nov-2016|Model S P85|49503|260|Off|No|||320|F) a few times a year|F) a few times a year|H) never|0.9||||||||19" SF Bay Area</t>
  </si>
  <si>
    <t>techmaven</t>
  </si>
  <si>
    <t>Dropped 3 miles</t>
  </si>
  <si>
    <t>techmaven|USA|28-Sep-2013|01-Jan-2017|Model S P85|29800|254|Off|Yes|Dropped 3 miles|12000|330|E) monthly|F) a few times a year|G) once or twice a year|0.8|19|267|Off|||||</t>
  </si>
  <si>
    <t>19". Laadt meestal tot 70%.</t>
  </si>
  <si>
    <t>JCar|Asia Pacific &amp; Europe (excl UK)|23-Dec-2013|21-Feb-2015|Model S 85|33700|387|On|No|||201|E) monthly|F) a few times a year|H) never|||||||||19". Laadt meestal tot 70%.</t>
  </si>
  <si>
    <t>DavidH|USA|26-Mar-2014|02-Jan-2017|Model S 85|99872|250|Off|No|||322|C) weekly|E) monthly|E) monthly|0.8|10|271|On|||||</t>
  </si>
  <si>
    <t>ErikR|Asia Pacific &amp; Europe (excl UK)|30-Sep-2014|23-Feb-2015|Model S 85|15930|387|Off|No|||269|D) twice a month|D) twice a month|H) never|0.8||||||||</t>
  </si>
  <si>
    <t>ghurenkamp|USA|07-Jun-2013|16-Jan-2017|Model S P85|79971|248|Off|No|||306|B) twice a week|F) a few times a year|G) once or twice a year|0.9|7.3|260|Off|||||</t>
  </si>
  <si>
    <t>SeanMichaelMitchell</t>
  </si>
  <si>
    <t>SeanMichaelMitchell|USA|01-Jan-2013|15-Feb-2017|Model S 60|45500|201|Off|No|||319|A) daily|A) daily|F) a few times a year|1||||||||</t>
  </si>
  <si>
    <t>GW</t>
  </si>
  <si>
    <t>widodh|Asia Pacific &amp; Europe (excl UK)|26-Sep-2013|25-Feb-2015|Model S 85|68018|373|Off|Yes|Didn't change|66000|226|D) twice a month|E) monthly|G) once or twice a year|||||||||</t>
  </si>
  <si>
    <t>Model S P90D</t>
  </si>
  <si>
    <t>CarlL</t>
  </si>
  <si>
    <t>GW|USA|19-Aug-2016|09-Mar-2017|Model S P90D|10877|267|Off|No|||281|F) a few times a year|G) once or twice a year|H) never|0.8|20|271|Off|||||</t>
  </si>
  <si>
    <t>CarlL|Asia Pacific &amp; Europe (excl UK)|20-Nov-2013|28-Feb-2015|Model S 85|30100|380|Off|No|||242|H) never|H) never|H) never|||||||||</t>
  </si>
  <si>
    <t>SSc3010</t>
  </si>
  <si>
    <t>DavidH|USA|26-Mar-2014|20-Mar-2017|Model S 85|111400|248|Off|No|||325|B) twice a week|E) monthly|E) monthly|0.8|10|271|Off|||||</t>
  </si>
  <si>
    <t>Drive unit replaced @12000km, 19" All-wheather, charging outside @3°C</t>
  </si>
  <si>
    <t>SSc3010|Asia Pacific &amp; Europe (excl UK)|04-Jun-2014|28-Feb-2015|Model S 85|37042|380|On|No|||195|C) weekly|E) monthly|H) never|||||||||Drive unit replaced @12000km, 19" All-wheather, charging outside @3°C</t>
  </si>
  <si>
    <t>Benjamin Brooks|USA|05-Feb-2013|28-Mar-2017|Model S 85|55213|252|On|No|||297|E) monthly|F) a few times a year|F) a few times a year|0.9|1|270|Off|||||19" S85, Nothern California</t>
  </si>
  <si>
    <t>dz1523</t>
  </si>
  <si>
    <t>Model S 75</t>
  </si>
  <si>
    <t>19" NorCal</t>
  </si>
  <si>
    <t>Hans Noordsij|Asia Pacific &amp; Europe (excl UK)|29-Mar-2014|02-Mar-2015|Model S 85|45650|385|On|No|||218|C) weekly|D) twice a month|H) never|||||||||</t>
  </si>
  <si>
    <t>dz1523|USA|11-Jun-2016|05-Apr-2017|Model S 75|24846|233|Off|No|||302|B) twice a week|F) a few times a year|D) twice a month|0.8|65|247|Off|||||19" NorCal</t>
  </si>
  <si>
    <t>ticobird</t>
  </si>
  <si>
    <t>North Central Alabama rural or suburban driving</t>
  </si>
  <si>
    <t>ticobird|USA|09-Feb-2015|13-Apr-2017|Model S 85|25772|265|On|No|||279|F) a few times a year|G) once or twice a year|H) never|0.9|8.4|267|Off|||||North Central Alabama rural or suburban driving</t>
  </si>
  <si>
    <t>ElectricSingh</t>
  </si>
  <si>
    <t>Thor|Asia Pacific &amp; Europe (excl UK)|17-Dec-2014|05-Mar-2015|Model S 85|8452|396|Off|No|||248|C) weekly|E) monthly|H) never|||||||||19"</t>
  </si>
  <si>
    <t>UK</t>
  </si>
  <si>
    <t>RSayer</t>
  </si>
  <si>
    <t>justroll</t>
  </si>
  <si>
    <t>RSayer|USA|31-Dec-2012|14-Apr-2017|Model S P85|66000|244|Off|No|||346|E) monthly|F) a few times a year|H) never|0.9||248|Off|||||</t>
  </si>
  <si>
    <t>Alkiter</t>
  </si>
  <si>
    <t>justroll|Asia Pacific &amp; Europe (excl UK)|15-Oct-2014|06-Mar-2015|Model S 85|649|393|Off|No|||242|B) twice a week|B) twice a week|H) never||3.7|||||||</t>
  </si>
  <si>
    <t>South Florida local driving</t>
  </si>
  <si>
    <t>Alkiter|USA|31-Dec-2014|17-Apr-2017|Model S P85D|24252|245|Off|No|||331|H) never|G) once or twice a year|H) never|0.9|7|265|Off|||||South Florida local driving</t>
  </si>
  <si>
    <t>(Matteo: Hi ElectricSingh. Double click to read. Congratulations on being the first to submit an entry from the UK. Tesla doesn't publish typical range numbers anywhere. We have to guess based on what people report seeing in the car. You reported 246 miles. On the other hand elsewhere in Europe the number is 400km which equals to 248.5 miles when converted. I entered 248 miles as the default number for new S85 in the UK. This is a guess. This might change to 249, 247, or 246 in the future based on what other people report. I recommend submitting more entries over time to compare how your capacity changes. Also check out charts page. Cheers</t>
  </si>
  <si>
    <t>DavidLVN</t>
  </si>
  <si>
    <t>ElectricSingh|UK|29-Jun-2015|13-Aug-2015|Model S 85|2800|246|On|No|||323|D) twice a month|E) monthly|G) once or twice a year|0.8||246|On|||||(Matteo: Hi ElectricSingh. Double click to read. Congratulations on being the first to submit an entry from the UK. Tesla doesn't publish typical range numbers anywhere. We have to guess based on what people report seeing in the car. You reported 246 miles. On the other hand elsewhere in Europe the number is 400km which equals to 248.5 miles when converted. I entered 248 miles as the default number for new S85 in the UK. This is a guess. This might change to 249, 247, or 246 in the future based on what other people report. I recommend submitting more entries over time to compare how your capacity changes. Also check out charts page. Cheers</t>
  </si>
  <si>
    <t>Rprp|Asia Pacific &amp; Europe (excl UK)|31-Dec-2013|07-Mar-2015|Model S P85|71050|373|Off|No|||229|C) weekly|C) weekly|E) monthly|||||||||</t>
  </si>
  <si>
    <t>Changedriver</t>
  </si>
  <si>
    <t>Simon Mac</t>
  </si>
  <si>
    <t>CPO car</t>
  </si>
  <si>
    <t>DavidLVN|USA|15-Feb-2015|18-Apr-2017|Model S 85D|42798|261|Off|No|||287|F) a few times a year|G) once or twice a year|H) never|0.9|25|||||||CPO car</t>
  </si>
  <si>
    <t>My car had an early firmware version. The calc for Wh/mi changed after delivery from 320 to 345</t>
  </si>
  <si>
    <t>Simon Mac|UK|21-May-2014|23-Oct-2015|Model S 60|10500|180|On|No|||353|G) once or twice a year|F) a few times a year|G) once or twice a year|0.7||240||||||My car had an early firmware version. The calc for Wh/mi changed after delivery from 320 to 345</t>
  </si>
  <si>
    <t>Changedriver|Asia Pacific &amp; Europe (excl UK)|16-Nov-2013|09-Mar-2015|Unspecified 85 kWh|39000|378|Off|No|||222|H) never|H) never|G) once or twice a year|||||||||19"</t>
  </si>
  <si>
    <t>memesweeper</t>
  </si>
  <si>
    <t>Dimivdb|Asia Pacific &amp; Europe (excl UK)|30-Dec-2014|13-Mar-2015|Model S 85|4400|394|Off|No|||256|C) weekly|E) monthly|H) never|||||||||19"</t>
  </si>
  <si>
    <t>Benjamin Brooks|USA|05-Feb-2013|24-Apr-2017|Model S 85|55770|252|On|No|||297|E) monthly|F) a few times a year|F) a few times a year|0.9|1|270|Off|||||19" S85, Nothern California</t>
  </si>
  <si>
    <t>almost only supercharged for the first 12 months (unable to charge at home)</t>
  </si>
  <si>
    <t>khattar</t>
  </si>
  <si>
    <t>memesweeper|UK|12-Oct-2015|02-Nov-2016|Model S 85D|34653|256|Off|No|||345|A) daily|E) monthly|F) a few times a year|0.9||||||||almost only supercharged for the first 12 months (unable to charge at home)</t>
  </si>
  <si>
    <t>gyroscope</t>
  </si>
  <si>
    <t>KrisB|Asia Pacific &amp; Europe (excl UK)|26-Mar-2014|16-Mar-2015|Model S P85|33240|383|Off|No|||173|D) twice a month|F) a few times a year|H) never|||||||||19"</t>
  </si>
  <si>
    <t>gyroscope|UK|14-May-2015|20-Nov-2016|Model S 85|45959|231|Off|No|||379|C) weekly|G) once or twice a year|H) never|0.7||||||||</t>
  </si>
  <si>
    <t>khattar|USA|19-Aug-2016|01-May-2017|Model S 60|8000|210|On|No||||D) twice a month|E) monthly|H) never|0.6||210|Off|||||</t>
  </si>
  <si>
    <t>tes</t>
  </si>
  <si>
    <t>nickjhowe</t>
  </si>
  <si>
    <t>drive unit replaced 2x</t>
  </si>
  <si>
    <t>Gepekop|Asia Pacific &amp; Europe (excl UK)|04-Dec-2013|18-Mar-2015|Model S P85|50000|383|On|No|||237|E) monthly|D) twice a month|F) a few times a year|||||||||drive unit replaced 2x</t>
  </si>
  <si>
    <t>tes|UK|02-Mar-2015|14-Dec-2016|Model S 85|37895|238|On|No|||358|F) a few times a year|E) monthly|H) never|0.8||||||||</t>
  </si>
  <si>
    <t>4dme</t>
  </si>
  <si>
    <t>nickjhowe|USA|15-Dec-2012|01-May-2017|Model S P85|38010|261|Off|No|||330|F) a few times a year|F) a few times a year|H) never|0.9|8.8|265|Off|||||</t>
  </si>
  <si>
    <t>jelloslug</t>
  </si>
  <si>
    <t>Model S 75D</t>
  </si>
  <si>
    <t>19/21" P85+</t>
  </si>
  <si>
    <t>4dme|UK|20-Jun-2016|24-Dec-2016|Model S 85|16800|242|Off|No|||318|E) monthly|F) a few times a year|H) never|0.9||||||||</t>
  </si>
  <si>
    <t>19" wheels with stock Goodyear tires</t>
  </si>
  <si>
    <t>Maarten ST|Asia Pacific &amp; Europe (excl UK)|13-Sep-2013|18-Mar-2015|Model S P85+|43500|392|On|Yes|Don't know (km)|22600|235|F) a few times a year|F) a few times a year|G) once or twice a year|||||||||19/21" P85+</t>
  </si>
  <si>
    <t>jelloslug|USA|26-Jul-2016|05-Apr-2017|Model S 75D|20500|255|Off|No|||280|D) twice a month|D) twice a month|H) never|0.9|12|259|Off|||||19" wheels with stock Goodyear tires</t>
  </si>
  <si>
    <t>Justin</t>
  </si>
  <si>
    <t>Miiln Patel</t>
  </si>
  <si>
    <t>Model X 90D</t>
  </si>
  <si>
    <t>Justin|UK|06-Jan-2016|25-Apr-2017|Model S 85D|49129|266|Off|No|||320|C) weekly|H) never|H) never|0.8||||||||</t>
  </si>
  <si>
    <t>19/21" P85</t>
  </si>
  <si>
    <t>Patrick</t>
  </si>
  <si>
    <t>Miiln Patel|USA|07-Jun-2016|06-May-2017|Model X 90D|14391|257|On|No|||347|D) twice a month|D) twice a month|F) a few times a year|0.7||259|On|251|17||On|</t>
  </si>
  <si>
    <t>HWS|Asia Pacific &amp; Europe (excl UK)|29-Nov-2013|20-Mar-2015|Model S P85|34533|377|Off|Yes|Didn't change|2100|252|D) twice a month|D) twice a month|H) never|||||||||19/21" P85</t>
  </si>
  <si>
    <t>hansenluu</t>
  </si>
  <si>
    <t>20/21 P85+</t>
  </si>
  <si>
    <t>hansenluu|USA|20-Sep-2016|09-May-2017|Model S 90D|8444|260|Off|No||||D) twice a month|B) twice a week|H) never|||||||||</t>
  </si>
  <si>
    <t>in-clusion|Asia Pacific &amp; Europe (excl UK)|25-Nov-2013|20-Mar-2015|Model S P85+|41000|374|Off|No|||228|D) twice a month|D) twice a month|H) never|||||||||20/21 P85+</t>
  </si>
  <si>
    <t>Patrick|UK|30-Dec-2014|17-Apr-2017|Model S 85|49900|239|On|No|||323|E) monthly|F) a few times a year|H) never|0.8|7|247|On|||||</t>
  </si>
  <si>
    <t>Gary</t>
  </si>
  <si>
    <t>ghurenkamp|USA|07-Jun-2013|10-May-2017|Model S P85|85063|247|Off|No|||307|B) twice a week|F) a few times a year|G) once or twice a year|0.9|7.3|260|Off|||||</t>
  </si>
  <si>
    <t>Dax</t>
  </si>
  <si>
    <t>Jean|Asia Pacific &amp; Europe (excl UK)|07-Dec-2013|21-Mar-2015|Unspecified 85 kWh|72778|378|On|No|||214|E) monthly|D) twice a month|H) never|||||||||</t>
  </si>
  <si>
    <t>Gary|UK|17-Mar-2017|22-Apr-2017|Model S 60D|2271|205|Off|No|||||||||||||||</t>
  </si>
  <si>
    <t>John</t>
  </si>
  <si>
    <t>CPO</t>
  </si>
  <si>
    <t>Dax|USA|11-Sep-2014|17-May-2017|Model S P85|33666|257|Off|No|||344|F) a few times a year|H) never|H) never|0.7|1.4|||||||CPO</t>
  </si>
  <si>
    <t>luckyluke|Asia Pacific &amp; Europe (excl UK)|14-Nov-2013|26-Mar-2015|Unspecified 85 kWh|51255|375|Off|No|||255|E) monthly|D) twice a month|F) a few times a year|||||||||</t>
  </si>
  <si>
    <t>cgladue</t>
  </si>
  <si>
    <t>John|UK|30-Dec-1899|18-Aug-2017|Model S 75D|3000|238.7|On|No|||305||||||||||||</t>
  </si>
  <si>
    <t>DH12345</t>
  </si>
  <si>
    <t>cgladue|USA|05-Feb-2017|23-May-2017|Model S 60D|10654|218|On|No|||270|F) a few times a year|H) never|H) never|1|15|220|On|||||</t>
  </si>
  <si>
    <t>DH12345|UK|01-Mar-2015|04-Oct-2017|Model S 85|58633|241|On|No|||355|E) monthly|E) monthly|G) once or twice a year|0.8|22|245||||||</t>
  </si>
  <si>
    <t>ErikR|Asia Pacific &amp; Europe (excl UK)|30-Sep-2014|29-Mar-2015|Model S 85|20412|381|Off|No|||269|D) twice a month|D) twice a month|H) never|0.7||||||||</t>
  </si>
  <si>
    <t>Benjamin Brooks|USA|05-Feb-2013|23-May-2017|Model S 85|56833|252|On|No|||297|E) monthly|F) a few times a year|F) a few times a year|0.9|1|270|Off|||||19" S85, Nothern California</t>
  </si>
  <si>
    <t>Helmuth</t>
  </si>
  <si>
    <t>Helmuth|USA|16-Jan-2017|23-May-2017|Model X 90D|28287|256|Off|No|||358|A) daily|E) monthly|E) monthly|0.9||260|Off|||||</t>
  </si>
  <si>
    <t>justroll|Asia Pacific &amp; Europe (excl UK)|15-Oct-2014|29-Mar-2015|Model S 85|5249|393|Off|No|||242|B) twice a week|D) twice a month|H) never||3.7|||||||</t>
  </si>
  <si>
    <t>ptindle</t>
  </si>
  <si>
    <t>ptindle|USA|25-Mar-2015|26-May-2017|Model S 85D|32123|265|Off|No|||318||||||||||||</t>
  </si>
  <si>
    <t>ckcland2</t>
  </si>
  <si>
    <t>redevries|Asia Pacific &amp; Europe (excl UK)|15-Nov-2013|06-Apr-2015|Model S 85|60588|378|Off|Yes|Don't know (km)|28000|235|C) weekly|D) twice a month|F) a few times a year|||||||||19"</t>
  </si>
  <si>
    <t>AnalysiZ</t>
  </si>
  <si>
    <t>ckcland2|USA|26-Jul-2016|28-May-2017|Model S 60D|12340|217|On|No|||325|F) a few times a year|D) twice a month|G) once or twice a year|0.9||219|Off|||||</t>
  </si>
  <si>
    <t>Dark Knight</t>
  </si>
  <si>
    <t>AnalysiZ|Asia Pacific &amp; Europe (excl UK)|30-Mar-2015|07-Apr-2015|Model S P85D|317|404|Off|No|||225|D) twice a month|D) twice a month|H) never|||||||||19"</t>
  </si>
  <si>
    <t>Dark Knight|USA|03-Feb-2014|29-May-2017|Model S 60|29814|178|On|No|||318||||||||||||</t>
  </si>
  <si>
    <t>sadyel</t>
  </si>
  <si>
    <t>ebullio|Asia Pacific &amp; Europe (excl UK)|14-Nov-2013|09-Apr-2015|Model S 85|38867|385|Off|Yes|Don't know (km)|12000|239|E) monthly|F) a few times a year|H) never|||||||||</t>
  </si>
  <si>
    <t>sadyel|USA|20-Sep-2016|30-May-2017|Model S 60|15000|208|On|No|||183|E) monthly|G) once or twice a year|G) once or twice a year|0.9||220|On|||||</t>
  </si>
  <si>
    <t>selsrog|Asia Pacific &amp; Europe (excl UK)|20-Jun-2014|10-Apr-2015|Model S 85|27000|382|Off|No|||250|D) twice a month|F) a few times a year|G) once or twice a year|||||||||</t>
  </si>
  <si>
    <t>Benjamin Brooks|USA|05-Feb-2013|01-Jun-2017|Model S 85|57133|253|On|No|||297|E) monthly|F) a few times a year|F) a few times a year|0.9|1|270|Off|||||19" S85, Nothern California</t>
  </si>
  <si>
    <t>justroll|Asia Pacific &amp; Europe (excl UK)|15-Oct-2014|11-Apr-2015|Model S 85|8249|393|Off|No|||232|B) twice a week|C) weekly|H) never||3.7|||||||</t>
  </si>
  <si>
    <t>PCMc|USA|30-Jun-2016|23-Apr-2017|Model S 90D|12414|293|On|No|||295|E) monthly|F) a few times a year|H) never|0.8|9.8|295|On|||||</t>
  </si>
  <si>
    <t>sgblank</t>
  </si>
  <si>
    <t>Drive unit replaced @12000km, 19" All-wheather, charging outside @8°C</t>
  </si>
  <si>
    <t>SSc3010|Asia Pacific &amp; Europe (excl UK)|04-Jun-2014|12-Apr-2015|Model S 85|42379|379|On|No|||194|C) weekly|E) monthly|H) never|||||||||Drive unit replaced @12000km, 19" All-wheather, charging outside @8°C</t>
  </si>
  <si>
    <t>19" Northern California</t>
  </si>
  <si>
    <t>sgblank|USA|01-Mar-2013|05-Jun-2017|Model S P85|54297|255|Off|No|||330|F) a few times a year|G) once or twice a year|H) never|0.9||265|Off|||||19" Northern California</t>
  </si>
  <si>
    <t>widodh|Asia Pacific &amp; Europe (excl UK)|26-Sep-2013|12-Apr-2015|Model S 85|74020|375|Off|Yes|Didn't change|65000|225|D) twice a month|D) twice a month|G) once or twice a year|||||||||</t>
  </si>
  <si>
    <t>Benjamin Brooks|USA|05-Feb-2013|19-Jun-2017|Model S 85|57585|253|On|No|||297|E) monthly|F) a few times a year|F) a few times a year|0.9|1|270|Off|||||19" S85, Nothern California</t>
  </si>
  <si>
    <t>Alex F</t>
  </si>
  <si>
    <t>Go4IT|Asia Pacific &amp; Europe (excl UK)|10-Sep-2013|14-Apr-2015|Model S P85|100000|380|Off|No|||218|D) twice a month|A) daily|G) once or twice a year|1|22|||||||drive unit replaced twice</t>
  </si>
  <si>
    <t>Alex F|USA|01-Mar-2016|17-Jun-2017|Model S 70D|17165|238|Off|No||||G) once or twice a year|G) once or twice a year|H) never|0.8|25|||||||</t>
  </si>
  <si>
    <t>MS75 GA</t>
  </si>
  <si>
    <t>MS75 GA|USA|30-Sep-2016|20-Jun-2017|Model S 75|11536|238|On|No|||297|C) weekly|G) once or twice a year|G) once or twice a year|0.9|||On|||||</t>
  </si>
  <si>
    <t>JCar|Asia Pacific &amp; Europe (excl UK)|23-Dec-2013|15-Apr-2015|Model S 85|41000|384|On|No|||202|D) twice a month|F) a few times a year|H) never|||||||||19". Laadt meestal tot 70%.</t>
  </si>
  <si>
    <t>MS75 GA|USA|30-Sep-2016|01-Feb-2017|Model S 75|3000|241|On|No|||290|D) twice a month|G) once or twice a year|G) once or twice a year|0.9|||On|||||</t>
  </si>
  <si>
    <t>DamienP</t>
  </si>
  <si>
    <t>Xfrank|Asia Pacific &amp; Europe (excl UK)|23-Nov-2013|15-Apr-2015|Model S 60|27120|275|On|No|||213|D) twice a month|E) monthly|H) never|||||||||</t>
  </si>
  <si>
    <t>19", SoCal</t>
  </si>
  <si>
    <t>cges</t>
  </si>
  <si>
    <t>(263.29 * 16.8 / 62.78) / 77.5 = 0.909</t>
  </si>
  <si>
    <t>DamienP|USA|15-Apr-2014|23-Jul-2017|Model S 85|55267|260|Off|No|||330|F) a few times a year|F) a few times a year|H) never|0.8|9.8|272|Off|228|166|16.8|Off|19", SoCal</t>
  </si>
  <si>
    <t>cmorgan</t>
  </si>
  <si>
    <t>cges|Asia Pacific &amp; Europe (excl UK)|06-Nov-2013|16-Apr-2015|Unspecified 85 kWh|64000|385|Off|No|||229|D) twice a month|D) twice a month|H) never|||||||||</t>
  </si>
  <si>
    <t>Danielk</t>
  </si>
  <si>
    <t>19", New England</t>
  </si>
  <si>
    <t>cmorgan|USA|24-May-2016|25-Jun-2017|Model S P90D|23102|263|Off|No|||310|D) twice a month|F) a few times a year|H) never|0.8|36|||||||19", New England</t>
  </si>
  <si>
    <t>19" - updated at 46k km</t>
  </si>
  <si>
    <t>Danielk|Asia Pacific &amp; Europe (excl UK)|28-Mar-2014|16-Apr-2015|Unspecified 85 kWh|46000|383|Unknown|No|||216|E) monthly|D) twice a month|H) never|||||||||19" - updated at 46k km</t>
  </si>
  <si>
    <t>PCMc|USA|30-Jun-2016|25-Jun-2017|Model S 90D|14472|291|On|No|||290|D) twice a month|F) a few times a year|H) never|0.8|9.8|295|On|||||</t>
  </si>
  <si>
    <t>Gabeincal</t>
  </si>
  <si>
    <t>jja|Asia Pacific &amp; Europe (excl UK)|26-Nov-2013|16-Apr-2015|Model S 85|31618|378|On|No|||200|E) monthly|F) a few times a year|H) never|||||||||19"</t>
  </si>
  <si>
    <t>19", S60 -&gt; S75 upgrade in Apr 2017, Northern California</t>
  </si>
  <si>
    <t>Gabeincal|USA|27-Jun-2016|14-Jul-2017|Model S 75|13711|241|Off|No|||286|C) weekly|E) monthly|G) once or twice a year|0.8||||||||19", S60 -&gt; S75 upgrade in Apr 2017, Northern California</t>
  </si>
  <si>
    <t>jpet</t>
  </si>
  <si>
    <t>One2sojournb</t>
  </si>
  <si>
    <t>21" staggered P85D</t>
  </si>
  <si>
    <t>jpet|Asia Pacific &amp; Europe (excl UK)|03-Apr-2015|17-Apr-2015|Model S P85D|1904|403|Off|No|||253|C) weekly|D) twice a month|H) never||11|406|On|||||21" staggered P85D</t>
  </si>
  <si>
    <t>One2sojournb|USA|04-Dec-2015|14-Jul-2017|Model S 85|20500|266|Off|No|||333|E) monthly|E) monthly|H) never|0.9||267|Off|||||</t>
  </si>
  <si>
    <t>Zelfde dag later nog een rangecharge gedaan: 370 km, maar pas na 2 kWh (10 km typical) gezakt naar 369 km.</t>
  </si>
  <si>
    <t>Merijn|Asia Pacific &amp; Europe (excl UK)|18-Nov-2013|18-Apr-2015|Model S 85|60555|369|Off|No|||229|D) twice a month|D) twice a month|E) monthly|||||||||Zelfde dag later nog een rangecharge gedaan: 370 km, maar pas na 2 kWh (10 km typical) gezakt naar 369 km.</t>
  </si>
  <si>
    <t>Benjamin Brooks|USA|05-Feb-2013|21-Jul-2017|Model S 85|58329|253|On|No|||297|E) monthly|F) a few times a year|F) a few times a year|0.9|1|270|Off|||||19" S85, Nothern California</t>
  </si>
  <si>
    <t>Stuke</t>
  </si>
  <si>
    <t>in-clusion|Asia Pacific &amp; Europe (excl UK)|25-Nov-2013|19-Apr-2015|Model S P85+|45800|374|Off|No|||230|D) twice a month|D) twice a month|H) never|||||||||21 inch P85+</t>
  </si>
  <si>
    <t>Stuke|USA|30-May-2015|30-Jul-2017|Model S P85D|30538|249|Off|No|||303|D) twice a month|E) monthly|G) once or twice a year|0.8||||||||</t>
  </si>
  <si>
    <t>CrypticError</t>
  </si>
  <si>
    <t>Keezje|Asia Pacific &amp; Europe (excl UK)|23-Dec-2013|19-Apr-2015|Model S P85|40500|373|Off|No|||233|D) twice a month|E) monthly|E) monthly|||||||||eerste 15.000 op 21"; daarna op 19"; 2x drive unit vervangen</t>
  </si>
  <si>
    <t>CrypticError|USA|05-Dec-2016|31-Jul-2017|Model S 75D|11252|250|On|No|||365|B) twice a week|D) twice a month|F) a few times a year|0.9||||||||</t>
  </si>
  <si>
    <t>Benjamin Brooks|USA|05-Feb-2013|11-Aug-2017|Model S 85|58983|253|On|No|||297|F) a few times a year|F) a few times a year|F) a few times a year|0.9|1|270|Off|||||19" S85, Nothern California</t>
  </si>
  <si>
    <t>gelden|Asia Pacific &amp; Europe (excl UK)|29-Nov-2013|20-Apr-2015|Model S 85|46000|378|Off|Yes|Don't know (km)|26000|266|E) monthly|F) a few times a year|F) a few times a year|||||||||suc/rch ingevuld sinds de nieuwe batterij</t>
  </si>
  <si>
    <t>ma47</t>
  </si>
  <si>
    <t>19" S75, Southern California</t>
  </si>
  <si>
    <t>KrisB|Asia Pacific &amp; Europe (excl UK)|26-Mar-2014|20-Apr-2015|Model S P85|35350|383|On|No|||173|D) twice a month|F) a few times a year|H) never|||||||||19"</t>
  </si>
  <si>
    <t>ma47|USA|14-Dec-2016|15-Aug-2017|Model S 75|7287|241|Off|No|||316|E) monthly|H) never|H) never|0.9||245|Off|||||19" S75, Southern California</t>
  </si>
  <si>
    <t>Robrecht</t>
  </si>
  <si>
    <t>Robrecht|Asia Pacific &amp; Europe (excl UK)|15-Apr-2015|23-Apr-2015|Model S 85D|550|403|Off|No|||233|C) weekly|C) weekly||||||||||21"</t>
  </si>
  <si>
    <t>Zextraterrestrial|USA|28-Oct-2012|22-Aug-2017|Model S P85|66450|250|Off|Yes|Increased 6 miles|20796|363|D) twice a month|F) a few times a year|F) a few times a year|0.8|6|265|Off|||||</t>
  </si>
  <si>
    <t>Jolinar</t>
  </si>
  <si>
    <t>19" winter wheels, 21" summer wheels</t>
  </si>
  <si>
    <t>Jolinar|Asia Pacific &amp; Europe (excl UK)|20-Sep-2013|24-Apr-2015|Model S P85|53600|376|On|No|||210|H) never|H) never|H) never|||||||||19" winter wheels, 21" summer wheels</t>
  </si>
  <si>
    <t>DavidH|USA|26-Mar-2014|21-Aug-2017|Model S 85|126500|247|Off|No|||326|B) twice a week|D) twice a month|C) weekly|0.8|10|270|Off|||||</t>
  </si>
  <si>
    <t>Buickguy</t>
  </si>
  <si>
    <t>Northern California</t>
  </si>
  <si>
    <t>Buickguy|USA|24-Mar-2014|13-Jul-2017|Model S 85|70566|251|Off|No|||324|E) monthly|F) a few times a year|H) never|0.9||265|Off|||||Northern California</t>
  </si>
  <si>
    <t>TTheo|Asia Pacific &amp; Europe (excl UK)|07-May-2014|26-Apr-2015|Model S 60|18793|272|Off|No|||220|H) never|F) a few times a year|G) once or twice a year|||||||||19"</t>
  </si>
  <si>
    <t>DamienG</t>
  </si>
  <si>
    <t>EPA Rated Range
(based on EPA 5-cycle test)</t>
  </si>
  <si>
    <t>19", CPO, B series pack</t>
  </si>
  <si>
    <t>DamienG|USA|01-Dec-2012|24-Aug-2017|Model S P85|47871|253|Off|No|||329|D) twice a month|H) never|H) never|0.9||||||||19", CPO, B series pack</t>
  </si>
  <si>
    <t>19" winter, 20" summer wheels</t>
  </si>
  <si>
    <t>Typical Range</t>
  </si>
  <si>
    <t>Tesla-SF</t>
  </si>
  <si>
    <t>Old EPA rated range if different than current one</t>
  </si>
  <si>
    <t>PaulusdB|Asia Pacific &amp; Europe (excl UK)|13-Nov-2013|27-Apr-2015|Model S P85+|31215|385|On|No|||235|E) monthly|E) monthly|G) once or twice a year|||||||||19" winter, 20" summer wheels</t>
  </si>
  <si>
    <t>Design studio screenshots</t>
  </si>
  <si>
    <t>Range units Tesla Model S&amp;X displays</t>
  </si>
  <si>
    <t>19" S85, Nothern California, mostly highway driving</t>
  </si>
  <si>
    <t>Tesla-SF|USA|01-Mar-2013|25-Aug-2017|Model S 85|95000|256|Off|No|||313|D) twice a month|G) once or twice a year|H) never|0.9||265|Off|||||19" S85, Nothern California, mostly highway driving</t>
  </si>
  <si>
    <t>jpet|Asia Pacific &amp; Europe (excl UK)|03-Apr-2015|28-Apr-2015|Model S P85D|3272|406|On|No|||246|C) weekly|D) twice a month|H) never||11|406|On|||||21" staggered P85D</t>
  </si>
  <si>
    <t>ghurenkamp|USA|07-Jun-2013|03-Sep-2017|Model S P85|91282|245|Off|No|||307|C) weekly|F) a few times a year|G) once or twice a year|0.9|7.3|260|Off|||||</t>
  </si>
  <si>
    <t>|EPA Rated Range
(based on EPA 5-cycle test)||||Typical Range||||Old EPA rated range if different than current one||Design studio screenshots|Range units Tesla Model S&amp;X displays||</t>
  </si>
  <si>
    <t>pvandamcom|Asia Pacific &amp; Europe (excl UK)|16-Aug-2014|27-Apr-2015|Model S P85|20539|378|Off|No|||244|D) twice a month|D) twice a month|F) a few times a year|||||||||</t>
  </si>
  <si>
    <t>TMiller</t>
  </si>
  <si>
    <t>first km of typical range decreased after driving 5,4 real km's</t>
  </si>
  <si>
    <t>TMiller|USA|01-Oct-2014|09-Aug-2017|Model S 85|47295|259|On|No|||316|D) twice a month|F) a few times a year|G) once or twice a year|0.8||274||||||</t>
  </si>
  <si>
    <t>justroll|Asia Pacific &amp; Europe (excl UK)|15-Oct-2014|29-Apr-2015|Model S 85|11234|389|Off|No|||228|B) twice a week|E) monthly|D) twice a month||3.7|||||||first km of typical range decreased after driving 5,4 real km's</t>
  </si>
  <si>
    <t>dvroegop</t>
  </si>
  <si>
    <t>Miles</t>
  </si>
  <si>
    <t>dvroegop|Asia Pacific &amp; Europe (excl UK)|21-Mar-2015|07-May-2015|Model S 85|8192|393|Off|No|||224|C) weekly|D) twice a month|H) never|0.9||||||||</t>
  </si>
  <si>
    <t>(260.25 * 51.7 / 190.38) / 77.5 = 0.9119</t>
  </si>
  <si>
    <t>txakoli|USA|13-Sep-2014|08-Sep-2017|Model S 85|34428|257|Off|No|||315|E) monthly|E) monthly|H) never|0.6|7.2|265|Off|257|69|51.7|Off|19" SoCal</t>
  </si>
  <si>
    <t>Kilometres</t>
  </si>
  <si>
    <t>YippyKayYay</t>
  </si>
  <si>
    <t>(249 * 52.2 / 196) / 77.5 = 0.8557</t>
  </si>
  <si>
    <t>YippyKayYay|USA|01-Jul-2013|10-Sep-2017|Model S P85|70109|249|On|No|||403|D) twice a month|E) monthly|H) never|0.9||265||249|53|52.2|On|</t>
  </si>
  <si>
    <t>philhill|Asia Pacific &amp; Europe (excl UK)|04-Jun-2014|30-Apr-2015|Model S P85|16011|383|Off|No|||273|E) monthly|E) monthly|F) a few times a year|||||||||</t>
  </si>
  <si>
    <t>North America</t>
  </si>
  <si>
    <t>Everywhere else</t>
  </si>
  <si>
    <t>Benjamin Brooks|USA|05-Feb-2013|14-Sep-2017|Model S 85|59487|253|On|No|||297|F) a few times a year|F) a few times a year|F) a few times a year|0.9|1|270|Off|||||19" S85, Nothern California</t>
  </si>
  <si>
    <t>AnalysiZ|Asia Pacific &amp; Europe (excl UK)|30-Mar-2015|01-May-2015|Model S P85D|1875|405|Off|No|||212|D) twice a month|D) twice a month|H) never|0.8||||||||</t>
  </si>
  <si>
    <t>|Miles||Kilometres||Miles||Kilometres||Miles|Kilometres||||</t>
  </si>
  <si>
    <t>CrypticError|USA|01-Dec-2016|29-Sep-2017|Model S 75D|17351|244|On|No|||365|B) twice a week|E) monthly|E) monthly|0.9||||||||</t>
  </si>
  <si>
    <t>KC</t>
  </si>
  <si>
    <t xml:space="preserve"> Range now higher, was 373 @  27k  (assume influenced by ambient temp and/or F/W version)</t>
  </si>
  <si>
    <t>GerardF|Asia Pacific &amp; Europe (excl UK)|13-Dec-2013|04-May-2015|Model S 85|34786|382|Off|No|||218|D) twice a month|E) monthly|F) a few times a year|0.8|||||||| Range now higher, was 373 @  27k  (assume influenced by ambient temp and/or F/W version)</t>
  </si>
  <si>
    <t>KC|USA|10-May-2017|10-Oct-2017|Model S 75|5500|240|Off|No|||265|D) twice a month|F) a few times a year|F) a few times a year|0.8||||||||</t>
  </si>
  <si>
    <t>This 100%charging &amp; reading was done at a SuC and kept charging, but the kilometers didn't add up anymore (the current did lowered in the 20minutes we waited) but at 6A we aborted the charging and had to continue our drive.</t>
  </si>
  <si>
    <t>FVO|Asia Pacific &amp; Europe (excl UK)|21-Nov-2013|01-May-2015|Model S 85|36800|380|Off|No|||211|E) monthly|G) once or twice a year|G) once or twice a year|0.8||||||||This 100%charging &amp; reading was done at a SuC and kept charging, but the kilometers didn't add up anymore (the current did lowered in the 20minutes we waited) but at 6A we aborted the charging and had to continue our drive.</t>
  </si>
  <si>
    <t>Trip values are drive from Macedonia, OH to Indianapolis, IN superchargers non-stop</t>
  </si>
  <si>
    <t>(287.4 * 73 / 268) / 81.8 = 0.957</t>
  </si>
  <si>
    <t>PCMc|USA|30-Jun-2016|10-Oct-2017|Model S 90D|20649.1|287.4|On|No|||279|D) twice a month|F) a few times a year|H) never|0.8|9.6|295|On|287|19|73|On|Trip values are drive from Macedonia, OH to Indianapolis, IN superchargers non-stop</t>
  </si>
  <si>
    <t>Drives unit replaced at 78.000 - now on number three</t>
  </si>
  <si>
    <t>VikingC</t>
  </si>
  <si>
    <t>Edi99|Asia Pacific &amp; Europe (excl UK)|23-Sep-2013|01-May-2015|Model S P85|80101|378|Off|Yes|Don't know (km)|18000|224|E) monthly|F) a few times a year|G) once or twice a year|0.8||||||||Drives unit replaced at 78.000 - now on number three</t>
  </si>
  <si>
    <t>VikingC|USA|29-Nov-2016|19-May-2017|Model S 90D|5000|291|Off|No|||263|F) a few times a year|F) a few times a year|H) never|0.9|9.6|293|Off|||||</t>
  </si>
  <si>
    <t>Zuid5.nl|Asia Pacific &amp; Europe (excl UK)|10-Dec-2013|05-May-2015|Model S P85|45025|378|Off|No|||207|B) twice a week|F) a few times a year|F) a few times a year|0.8||||||||19"</t>
  </si>
  <si>
    <t>Eric Vergeer</t>
  </si>
  <si>
    <t>VikingC|USA|29-Nov-2016|24-Aug-2017|Model S 90D|10000|284|Off|No|||263|F) a few times a year|F) a few times a year|H) never|0.9|9.6|293|Off|||||</t>
  </si>
  <si>
    <t>KmanAuto</t>
  </si>
  <si>
    <t>Eric Vergeer|Asia Pacific &amp; Europe (excl UK)|27-Mar-2015|08-May-2015|Model S P85D|3503|405|Off|No|||268|D) twice a month|D) twice a month|E) monthly|0.9||||||||19"</t>
  </si>
  <si>
    <t>Driving with Aero Rims</t>
  </si>
  <si>
    <t>KmanAuto|USA|15-Jan-2016|08-Oct-2017|Model S 90D|46000|272|On|No|||367|B) twice a week|D) twice a month|E) monthly|0.9||294|On|||||Driving with Aero Rims</t>
  </si>
  <si>
    <t>namu</t>
  </si>
  <si>
    <t>usa</t>
  </si>
  <si>
    <t>jpet|Asia Pacific &amp; Europe (excl UK)|03-Apr-2015|07-May-2015|Model S P85D|4144|406|On|No|||244|C) weekly|D) twice a month|H) never|0.8|11|406|On|||||21" staggered P85D</t>
  </si>
  <si>
    <t>namu|usa|01-Jan-2017|30-Oct-2017|Model S 75D|18827|256|On|No|Don't know (mi)||||||||||||||</t>
  </si>
  <si>
    <t>francop</t>
  </si>
  <si>
    <t>jpet|Asia Pacific &amp; Europe (excl UK)|03-Apr-2015|10-May-2015|Model S P85D|5903|406|On|No|||237|B) twice a week|D) twice a month|H) never|0.8|11|406|On|||||21" staggered P85D</t>
  </si>
  <si>
    <t>francop|USA|14-Apr-2017|01-Nov-2017|Model S 75D|5451|256|Off|No|||273|F) a few times a year|F) a few times a year|H) never|0.7|4.8|259|On|||||</t>
  </si>
  <si>
    <t>Yurand</t>
  </si>
  <si>
    <t>EPA rated range</t>
  </si>
  <si>
    <t>NEDC rated range</t>
  </si>
  <si>
    <t>21", range was last months 384, now 390</t>
  </si>
  <si>
    <t>Maarten ST|Asia Pacific &amp; Europe (excl UK)|13-Sep-2013|10-May-2015|Model S P85+|50000|390|On|Yes|Don't know (km)|22600|225|E) monthly|D) twice a month|G) once or twice a year|0.9||||||||21", range was last months 384, now 390</t>
  </si>
  <si>
    <t>Model S 60|210|1*|338|1*|180|2*|289|2*|208|335|4|||</t>
  </si>
  <si>
    <t>Yurand|USA|17-Jul-2013|01-Oct-2016|Model S 60|77500|191|Off|No|||273||||||||||||</t>
  </si>
  <si>
    <t>AnalysiZ|Asia Pacific &amp; Europe (excl UK)|30-Mar-2015|10-May-2015|Model S P85D|3772|410|On|No|||205|B) twice a week|C) weekly|G) once or twice a year|0.8||||||||19"</t>
  </si>
  <si>
    <t>Benjamin Brooks|USA|05-Feb-2013|03-Nov-2017|Model S 85|60373|252|On|No|||297|F) a few times a year|F) a few times a year|F) a few times a year|0.9|1|270|Off|||||19" S85, Nothern California</t>
  </si>
  <si>
    <t>19" 2 x drive train vervangen</t>
  </si>
  <si>
    <t>Nulwoning|Asia Pacific &amp; Europe (excl UK)|20-Nov-2013|17-May-2015|Model S 85|71820|370|Off|No|||191|B) twice a week|E) monthly|H) never|0.7||||||||19" 2 x drive train vervangen</t>
  </si>
  <si>
    <t>Ideal range</t>
  </si>
  <si>
    <t>Typical range</t>
  </si>
  <si>
    <t>Model S 60D|218|1*|351|1*|207|2*|333|2*|||1|5||</t>
  </si>
  <si>
    <t>Model S 70</t>
  </si>
  <si>
    <t>widodh|Asia Pacific &amp; Europe (excl UK)|26-Sep-2013|18-May-2015|Model S 85|78500|375|Off|Yes|Didn't change|65000|224|D) twice a month|E) monthly|G) once or twice a year|0.9||||||||</t>
  </si>
  <si>
    <t>ward</t>
  </si>
  <si>
    <t>ward|Asia Pacific &amp; Europe (excl UK)|31-Mar-2014|19-May-2015|Model S 85|57500|375|Off|Yes|Didn't change|31500|254|B) twice a week|D) twice a month|F) a few times a year|0.9||||||||21"</t>
  </si>
  <si>
    <t>Model S 70|234|1*|370|1*|224|2*|360|2*||||||</t>
  </si>
  <si>
    <t>Rprp|Asia Pacific &amp; Europe (excl UK)|31-Dec-2013|19-May-2015|Model S P85|80150|369|Off|No|||229||||||||||||</t>
  </si>
  <si>
    <t>Maarten</t>
  </si>
  <si>
    <t>Maarten|Asia Pacific &amp; Europe (excl UK)|05-Dec-2013|14-May-2015|Model S P85|78527|372|Off|No|||218|D) twice a month|F) a few times a year|H) never|0.7||||||||</t>
  </si>
  <si>
    <t>eddyf0032</t>
  </si>
  <si>
    <t>eddyf0032|Asia Pacific &amp; Europe (excl UK)|26-Dec-2014|18-May-2015|Model S P85|18450|394|On|No|||242|B) twice a week|F) a few times a year|D) twice a month|0.7||||||||</t>
  </si>
  <si>
    <t>Green = This survey uses these units</t>
  </si>
  <si>
    <t>Model S 70D|240|1*|385|1*|227|2*|365|2*|||2|3|6|</t>
  </si>
  <si>
    <t>Go4IT|Asia Pacific &amp; Europe (excl UK)|10-Sep-2013|22-May-2015|Model S P85|105000|376|Off|No|||218|D) twice a month|A) daily|G) once or twice a year|1|22|||||||drive unit replaced twice</t>
  </si>
  <si>
    <t>409 typical stayed for 8 kms....</t>
  </si>
  <si>
    <t>AnalysiZ|Asia Pacific &amp; Europe (excl UK)|30-Mar-2015|22-May-2015|Model S P85D|4815|409|On|No|||208|C) weekly|C) weekly|H) never|0.8||||||||409 typical stayed for 8 kms....</t>
  </si>
  <si>
    <t>Zee</t>
  </si>
  <si>
    <t>Red = Not used in this survey.</t>
  </si>
  <si>
    <t>Model S 75|249|1*|400|1*|240|2*|386|2*|||4|||</t>
  </si>
  <si>
    <t>2nd 85D in Europe</t>
  </si>
  <si>
    <t>Zee|Asia Pacific &amp; Europe (excl UK)|27-Mar-2015|22-May-2015|Model S 85D|4700|405|On|No|||222|D) twice a month|E) monthly|H) never|0.9||||||||2nd 85D in Europe</t>
  </si>
  <si>
    <t>Xfrank|Asia Pacific &amp; Europe (excl UK)|23-Nov-2013|26-May-2015|Model S 60|31000|277|On|No|||210|B) twice a week|C) weekly|G) once or twice a year|0.9||||||||</t>
  </si>
  <si>
    <t>Model S 75D|259|1*|416|1*|241|2*|388|2*|||5|||</t>
  </si>
  <si>
    <t>SSc3010|Asia Pacific &amp; Europe (excl UK)|04-Jun-2014|20-May-2015|Model S 85|48407|377|On|No|||192|B) twice a week|A) daily|F) a few times a year|0.9||||||||</t>
  </si>
  <si>
    <t>Model S 85|265|1*|425|1*|248|2*|399|2*|||2|||</t>
  </si>
  <si>
    <t>SSc3010|Asia Pacific &amp; Europe (excl UK)|04-Jun-2014|24-May-2015|Model S 85|49693|378|On|No|||192|B) twice a week||F) a few times a year|0.9||||||||</t>
  </si>
  <si>
    <t>Model S P85|265|1*|425|1*|248|2*|399|2*||||||</t>
  </si>
  <si>
    <t>typical range descended after 9,1km (Matteo: I moved your question to "Feedback" page).</t>
  </si>
  <si>
    <t>justroll|Asia Pacific &amp; Europe (excl UK)|15-Oct-2014|27-May-2015|Model S 85|14472|386|Off|No|||225|B) twice a week|E) monthly|F) a few times a year|0.9|3.7|||||||typical range descended after 9,1km (Matteo: I moved your question to "Feedback" page).</t>
  </si>
  <si>
    <t>Model S P85+|265|1*|425|1*|248|2*|399|2*||||||</t>
  </si>
  <si>
    <t>Janc|Asia Pacific &amp; Europe (excl UK)|24-Jun-2014|28-May-2015|Model S 85|28500|387|On|No|||224|F) a few times a year|E) monthly|H) never|0.9||||||||</t>
  </si>
  <si>
    <t>AnalysiZ|Asia Pacific &amp; Europe (excl UK)|30-Mar-2015|27-May-2015|Model S P85D|5012|410|On|No|||206|C) weekly|C) weekly|H) never|0.8||||||||</t>
  </si>
  <si>
    <t>ErikR|Asia Pacific &amp; Europe (excl UK)|30-Sep-2014|18-Apr-2015|Model S 85|21957|382|Off|No|||267|F) a few times a year|D) twice a month|H) never|0.7||||||||</t>
  </si>
  <si>
    <t>Model S 85D|270|1*|435|1*|267|2*|430|2*|||1|2|3|</t>
  </si>
  <si>
    <t>54.9</t>
  </si>
  <si>
    <t>(Matteo: Thanks for the trip data. I added more info to feedback page. If you have any questions, you can ask there. Btw those two additional numbers are not needed.) Trip: 222,7 km, 246Wh/km</t>
  </si>
  <si>
    <t>(385.82 * 54.9 / 290.63) / 77.5 = 0.9404</t>
  </si>
  <si>
    <t>ErikR|Asia Pacific &amp; Europe (excl UK)|30-Sep-2014|25-May-2015|Model S 85|25069|381|Off|No|||265|F) a few times a year|D) twice a month|H) never|0.7||||381|94|54.9|Off|(Matteo: Thanks for the trip data. I added more info to feedback page. If you have any questions, you can ask there. Btw those two additional numbers are not needed.) Trip: 222,7 km, 246Wh/km</t>
  </si>
  <si>
    <t>Model S P85D|253|1*|405|1*|254|2*|408|2*|||1|2|3|</t>
  </si>
  <si>
    <t>unknown</t>
  </si>
  <si>
    <t>Increased 5 kms</t>
  </si>
  <si>
    <t>Model S 90|unknown||unknown||264|2*|425|2*||||||</t>
  </si>
  <si>
    <t>JoeNe|Asia Pacific &amp; Europe (excl UK)|26-Nov-2013|18-May-2015|Model S 85|60476|384|Off|Yes|Increased 5 kms|58000|230|F) a few times a year|F) a few times a year|F) a few times a year|0.7||||||||</t>
  </si>
  <si>
    <t>HWS|Asia Pacific &amp; Europe (excl UK)|29-Nov-2013|29-May-2015|Model S P85|42850|378|Off|Yes|Didn't change|2100|250|B) twice a week|D) twice a month|G) once or twice a year|0.9||||||||</t>
  </si>
  <si>
    <t>Model S 90D|294|1*|473|1*|281|2*|452|2*|288|460|4|5|6|</t>
  </si>
  <si>
    <t>Model S 100D</t>
  </si>
  <si>
    <t>brderyck|Asia Pacific &amp; Europe (excl UK)|13-Dec-2014|29-May-2015|Model S 85|12440|388|Off|No|||250|E) monthly|D) twice a month|G) once or twice a year|0.9||||||||</t>
  </si>
  <si>
    <t>Model S 100D|335|1*|539|1*|327|2*|526|2*||||||</t>
  </si>
  <si>
    <t>jpet|Asia Pacific &amp; Europe (excl UK)|03-Apr-2015|29-May-2015|Model S P85D|6832|403|On|No|||237|C) weekly|D) twice a month|H) never|0.8|11|406|On|||||21" staggered P85D</t>
  </si>
  <si>
    <t>arjan.a</t>
  </si>
  <si>
    <t>arjan.a|Asia Pacific &amp; Europe (excl UK)|11-Dec-2013|31-May-2015|Model S 85|26000|378|Off|No|||239|E) monthly|E) monthly|F) a few times a year|0.9||||||||</t>
  </si>
  <si>
    <t>Model S P90D|270|1*|434|1*|259|2*|417|2*||435|4|5|6|</t>
  </si>
  <si>
    <t>Model S P100D</t>
  </si>
  <si>
    <t>widodh|Asia Pacific &amp; Europe (excl UK)|26-Sep-2013|04-Jun-2015|Model S 85|81000|375|Off|Yes|Didn't change|62000|223|E) monthly|D) twice a month|F) a few times a year|0.9||||||||</t>
  </si>
  <si>
    <t>Model S P100D|315|1*|507|1*|303|2*|488|2*||||||</t>
  </si>
  <si>
    <t>jpet|Asia Pacific &amp; Europe (excl UK)|03-Apr-2015|04-Jun-2015|Model S P85D|7882|403|On|No|||237|B) twice a week|D) twice a month|H) never|0.8|11|406|On|||||21" staggered P85D</t>
  </si>
  <si>
    <t>Model X 60D|200|1*|321|1*|unknown||unknown||||7|||</t>
  </si>
  <si>
    <t>Model X 70D</t>
  </si>
  <si>
    <t>typical range stayed the same for 7,5 kms</t>
  </si>
  <si>
    <t>Model X 70D|220|1*|unknown||unknown||unknown||||8|||</t>
  </si>
  <si>
    <t>Model X 75D</t>
  </si>
  <si>
    <t>AnalysiZ|Asia Pacific &amp; Europe (excl UK)|30-Mar-2015|09-Jun-2015|Model S P85D|5579|410|On|No|||205|C) weekly|C) weekly|H) never|0.8||||||||typical range stayed the same for 7,5 kms</t>
  </si>
  <si>
    <t>19" summer tires</t>
  </si>
  <si>
    <t>Thor|Asia Pacific &amp; Europe (excl UK)|17-Dec-2014|29-May-2015|Model S 85|17000|390|Off|No|||233|E) monthly|F) a few times a year|H) never|0.8||||||||19" summer tires</t>
  </si>
  <si>
    <t>Model X 75D|237|1*|381|1*|unknown||unknown||||7|9||</t>
  </si>
  <si>
    <t>19" summer tires Michelin</t>
  </si>
  <si>
    <t>Thor|Asia Pacific &amp; Europe (excl UK)|17-Dec-2014|06-Jun-2015|Model S 85|17500|388|Off|No|||233|E) monthly|F) a few times a year|H) never|0.8||||||||19" summer tires Michelin</t>
  </si>
  <si>
    <t>220v</t>
  </si>
  <si>
    <t>220v|Asia Pacific &amp; Europe (excl UK)|14-Apr-2015|10-Jun-2015|Model S 85|3400|401|Off|No|||225|H) never|D) twice a month|H) never|||||||||</t>
  </si>
  <si>
    <t>Model X 90D|257|1*|413|1*|252|2*|405|2*|||7|8||</t>
  </si>
  <si>
    <t>Model X 100D</t>
  </si>
  <si>
    <t>19"2 x drive train vervangen</t>
  </si>
  <si>
    <t>Nulwoning|Asia Pacific &amp; Europe (excl UK)|20-Nov-2013|09-Jun-2015|Model S 85|76550|378|On|No|||190|B) twice a week|E) monthly|H) never|0.7||||||||19"2 x drive train vervangen</t>
  </si>
  <si>
    <t>jpgrolle</t>
  </si>
  <si>
    <t>overnight charging only 1-phase 16A, so 3.7kW "trickle charge"; drive unit replaced 27/02/2015</t>
  </si>
  <si>
    <t>These columns are for monitoring changes</t>
  </si>
  <si>
    <t>jpgrolle|Asia Pacific &amp; Europe (excl UK)|06-Nov-2013|11-Jun-2015|Model S 60|37069|275|Off|No|||213|H) never|F) a few times a year|F) a few times a year|0.8||||||||overnight charging only 1-phase 16A, so 3.7kW "trickle charge"; drive unit replaced 27/02/2015</t>
  </si>
  <si>
    <t>TMC topic in Dutch</t>
  </si>
  <si>
    <t>http://www.teslamotorsclub.com/showthread.php/35978-MaxRange</t>
  </si>
  <si>
    <t>21 inch stagered</t>
  </si>
  <si>
    <t>Model X 100D|295|1*|475|1*|281|2*|453|2*|||9|||</t>
  </si>
  <si>
    <t>Model X P90D</t>
  </si>
  <si>
    <t>in-clusion|Asia Pacific &amp; Europe (excl UK)|25-Nov-2013|12-Jun-2015|Model S P85+|54000|384|Off|No|||220|F) a few times a year|C) weekly|H) never|0.8||400|Off|||||21 inch stagered</t>
  </si>
  <si>
    <t>bpsmits|Asia Pacific &amp; Europe (excl UK)|19-Nov-2013|12-Jun-2015|Model S 85|60000|388|On|No|||217|D) twice a month|C) weekly|G) once or twice a year|0.8||||||||</t>
  </si>
  <si>
    <t>Model X P90D|250|1*|402|1*|239|2*|384|2*|||7|8||</t>
  </si>
  <si>
    <t>Model X P100D</t>
  </si>
  <si>
    <t>Thor|Asia Pacific &amp; Europe (excl UK)|17-Dec-2014|12-Jun-2015|Model S 85|19015|388|Off|No|||233|E) monthly|F) a few times a year|H) never|0.8||||||||</t>
  </si>
  <si>
    <t>Date
(double click empty cell)</t>
  </si>
  <si>
    <t>Username</t>
  </si>
  <si>
    <t>Model X P100D|289|1*|465|1*|unknown||unknown||||9|||</t>
  </si>
  <si>
    <t>Region</t>
  </si>
  <si>
    <t>User Feedback
(For questions, comments and feature requests)</t>
  </si>
  <si>
    <t>Zee|Asia Pacific &amp; Europe (excl UK)|27-Mar-2015|13-Jun-2015|Model S 85D|6950|403|On|No|||220|D) twice a month|E) monthly|H) never|0.9||||||||</t>
  </si>
  <si>
    <t>KrisB|Asia Pacific &amp; Europe (excl UK)|26-Mar-2014|13-Jun-2015|Model S P85|38128|384|On|No|||173|D) twice a month|F) a few times a year|H) never|0.8||||||||19"</t>
  </si>
  <si>
    <t>AnalysiZ|Asia Pacific &amp; Europe (excl UK)|30-Mar-2015|20-Jun-2015|Model S P85D|7339|410|On|No|||203|C) weekly|C) weekly|G) once or twice a year|0.8||||||||</t>
  </si>
  <si>
    <t>Region|USA||Canada||UK||Asia Pacific &amp; Europe (excl UK)|||||||</t>
  </si>
  <si>
    <t>|Date
(double click empty cell)|Username|User Feedback
(For questions, comments and feature requests)||||||</t>
  </si>
  <si>
    <t>justroll|Asia Pacific &amp; Europe (excl UK)|15-Oct-2014|29-Jun-2015|Model S 85|18412|382|Off|No|||223|C) weekly|E) monthly|F) a few times a year|0.8|3.7|||||||</t>
  </si>
  <si>
    <t>||||||||||||||</t>
  </si>
  <si>
    <t>is it possible to include a field that registers if the car is a STOCK or DEMO car (stock = not driven ; DEMO = low milage); since I notice that my car's battery doesn't seem to perform compared to other cars in the list</t>
  </si>
  <si>
    <t>Nulwoning|Asia Pacific &amp; Europe (excl UK)|20-Nov-2013|28-Jun-2015|Model S 85|80840|383|On|No|||189|B) twice a week|E) monthly|H) never|0.7||||||||</t>
  </si>
  <si>
    <t>(1*) Click on the number to open data source.</t>
  </si>
  <si>
    <t>(2*) Based on survey question, "What was 100% typical range when car was new?".</t>
  </si>
  <si>
    <t>|42152|justroll|is it possible to include a field that registers if the car is a STOCK or DEMO car (stock = not driven ; DEMO = low milage); since I notice that my car's battery doesn't seem to perform compared to other cars in the list||||||</t>
  </si>
  <si>
    <t>Matteo</t>
  </si>
  <si>
    <t>|(1*) Click on the number to open data source.||||(2*) Based on survey question, "What was 100% typical range when car was new?".|||||||||</t>
  </si>
  <si>
    <t>Hi. I think you mean there are some store or demo cars among entries that perform better than expected. I checked but I can't find them after looking at mileage per day and days of ownership data. I don't know which entries you mean. If you want, give some examples and I will check again. By the way, your battery performs like other cars that have the same mileage. In fact it is almost on the trendline. When comparing your car to other cars, here are some tips:
1. Compare cars with similar mileage.
2. Don't look at typical range numbers. Instead look at percentage. Typical range changes if range mode was on or off.
3. Don't compare your typical range to 85D or P85D. They displays close to 410 km at 100%. But you can still compare percentage.
4. [Update 31 May 2015: Use charts page and select your username from droplist]</t>
  </si>
  <si>
    <t>(376.71 * 17.1 / 92.15) / 77.5 = 0.902</t>
  </si>
  <si>
    <t>|42152|Matteo|Hi. I think you mean there are some store or demo cars among entries that perform better than expected. I checked but I can't find them after looking at mileage per day and days of ownership data. I don't know which entries you mean. If you want, give some examples and I will check again. By the way, your battery performs like other cars that have the same mileage. In fact it is almost on the trendline. When comparing your car to other cars, here are some tips:
1. Compare cars with similar mileage.
2. Don't look at typical range numbers. Instead look at percentage. Typical range changes if range mode was on or off.
3. Don't compare your typical range to 85D or P85D. They displays close to 410 km at 100%. But you can still compare percentage.
4. [Update 31 May 2015: Use charts page and select your username from droplist]||||||</t>
  </si>
  <si>
    <t>Go4IT|Asia Pacific &amp; Europe (excl UK)|10-Sep-2013|29-Jun-2015|Model S P85|111000|372|Off|No|||218|D) twice a month|A) daily|G) once or twice a year|1|22|400|On|372|281|17.1|Off|drive unit replaced twice</t>
  </si>
  <si>
    <t>Why are the two subsequent questions about battery replacement required, even if you answer that the battery had not been replaced?</t>
  </si>
  <si>
    <t>Forza</t>
  </si>
  <si>
    <t>Comments about range numbers in the table above</t>
  </si>
  <si>
    <t>|42158|Mayhemm|Why are the two subsequent questions about battery replacement required, even if you answer that the battery had not been replaced?||||||</t>
  </si>
  <si>
    <t>Hi Mayhemm. I will try to find a better way.
[Update 3 Jun 2015: This has been changed now]</t>
  </si>
  <si>
    <t>|42158|Matteo|Hi Mayhemm. I will try to find a better way.
[Update 3 Jun 2015: This has been changed now]||||||</t>
  </si>
  <si>
    <t>My car showed 271 rated miles when new, now it shows 253. That would be ablout 6.5% loss. Here, after I entered my data, it shows a smaller loss as it assumes the typical range when new is 265 miles.</t>
  </si>
  <si>
    <t>|42164|DavidH|My car showed 271 rated miles when new, now it shows 253. That would be ablout 6.5% loss. Here, after I entered my data, it shows a smaller loss as it assumes the typical range when new is 265 miles.||||||</t>
  </si>
  <si>
    <t>Date
(double click empty cell)|Username|Comments about range numbers in the table above||||||||||||</t>
  </si>
  <si>
    <t>Hi David. Thanks for your feedback. I added two more questions so we can start collecting max range when the car was new. I pre filled those for you. Change it if not correct.
Tesla might have changed the algorithm. I see that you purchased over a year ago. We need to use maximum range numbers reported from newly sold cars, or to be more specific, the chart should use 100% range numbers of new cars that are sold at the time somebody made an entry. For example if somebody bought the car 2 years ago and entered their data 6 months ago, for that entry the chart should use maximum range displayed on cars 6 months ago that were new at the time. If the same person submitted another entry today, for that entry the chart should use maximum range displayed on cars that are new now. It is getting tricky but I will think how to do this best when there is more data. 
In the meantime, feel free to try the trip based calculation. There are 4 questions about any recent trip you had. If you answer those you will see another percentage showing the current state of your battery.</t>
  </si>
  <si>
    <t>Forza|Asia Pacific &amp; Europe (excl UK)|19-May-2015|26-Jun-2015|Model S 60|2300|286|Off|No|||200|E) monthly|E) monthly|H) never|0.8||||||||</t>
  </si>
  <si>
    <t>Table might be extended with Wh/km and Wh/mile</t>
  </si>
  <si>
    <t>|42165|Matteo|Hi David. Thanks for your feedback. I added two more questions so we can start collecting max range when the car was new. I pre filled those for you. Change it if not correct.
Tesla might have changed the algorithm. I see that you purchased over a year ago. We need to use maximum range numbers reported from newly sold cars, or to be more specific, the chart should use 100% range numbers of new cars that are sold at the time somebody made an entry. For example if somebody bought the car 2 years ago and entered their data 6 months ago, for that entry the chart should use maximum range displayed on cars 6 months ago that were new at the time. If the same person submitted another entry today, for that entry the chart should use maximum range displayed on cars that are new now. It is getting tricky but I will think how to do this best when there is more data. 
In the meantime, feel free to try the trip based calculation. There are 4 questions about any recent trip you had. If you answer those you will see another percentage showing the current state of your battery.||||||</t>
  </si>
  <si>
    <t>You might want to add some question(s) on the charging speed typically used (overnight charging method?). I have been told this can also impact degradation. As a matter of fact (n=1) I have been limited to a 3,7kW charging solution and it seems that my battery is holding up relatively well (knock on wood). You could ask for the power directly, or if people may have difficulty answering that ask for number of phases and current (voltage can probably be assumed from location).</t>
  </si>
  <si>
    <t>|Merijn|Table might be extended with Wh/km and Wh/mile||||||||||||</t>
  </si>
  <si>
    <t>|42166|jpgrolle|You might want to add some question(s) on the charging speed typically used (overnight charging method?). I have been told this can also impact degradation. As a matter of fact (n=1) I have been limited to a 3,7kW charging solution and it seems that my battery is holding up relatively well (knock on wood). You could ask for the power directly, or if people may have difficulty answering that ask for number of phases and current (voltage can probably be assumed from location).||||||</t>
  </si>
  <si>
    <t>Please feel free to edit, add, comment.</t>
  </si>
  <si>
    <t>Hi jpgrolle. There is a question about frequency of supercharging. Some people never supercharge. Some people supercharge weekly. Before adding more questions about charge power, we would need to show that frequency of supercharging makes a difference in degradation. Right now the data is not precise enough to see these little differences assuming they exist.</t>
  </si>
  <si>
    <t>(375 * 9.7 / 52) / 77.5 = 0.9026</t>
  </si>
  <si>
    <t>QueenieEye|Asia Pacific &amp; Europe (excl UK)|22-Nov-2013|07-Jul-2015|Model S 85|63372|375|On|No|||203|F) a few times a year|F) a few times a year|H) never|0.9||383|Off|335|283|9.7|On|</t>
  </si>
  <si>
    <t>|42166|Matteo|Hi jpgrolle. There is a question about frequency of supercharging. Some people never supercharge. Some people supercharge weekly. Before adding more questions about charge power, we would need to show that frequency of supercharging makes a difference in degradation. Right now the data is not precise enough to see these little differences assuming they exist.||||||</t>
  </si>
  <si>
    <t>|Merijn|Please feel free to edit, add, comment.||||||||||||</t>
  </si>
  <si>
    <t>MVNJ</t>
  </si>
  <si>
    <t>Although more than one Tesla employee has told me slower charging is better for the battery, today I have learned it might actually be the opposite.</t>
  </si>
  <si>
    <t>|42166|jpgrolle|Although more than one Tesla employee has told me slower charging is better for the battery, today I have learned it might actually be the opposite.||||||</t>
  </si>
  <si>
    <t>You can see current EPA and NEDC ratings on Tesla order page (design studio). Change country at the bottom of the page.</t>
  </si>
  <si>
    <t>Indeed faster charging might be better. In the video below Proff Dahn said what matters is how long the battery is subject to high temperatures during charging. Therefore if charging is quicker it would be better. During discussions about that video many Model S owners said they increased their charging power. https://www.youtube.com/watch?v=9qi03QawZEk</t>
  </si>
  <si>
    <t>|42166|Matteo|Indeed faster charging might be better. In the video below Proff Dahn said what matters is how long the battery is subject to high temperatures during charging. Therefore if charging is quicker it would be better. During discussions about that video many Model S owners said they increased their charging power. https://www.youtube.com/watch?v=9qi03QawZEk||||||</t>
  </si>
  <si>
    <t xml:space="preserve">Hi bpsmits. I noticed that you made changes on your old entry from 9 months ago. I took the new data and created a new entry for you and left the old entry the way it was. This way you can see how your data changes over time if you go to the "Charts" page and select your username. Users can enter as many entries as they wish. If you are not happy with this change let me know and I will change it back. </t>
  </si>
  <si>
    <t>42118|Matteo|You can see current EPA and NEDC ratings on Tesla order page (design studio). Change country at the bottom of the page.||||||||||||</t>
  </si>
  <si>
    <t>|42167|Matteo|Hi bpsmits. I noticed that you made changes on your old entry from 9 months ago. I took the new data and created a new entry for you and left the old entry the way it was. This way you can see how your data changes over time if you go to the "Charts" page and select your username. Users can enter as many entries as they wish. If you are not happy with this change let me know and I will change it back. ||||||</t>
  </si>
  <si>
    <t>MVNJ|Asia Pacific &amp; Europe (excl UK)|11-Dec-2014|11-Jul-2015|Model S 85|48500|385|On|No|||225|A) daily|D) twice a month|G) once or twice a year|0.8||396|On|345|215||On|</t>
  </si>
  <si>
    <t>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t>
  </si>
  <si>
    <t>I have switched to 70% daily charging 2 months ago, based on the video of Prof Dahn. Wouldn't it be interesting to plot the daily charge percentage versus battery degradation in the Stats area?</t>
  </si>
  <si>
    <t>JimmyJam</t>
  </si>
  <si>
    <t>|42216|jpet|I have switched to 70% daily charging 2 months ago, based on the video of Prof Dahn. Wouldn't it be interesting to plot the daily charge percentage versus battery degradation in the Stats area?||||||</t>
  </si>
  <si>
    <t>Great idea. Done! Check out stats page.</t>
  </si>
  <si>
    <t>|42218|Matteo|Great idea. Done! Check out stats page.||||||</t>
  </si>
  <si>
    <t>42118|Matteo|For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t>
  </si>
  <si>
    <t>jpgrolle/Matteo So internal battery temperature during a 3,7kW charge could be the same as during 11kW or 22kW?</t>
  </si>
  <si>
    <t>Tesla uses NEDC rated range in Europe, Australia, China, Hong Kong and Japan. For that region, I changed column names from "EU NEDC rated range" to just "NEDC rated range".</t>
  </si>
  <si>
    <t>|42224|justroll|jpgrolle/Matteo So internal battery temperature during a 3,7kW charge could be the same as during 11kW or 22kW?||||||</t>
  </si>
  <si>
    <t>Hi justroll. Yes, my guess is, regardless what charging power you use, the battery never goes over 50C. There is this screenshot of the hidden touchscreen menu that shows 50C active cooling target. http://www.teslamotorsclub.com/showthread.php/32916-Battery-cooling-while-Supercharging-and-AC?p=693246&amp;viewfull=1#post693246 If you watch Prof Dahn from 3:42s here https://www.youtube.com/watch?v=9qi03QawZEk#t=3m42s he talks about temperature and shows a graph. In the graph there is room temperature (20C) and 60C. Even at 60C there is not much degradation. Therefore if the battery was always below 50C, charge power would make little difference.
Supercharging can reach 116 kW. If charge power makes any difference, then we should see this when looking at supercharging stats. I'm working on processing stats differently using a head count method. I think it will be more accurate. I will explain later.
Update: I have now updated the stats page. When looking at supercharge stats, it doesn't show anything bad if people supercharge frequently. I also watched Dahn's video again. At 6:32 he says "time dependant parasitic reactions". Therefore it looks like the best charging is quick and cold charging. Heat is bad and long charge is bad too.</t>
  </si>
  <si>
    <t>JimmyJam|Asia Pacific &amp; Europe (excl UK)|24-Jun-2014|19-Jul-2015|Model S 85|52221|382|On|No|||225|E) monthly|F) a few times a year|G) once or twice a year|0.9|17.25|398|On|||||</t>
  </si>
  <si>
    <t>|42224|Matteo|Hi justroll. Yes, my guess is, regardless what charging power you use, the battery never goes over 50C. There is this screenshot of the hidden touchscreen menu that shows 50C active cooling target. http://www.teslamotorsclub.com/showthread.php/32916-Battery-cooling-while-Supercharging-and-AC?p=693246&amp;viewfull=1#post693246 If you watch Prof Dahn from 3:42s here https://www.youtube.com/watch?v=9qi03QawZEk#t=3m42s he talks about temperature and shows a graph. In the graph there is room temperature (20C) and 60C. Even at 60C there is not much degradation. Therefore if the battery was always below 50C, charge power would make little difference.
Supercharging can reach 116 kW. If charge power makes any difference, then we should see this when looking at supercharging stats. I'm working on processing stats differently using a head count method. I think it will be more accurate. I will explain later.
Update: I have now updated the stats page. When looking at supercharge stats, it doesn't show anything bad if people supercharge frequently. I also watched Dahn's video again. At 6:32 he says "time dependant parasitic reactions". Therefore it looks like the best charging is quick and cold charging. Heat is bad and long charge is bad too.||||||</t>
  </si>
  <si>
    <t>42118|Matteo|Tesla uses NEDC rated range in Europe, Australia, China, Hong Kong and Japan. For that region, I changed column names from "EU NEDC rated range" to just "NEDC rated range".||||||||||||</t>
  </si>
  <si>
    <t>I have added 406 km as the typical range in km for the P85D based on my experience. Note that the rated range I get is 510 km, not the 480 km I see in the sheet. Maybe this should be updated as well.</t>
  </si>
  <si>
    <t>jpet, check out the new daily charge versus battery degradation stats. A few rows below on this page I explained the changes. Also there is a yellow box on stats page. According to current stats I can no longer say that charging to 70% is better than 80% or 90%. 70% and 90% are the same. Oddly 80% is higher. I think we can assume 70,80 or 90% makes no difference. You have to ignore 60% because there is only 1 person in that group.</t>
  </si>
  <si>
    <t>42122|jpet|I have added 406 km as the typical range in km for the P85D based on my experience. Note that the rated range I get is 510 km, not the 480 km I see in the sheet. Maybe this should be updated as well.||||||||||||</t>
  </si>
  <si>
    <t xml:space="preserve">jpet, you are right. I have updated P85D NEDC rating from 480 to 510. Tesla website shows 480 but we have two people reporting that the car shows 510 or almost 510. I should add that NEDC ratings are not used in the chart. Only typical range is used in calculations. </t>
  </si>
  <si>
    <t>|42225|Matteo|jpet, check out the new daily charge versus battery degradation stats. A few rows below on this page I explained the changes. Also there is a yellow box on stats page. According to current stats I can no longer say that charging to 70% is better than 80% or 90%. 70% and 90% are the same. Oddly 80% is higher. I think we can assume 70,80 or 90% makes no difference. You have to ignore 60% because there is only 1 person in that group.||||||</t>
  </si>
  <si>
    <t>(376.71 * 18.7 / 101.27) / 77.5 = 0.8976</t>
  </si>
  <si>
    <t>42129|Matteo|jpet, you are right. I have updated P85D NEDC rating from 480 to 510. Tesla website shows 480 but we have two people reporting that the car shows 510 or almost 510. I should add that NEDC ratings are not used in the chart. Only typical range is used in calculations. ||||||||||||</t>
  </si>
  <si>
    <t>matteo: Thanks;  I might consider then to upgrade my chargingpower!  Maybe you should include a field were we can select the charging power that we use mainly (besides SuC)?</t>
  </si>
  <si>
    <t>Go4IT|Asia Pacific &amp; Europe (excl UK)|10-Sep-2013|29-Jul-2015|Model S P85|120000|372|Off|No|||218|D) twice a month|A) daily|G) once or twice a year|1|22|400|On|370|270|18.7|Off|drive unit replaced twice</t>
  </si>
  <si>
    <t>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t>
  </si>
  <si>
    <t>|42226|justroll|matteo: Thanks;  I might consider then to upgrade my chargingpower!  Maybe you should include a field were we can select the charging power that we use mainly (besides SuC)?||||||</t>
  </si>
  <si>
    <t>OK. Charge power seems to be a popular request so I added it.</t>
  </si>
  <si>
    <t>42148|Matteo|I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t>
  </si>
  <si>
    <t>|42226|Matteo|OK. Charge power seems to be a popular request so I added it.||||||</t>
  </si>
  <si>
    <t>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t>
  </si>
  <si>
    <t>any idea why this is happening ? supercharging my S85 at a SuC 100% gives mee 375km of range; but driving the car itself gives after calcing (187 wH/km in ratio with the distance &amp; power consumption) 386km range.  When charging the car at home at 100% (at 220V/13A) it gives me 377km of range but after driving the range decreases instantly.</t>
  </si>
  <si>
    <t>|42274|justroll|any idea why this is happening ? supercharging my S85 at a SuC 100% gives mee 375km of range; but driving the car itself gives after calcing (187 wH/km in ratio with the distance &amp; power consumption) 386km range.  When charging the car at home at 100% (at 220V/13A) it gives me 377km of range but after driving the range decreases instantly.||||||</t>
  </si>
  <si>
    <t>42175|Matteo|After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t>
  </si>
  <si>
    <t>Guten</t>
  </si>
  <si>
    <t>P85D from 508km to 480km for NEDC Range in Asia.  Source: http://i.imgur.com/8MfbyK6.png?1</t>
  </si>
  <si>
    <t>Hi justroll. I recommend that you enter your trip data to the sheet. On the data table before the comments column there are 4 columns about trip data. Fill in this data and the sheet will do a second calculation for you. It also shows the calculation in detail. You can add this data to your last entry.</t>
  </si>
  <si>
    <t>|42279|Matteo|Hi justroll. I recommend that you enter your trip data to the sheet. On the data table before the comments column there are 4 columns about trip data. Fill in this data and the sheet will do a second calculation for you. It also shows the calculation in detail. You can add this data to your last entry.||||||</t>
  </si>
  <si>
    <t>(396 * 36.9 / 197.47) / 77.5 = 0.9548</t>
  </si>
  <si>
    <t>42202|Guten|P85D from 508km to 480km for NEDC Range in Asia.  Source: http://i.imgur.com/8MfbyK6.png?1||||||||||||</t>
  </si>
  <si>
    <t>jpet|Asia Pacific &amp; Europe (excl UK)|03-Apr-2015|30-Jul-2015|Model S P85D|11053|396|On|No|||237|D) twice a month|D) twice a month|H) never|0.7|11|406|On|396|201|36.9|Off|21" staggered P85D</t>
  </si>
  <si>
    <t>Hi, I was wondering if there is a correlation between Wh/km and battery degradation? A see degradation far above average while I charge to 80-90% mostly, but my energy consumption is far below average...</t>
  </si>
  <si>
    <t>I added S75, S75D and X75D. Also I updated the range numbers for S90D. It used to show 288mi EPA. Now it is 294mi.
Data source for old S90D 288mi EPA http://i.imgur.com/n7kJAE1.gif
Data source for new S90D 294mi EPA http://i.imgur.com/XDlwDbT.gif</t>
  </si>
  <si>
    <t>|42303|SSc3010|Hi, I was wondering if there is a correlation between Wh/km and battery degradation? A see degradation far above average while I charge to 80-90% mostly, but my energy consumption is far below average...||||||</t>
  </si>
  <si>
    <t>42569|Matteo|I added S75, S75D and X75D. Also I updated the range numbers for S90D. It used to show 288mi EPA. Now it is 294mi.
Data source for old S90D 288mi EPA http://i.imgur.com/n7kJAE1.gif
Data source for new S90D 294mi EPA http://i.imgur.com/XDlwDbT.gif||||||||||||</t>
  </si>
  <si>
    <t>Hi SSc3010. I checked your entries. From February 2015 to 13 Aug 2015 your typical range was like an average user. If you open this screenshot http://i.imgur.com/nUc3hkE.gif the last column shows how your typical range compares to an average user with same mileage. Until 13 Aug 2015, your range was average user but on 15 Sep 2015, you suddenly dropped -3.31%. It looks like something happened between 13 Aug 2015 and 15 Sep 2015. Unless you left the battery at 0% or 100% for long time, I don't think the sudden drop would happen because a damage caused by a change in chemistry inside the cells. It is more likely this is a rebalancing issue where the computer calculates the capacity incorrectly. To correct that, you need to drop to 0% and then charge to 100% a few times so the computer can understand how much energy the battery can store. However it is bad for the battery if you wait at 0% or 100%. Plan this so that you don't wait at the extreme ends. There is a topic here: http://www.teslamotorsclub.com/showthread.php/28533-Definitive-pack-rebalance-technique although I don't agree with the 20%. I think it should be 2% or less. By the way, there is a tool called Visible Tesla that creates daily logs. You might want to check that.</t>
  </si>
  <si>
    <t>The numbers above for typical range are based on the answer to the survey question "What was 100% typical range when car was new?"</t>
  </si>
  <si>
    <t>|42305|Matteo|Hi SSc3010. I checked your entries. From February 2015 to 13 Aug 2015 your typical range was like an average user. If you open this screenshot http://i.imgur.com/nUc3hkE.gif the last column shows how your typical range compares to an average user with same mileage. Until 13 Aug 2015, your range was average user but on 15 Sep 2015, you suddenly dropped -3.31%. It looks like something happened between 13 Aug 2015 and 15 Sep 2015. Unless you left the battery at 0% or 100% for long time, I don't think the sudden drop would happen because a damage caused by a change in chemistry inside the cells. It is more likely this is a rebalancing issue where the computer calculates the capacity incorrectly. To correct that, you need to drop to 0% and then charge to 100% a few times so the computer can understand how much energy the battery can store. However it is bad for the battery if you wait at 0% or 100%. Plan this so that you don't wait at the extreme ends. There is a topic here: http://www.teslamotorsclub.com/showthread.php/28533-Definitive-pack-rebalance-technique although I don't agree with the 20%. I think it should be 2% or less. By the way, there is a tool called Visible Tesla that creates daily logs. You might want to check that.||||||</t>
  </si>
  <si>
    <t>42597|Matteo|The numbers above for typical range are based on the answer to the survey question "What was 100% typical range when car was new?"||||||||||||</t>
  </si>
  <si>
    <t xml:space="preserve">Just added another entry for my car. I double checked the dates, but for some reason it shows the age of my car as 84 thus the daily average is off. I tried to find if I made an errors adding my data, but can't find anything. Feel free to correct my entry. </t>
  </si>
  <si>
    <t>(409 * 12.1 / 64) / 77.5 = 0.9978</t>
  </si>
  <si>
    <t>|42312|DavidH|Just added another entry for my car. I double checked the dates, but for some reason it shows the age of my car as 84 thus the daily average is off. I tried to find if I made an errors adding my data, but can't find anything. Feel free to correct my entry. ||||||</t>
  </si>
  <si>
    <t>AnalysiZ|Asia Pacific &amp; Europe (excl UK)|30-Mar-2015|02-Aug-2015|Model S P85D|9484|409|On|No|||200|D) twice a month|E) monthly|G) once or twice a year|0.8|11|404|Off|409|345|12.1|On|</t>
  </si>
  <si>
    <t xml:space="preserve">Hi David. Thanks for your message. Yes, there was an error with the formulas. I fixed it now. </t>
  </si>
  <si>
    <t>IAV_P85_weiss</t>
  </si>
  <si>
    <t>|42313|Matteo|Hi David. Thanks for your message. Yes, there was an error with the formulas. I fixed it now. ||||||</t>
  </si>
  <si>
    <t>Just to come back to my prev question regarding stock cars; I noticed that the km done per day are calculated using the mfgt date of the car; since I drive a stock car with mfgt date 15-10-2014 this does "color" my results, since I first drove the car on 3-3-2015.  Should I enter the orig mfgt date, or the date first driven ?</t>
  </si>
  <si>
    <t>|42319|justroll|Just to come back to my prev question regarding stock cars; I noticed that the km done per day are calculated using the mfgt date of the car; since I drive a stock car with mfgt date 15-10-2014 this does "color" my results, since I first drove the car on 3-3-2015.  Should I enter the orig mfgt date, or the date first driven ?||||||</t>
  </si>
  <si>
    <t>Hi justroll. The original manufacture date is the correct data because that defines the age of the battery. Don't worry about mileage per day. That's not used anywhere in calculations. The only reason it was added is because sometimes people enter incorrect dates or mileage. If mileage per day is greater than 350 km, the colour turns red. This way it is easy to see incorrect data. But it has no actual function.</t>
  </si>
  <si>
    <t>imported early US-Model, no Supercharging possibility</t>
  </si>
  <si>
    <t>|42321|Matteo|Hi justroll. The original manufacture date is the correct data because that defines the age of the battery. Don't worry about mileage per day. That's not used anywhere in calculations. The only reason it was added is because sometimes people enter incorrect dates or mileage. If mileage per day is greater than 350 km, the colour turns red. This way it is easy to see incorrect data. But it has no actual function.||||||</t>
  </si>
  <si>
    <t>IAV_P85_weiss|Asia Pacific &amp; Europe (excl UK)|26-Feb-2013|31-Jul-2015|Model S P85|63067|379|Off|No|||200|H) never|||||||||||imported early US-Model, no Supercharging possibility</t>
  </si>
  <si>
    <t>Hi Matteo, can you take a look at entry ID 345 for user Energie Gratiz? I believe there is something strange about the way cell O348 is calculated. He now has 173200 kms on his car but received a new battery at around 77000 kms. I expected the cell O348 to be at 173200 - 77000 = 96200 but it's now at 135751 kms. How come?</t>
  </si>
  <si>
    <t>|42352|jpet|Hi Matteo, can you take a look at entry ID 345 for user Energie Gratiz? I believe there is something strange about the way cell O348 is calculated. He now has 173200 kms on his car but received a new battery at around 77000 kms. I expected the cell O348 to be at 173200 - 77000 = 96200 but it's now at 135751 kms. How come?||||||</t>
  </si>
  <si>
    <t>KrisB|Asia Pacific &amp; Europe (excl UK)|26-Mar-2014|01-Aug-2015|Model S P85|41924|384|On|No|||171|D) twice a month|F) a few times a year|H) never|0.8||||||||19"</t>
  </si>
  <si>
    <t xml:space="preserve">Hi Jpet. That's a good question. I'm glad you noticed this interesting detail. There is no error. It is calculated this way because most replacement batteries are refurbished and the formula calculates total mileage on the replacement battery including the mileage it had before it was attached to this car. This is what Tesla says: 
Quote "If your Battery or Drive Unit requires warranty service, Tesla will repair the unit, or replace it with a factory reconditioned unit. When replacing a Battery, Tesla will ensure that the energy capacity of the replacement Battery is at least equal to that of the original Battery before the failure occurred." Source: Tesla Model S Warranty Document page 4 https://www.teslamotors.com/sites/default/files/pdfs/model_s_quick_guide/Model_S_New_Vehicle_Limited_Warranty_NA_Touchscreen_6.2_R20150402_en_US.pdf
Typically what happens is, the contactor on the battery fails but the rest is fine. Tesla could keep the car for long time and wait for repairs. But instead doing that, they install a refurbished battery and use the old battery for the next warranty replacement. This is a smart move because you get a battery that is slightly better than the old one and you don't wait. However, how would the user know how much mileage was on the replacement battery? He wouldn't. Some users might not even know if the battery is new or refurbished. I made this so that we don't ask too many questions because when there are too many questions in a survey, some people just leave. But still I wanted it to calculate correct mileage whether the replacement was new or refurbished. Otherwise this would mess up the charts. 
Let me explain with an example. A user has 23.100 km mileage. At 23,000 km his battery was replaced. His old battery had 390 km typical range at 100% charge. The replacement has 392km. The basic calculation is 23,100 - 23,000= 100 km on new battery and 392km range. If we used that calculation on the chart we would see lots of entries that look like a new battery with poor range. Considering that around 7% of all Teslas have battery replacements (this data is from our stats page) this would mess up things badly. Therefore we don't use a basic calculation. Instead we use a more advanced calculation which is explained in more detail at the bottom of the charts page. If the replacement was refurbished the calculation should show total mileage on this and previous car. If the replacement was new, the calculation should show mileage on this car. It is supposed to show the correct mileage either way.
It is entirely possible that the replacement battery Energie Gratiz has was new. However in that case his range should have increased around 20 km. If you change his setting from 8 km to 20, you will see that the calculation is closer to new battery. At the time it wasn't possible to select more than 8 km. I have now changed this thanks to your input.
</t>
  </si>
  <si>
    <t>justroll|Asia Pacific &amp; Europe (excl UK)|15-Oct-2014|08-Aug-2015|Model S 85|25412|381|Off|No|||220|C) weekly|E) monthly|F) a few times a year|0.9|3.7|393|Off|||||</t>
  </si>
  <si>
    <t>|42353|Matteo|Hi Jpet. That's a good question. I'm glad you noticed this interesting detail. There is no error. It is calculated this way because most replacement batteries are refurbished and the formula calculates total mileage on the replacement battery including the mileage it had before it was attached to this car. This is what Tesla says: 
Quote "If your Battery or Drive Unit requires warranty service, Tesla will repair the unit, or replace it with a factory reconditioned unit. When replacing a Battery, Tesla will ensure that the energy capacity of the replacement Battery is at least equal to that of the original Battery before the failure occurred." Source: Tesla Model S Warranty Document page 4 https://www.teslamotors.com/sites/default/files/pdfs/model_s_quick_guide/Model_S_New_Vehicle_Limited_Warranty_NA_Touchscreen_6.2_R20150402_en_US.pdf
Typically what happens is, the contactor on the battery fails but the rest is fine. Tesla could keep the car for long time and wait for repairs. But instead doing that, they install a refurbished battery and use the old battery for the next warranty replacement. This is a smart move because you get a battery that is slightly better than the old one and you don't wait. However, how would the user know how much mileage was on the replacement battery? He wouldn't. Some users might not even know if the battery is new or refurbished. I made this so that we don't ask too many questions because when there are too many questions in a survey, some people just leave. But still I wanted it to calculate correct mileage whether the replacement was new or refurbished. Otherwise this would mess up the charts. 
Let me explain with an example. A user has 23.100 km mileage. At 23,000 km his battery was replaced. His old battery had 390 km typical range at 100% charge. The replacement has 392km. The basic calculation is 23,100 - 23,000= 100 km on new battery and 392km range. If we used that calculation on the chart we would see lots of entries that look like a new battery with poor range. Considering that around 7% of all Teslas have battery replacements (this data is from our stats page) this would mess up things badly. Therefore we don't use a basic calculation. Instead we use a more advanced calculation which is explained in more detail at the bottom of the charts page. If the replacement was refurbished the calculation should show total mileage on this and previous car. If the replacement was new, the calculation should show mileage on this car. It is supposed to show the correct mileage either way.
It is entirely possible that the replacement battery Energie Gratiz has was new. However in that case his range should have increased around 20 km. If you change his setting from 8 km to 20, you will see that the calculation is closer to new battery. At the time it wasn't possible to select more than 8 km. I have now changed this thanks to your input.
||||||</t>
  </si>
  <si>
    <t>|||||||||</t>
  </si>
  <si>
    <t>(395 * 42.9 / 231) / 77.5 = 0.9465</t>
  </si>
  <si>
    <t>Thanks Matteo, I will ask Energie Gratiz what the actual difference was, 8 km or more.</t>
  </si>
  <si>
    <t>jpet|Asia Pacific &amp; Europe (excl UK)|03-Apr-2015|08-Aug-2015|Model S P85D|11403|395|On|No|||236|D) twice a month|E) monthly|H) never|0.7|11|406|On|395|164|42.9|On|21" staggered P85D</t>
  </si>
  <si>
    <t>|42355|jpet|Thanks Matteo, I will ask Energie Gratiz what the actual difference was, 8 km or more.||||||</t>
  </si>
  <si>
    <t>In Chart my name is AnalysiZ S70 (to make the difference with AnalysiZ which was with P85D an AnalysiZ P85 Which was wit... P85). I would like to choose the option S70 instead of 70D... First entry for this car is today at line 359</t>
  </si>
  <si>
    <t>|42355|AnalysiZ|In Chart my name is AnalysiZ S70 (to make the difference with AnalysiZ which was with P85D an AnalysiZ P85 Which was wit... P85). I would like to choose the option S70 instead of 70D... First entry for this car is today at line 359||||||</t>
  </si>
  <si>
    <t>Hi AnalysiZ. I added S70 as a selectable option and changed your entry to S70. If possible could you have a look at the question on column AA (What was 100% typical range when car was new?) Tesla doesn't publish typical range numbers anywhere. We don't have this data. Thanks for letting me know that S70 was missing. Somehow I had overlooked that.</t>
  </si>
  <si>
    <t>|42355|Matteo|Hi AnalysiZ. I added S70 as a selectable option and changed your entry to S70. If possible could you have a look at the question on column AA (What was 100% typical range when car was new?) Tesla doesn't publish typical range numbers anywhere. We don't have this data. Thanks for letting me know that S70 was missing. Somehow I had overlooked that.||||||</t>
  </si>
  <si>
    <t>Joel</t>
  </si>
  <si>
    <t>Hi Matteo, the current location options are very broad. I would suggest to add a column with 'country' or 'state' to make this more specific. This could for example help to void out any climate differences as we know that ambient temperature has an effect on battery degradation. I think we can already see this effect in the Canada data as degradation seems to be slower in this dataset. Thanks for your effort.</t>
  </si>
  <si>
    <t>(394 * 43.8 / 229) / 77.5 = 0.9724</t>
  </si>
  <si>
    <t>|42391|Joel|Hi Matteo, the current location options are very broad. I would suggest to add a column with 'country' or 'state' to make this more specific. This could for example help to void out any climate differences as we know that ambient temperature has an effect on battery degradation. I think we can already see this effect in the Canada data as degradation seems to be slower in this dataset. Thanks for your effort.||||||</t>
  </si>
  <si>
    <t>jpet|Asia Pacific &amp; Europe (excl UK)|03-Apr-2015|09-Aug-2015|Model S P85D|11743|394|On|No|||235|D) twice a month|E) monthly|H) never|0.7|11|406|On|394|165|43.8|On|21" staggered P85D</t>
  </si>
  <si>
    <t>Update: 12 Feb 2016:
I have now changed the range numbers for USA and Canada of a few car models, based on answers to the survey question "What was 100% range when car was new?." The accuracy in USA and Canada should have improved. 
-------------------------------------
Hi Joel. Thanks for the feedback. I think it is likely that we will have country selections in the future. I will keep this in mind.
Canada (and USA) scores appear high but this is because our calculation method needs more work. This is related to rated range versus typical range. Currently we convert typical range and rated range to percentage. However the accuracy of this conversion seems OK for typical range but too optimistic for rated range.
The reason the location question exists is not because we wanted to collect location specific data. It is because it was an easy way to eliminate one extra question. Otherwise we would have to ask the user whether his range is typical range or rated range (some users might not know the difference) and whether it is km or miles. The 4 regions we have are based on rating systems and units Tesla uses. These are as follows:
USA: EPA rated range in miles
Canada: EPA rated range in km
Europe (excluding the UK) and Asia Pacific:  Typical range in km
UK:  Typical range in miles
When a user selects one of these regions, we know the rating system (typical range or rated range) and we know the units (km or mi). It means instead two questions, we ask one. That's the only reason for location.
However I agree that it would be interesting to figure out what kind of effect climate has on degradation, if any. There is this diagnostics screen that shows the car actively keeps the battery temperature between two limits: http://www.teslamotorsclub.com/showthread.php/32916-Battery-cooling-while-Supercharging-and-AC?p=693246&amp;viewfull=1#post693246 Therefore climate might have limited effect. But it would be nice to have the data to prove or disprove this.</t>
  </si>
  <si>
    <t>|42394|Matteo|Update: 12 Feb 2016:
I have now changed the range numbers for USA and Canada of a few car models, based on answers to the survey question "What was 100% range when car was new?." The accuracy in USA and Canada should have improved. 
-------------------------------------
Hi Joel. Thanks for the feedback. I think it is likely that we will have country selections in the future. I will keep this in mind.
Canada (and USA) scores appear high but this is because our calculation method needs more work. This is related to rated range versus typical range. Currently we convert typical range and rated range to percentage. However the accuracy of this conversion seems OK for typical range but too optimistic for rated range.
The reason the location question exists is not because we wanted to collect location specific data. It is because it was an easy way to eliminate one extra question. Otherwise we would have to ask the user whether his range is typical range or rated range (some users might not know the difference) and whether it is km or miles. The 4 regions we have are based on rating systems and units Tesla uses. These are as follows:
USA: EPA rated range in miles
Canada: EPA rated range in km
Europe (excluding the UK) and Asia Pacific:  Typical range in km
UK:  Typical range in miles
When a user selects one of these regions, we know the rating system (typical range or rated range) and we know the units (km or mi). It means instead two questions, we ask one. That's the only reason for location.
However I agree that it would be interesting to figure out what kind of effect climate has on degradation, if any. There is this diagnostics screen that shows the car actively keeps the battery temperature between two limits: http://www.teslamotorsclub.com/showthread.php/32916-Battery-cooling-while-Supercharging-and-AC?p=693246&amp;viewfull=1#post693246 Therefore climate might have limited effect. But it would be nice to have the data to prove or disprove this.||||||</t>
  </si>
  <si>
    <t>Xfrank|Asia Pacific &amp; Europe (excl UK)|23-Nov-2013|09-Aug-2015|Model S 60|35900|276|Off|No|||209|B) twice a week|F) a few times a year|G) once or twice a year|0.7||286|Off|||||</t>
  </si>
  <si>
    <t>I was wondering why a 3rd order polynomial was selected as the trendline model. This kind of fit is prone to give the drop observed at the end, and I suspect a large standard error on the x^3 coefficient. The data rather suggest an initial exponential drop on top of a linear decrease. Such a fit to the current data gives me:  
% range remaining = 5% * exp(-km/29000) + 95% - km/60000
i.e. an initial exponential drop of 5% on the first ~30 000 km, on top of a linear drop of 1% every 60 000 km. (The standard error on the 60000 km is large, though, i.e. because of the very few points at high km, 50 000 km or 80 000 km would still give a reasonable fit.)</t>
  </si>
  <si>
    <t>Eelcodb</t>
  </si>
  <si>
    <t>|42405|fsch|I was wondering why a 3rd order polynomial was selected as the trendline model. This kind of fit is prone to give the drop observed at the end, and I suspect a large standard error on the x^3 coefficient. The data rather suggest an initial exponential drop on top of a linear decrease. Such a fit to the current data gives me:  
% range remaining = 5% * exp(-km/29000) + 95% - km/60000
i.e. an initial exponential drop of 5% on the first ~30 000 km, on top of a linear drop of 1% every 60 000 km. (The standard error on the 60000 km is large, though, i.e. because of the very few points at high km, 50 000 km or 80 000 km would still give a reasonable fit.)||||||</t>
  </si>
  <si>
    <t>Hi fsch. The reason a 3rd order polynomial was selected is because the trendline in 2nd order goes up and 4th order goes down sharply. 3rd order provides the best fit. You might say, why select a polynomial instead exponential? It is because it provides a higher R squared value. If you want, on the top menu you can select "File &gt; Make a copy", then create the graph you have in mind and post a link here and I will have a look. Cheers</t>
  </si>
  <si>
    <t>|42407|Matteo|Hi fsch. The reason a 3rd order polynomial was selected is because the trendline in 2nd order goes up and 4th order goes down sharply. 3rd order provides the best fit. You might say, why select a polynomial instead exponential? It is because it provides a higher R squared value. If you want, on the top menu you can select "File &gt; Make a copy", then create the graph you have in mind and post a link here and I will have a look. Cheers||||||</t>
  </si>
  <si>
    <t>Hi Matteo and all. I wrote down some explanations about the fit I was talking about, plus some statistical analysis on the significance of the parameters. You can find (and comment) that at the following address:
https://docs.google.com/document/d/1Ujdws3L42IZTe3JqIlrneqrkmZQxdpP5h-TRPk72OVo</t>
  </si>
  <si>
    <t>|42408|fsch|Hi Matteo and all. I wrote down some explanations about the fit I was talking about, plus some statistical analysis on the significance of the parameters. You can find (and comment) that at the following address:
https://docs.google.com/document/d/1Ujdws3L42IZTe3JqIlrneqrkmZQxdpP5h-TRPk72OVo||||||</t>
  </si>
  <si>
    <t>Eelcodb|Asia Pacific &amp; Europe (excl UK)|30-Dec-1899|31-Jul-2015|Model S 85|13200|384|Off|No|||197||||||||||||</t>
  </si>
  <si>
    <t>Hi fsch. The link you posted opens to a word document, not a spreadsheet. If you have a better trendline in mind, make a copy of this spreadsheet, create the graph you have in mind and post a link. A discussion about a trendline that's not possible has little meaning. We can change the trendline if the new trendline is possible in Google Sheets and has higher R-sqared value and is based on the actual data it represents.</t>
  </si>
  <si>
    <t>|42408|Matteo|Hi fsch. The link you posted opens to a word document, not a spreadsheet. If you have a better trendline in mind, make a copy of this spreadsheet, create the graph you have in mind and post a link. A discussion about a trendline that's not possible has little meaning. We can change the trendline if the new trendline is possible in Google Sheets and has higher R-sqared value and is based on the actual data it represents.||||||</t>
  </si>
  <si>
    <t>Hi Matteo. So I did it, learning how to do non-linear fitting in google docs along the way. You can find the result here: https://docs.google.com/spreadsheets/d/1CvFsQx1raCy04BPvSEa1gfOZGDgkZkL5EbsEirx1Cos
There are a few issues though. Since it is a non-linear fit, I had to install a Solver (free plug-in). Fitting the data involves running the Solver each time. Then, in order to have the solver working, I had to cut and paste the data from the 'Charts Data' sheet to a new sheet. You can see the test (sheet 'Model - Solver error') where I simply refer to them: the Solver returns an error. It works properly if I copy-paste the data and everything remains in the same sheet (sheet 'Model - Solver works'). Still, so far, it remains a solution working within the google spreadsheet, so I guess it remains acceptable.
But then, there is no R^2 calculation. In fact, it is apparently a bad idea to try to compute R^2 for non-linear fitting. Please read this: http://blog.minitab.com/blog/adventures-in-statistics/why-is-there-no-r-squared-for-nonlinear-regression
Plus, it's not clear if R^2 is a good predictor of fit goodness. Please read this as well: http://blog.minitab.com/blog/adventures-in-statistics/regression-analysis-how-do-i-interpret-r-squared-and-assess-the-goodness-of-fit
Keep up the good work!</t>
  </si>
  <si>
    <t>|42409|fsch|Hi Matteo. So I did it, learning how to do non-linear fitting in google docs along the way. You can find the result here: https://docs.google.com/spreadsheets/d/1CvFsQx1raCy04BPvSEa1gfOZGDgkZkL5EbsEirx1Cos
There are a few issues though. Since it is a non-linear fit, I had to install a Solver (free plug-in). Fitting the data involves running the Solver each time. Then, in order to have the solver working, I had to cut and paste the data from the 'Charts Data' sheet to a new sheet. You can see the test (sheet 'Model - Solver error') where I simply refer to them: the Solver returns an error. It works properly if I copy-paste the data and everything remains in the same sheet (sheet 'Model - Solver works'). Still, so far, it remains a solution working within the google spreadsheet, so I guess it remains acceptable.
But then, there is no R^2 calculation. In fact, it is apparently a bad idea to try to compute R^2 for non-linear fitting. Please read this: http://blog.minitab.com/blog/adventures-in-statistics/why-is-there-no-r-squared-for-nonlinear-regression
Plus, it's not clear if R^2 is a good predictor of fit goodness. Please read this as well: http://blog.minitab.com/blog/adventures-in-statistics/regression-analysis-how-do-i-interpret-r-squared-and-assess-the-goodness-of-fit
Keep up the good work!||||||</t>
  </si>
  <si>
    <t>Dimivdb|Asia Pacific &amp; Europe (excl UK)|30-Dec-2014|11-Aug-2015|Model S 85|11500|394|Off|No|||230|C) weekly|F) a few times a year|G) once or twice a year|0.7||394|Off|||||21"</t>
  </si>
  <si>
    <t>Hi fsch. Thanks for the graph on your copy of the spreadsheet. The graph shows that you have a credible idea. Your trendline is similar to what we have until around 120,000 km (~400 cycles) but then it projects a slow continuous degradation. The trendline we have suggests a sharper decline. In other words, the two trendlines agree on what happened until now but differ on what will happen in the future. 
Your version could be more accurate. I would like to run some tests. I want to see things like how your version changes if I enter a bunch of low entries after 150,000 km, 200,000 km, 250,000 km etc. 
However, there is a bigger problem. Is it possible to implement your version in Google sheets dynamically? Can you talk more about how A, B and D were calculated in this formula: 
y = A - x/B + (1-A)*exp(-x/D)
In cells I3, I4 and I5 you have 3 fixed numbers (0.3733564999 and 325.2980403 and 165.5120492). Where did these numbers come from? Is it necessary to use the 'solver' add-on for Google sheets? Could I calculate these numbers dynamically using an excel formula? For example if the formula was something like y= c0+c1*x+c2*x^2+c3*x^3, then I could use excel's linest function to find out c0, c1, c2.</t>
  </si>
  <si>
    <t>|42410|Matteo|Hi fsch. Thanks for the graph on your copy of the spreadsheet. The graph shows that you have a credible idea. Your trendline is similar to what we have until around 120,000 km (~400 cycles) but then it projects a slow continuous degradation. The trendline we have suggests a sharper decline. In other words, the two trendlines agree on what happened until now but differ on what will happen in the future. 
Your version could be more accurate. I would like to run some tests. I want to see things like how your version changes if I enter a bunch of low entries after 150,000 km, 200,000 km, 250,000 km etc. 
However, there is a bigger problem. Is it possible to implement your version in Google sheets dynamically? Can you talk more about how A, B and D were calculated in this formula: 
y = A - x/B + (1-A)*exp(-x/D)
In cells I3, I4 and I5 you have 3 fixed numbers (0.3733564999 and 325.2980403 and 165.5120492). Where did these numbers come from? Is it necessary to use the 'solver' add-on for Google sheets? Could I calculate these numbers dynamically using an excel formula? For example if the formula was something like y= c0+c1*x+c2*x^2+c3*x^3, then I could use excel's linest function to find out c0, c1, c2.||||||</t>
  </si>
  <si>
    <t>Hi Matteo. Indeed, I admit that it is somewhat complicated.
- Regarding the drop in your 3rd order polynomial fit, it is in a region where there are very few or no data so the fit does what it wants, and as mention in my first comment, this kind of function will inevitably give that kind of result outside of the range where there are data. The typical capacity evolution of a battery looks like the curve on page 11 of this presentation: https://www2.unece.org/wiki/download/attachments/8126481/EVE-06-05e.pdf?api=v2 (Sometimes, however, the curve may start to decrease abruptly at some point, but these events seem to be difficult to predict. Anyway, since a Tesla has 4000+ cells, even if a few of them fail that way, it should not influence too much the complete pack degradation.) All that to say that the model I suggest is more in line with what is measured usually for Li-ion batteries performing as expected.
- Regarding the "dynamic calculation" side of things, the problem is parameter D which is inside an exponential  and makes the fit non linear. One way around would be to set this parameter to some value (e.g. 29 000 km, keeping in mind that there is an uncertainty of 20% on this value), and then, it becomes a linear fit and the spreadsheet should be able to compute the other parameters (A, B, C) dynamically. Then, periodically, I or someone else could run a full, non-linear fit to see if parameter D has evolved. Otherwise, I don't see many other solutions. Maybe an external computation (e.g. once a day, a computer downloads the data, computes the fit, and the MaxRange spreadsheet reads back the data from that server.) But it's a bit awkward.
What do you think? I'll start trying the first solution (set D to a constant) and see if the other parameters can be fitted dynamically.
P.S. The 3 values (0.3733564999 and 325.2980403 and 165.5120492) are a trick I used to convince the Solver to converge towards a reasonable solution. If you look at the formula to compute the parameters A, B, D, they are computed based on these 3 parameters, but it forces A to be above 80%, B to be above 30 000 km, and D to be above 10 000 km. The 3 paramters are computed by the Solver in order to minimize cell G9, which is the sum of squares of the difference between the fit and the data.</t>
  </si>
  <si>
    <t>JCK|Asia Pacific &amp; Europe (excl UK)|19-Sep-2013|11-Aug-2015|Model S 85|77500|382|On|Yes|Didn't change|53982|238|D) twice a month|E) monthly|G) once or twice a year|0.9|11|395|On|||||</t>
  </si>
  <si>
    <t>Zouteval</t>
  </si>
  <si>
    <t>|42410|fsch|Hi Matteo. Indeed, I admit that it is somewhat complicated.
- Regarding the drop in your 3rd order polynomial fit, it is in a region where there are very few or no data so the fit does what it wants, and as mention in my first comment, this kind of function will inevitably give that kind of result outside of the range where there are data. The typical capacity evolution of a battery looks like the curve on page 11 of this presentation: https://www2.unece.org/wiki/download/attachments/8126481/EVE-06-05e.pdf?api=v2 (Sometimes, however, the curve may start to decrease abruptly at some point, but these events seem to be difficult to predict. Anyway, since a Tesla has 4000+ cells, even if a few of them fail that way, it should not influence too much the complete pack degradation.) All that to say that the model I suggest is more in line with what is measured usually for Li-ion batteries performing as expected.
- Regarding the "dynamic calculation" side of things, the problem is parameter D which is inside an exponential  and makes the fit non linear. One way around would be to set this parameter to some value (e.g. 29 000 km, keeping in mind that there is an uncertainty of 20% on this value), and then, it becomes a linear fit and the spreadsheet should be able to compute the other parameters (A, B, C) dynamically. Then, periodically, I or someone else could run a full, non-linear fit to see if parameter D has evolved. Otherwise, I don't see many other solutions. Maybe an external computation (e.g. once a day, a computer downloads the data, computes the fit, and the MaxRange spreadsheet reads back the data from that server.) But it's a bit awkward.
What do you think? I'll start trying the first solution (set D to a constant) and see if the other parameters can be fitted dynamically.
P.S. The 3 values (0.3733564999 and 325.2980403 and 165.5120492) are a trick I used to convince the Solver to converge towards a reasonable solution. If you look at the formula to compute the parameters A, B, D, they are computed based on these 3 parameters, but it forces A to be above 80%, B to be above 30 000 km, and D to be above 10 000 km. The 3 paramters are computed by the Solver in order to minimize cell G9, which is the sum of squares of the difference between the fit and the data.||||||</t>
  </si>
  <si>
    <t>Hi again Matteo. I was able to do a fit by setting D and carrying out a fit with LINEST. I guess you were the other one editing the file at the same time, so you have seen the result. It's quite strange because if you change the value of D by hand in order to minimize the sum of squares, it is equivalent as carrying out a non-linear minimization. Doing that gives about D = 42500 km. But LINEST then returns an essentially infinite value for B (i.e. exponential drop + constant A). However, if I download the data and use Python to carry out a linear fit, I find D = 31908 km and B = 87155 km, i.e. the same values, within the uncertainty, that I reported in my previous comments. That is the kind of values the Solver in the other page was returning as well.
So I'm puzzled. [Edit: I ment " infinite value for B", not D]</t>
  </si>
  <si>
    <t>|42410|fsch|Hi again Matteo. I was able to do a fit by setting D and carrying out a fit with LINEST. I guess you were the other one editing the file at the same time, so you have seen the result. It's quite strange because if you change the value of D by hand in order to minimize the sum of squares, it is equivalent as carrying out a non-linear minimization. Doing that gives about D = 42500 km. But LINEST then returns an essentially infinite value for B (i.e. exponential drop + constant A). However, if I download the data and use Python to carry out a linear fit, I find D = 31908 km and B = 87155 km, i.e. the same values, within the uncertainty, that I reported in my previous comments. That is the kind of values the Solver in the other page was returning as well.
So I'm puzzled. [Edit: I ment " infinite value for B", not D]||||||</t>
  </si>
  <si>
    <t>Zouteval|Asia Pacific &amp; Europe (excl UK)|07-Jul-2015|11-Aug-2015|Model S 85|5650|399|Off|No|||205|B) twice a week|D) twice a month|G) once or twice a year|0.9|11|399|Off|||||</t>
  </si>
  <si>
    <t>(Sorry for posting multiple comments.) OK, I think I found a solution. In a new sheet ('model with fixed D #2'), I now arranged the fit so that the model has to reach 100% at 0 km. It gives more sensible parameters, with B, the long-term degradation parameter, being in a more reasonable range. The parameter D (initial degradation) still has to be adjusted by hand in order to minimize the sum of squared residuals. With the current values, a change of D by 500 km changes the 6th digit of the sum sq. as well as the 6th digit of R^2. This is indicative of the large (20%+) uncertainty on this parameter, but it gives at least an order of magnitude.
Still I think this is a reasonable solution.</t>
  </si>
  <si>
    <t>|42410|fsch|(Sorry for posting multiple comments.) OK, I think I found a solution. In a new sheet ('model with fixed D #2'), I now arranged the fit so that the model has to reach 100% at 0 km. It gives more sensible parameters, with B, the long-term degradation parameter, being in a more reasonable range. The parameter D (initial degradation) still has to be adjusted by hand in order to minimize the sum of squared residuals. With the current values, a change of D by 500 km changes the 6th digit of the sum sq. as well as the 6th digit of R^2. This is indicative of the large (20%+) uncertainty on this parameter, but it gives at least an order of magnitude.
Still I think this is a reasonable solution.||||||</t>
  </si>
  <si>
    <t>Hi fsch. This looks good. I copied sheet D#2 to this file. That's definitely something I can work with. We already use the linest function for some calculations. For example, if you go to the Canada sheet and look at your entry in column AR, it shows the value of the trendline at your mileage.
I'm happy that the new formula shows a very similar trendline where we have lots of data (0 to 130,000 km). 
It's a shame the D coefficient is not a dynamic number. 
I will do some tests and see how it goes. Thank you for your efforts. You have done a great job with the new trendline formula. Cheers Matteo</t>
  </si>
  <si>
    <t>Keezje|Asia Pacific &amp; Europe (excl UK)|23-Dec-2013|09-Aug-2015|Model S P85|52500|373|Off|No|||233|F) a few times a year|F) a few times a year|F) a few times a year|0.9||396|Off|||||19"</t>
  </si>
  <si>
    <t>|42410|Matteo|Hi fsch. This looks good. I copied sheet D#2 to this file. That's definitely something I can work with. We already use the linest function for some calculations. For example, if you go to the Canada sheet and look at your entry in column AR, it shows the value of the trendline at your mileage.
I'm happy that the new formula shows a very similar trendline where we have lots of data (0 to 130,000 km). 
It's a shame the D coefficient is not a dynamic number. 
I will do some tests and see how it goes. Thank you for your efforts. You have done a great job with the new trendline formula. Cheers Matteo||||||</t>
  </si>
  <si>
    <t>Great! And thanks a lot for your work.</t>
  </si>
  <si>
    <t>|42410|fsch|Great! And thanks a lot for your work.||||||</t>
  </si>
  <si>
    <t xml:space="preserve">Hi fsch. Your idea has been implemented. I also managed to automate the D constant using a simple scpript (see top menu &gt; tools &gt; script editor) and some other tricks. Cheers </t>
  </si>
  <si>
    <t>19" cyclone</t>
  </si>
  <si>
    <t>widodh|Asia Pacific &amp; Europe (excl UK)|26-Sep-2013|12-Aug-2015|Model S 85|90600|378|On|Yes|Didn't change|65000|219|E) monthly|D) twice a month|F) a few times a year|0.9|22|399|Off|||||19" cyclone</t>
  </si>
  <si>
    <t>|42411|Matteo|Hi fsch. Your idea has been implemented. I also managed to automate the D constant using a simple scpript (see top menu &gt; tools &gt; script editor) and some other tricks. Cheers ||||||</t>
  </si>
  <si>
    <t>shoot72</t>
  </si>
  <si>
    <t>pjw65</t>
  </si>
  <si>
    <t>Shouldn't the Charge Cycles and the Mileage chart trendline look the same?</t>
  </si>
  <si>
    <t>|42450|pjw65|Shouldn't the Charge Cycles and the Mileage chart trendline look the same?||||||</t>
  </si>
  <si>
    <t>Yes it should but it is technically difficult. None of the default trendlines work well. Therefore we created a custom trendline but it is only for mileage chart. Cycles chart was still using a default trendline. I have now removed it. Adding the custom trendline to Cycles chart is complicated. It requires additional columns on some data tabs where the data is filtered and processed. The sheet is already slow. First I need to find ways to make the sheet faster before adding more complexity.</t>
  </si>
  <si>
    <t>|42453|Matteo|Yes it should but it is technically difficult. None of the default trendlines work well. Therefore we created a custom trendline but it is only for mileage chart. Cycles chart was still using a default trendline. I have now removed it. Adding the custom trendline to Cycles chart is complicated. It requires additional columns on some data tabs where the data is filtered and processed. The sheet is already slow. First I need to find ways to make the sheet faster before adding more complexity.||||||</t>
  </si>
  <si>
    <t>thanks for the info. I will tell some people on german tff about this :)</t>
  </si>
  <si>
    <t>|42459|pjw65|thanks for the info. I will tell some people on german tff about this :)||||||</t>
  </si>
  <si>
    <t>shoot72|Asia Pacific &amp; Europe (excl UK)|05-Jun-2015|12-Aug-2015|Model S 85D|18650|398|Off|No|||207|B) twice a week|D) twice a month|H) never|0.9|11|404|Off|||||19"</t>
  </si>
  <si>
    <t xml:space="preserve">Would you consider adding a comment column about problems/repairs regarding other parts than the battery, in order to accumulate some statistics about that as well? (e.g. door handles, battery relay, wiper mechanism, sunroof leaking, etc.)  </t>
  </si>
  <si>
    <t>|42462|fsch|Would you consider adding a comment column about problems/repairs regarding other parts than the battery, in order to accumulate some statistics about that as well? (e.g. door handles, battery relay, wiper mechanism, sunroof leaking, etc.)  ||||||</t>
  </si>
  <si>
    <t>Increased 6 kms</t>
  </si>
  <si>
    <t>Hi fsch. Repair statictics about door handles, drive units, sunroof or other parts are useful but those would require additional columns. For example, a few people mentioned drive unit replacements in comments column. This has no meaning unless people also mention if they did not have a drive unit replacement. That means we need a new column that says: "Did you have a drive unit replacement? Yes/No". Then we need other columns for door handles, wiper blades, sunroof, windshield etc. 
These could be added as optional questions but I have been trying hard to reduce the number of optional questions as well. I removed many of those in the past. The reason is because, whether it is optional or not, if a survey looks too long, many people just leave. This has a negative affect on battery statictics because we need entries from more participants. Therefore I'm not sure if adding more columns would be good or bad. 
The closest we have to what you want is the statistics about battery replacements. On Stats tab it shows that 6.2% of cars had a battery replacement. This used to be around 9% in the past.
Why do you want this information? Are you trying to decide whether you should keep the car beyond the 4 year overall warranty period (or 8 years with the extended warranty)?</t>
  </si>
  <si>
    <t>|42463|Matteo|Hi fsch. Repair statictics about door handles, drive units, sunroof or other parts are useful but those would require additional columns. For example, a few people mentioned drive unit replacements in comments column. This has no meaning unless people also mention if they did not have a drive unit replacement. That means we need a new column that says: "Did you have a drive unit replacement? Yes/No". Then we need other columns for door handles, wiper blades, sunroof, windshield etc. 
These could be added as optional questions but I have been trying hard to reduce the number of optional questions as well. I removed many of those in the past. The reason is because, whether it is optional or not, if a survey looks too long, many people just leave. This has a negative affect on battery statictics because we need entries from more participants. Therefore I'm not sure if adding more columns would be good or bad. 
The closest we have to what you want is the statistics about battery replacements. On Stats tab it shows that 6.2% of cars had a battery replacement. This used to be around 9% in the past.
Why do you want this information? Are you trying to decide whether you should keep the car beyond the 4 year overall warranty period (or 8 years with the extended warranty)?||||||</t>
  </si>
  <si>
    <t>(366.58 * 17.1 / 83.04) / 77.5 = 0.9741</t>
  </si>
  <si>
    <t>MrBoylan</t>
  </si>
  <si>
    <t>Hi, Matteo, I hope this is the right place for questions. I didn't see a place where averages on range loss are published. I believe when the study was first published, Tesla batteries were losing about 6% after 50K miles and 1% for each additional 10K miles. Is this still true?</t>
  </si>
  <si>
    <t>S-19910|Asia Pacific &amp; Europe (excl UK)|26-Nov-2013|12-Aug-2015|Model S P85|102000|362|Off|Yes|Increased 6 kms|80000|215|D) twice a month|E) monthly|G) once or twice a year|0.8|22|399|Off|362|280|17.1|Off|19"</t>
  </si>
  <si>
    <t>|42463|MrBoylan|Hi, Matteo, I hope this is the right place for questions. I didn't see a place where averages on range loss are published. I believe when the study was first published, Tesla batteries were losing about 6% after 50K miles and 1% for each additional 10K miles. Is this still true?||||||</t>
  </si>
  <si>
    <t>Second question... I see there have been over 500 responses worldwide, but the stats only show 243 users. Are some users entering data for more than one car? Or are they entering data for their own car multiple times? I'm just trying to get a sense of how many cars this represents. Thanks!</t>
  </si>
  <si>
    <t>|42463|MrBoylan|Second question... I see there have been over 500 responses worldwide, but the stats only show 243 users. Are some users entering data for more than one car? Or are they entering data for their own car multiple times? I'm just trying to get a sense of how many cars this represents. Thanks!||||||</t>
  </si>
  <si>
    <t>11 / 22</t>
  </si>
  <si>
    <t>(380.76 * 26 / 134.68) / 77.5 = 0.9484</t>
  </si>
  <si>
    <t xml:space="preserve">@Mateo: No, I want to keep my car forever! But 6 doors handles have been changed on it so far, and there are little reliable data about it (i.e. some people complain on the forums, other say it's marginal, etc.) I was actually just thinking about a single comment column about other problems, no stats computed, but someone can extract (perhaps unreliable) data from that. Just an idea. I don't know about other sites accumulating systematic data. Or I should read the Consumer reports instead! 
@MrBoylan, if you check the trendline, you see that it indeed drops by 6% over the first 80 000 km or 50 000 miles, then another 2% over the next 100 000 km (or 60 000 miles), so that would make less than (1/3)% per 10 000 miles! (Actually, the fit currently predicts 1% loss every 74 000 km or 46 000 miles for the long term losses.) But more data is needed at high mileage for that conclusion to hold. And of course, this is a fit through many cars data, with some significant dispersion of the datapoints, which means that a single car can depart significantly from the trendline. Unfortunately, not everybody can be above average! 
And yes, people enter data many times for their car so if you select a username from the dropdown menu at the top of the chart, you can see the evolution of that single car. </t>
  </si>
  <si>
    <t>ErikR|Asia Pacific &amp; Europe (excl UK)|30-Sep-2014|11-Aug-2015|Model S 85|31500|376|Off|No|||262|E) monthly|D) twice a month|G) once or twice a year|0.8|11 / 22|399|Off|376|243|26|Off|19"</t>
  </si>
  <si>
    <t>|42464|fsch|@Mateo: No, I want to keep my car forever! But 6 doors handles have been changed on it so far, and there are little reliable data about it (i.e. some people complain on the forums, other say it's marginal, etc.) I was actually just thinking about a single comment column about other problems, no stats computed, but someone can extract (perhaps unreliable) data from that. Just an idea. I don't know about other sites accumulating systematic data. Or I should read the Consumer reports instead! 
@MrBoylan, if you check the trendline, you see that it indeed drops by 6% over the first 80 000 km or 50 000 miles, then another 2% over the next 100 000 km (or 60 000 miles), so that would make less than (1/3)% per 10 000 miles! (Actually, the fit currently predicts 1% loss every 74 000 km or 46 000 miles for the long term losses.) But more data is needed at high mileage for that conclusion to hold. And of course, this is a fit through many cars data, with some significant dispersion of the datapoints, which means that a single car can depart significantly from the trendline. Unfortunately, not everybody can be above average! 
And yes, people enter data many times for their car so if you select a username from the dropdown menu at the top of the chart, you can see the evolution of that single car. ||||||</t>
  </si>
  <si>
    <t>Hi MrBoylan.
1) For stats you can look at the first chart in Charts page. The trendline (the red line) shows the average user. To change mileage from km to miles, select any user name from USA tab. For example select AmpedRealtor. 
2) The stats are per username. In our case each username repreents a car. Many users submit multiple entries but the stats page only considers their last entry. The reason for this is because I wanted the stats to be more realistic. Imagine somebody who has very bad degradation and submits 20 entries. That would mess up stats.</t>
  </si>
  <si>
    <t>|42466|Matteo|Hi MrBoylan.
1) For stats you can look at the first chart in Charts page. The trendline (the red line) shows the average user. To change mileage from km to miles, select any user name from USA tab. For example select AmpedRealtor. 
2) The stats are per username. In our case each username repreents a car. Many users submit multiple entries but the stats page only considers their last entry. The reason for this is because I wanted the stats to be more realistic. Imagine somebody who has very bad degradation and submits 20 entries. That would mess up stats.||||||</t>
  </si>
  <si>
    <t>Hi fsch. There is already a single comments column in column AG and some people did enter various issues (mostly drive unit failure) to this column. However, like I said, you would also need the opposite data. If 2 out of 100 users mentioned a problem, how would you know whether any of the other 98 didn't have the same problem unless they said they didn't have it? Therefore you need a droplist that says did you have this problem? Yes/No. By default this droplist would be blank. Then you can count yes and no answers and you will have a percentage. If you want you could create a poll on TMC (teslamotorsclub.com) with two possible answers, yes and no.</t>
  </si>
  <si>
    <t>Rprp|Asia Pacific &amp; Europe (excl UK)|31-Dec-2013|12-Aug-2015|Model S P85|94500|370|Off|No|||218||||||||||||</t>
  </si>
  <si>
    <t>|42466|Matteo|Hi fsch. There is already a single comments column in column AG and some people did enter various issues (mostly drive unit failure) to this column. However, like I said, you would also need the opposite data. If 2 out of 100 users mentioned a problem, how would you know whether any of the other 98 didn't have the same problem unless they said they didn't have it? Therefore you need a droplist that says did you have this problem? Yes/No. By default this droplist would be blank. Then you can count yes and no answers and you will have a percentage. If you want you could create a poll on TMC (teslamotorsclub.com) with two possible answers, yes and no.||||||</t>
  </si>
  <si>
    <t xml:space="preserve">I made some changes to my latest entry. I got a few things wrong and corrected it. Now it shows yellow. I hope that didn't break anything. </t>
  </si>
  <si>
    <t>|42496|DavidH|I made some changes to my latest entry. I got a few things wrong and corrected it. Now it shows yellow. I hope that didn't break anything. ||||||</t>
  </si>
  <si>
    <t xml:space="preserve">Hi David. No that's normal. It is just a security measure against vandalism. The yellow goes away after I check the changes and compare them to old data to make sure it is not vandalism. </t>
  </si>
  <si>
    <t>|42499|Matteo|Hi David. No that's normal. It is just a security measure against vandalism. The yellow goes away after I check the changes and compare them to old data to make sure it is not vandalism. ||||||</t>
  </si>
  <si>
    <t>There are now some apps that allow access to the internal data from the car. One interesting data point is the car's estimate how much capacity is the battery able to hold. Unfortunately this wasn't available when I got my car more than 2 years ago, but I can get the data now. It typically shows 74-75 kWh. A similar Model S I tested (same age but only 20k miles) showed 78.2 kWh. Is this data any helpful here?</t>
  </si>
  <si>
    <t>19" winter and 20" staggerred 245/285 summer</t>
  </si>
  <si>
    <t>PaulusdB|Asia Pacific &amp; Europe (excl UK)|13-Nov-2013|13-Aug-2015|Model S P85+|37900|382|On|No|||226|D) twice a month|F) a few times a year|G) once or twice a year|0.6|11|402|On|||||19" winter and 20" staggerred 245/285 summer</t>
  </si>
  <si>
    <t>|42494|DavidH|There are now some apps that allow access to the internal data from the car. One interesting data point is the car's estimate how much capacity is the battery able to hold. Unfortunately this wasn't available when I got my car more than 2 years ago, but I can get the data now. It typically shows 74-75 kWh. A similar Model S I tested (same age but only 20k miles) showed 78.2 kWh. Is this data any helpful here?||||||</t>
  </si>
  <si>
    <t>Top</t>
  </si>
  <si>
    <t>Hi David. For the purposes of this survey, this subject is not relevant because we use rated range (for North America) and typical range (for elsewhere) when collecting data and calculating the percentages. Currently the sheet is set to 268 mi rated range for a new S85 with range mode on when charged to 100%. Then it calculates your percentage based on this 268 mi number. If you submit an entry and select range mode was on and your range was 268 miles, then the results will show 100% capacity. You might say, how did you come up with the 268 mi number? That's easy. It is one of the questions in the suvey. In column AA the question says "What was 100% rated range when car was new?". I look at that column and calculate a number. From time to time I check that column again to see if the numbers need adjusting.</t>
  </si>
  <si>
    <t>|42499|Matteo|Hi David. For the purposes of this survey, this subject is not relevant because we use rated range (for North America) and typical range (for elsewhere) when collecting data and calculating the percentages. Currently the sheet is set to 268 mi rated range for a new S85 with range mode on when charged to 100%. Then it calculates your percentage based on this 268 mi number. If you submit an entry and select range mode was on and your range was 268 miles, then the results will show 100% capacity. You might say, how did you come up with the 268 mi number? That's easy. It is one of the questions in the suvey. In column AA the question says "What was 100% rated range when car was new?". I look at that column and calculate a number. From time to time I check that column again to see if the numbers need adjusting.||||||</t>
  </si>
  <si>
    <t>19" michelin (Matteo: Hi. Double click to read. You are the first to submit an entry for 70D in Europe. Tesla doesn't publish typical range numbers anywhere. We have to guess based on what people report seeing in the car. For now I have entered 343 km with range mode on. This might change when there are 70D entries from more people, depending on what numbers they report. So don't be surprised if your percentage number changes in the future. By the way, you can submit as many entries as you like to see how your range changes over time. Thanks for the data. Check out charts page.</t>
  </si>
  <si>
    <t>Ruslan</t>
  </si>
  <si>
    <t>Hello. Thanks for creating this resource. Would it be possible to create a chart that displays correlation between time and battery capacity?</t>
  </si>
  <si>
    <t>Top|Asia Pacific &amp; Europe (excl UK)|14-Aug-2015|15-Aug-2015|Model S 70D|300|339|Off|No|||187||D) twice a month|D) twice a month|0.9|11|339|Off|||||19" michelin (Matteo: Hi. Double click to read. You are the first to submit an entry for 70D in Europe. Tesla doesn't publish typical range numbers anywhere. We have to guess based on what people report seeing in the car. For now I have entered 343 km with range mode on. This might change when there are 70D entries from more people, depending on what numbers they report. So don't be surprised if your percentage number changes in the future. By the way, you can submit as many entries as you like to see how your range changes over time. Thanks for the data. Check out charts page.</t>
  </si>
  <si>
    <t>|42516|Ruslan|Hello. Thanks for creating this resource. Would it be possible to create a chart that displays correlation between time and battery capacity?||||||</t>
  </si>
  <si>
    <t>Hi Ruslan. We used to have a chart for battery age vs capacity. Therefore the data is still there and I added the same chart back. You can find it on Charts tab. However, the reason why it was removed in first place is because, the cycles chart made more sense. To speed up the file, I might remove things from stats page and charts page. This chart might be one of the things that gets removed in a few months. So don't be surprised if it's gone again. You can click File &gt; Make a copy to create your own copy. Cheers</t>
  </si>
  <si>
    <t>|42517|Matteo|Hi Ruslan. We used to have a chart for battery age vs capacity. Therefore the data is still there and I added the same chart back. You can find it on Charts tab. However, the reason why it was removed in first place is because, the cycles chart made more sense. To speed up the file, I might remove things from stats page and charts page. This chart might be one of the things that gets removed in a few months. So don't be surprised if it's gone again. You can click File &gt; Make a copy to create your own copy. Cheers||||||</t>
  </si>
  <si>
    <t>Thank you, Matteo.</t>
  </si>
  <si>
    <t>|42517|Ruslan|Thank you, Matteo.||||||</t>
  </si>
  <si>
    <t>Vlad</t>
  </si>
  <si>
    <t>Dear Matteo, thank you for creating this resource. I would like to use the graph that shows capacity loss versus mileage for a technical report. I need to know if there is any copyright restrictions on this. Speciafically, could you please let me know if the graph can be copied and redistributed in any medium or format provided that the credit to this resource is given?</t>
  </si>
  <si>
    <t>|42535|Vlad|Dear Matteo, thank you for creating this resource. I would like to use the graph that shows capacity loss versus mileage for a technical report. I need to know if there is any copyright restrictions on this. Speciafically, could you please let me know if the graph can be copied and redistributed in any medium or format provided that the credit to this resource is given?||||||</t>
  </si>
  <si>
    <t>Guten|Asia Pacific &amp; Europe (excl UK)|15-Aug-2015|16-Aug-2015|Model S 70D|130|336|On|No|||208||||||||||||</t>
  </si>
  <si>
    <t>Hi. No problem. You can use the chart as you wish. If you need the chart to show miles instead km, you can select a random username from the USA tab.</t>
  </si>
  <si>
    <t>|42536|Matteo|Hi. No problem. You can use the chart as you wish. If you need the chart to show miles instead km, you can select a random username from the USA tab.||||||</t>
  </si>
  <si>
    <t>Many thanks, Matteo.</t>
  </si>
  <si>
    <t>|42538|Vlad|Many thanks, Matteo.||||||</t>
  </si>
  <si>
    <t>Hi Mateo, I see that the guy who has an entry at 231 000 km (energie gratiz) actually indicated a battery change in his previous entry. The battery was chaged at 77 000 km, so the corrected milage for his last entry should be 154 000 km.
Also, I see that you are fitting a polynomial on the exponential fit, and it results in a shoulder at high milage.</t>
  </si>
  <si>
    <t>|42542|fsch|Hi Mateo, I see that the guy who has an entry at 231 000 km (energie gratiz) actually indicated a battery change in his previous entry. The battery was chaged at 77 000 km, so the corrected milage for his last entry should be 154 000 km.
Also, I see that you are fitting a polynomial on the exponential fit, and it results in a shoulder at high milage.||||||</t>
  </si>
  <si>
    <t>19" / drive unit replaced twice</t>
  </si>
  <si>
    <t>Hi fsch. Thanks, I added the battery replacement data. As for the trendline, I implemented your idea the best way I could. Normally your method creates lots of red dots but not a trendline. To connect those and display them as a line I had to select one of the available trendline options. It works well unless there are large gaps of available data.</t>
  </si>
  <si>
    <t>SSc3010|Asia Pacific &amp; Europe (excl UK)|04-Jun-2014|24-Jul-2015|Model S 85|60689|374|On|No|||189|C) weekly|F) a few times a year|F) a few times a year|0.9|9|398|On|||||19" / drive unit replaced twice</t>
  </si>
  <si>
    <t>|42545|Matteo|Hi fsch. Thanks, I added the battery replacement data. As for the trendline, I implemented your idea the best way I could. Normally your method creates lots of red dots but not a trendline. To connect those and display them as a line I had to select one of the available trendline options. It works well unless there are large gaps of available data.||||||</t>
  </si>
  <si>
    <t>Hi Matteo.  First, thank you for publishing this and facilitating collection of data.  I have a question on your published US EPA ranges for the 90D.  You show a published range of 285 however the published range for my brand new 90D is listed as 294.  I'm not certain, but is there a difference now for the new front end (which mine has) or latest software update?  I notice in US data another pretty new 90D (L-P-G) and we both are showing &gt;100% battery range  My initial datapoint actually shows up about 104% from data I entered based upon a range charge.  If I normalize both my datapoint and that of L-P-G using the 294 published range then they both fall back to +/- 1% off of nominal 100%.</t>
  </si>
  <si>
    <t>|42568|PCMc|Hi Matteo.  First, thank you for publishing this and facilitating collection of data.  I have a question on your published US EPA ranges for the 90D.  You show a published range of 285 however the published range for my brand new 90D is listed as 294.  I'm not certain, but is there a difference now for the new front end (which mine has) or latest software update?  I notice in US data another pretty new 90D (L-P-G) and we both are showing &gt;100% battery range  My initial datapoint actually shows up about 104% from data I entered based upon a range charge.  If I normalize both my datapoint and that of L-P-G using the 294 published range then they both fall back to +/- 1% off of nominal 100%.||||||</t>
  </si>
  <si>
    <t>Hi PCMc. Thanks for the reminder. I have now changed it to 294. The reason it was 285 is because Tesla website used to show 288mi EPA rated range for S90D (here is a screenshot http://i.imgur.com/n7kJAE1.gif) and some owners reported seeing max 285. I will also update other models. With Tesla it's hard to keep up. The speed of innovation and change is amazing.</t>
  </si>
  <si>
    <t>SSc3010|Asia Pacific &amp; Europe (excl UK)|04-Jun-2014|31-Jul-2015|Model S 85|61228|376|On|No|||189|C) weekly|F) a few times a year|F) a few times a year|0.9|9|398|On|||||19" / drive unit replaced twice</t>
  </si>
  <si>
    <t>|42568|Matteo|Hi PCMc. Thanks for the reminder. I have now changed it to 294. The reason it was 285 is because Tesla website used to show 288mi EPA rated range for S90D (here is a screenshot http://i.imgur.com/n7kJAE1.gif) and some owners reported seeing max 285. I will also update other models. With Tesla it's hard to keep up. The speed of innovation and change is amazing.||||||</t>
  </si>
  <si>
    <t>Unknown User</t>
  </si>
  <si>
    <t>The chart doesn't show any more. I tried two different browsers. What am I doing wrong?</t>
  </si>
  <si>
    <t>|42582|Unknown User|The chart doesn't show any more. I tried two different browsers. What am I doing wrong?||||||</t>
  </si>
  <si>
    <t>Hi. I've just had a look and it works fine both in Chrome and Firefox. The droplist in Charts!E1 works fine too. I'm not sure what the problem might be but if you are using a mobile device try on a desktop computer or laptop.</t>
  </si>
  <si>
    <t>SSc3010|Asia Pacific &amp; Europe (excl UK)|04-Jun-2014|01-Aug-2015|Model S 85|62102|377|On|No|||189|C) weekly|F) a few times a year|F) a few times a year|0.9|9|398|On|||||19" / drive unit replaced twice</t>
  </si>
  <si>
    <t>|42582|Matteo|Hi. I've just had a look and it works fine both in Chrome and Firefox. The droplist in Charts!E1 works fine too. I'm not sure what the problem might be but if you are using a mobile device try on a desktop computer or laptop.||||||</t>
  </si>
  <si>
    <t>m</t>
  </si>
  <si>
    <t>It works again.!</t>
  </si>
  <si>
    <t>|42583|m|It works again.!||||||</t>
  </si>
  <si>
    <t>USA section is locked to filter to Model S 90D only. Can't add new record, please fix!</t>
  </si>
  <si>
    <t>|42616|Unknown User|USA section is locked to filter to Model S 90D only. Can't add new record, please fix!||||||</t>
  </si>
  <si>
    <t>Select Username &gt;&gt;</t>
  </si>
  <si>
    <t>Sorry about that. It's back to normal now.</t>
  </si>
  <si>
    <t>SSc3010|Asia Pacific &amp; Europe (excl UK)|04-Jun-2014|04-Aug-2015|Model S 85|62375|376|On|No|||189|C) weekly|F) a few times a year|F) a few times a year|0.9|9|398|On|||||19" / drive unit replaced twice</t>
  </si>
  <si>
    <t>|42616|Matteo|Sorry about that. It's back to normal now.||||||</t>
  </si>
  <si>
    <t>N/A</t>
  </si>
  <si>
    <t>Just stumbled across this effort through an article on Electrek (https://electrek.co/2016/11/01/tesla-battery-degradation/).  Love the analytics, but maybe reaching out to the owners that read Electrek or others on TMC could strengthen the model with more data points.  I would love to provide information, but unfortunately I'm not an owner at this time.  Good luck and thanks for the info!</t>
  </si>
  <si>
    <t>|42675|N/A|Just stumbled across this effort through an article on Electrek (https://electrek.co/2016/11/01/tesla-battery-degradation/).  Love the analytics, but maybe reaching out to the owners that read Electrek or others on TMC could strengthen the model with more data points.  I would love to provide information, but unfortunately I'm not an owner at this time.  Good luck and thanks for the info!||||||</t>
  </si>
  <si>
    <t>I am now entering my 4th winter and am pretty sure that the ambiant temperature (so, to some extend, the battery temperature while charging) plays an important role, especially when charging at 100% from a 90% plateau. In my case I always charge at 90% first and schedule the daily top up to full 100% so that charging is complete shortly before leaving. In doing so, the charging from 90% to 100% is extremely sensitive to ambiant temperature since the battery pack has usually cooled down since the main charging to 90%. As the charging power is always low when charging from 90% to 100%, charging by itself barely heats the pack (unlike for instance when supercharging at 120kw). I have already experienced some charging in cold weather from 20% directly to 100% which led to higher capacity than when restarting from 90% with a cold pack. Seasonal cycles can be observed from year to year just by reading my data points (capacity is higher during summers than in winters). Furthermore, during winters, the typical range reading at 90% often predicts a higher 100% capacity which cannot be reached the following (cold) morning. Hence my suggestion would be to include at least a field with ambiant temperature while charging and ideally that temperature + the last plateau before charging to 100%. Just my 5 Cents as one of the highest driven mileage in the data set.</t>
  </si>
  <si>
    <t>|42702|Go4IT|I am now entering my 4th winter and am pretty sure that the ambiant temperature (so, to some extend, the battery temperature while charging) plays an important role, especially when charging at 100% from a 90% plateau. In my case I always charge at 90% first and schedule the daily top up to full 100% so that charging is complete shortly before leaving. In doing so, the charging from 90% to 100% is extremely sensitive to ambiant temperature since the battery pack has usually cooled down since the main charging to 90%. As the charging power is always low when charging from 90% to 100%, charging by itself barely heats the pack (unlike for instance when supercharging at 120kw). I have already experienced some charging in cold weather from 20% directly to 100% which led to higher capacity than when restarting from 90% with a cold pack. Seasonal cycles can be observed from year to year just by reading my data points (capacity is higher during summers than in winters). Furthermore, during winters, the typical range reading at 90% often predicts a higher 100% capacity which cannot be reached the following (cold) morning. Hence my suggestion would be to include at least a field with ambiant temperature while charging and ideally that temperature + the last plateau before charging to 100%. Just my 5 Cents as one of the highest driven mileage in the data set.||||||</t>
  </si>
  <si>
    <t>SSc3010|Asia Pacific &amp; Europe (excl UK)|04-Jun-2014|05-Aug-2015|Model S 85|62465|377|On|No|||189|C) weekly|F) a few times a year|F) a few times a year|0.9|9|398|On|||||19" / drive unit replaced twice</t>
  </si>
  <si>
    <t>Hi, Go4IT. It's not the ambient temperature but the battery pack temperature that would affect displayed range. However, there are multiple factors that might affect pack temperature:
1. Ambient temperature
2. Whether or not the car was just driven. For how long it was driven. At what speed it was driven.
3. Whether range mode was on/off while driving if the car was just driven or while charging. 
4. Whether a supercharger or slower charger was used to charge to 100%.
If we use just ambient temperature to try to guess pack temperature, the data would be less accurate than it is now because the ambient temperature is not the only factor that affects pack temperature. The weather might be cold but the pack could be still hot if somebody has just driven the car at high speed and then used the supercharger to charge to 100%. There are too many questions to ask to try to guess what the pack temperature might have been when the user read the range number. These questions are too complicated to measure. If there are too many questions, there will be fewer entries because people just go away if it looks too complicated. We already have too few entries for meaningful data on the stats page.
Even if people answered all those, we still couldn't calculate the pack temperature because we don't know how each factor affects pack temperature. In addition, if you look at this diagnostic screen https://teslamotorsclub.com/tmc/posts/693246/ it shows that pack cooling or heating kicks in only if the pack temperature hits a pre-defined upper or lower limit. That further complicates things. 
Ambient temperature was one of the questions that was removed long time ago to simplify things. I'm looking for other questions I can remove from the survey. Anyway, thanks for your suggestion.</t>
  </si>
  <si>
    <t>|42703|Matteo|Hi, Go4IT. It's not the ambient temperature but the battery pack temperature that would affect displayed range. However, there are multiple factors that might affect pack temperature:
1. Ambient temperature
2. Whether or not the car was just driven. For how long it was driven. At what speed it was driven.
3. Whether range mode was on/off while driving if the car was just driven or while charging. 
4. Whether a supercharger or slower charger was used to charge to 100%.
If we use just ambient temperature to try to guess pack temperature, the data would be less accurate than it is now because the ambient temperature is not the only factor that affects pack temperature. The weather might be cold but the pack could be still hot if somebody has just driven the car at high speed and then used the supercharger to charge to 100%. There are too many questions to ask to try to guess what the pack temperature might have been when the user read the range number. These questions are too complicated to measure. If there are too many questions, there will be fewer entries because people just go away if it looks too complicated. We already have too few entries for meaningful data on the stats page.
Even if people answered all those, we still couldn't calculate the pack temperature because we don't know how each factor affects pack temperature. In addition, if you look at this diagnostic screen https://teslamotorsclub.com/tmc/posts/693246/ it shows that pack cooling or heating kicks in only if the pack temperature hits a pre-defined upper or lower limit. That further complicates things. 
Ambient temperature was one of the questions that was removed long time ago to simplify things. I'm looking for other questions I can remove from the survey. Anyway, thanks for your suggestion.||||||</t>
  </si>
  <si>
    <t>Matteo - I know in your spreadsheet you ask the question of whether range mode was on when charging, and then adjust the reported rated range upwards if that answer is No.  Can you explain the source of adjustment you are using and the reason for it?  I have not observed any difference on my 2016 refresh MS 90D (USA spec) in the rated miles reported based upon whether I have range mode turned on or off when I charge.  
If the logic of this adjustment to try and factor in pack temperature as inferred by your discussion with Go4IT?  If so, then I could understand that maybe being a way to infer pack temp if the car had been driving for some time immediately prior to charging, but not if the car has not been driven right before charging.  For example, if I charge overnight in my garage, am leaving on a long trip the next morning, I may charge to 100% in anticipation of minimizing stops.  In that case, the differences in pack temp due to range mode would not seem to apply.  If the adjustment is simply for this reason, then it seems like you may be adding as much noise to the data as you're trying to remove in an attempt to adjust for pack temp, similar to the comments above around ambient temp.
Again, appreciate all your effort to coordinate this, as well as sharing your knowledge with me.  Paul.</t>
  </si>
  <si>
    <t>SSc3010|Asia Pacific &amp; Europe (excl UK)|04-Jun-2014|07-Aug-2015|Model S 85|62669|378|On|No|||189|C) weekly|F) a few times a year|F) a few times a year|0.9|9|398|On|||||19" / drive unit replaced twice</t>
  </si>
  <si>
    <t>|42708|PCMc|Matteo - I know in your spreadsheet you ask the question of whether range mode was on when charging, and then adjust the reported rated range upwards if that answer is No.  Can you explain the source of adjustment you are using and the reason for it?  I have not observed any difference on my 2016 refresh MS 90D (USA spec) in the rated miles reported based upon whether I have range mode turned on or off when I charge.  
If the logic of this adjustment to try and factor in pack temperature as inferred by your discussion with Go4IT?  If so, then I could understand that maybe being a way to infer pack temp if the car had been driving for some time immediately prior to charging, but not if the car has not been driven right before charging.  For example, if I charge overnight in my garage, am leaving on a long trip the next morning, I may charge to 100% in anticipation of minimizing stops.  In that case, the differences in pack temp due to range mode would not seem to apply.  If the adjustment is simply for this reason, then it seems like you may be adding as much noise to the data as you're trying to remove in an attempt to adjust for pack temp, similar to the comments above around ambient temp.
Again, appreciate all your effort to coordinate this, as well as sharing your knowledge with me.  Paul.||||||</t>
  </si>
  <si>
    <t>Hi. Here is a video that shows the instant effect of range mode:
https://www.youtube.com/watch?v=MoAPDZTzxd0 
Also, here is a discussion topic. See first sentence in message #1:
https://teslamotorsclub.com/tmc/posts/576732/
This has nothing to do with temperature. The two topics are not related.</t>
  </si>
  <si>
    <t>|42709|Matteo|Hi. Here is a video that shows the instant effect of range mode:
https://www.youtube.com/watch?v=MoAPDZTzxd0 
Also, here is a discussion topic. See first sentence in message #1:
https://teslamotorsclub.com/tmc/posts/576732/
This has nothing to do with temperature. The two topics are not related.||||||</t>
  </si>
  <si>
    <t>SSc3010|Asia Pacific &amp; Europe (excl UK)|04-Jun-2014|09-Aug-2015|Model S 85|62764|378|On|No|||189|C) weekly|F) a few times a year|F) a few times a year|0.9|9|398|On|||||19" / drive unit replaced twice</t>
  </si>
  <si>
    <t>Is there any chance that this behavior has been reproduced recently?  I do not question the video, but I have just repeated this exercise in my MS 90D and see no change in displyed rated miles as I toggle in and out of range mode.  I could speculate this behavior might have changed with later software versions or is it potentially a difference between European versus a USA specification vehicles (with corresponding different regulations with how rated miles are calculated?).
Here is link to video I made trying to recreate the charging experiment.  Should be shared such that you can watch it.
https://drive.google.com/open?id=0B7_eZCwFA_8gTnpISmNaVEQ5ZG8</t>
  </si>
  <si>
    <t>|42711|PCMc|Is there any chance that this behavior has been reproduced recently?  I do not question the video, but I have just repeated this exercise in my MS 90D and see no change in displyed rated miles as I toggle in and out of range mode.  I could speculate this behavior might have changed with later software versions or is it potentially a difference between European versus a USA specification vehicles (with corresponding different regulations with how rated miles are calculated?).
Here is link to video I made trying to recreate the charging experiment.  Should be shared such that you can watch it.
https://drive.google.com/open?id=0B7_eZCwFA_8gTnpISmNaVEQ5ZG8||||||</t>
  </si>
  <si>
    <t>(Matteo: Hi SSc3010. Double click to read. It makes more sense to submit a new entry every 5 to 10 thousand kilometres to see how your battery capacity changes over time. For example 62,000km, 67,000km, 72,000 km etc. is a good idea.) 19" / drive unit replaced twice</t>
  </si>
  <si>
    <t>Hi. In the video your charge level is too low. The increase is proportional to your charge level. You could test again when you have 100% charge. You have reported 298 miles with range mode off and 300 miles with range mode on. This is consistent with what should have happened.
In the meantime, I've asked others to comment on this here: http://www.teslamotorsclub.com/showthread.php/35978-MaxRange
By the way, in message #1, the user here is from the USA too: https://teslamotorsclub.com/tmc/posts/576732/. There was no regional difference. This worked everywhere.</t>
  </si>
  <si>
    <t>SSc3010|Asia Pacific &amp; Europe (excl UK)|04-Jun-2014|13-Aug-2015|Model S 85|63103|379|On|No|||189|C) weekly|F) a few times a year|F) a few times a year|0.9|9|398|On|||||(Matteo: Hi SSc3010. Double click to read. It makes more sense to submit a new entry every 5 to 10 thousand kilometres to see how your battery capacity changes over time. For example 62,000km, 67,000km, 72,000 km etc. is a good idea.) 19" / drive unit replaced twice</t>
  </si>
  <si>
    <t>|42712|Matteo|Hi. In the video your charge level is too low. The increase is proportional to your charge level. You could test again when you have 100% charge. You have reported 298 miles with range mode off and 300 miles with range mode on. This is consistent with what should have happened.
In the meantime, I've asked others to comment on this here: http://www.teslamotorsclub.com/showthread.php/35978-MaxRange
By the way, in message #1, the user here is from the USA too: https://teslamotorsclub.com/tmc/posts/576732/. There was no regional difference. This worked everywhere.||||||</t>
  </si>
  <si>
    <t>PCMc, feel free to write back if you test again at 100%.</t>
  </si>
  <si>
    <t>Increased 7 kms</t>
  </si>
  <si>
    <t>|42717|Matteo|PCMc, feel free to write back if you test again at 100%.||||||</t>
  </si>
  <si>
    <t>Beedles</t>
  </si>
  <si>
    <t>Does anyone have an explanation for USA's ID=12=Groeneweg2's low data viz. 85% of original capacity at 59,224km?</t>
  </si>
  <si>
    <t>|42720|Beedles|Does anyone have an explanation for USA's ID=12=Groeneweg2's low data viz. 85% of original capacity at 59,224km?||||||</t>
  </si>
  <si>
    <t>20" tyres (Borbet)</t>
  </si>
  <si>
    <t>In USA entry #60 Pilot_51 has submitted a similarly low entry for his S60. In the comments section in column AG he describes how the service center tried to rebalance it. It sounds like a rebalancing issue. This happens if the battery is never fully discharged. The displayed range becomes inaccurate over time because the car can't guess how much energy is stored in the battery.</t>
  </si>
  <si>
    <t>(375.7 * 68.2 / 375.7) / 77.5 = 0.88</t>
  </si>
  <si>
    <t>gelden|Asia Pacific &amp; Europe (excl UK)|30-Nov-2013|18-Aug-2015|Model S 85|54500|371|Off|Yes|Increased 7 kms|25000|265|D) twice a month|F) a few times a year|F) a few times a year|0.9|9|399|Off|371|0|68.2|Off|20" tyres (Borbet)</t>
  </si>
  <si>
    <t>|42720|Matteo|In USA entry #60 Pilot_51 has submitted a similarly low entry for his S60. In the comments section in column AG he describes how the service center tried to rebalance it. It sounds like a rebalancing issue. This happens if the battery is never fully discharged. The displayed range becomes inaccurate over time because the car can't guess how much energy is stored in the battery.||||||</t>
  </si>
  <si>
    <t>Can you add a trend line to the other charts (number of cycles, age in days)?</t>
  </si>
  <si>
    <t>|42818|DavidH|Can you add a trend line to the other charts (number of cycles, age in days)?||||||</t>
  </si>
  <si>
    <t>Hi. No problem.</t>
  </si>
  <si>
    <t>(408 * 9.6 / 50) / 77.5 = 1.0108</t>
  </si>
  <si>
    <t>AnalysiZ|Asia Pacific &amp; Europe (excl UK)|30-Mar-2015|15-Aug-2015|Model S P85D|10843|408|On|No|||199|D) twice a month|D) twice a month|F) a few times a year|0.8|11|||410|360|9.6|On|</t>
  </si>
  <si>
    <t>|42819|Matteo|Hi. No problem.||||||</t>
  </si>
  <si>
    <t>Following Go4IT comment, I tried to see if there was a correlation between the range and the time of year (more precisely between range and cos(2pi*day_of_year/365), which varies between +1 in January and -1 in July and should itself correlate to temperature). I would have used only the data for the North-most people but there are not enough stats from Canadians, and no way to know for the others. Anyway, considering everyone, only about 0.8% of the range change is due to the January-July variation. That's only about 2 miles or 3 km on an MS 85.
Unrelated topic: Matteo, I understand the problems with the trendlines, but currently, the tail effect is quite intense. Here is a suggestion: two linear regressions on the model, one for data below 50000 km and one for above: https://docs.google.com/spreadsheets/d/1VpDK3H1dosidNNIFpzxSgyzz8tYIonZFWhdJflAynew/edit#gid=154312675
I understand it would complexify quite a bit your calculations of what is above and what is below trendline, but that pair of trendlines could be only for display.</t>
  </si>
  <si>
    <t>MjjVonk|Asia Pacific &amp; Europe (excl UK)|11-Dec-2013|18-Aug-2015|Model S P85|68000|384|Off|No|||232|D) twice a month|D) twice a month|F) a few times a year|0.9|11|||||||</t>
  </si>
  <si>
    <t>|42822|fsch|Following Go4IT comment, I tried to see if there was a correlation between the range and the time of year (more precisely between range and cos(2pi*day_of_year/365), which varies between +1 in January and -1 in July and should itself correlate to temperature). I would have used only the data for the North-most people but there are not enough stats from Canadians, and no way to know for the others. Anyway, considering everyone, only about 0.8% of the range change is due to the January-July variation. That's only about 2 miles or 3 km on an MS 85.
Unrelated topic: Matteo, I understand the problems with the trendlines, but currently, the tail effect is quite intense. Here is a suggestion: two linear regressions on the model, one for data below 50000 km and one for above: https://docs.google.com/spreadsheets/d/1VpDK3H1dosidNNIFpzxSgyzz8tYIonZFWhdJflAynew/edit#gid=154312675
I understand it would complexify quite a bit your calculations of what is above and what is below trendline, but that pair of trendlines could be only for display.||||||</t>
  </si>
  <si>
    <t>Hi fsch. I updated the trendline for the first chart. If you look closer, now the trendline is actually constructed of lots of tiny 1 pixel red dots. The trendlines of the last two charts are still using Google's default polynomial trendlines. No matter what power level you select, they are not accurate. Switching them too will make the sheet slower. The first chart's trendline already makes things slower. So I'm trying to find a balance between improving the presentation vs speed.</t>
  </si>
  <si>
    <t>19" Brocks B32</t>
  </si>
  <si>
    <t>|42823|Matteo|Hi fsch. I updated the trendline for the first chart. If you look closer, now the trendline is actually constructed of lots of tiny 1 pixel red dots. The trendlines of the last two charts are still using Google's default polynomial trendlines. No matter what power level you select, they are not accurate. Switching them too will make the sheet slower. The first chart's trendline already makes things slower. So I'm trying to find a balance between improving the presentation vs speed.||||||</t>
  </si>
  <si>
    <t>ebullio|Asia Pacific &amp; Europe (excl UK)|14-Nov-2013|15-Aug-2015|Model S 85|52619|381|Off|Yes|Don't know (km)|12000|238|D) twice a month|F) a few times a year|G) once or twice a year|0.9|11|399|Off|||||19" Brocks B32</t>
  </si>
  <si>
    <t>With Update 8.0 software, I noted an immediate drop in maximum range from 247 to 233. I have driven the car almost 10 miles past 0 and not bricked. I believe that the 8.0 software created a 14 mile buffer below 0; this might alter your calculations if people are reporting the max range reported by the car after charging.</t>
  </si>
  <si>
    <t>|42830|dz1523|With Update 8.0 software, I noted an immediate drop in maximum range from 247 to 233. I have driven the car almost 10 miles past 0 and not bricked. I believe that the 8.0 software created a 14 mile buffer below 0; this might alter your calculations if people are reporting the max range reported by the car after charging.||||||</t>
  </si>
  <si>
    <t xml:space="preserve">Hi. v8.0 was released in late Sep 2016. I have checked a few entries by people who submit lots of entries to see if there was any change. For example, on the USA tab the users ghurenkamp, DavidH and Benjamin Brooks have submitted entries before and after v8.0 and they don't report any sudden or unexpected drop in range. 
I have then selected your username on the charts tab and your current entry is a little below the trendline but it looks normal. I think you have experienced the sharp drop that happens at early stages. If you look at the trendline on charts tab, the battery loses 4% in the first 20,000 miles but then it loses only 1% in the second 20,000 miles. When you select your username, the chart will switch from km to miles. In other words, the sharp drop was to be expected at that mileage. 
I recommend submitting new entries every 5,000-7,500 miles. If you have old data from 2016, you can enter those too if you want. </t>
  </si>
  <si>
    <t>|42831|Matteo|Hi. v8.0 was released in late Sep 2016. I have checked a few entries by people who submit lots of entries to see if there was any change. For example, on the USA tab the users ghurenkamp, DavidH and Benjamin Brooks have submitted entries before and after v8.0 and they don't report any sudden or unexpected drop in range. 
I have then selected your username on the charts tab and your current entry is a little below the trendline but it looks normal. I think you have experienced the sharp drop that happens at early stages. If you look at the trendline on charts tab, the battery loses 4% in the first 20,000 miles but then it loses only 1% in the second 20,000 miles. When you select your username, the chart will switch from km to miles. In other words, the sharp drop was to be expected at that mileage. 
I recommend submitting new entries every 5,000-7,500 miles. If you have old data from 2016, you can enter those too if you want. ||||||</t>
  </si>
  <si>
    <t>Holmes</t>
  </si>
  <si>
    <t>Trying to understand cycles better and I'm not terribly smart at this stuff. Is the formula behind cycles something that can be somewhat easily explained?</t>
  </si>
  <si>
    <t>dvroegop|Asia Pacific &amp; Europe (excl UK)|21-Mar-2015|19-Aug-2015|Model S 85|20120|389|Off|No|||216|E) monthly|F) a few times a year|G) once or twice a year|0.9|11|399|Off|||||</t>
  </si>
  <si>
    <t>dfranssen</t>
  </si>
  <si>
    <t>|42839|Holmes|Trying to understand cycles better and I'm not terribly smart at this stuff. Is the formula behind cycles something that can be somewhat easily explained?||||||</t>
  </si>
  <si>
    <t>Hi Holmes. I have expanded the explanation under the charts section. I also added the title "Understanding Cycles" so it's easier to see. Check out Charts tab row 114. Cheers</t>
  </si>
  <si>
    <t>|42841|Matteo|Hi Holmes. I have expanded the explanation under the charts section. I also added the title "Understanding Cycles" so it's easier to see. Check out Charts tab row 114. Cheers||||||</t>
  </si>
  <si>
    <t>thanar</t>
  </si>
  <si>
    <t>Hello. Would be interesting if you would add mean temperature to the mix, so as to see if degradation changes by the place you live. A mean temperature of each participant, or a latitude entry maybe?</t>
  </si>
  <si>
    <t>21" turbine</t>
  </si>
  <si>
    <t>(407.09 * 11.9 / 60.76) / 77.5 = 1.0288</t>
  </si>
  <si>
    <t>|42844|thanar|Hello. Would be interesting if you would add mean temperature to the mix, so as to see if degradation changes by the place you live. A mean temperature of each participant, or a latitude entry maybe?||||||</t>
  </si>
  <si>
    <t>dfranssen|Asia Pacific &amp; Europe (excl UK)|19-Jun-2015|20-Aug-2015|Model S 85D|4761|402|Off|No|||227|F) a few times a year|F) a few times a year|F) a few times a year|0.9|22|||402|342|11.9|Off|21" turbine</t>
  </si>
  <si>
    <t>Hi thanar. Temperature used to be one of the survey questions a long time ago but it was removed because outside temperature or even ambient temperature is not relevant but battery pack temperature is and the user has no easy way to read battery pack temperature.</t>
  </si>
  <si>
    <t>|42869|Matteo|Hi thanar. Temperature used to be one of the survey questions a long time ago but it was removed because outside temperature or even ambient temperature is not relevant but battery pack temperature is and the user has no easy way to read battery pack temperature.||||||</t>
  </si>
  <si>
    <t>Lucas</t>
  </si>
  <si>
    <t>To thanar:
most important are ultra low temperatures. -10 have no impact on battery, but if you keep car discharged at -30 u are loosing warranty... From my experiences over -25C with 0% left had impact on battery like -1km on range overnight</t>
  </si>
  <si>
    <t>|42846|Lucas|To thanar:
most important are ultra low temperatures. -10 have no impact on battery, but if you keep car discharged at -30 u are loosing warranty... From my experiences over -25C with 0% left had impact on battery like -1km on range overnight||||||</t>
  </si>
  <si>
    <t>In teslalog.com is over 1000 TM with data directly API. It will be nice compare, because API data are more reliable than man entered numbers... Are u interested for that Matteo?</t>
  </si>
  <si>
    <t>|42845|Lucas|In teslalog.com is over 1000 TM with data directly API. It will be nice compare, because API data are more reliable than man entered numbers... Are u interested for that Matteo?||||||</t>
  </si>
  <si>
    <t>Hi Lucas. If you want to compare the data, feel free to copy the data you see here. On the top right, click "File &gt; Make a copy" to create a copy of this file. Unfortunately, I don't have much time for more collaboration. Good luck.</t>
  </si>
  <si>
    <t>Nulwoning|Asia Pacific &amp; Europe (excl UK)|20-Nov-2013|20-Aug-2015|Model S 85|88160|377|On|No|||187|B) twice a week|D) twice a month|H) never|0.7||||||||</t>
  </si>
  <si>
    <t>|42869|Matteo|Hi Lucas. If you want to compare the data, feel free to copy the data you see here. On the top right, click "File &gt; Make a copy" to create a copy of this file. Unfortunately, I don't have much time for more collaboration. Good luck.||||||</t>
  </si>
  <si>
    <t xml:space="preserve">Temperature is important but I doubt selecting a region would be helpful. Here in California, themps are very very different depending on what part you live in. Even a few miles from the ocean the temps are significantly higher. </t>
  </si>
  <si>
    <t>|42856|Unknown User|Temperature is important but I doubt selecting a region would be helpful. Here in California, themps are very very different depending on what part you live in. Even a few miles from the ocean the temps are significantly higher. ||||||</t>
  </si>
  <si>
    <t>Hi Matteo, 
Back in end 11/2016 I dropped a few lines about influence of pack temperature and since then included a comment related to temperature to each entry I did.
Now I would like to discuss another aspect which I believe to have an influence on the true pack capacity and that is the "quality" of the first and last km i.e. the charge quality near 100% (the "first km") and 0% (the "last km").
When my car was new (almost 4 years ago...), I had about 400km at 100% (like most with a 85kWh battery) and I could often drive 3-5 km before km count would go down. Nowadays, I often see 3-5 km disappearing almost instantly as soon as the car is powered on and starts moving.
Similarly, when car was new, I could drive to -15km or even -20km before the battery would go completely empty. Nowadays, the car turns off right at 0 km and I have to tow it to my charging point (I do this on purpose for better calibration and to get a good experience with an empty battery... but I do it very close to home!)
This leads me to believe that the "quality" of the first and last km is decreasing significantly in my case, probably due to aging and to number of charging cycles.
I believe this to be further demonstrated by your alternative capacity calculation which is based on an actual trip (I always use the same trip as a reference to ease comparison between my lines).
Overall, my impression and usage experience is that this alternative capacity calculation is closer to reality and that I am probably well into the 15-20% capacity loss...
I wanted to share this with you because I wonder if the max km is a good indication about battery capacity, especially when it comes from the vendor who may not be as neutral as it could be in this measurement...
Interested to hear in your thoughts on this...</t>
  </si>
  <si>
    <t>JCar|Asia Pacific &amp; Europe (excl UK)|23-Dec-2013|24-Aug-2015|Model S 85|49500|378|On|No|||200|D) twice a month|F) a few times a year|H) never|0.7||401|Off|||||19"</t>
  </si>
  <si>
    <t>|42864|Go4IT|Hi Matteo, 
Back in end 11/2016 I dropped a few lines about influence of pack temperature and since then included a comment related to temperature to each entry I did.
Now I would like to discuss another aspect which I believe to have an influence on the true pack capacity and that is the "quality" of the first and last km i.e. the charge quality near 100% (the "first km") and 0% (the "last km").
When my car was new (almost 4 years ago...), I had about 400km at 100% (like most with a 85kWh battery) and I could often drive 3-5 km before km count would go down. Nowadays, I often see 3-5 km disappearing almost instantly as soon as the car is powered on and starts moving.
Similarly, when car was new, I could drive to -15km or even -20km before the battery would go completely empty. Nowadays, the car turns off right at 0 km and I have to tow it to my charging point (I do this on purpose for better calibration and to get a good experience with an empty battery... but I do it very close to home!)
This leads me to believe that the "quality" of the first and last km is decreasing significantly in my case, probably due to aging and to number of charging cycles.
I believe this to be further demonstrated by your alternative capacity calculation which is based on an actual trip (I always use the same trip as a reference to ease comparison between my lines).
Overall, my impression and usage experience is that this alternative capacity calculation is closer to reality and that I am probably well into the 15-20% capacity loss...
I wanted to share this with you because I wonder if the max km is a good indication about battery capacity, especially when it comes from the vendor who may not be as neutral as it could be in this measurement...
Interested to hear in your thoughts on this...||||||</t>
  </si>
  <si>
    <t>Hi, Go4IT. WK057 has an interesting thread about these topics here: 
https://teslamotorsclub.com/tmc/posts/1923792/ If you read message #1, paragraph 2 that starts with "As it turns out, ...", it looks like the displayed range is a very good metric to calculate usable battery capacity. But I wonder if the non-usable part changes over time. According to WK057, the 85 kWh battery has 81.5 kWh total and 77.5 kWh usable capacity. In other words, 4 kWh is not usable. Maybe Tesla is reducing the 4 kWh over time to compensate for part of the degradation. This would explain why you were able to drive below 0 typical range but now you are not. I don't know if they are actually doing this or not but if they are, it would mean after a certain mileage, degradation will be more sudden because the 4 kWh will run out.</t>
  </si>
  <si>
    <t>(Matteo: In your previous entry it says range increased 5 km after battery change. Please check data.)</t>
  </si>
  <si>
    <t>|42869|Matteo|Hi, Go4IT. WK057 has an interesting thread about these topics here: 
https://teslamotorsclub.com/tmc/posts/1923792/ If you read message #1, paragraph 2 that starts with "As it turns out, ...", it looks like the displayed range is a very good metric to calculate usable battery capacity. But I wonder if the non-usable part changes over time. According to WK057, the 85 kWh battery has 81.5 kWh total and 77.5 kWh usable capacity. In other words, 4 kWh is not usable. Maybe Tesla is reducing the 4 kWh over time to compensate for part of the degradation. This would explain why you were able to drive below 0 typical range but now you are not. I don't know if they are actually doing this or not but if they are, it would mean after a certain mileage, degradation will be more sudden because the 4 kWh will run out.||||||</t>
  </si>
  <si>
    <t>JoeNe|Asia Pacific &amp; Europe (excl UK)|26-Nov-2013|22-Aug-2015|Model S 85|70030|370|Off|Yes|Don't know (km)|60000|223|E) monthly|F) a few times a year|F) a few times a year|0.7|14|399|Off|||||(Matteo: In your previous entry it says range increased 5 km after battery change. Please check data.)</t>
  </si>
  <si>
    <t>Silent Bolt</t>
  </si>
  <si>
    <t>JCB</t>
  </si>
  <si>
    <t>Could we add a column for climate zone?  ( i suggest following the "plant hardiness zone, 6,7,8 etc)</t>
  </si>
  <si>
    <t>|42851|JCB|Could we add a column for climate zone?  ( i suggest following the "plant hardiness zone, 6,7,8 etc)||||||</t>
  </si>
  <si>
    <t>Hi. Thanks for the feedback. I'm trying to keep the survey simple because some people just close the page and go away when they see too many questions. We need more entries. Therefore I try to keep only the most relevant questions. I'm actually considering removing some existing questions. However, feel free to expand your idea a little more so I can understand it better. Cheers.</t>
  </si>
  <si>
    <t>|42869|Matteo|Hi. Thanks for the feedback. I'm trying to keep the survey simple because some people just close the page and go away when they see too many questions. We need more entries. Therefore I try to keep only the most relevant questions. I'm actually considering removing some existing questions. However, feel free to expand your idea a little more so I can understand it better. Cheers.||||||</t>
  </si>
  <si>
    <t>Column O label on USA sheet is wrong - says km but is actually miles. Makes me wonder if the chart is correct using km...</t>
  </si>
  <si>
    <t>Silent Bolt|Asia Pacific &amp; Europe (excl UK)|24-Jun-2015|25-Aug-2015|Model S 85D|2200|404|On|No|||218|F) a few times a year|F) a few times a year|H) never|0.9|16|||||||19"</t>
  </si>
  <si>
    <t>|42856|nickjhowe|Column O label on USA sheet is wrong - says km but is actually miles. Makes me wonder if the chart is correct using km...||||||</t>
  </si>
  <si>
    <t>Thanks, Nick. Fixed. It was just a cosmetic error that happened when copying and pasting formulas between country tabs. The chart works correctly. All country tabs show mileage in km in column AP. These km numbers from column AP are put together on a single hidden tab called "Charts Data". By the way, if you want to see the numbers in miles, select any random user from the USA or UK tabs. Cheers</t>
  </si>
  <si>
    <t>|42869|Matteo|Thanks, Nick. Fixed. It was just a cosmetic error that happened when copying and pasting formulas between country tabs. The chart works correctly. All country tabs show mileage in km in column AP. These km numbers from column AP are put together on a single hidden tab called "Charts Data". By the way, if you want to see the numbers in miles, select any random user from the USA or UK tabs. Cheers||||||</t>
  </si>
  <si>
    <t xml:space="preserve">Could you make it possible to select only all cars with the old battery cells and then only car with the new battery cells? I believe the new cells might degrade a little faster than the old ones. </t>
  </si>
  <si>
    <t>|42859|DavidH|Could you make it possible to select only all cars with the old battery cells and then only car with the new battery cells? I believe the new cells might degrade a little faster than the old ones. ||||||</t>
  </si>
  <si>
    <t>Hi, David. This sounds like a good idea. I will keep this in mind for the next major overhaul. Too many things are too messy right now. I need to simplify and improve things before adding new features but I like your idea. I guess old cells means the 85 kWh and the original 60 kWh. Let me know if it means something else.</t>
  </si>
  <si>
    <t>|42869|Matteo|Hi, David. This sounds like a good idea. I will keep this in mind for the next major overhaul. Too many things are too messy right now. I need to simplify and improve things before adding new features but I like your idea. I guess old cells means the 85 kWh and the original 60 kWh. Let me know if it means something else.||||||</t>
  </si>
  <si>
    <t>jensk2</t>
  </si>
  <si>
    <t xml:space="preserve">Excellent Survey! Some of the Asian Range numbers looks a little wrong. User jvds has a 70D and reports mostly around 360 km, but has ONE reading of 402, which COULD be the 'Estimated' mileage.  Same problem COULD affect some of the 85D numbers, where 430km is impressive, but well into 90D normal Range. Given how close the different models typical numbers are, I understand that is difficult to do 'data input sanity' verification at entry. The 70D assumed error, could be caught by an alert if entered value is more than 10% off of the average for all 70D's, which is 357,4 km:-) </t>
  </si>
  <si>
    <t>(384 * 57.1 / 296) / 77.5 = 0.9558</t>
  </si>
  <si>
    <t>JimmyJam|Asia Pacific &amp; Europe (excl UK)|24-Jun-2014|26-Aug-2015|Model S 85|60000|384|On|No|||223|E) monthly|F) a few times a year|G) once or twice a year|0.9|17.25|398|On|384|88|57.1|On|19"</t>
  </si>
  <si>
    <t>|42905|jensk2|Excellent Survey! Some of the Asian Range numbers looks a little wrong. User jvds has a 70D and reports mostly around 360 km, but has ONE reading of 402, which COULD be the 'Estimated' mileage.  Same problem COULD affect some of the 85D numbers, where 430km is impressive, but well into 90D normal Range. Given how close the different models typical numbers are, I understand that is difficult to do 'data input sanity' verification at entry. The 70D assumed error, could be caught by an alert if entered value is more than 10% off of the average for all 70D's, which is 357,4 km:-) ||||||</t>
  </si>
  <si>
    <t>Hi, jensk2. I like the instant alert idea. I will keep this in mind for the next major update. Thanks</t>
  </si>
  <si>
    <t>|42906|Matteo|Hi, jensk2. I like the instant alert idea. I will keep this in mind for the next major update. Thanks||||||</t>
  </si>
  <si>
    <t>aggregate</t>
  </si>
  <si>
    <t>Hi Matteo, is it an idea to add a model selection in the chart section, so you can see an aggregation per battery size</t>
  </si>
  <si>
    <t>|42912|aggregate|Hi Matteo, is it an idea to add a model selection in the chart section, so you can see an aggregation per battery size||||||</t>
  </si>
  <si>
    <t xml:space="preserve">Hi, aggregate. That would be a nice feature to have. Unfortunately, Google Sheets slows down as the file gets bigger and more complicated. Therefore I try to find a balance between the features we have and how fast the file works when people enter or read data. However, I like your idea. I will test it out during the next major update to see if it is something that can be implemented. Thanks for the feedback. </t>
  </si>
  <si>
    <t>|42922|Matteo|Hi, aggregate. That would be a nice feature to have. Unfortunately, Google Sheets slows down as the file gets bigger and more complicated. Therefore I try to find a balance between the features we have and how fast the file works when people enter or read data. However, I like your idea. I will test it out during the next major update to see if it is something that can be implemented. Thanks for the feedback. ||||||</t>
  </si>
  <si>
    <t>redevries|Asia Pacific &amp; Europe (excl UK)|15-Nov-2013|30-Aug-2015|Model S 85|79470|359|Off|Yes|Didn't change|30000|225|F) a few times a year|F) a few times a year|G) once or twice a year|0.7|11|400||||||19"</t>
  </si>
  <si>
    <t>Hi Matteo, please check my entries from today and yesterday (based on exact same reference trip under very similar traffic conditions). Clearly your optional calculation is a more reliable way of measuring the battery capacity as the first 3-5km after a 100% charge dissappear almost instantaneously after change completion and a brief power on move (for instance just to move the car out of garage). As mentioned in my 09/05/2017 comment above, same can be observed near the 0% charge where car goes off almost right after displaying 0km (no more grace km as in the past). In other words, the first and last 3-5 km of energy are of a "bad quality" (low energy content). Such observation cannot be inferred from a simple km reading like most do in the table. True battery degradation is to be evaluated at 100% (we knew that) measuring what the first km are really worth (almost nothing in my case with a 4 year/250.000km pack).In my opinion, this has nothing to do with the 4kWh unsuable capacity Telsa keeps for protecting the pack (anti-bricking).</t>
  </si>
  <si>
    <t>|42929|Go4IT|Hi Matteo, please check my entries from today and yesterday (based on exact same reference trip under very similar traffic conditions). Clearly your optional calculation is a more reliable way of measuring the battery capacity as the first 3-5km after a 100% charge dissappear almost instantaneously after change completion and a brief power on move (for instance just to move the car out of garage). As mentioned in my 09/05/2017 comment above, same can be observed near the 0% charge where car goes off almost right after displaying 0km (no more grace km as in the past). In other words, the first and last 3-5 km of energy are of a "bad quality" (low energy content). Such observation cannot be inferred from a simple km reading like most do in the table. True battery degradation is to be evaluated at 100% (we knew that) measuring what the first km are really worth (almost nothing in my case with a 4 year/250.000km pack).In my opinion, this has nothing to do with the 4kWh unsuable capacity Telsa keeps for protecting the pack (anti-bricking).||||||</t>
  </si>
  <si>
    <t>univ</t>
  </si>
  <si>
    <t>Hi Matteo, great work! In the German Tesla forum we keep updating a list of the drivers with the most kilometers, per model, e.g. drivers who drove the farthest with 85, 70 or D models. It would be cool to have this kind of information here in the charts or stats as well. Or maybe a new sheet like "Hall of fame" or something like that, haha. Like, who drove the most per model (all 85 drivers, all 70(D) drivers, all D drivers, all 100 drivers etc.). And maybe who drove the most overall. Maybe per year. I guess there are many ways. :)  For example (link to the German forum, text only, but you will get an idea): http://tff-forum.de/viewtopic.php?f=56&amp;t=8554</t>
  </si>
  <si>
    <t>brderyck|Asia Pacific &amp; Europe (excl UK)|13-Dec-2014|31-Aug-2015|Model S 85|21956|386|Off|No|||225|F) a few times a year|F) a few times a year|G) once or twice a year|0.9|11|398|Off|||||</t>
  </si>
  <si>
    <t>|42929|univ|Hi Matteo, great work! In the German Tesla forum we keep updating a list of the drivers with the most kilometers, per model, e.g. drivers who drove the farthest with 85, 70 or D models. It would be cool to have this kind of information here in the charts or stats as well. Or maybe a new sheet like "Hall of fame" or something like that, haha. Like, who drove the most per model (all 85 drivers, all 70(D) drivers, all D drivers, all 100 drivers etc.). And maybe who drove the most overall. Maybe per year. I guess there are many ways. :)  For example (link to the German forum, text only, but you will get an idea): http://tff-forum.de/viewtopic.php?f=56&amp;t=8554||||||</t>
  </si>
  <si>
    <t xml:space="preserve">Hi, Go4IT. Thanks for the feedback. I'm glad you found the alternative method in columns AC:AH useful. Thanks for reporting about the typical range that you lose instantly near 100% and 0%. I don't know if this is a rare problem or common problem. It would be good to find out more. </t>
  </si>
  <si>
    <t>|42930|Matteo|Hi, Go4IT. Thanks for the feedback. I'm glad you found the alternative method in columns AC:AH useful. Thanks for reporting about the typical range that you lose instantly near 100% and 0%. I don't know if this is a rare problem or common problem. It would be good to find out more. ||||||</t>
  </si>
  <si>
    <t>Hi, univ. Thanks for the feedback. I will keep this in mind for future updates.</t>
  </si>
  <si>
    <t>Wim S.|Asia Pacific &amp; Europe (excl UK)|23-Nov-2013|31-Aug-2015|Model S 85|31960|378|On|No|||214|F) a few times a year|F) a few times a year|G) once or twice a year|0.8|11|398|Off|||||21"</t>
  </si>
  <si>
    <t>|42930|Matteo|Hi, univ. Thanks for the feedback. I will keep this in mind for future updates.||||||</t>
  </si>
  <si>
    <t>Hi, great data and charts. Filled it out for my S75. I don't see an S100D as a car option, perhaps you need to update the sheet for that option for other owners?</t>
  </si>
  <si>
    <t>|42930|Gabeincal|Hi, great data and charts. Filled it out for my S75. I don't see an S100D as a car option, perhaps you need to update the sheet for that option for other owners?||||||</t>
  </si>
  <si>
    <t>Hi, Gabeincal. The Model S 100D and P100D are there. They are the last two items before the Model X list starts. Cheers</t>
  </si>
  <si>
    <t>21"| Summer, 20" Winter</t>
  </si>
  <si>
    <t>|42930|Matteo|Hi, Gabeincal. The Model S 100D and P100D are there. They are the last two items before the Model X list starts. Cheers||||||</t>
  </si>
  <si>
    <t>BennyG</t>
  </si>
  <si>
    <t>Hi Matteo, I've got a new 75D after my 85 got wrecked. I assume I can just start adding the new data of the new car, right?</t>
  </si>
  <si>
    <t>Maarten|Asia Pacific &amp; Europe (excl UK)|05-Dec-2013|01-Sep-2015|Model S P85|96560|370|Off|No|||216|E) monthly|F) a few times a year|H) never|0.6|20|||||||21"| Summer, 20" Winter</t>
  </si>
  <si>
    <t>|42971|BennyG|Hi Matteo, I've got a new 75D after my 85 got wrecked. I assume I can just start adding the new data of the new car, right?||||||</t>
  </si>
  <si>
    <t>Hi, BennyG. If you want, you could use different usernames so both cars don't appear when you select your username on the charts page. It's up to you. For example, you could change all your old entries to BennyG 85 (I can do that for you if you want) or use BennyG 75D for new entries.</t>
  </si>
  <si>
    <t>|42971|Matteo|Hi, BennyG. If you want, you could use different usernames so both cars don't appear when you select your username on the charts page. It's up to you. For example, you could change all your old entries to BennyG 85 (I can do that for you if you want) or use BennyG 75D for new entries.||||||</t>
  </si>
  <si>
    <t>cornoisseur</t>
  </si>
  <si>
    <t xml:space="preserve">Not sure if you are aware of Google Data Studio (datastudio.google.com), but I think we could make a pretty slick dashboard with this database on that site. I can make a proof of concept if you are interested. </t>
  </si>
  <si>
    <t>|42977|cornoisseur|Not sure if you are aware of Google Data Studio (datastudio.google.com), but I think we could make a pretty slick dashboard with this database on that site. I can make a proof of concept if you are interested. ||||||</t>
  </si>
  <si>
    <t>HWS|Asia Pacific &amp; Europe (excl UK)|29-Nov-2013|04-Sep-2015|Model S P85|50950|379|On|Yes|Didn't change|2100|218||||||||||||</t>
  </si>
  <si>
    <t xml:space="preserve">Hi, cornoisseur. Thanks for the heads up. I will check it out. </t>
  </si>
  <si>
    <t>|42977|Matteo|Hi, cornoisseur. Thanks for the heads up. I will check it out. ||||||</t>
  </si>
  <si>
    <t>Hart</t>
  </si>
  <si>
    <t>Not sure how I enter data, but accidently charged my 2014 S to 100% last night. Got rated range of 259 vs. 265 when new.</t>
  </si>
  <si>
    <t>|42988|Hart|Not sure how I enter data, but accidently charged my 2014 S to 100% last night. Got rated range of 259 vs. 265 when new.||||||</t>
  </si>
  <si>
    <t>Hi, Hart. You can go to the USA tab and start typing to the next available row. Be aware that this will be difficult on a smartphone or tablet, therefore, using a laptop or desktop computer is recommended. Then go to the charts page and select your username. Cheers</t>
  </si>
  <si>
    <t>|42989|Matteo|Hi, Hart. You can go to the USA tab and start typing to the next available row. Be aware that this will be difficult on a smartphone or tablet, therefore, using a laptop or desktop computer is recommended. Then go to the charts page and select your username. Cheers||||||</t>
  </si>
  <si>
    <t>AnalysiZ|Asia Pacific &amp; Europe (excl UK)|30-Mar-2015|08-Sep-2015|Model S P85D|13087|407|On|No|||198||||0.8|11|||||||</t>
  </si>
  <si>
    <t>Matteo - I was looking at MS/MX entries specifically for those with 90 battery packs.  Spotted the data in the USA tab for user James.  His data fall as outliers.  I see there has not been an update on his for about a year, but I am highly suspicious that the values he has entered are not actually 100% SOC.  He lists his daily charging level as 90% and the values he lists for 100% SOC would make total sense if they were actually his 90% SOC daily readings.  I am reading between the lines, but am suspicious of the validity of these datapoints.</t>
  </si>
  <si>
    <t>|42995|PCMc|Matteo - I was looking at MS/MX entries specifically for those with 90 battery packs.  Spotted the data in the USA tab for user James.  His data fall as outliers.  I see there has not been an update on his for about a year, but I am highly suspicious that the values he has entered are not actually 100% SOC.  He lists his daily charging level as 90% and the values he lists for 100% SOC would make total sense if they were actually his 90% SOC daily readings.  I am reading between the lines, but am suspicious of the validity of these datapoints.||||||</t>
  </si>
  <si>
    <t>Hi, PCMc. I've looked closer into this and you are right, there is a problem. However, the problem seems to be that Tesla has changed the EPA range of the 90D at some point. There are two data points to support this theory:
1. Check out the 90D's range in these two Design Studio screenshots:
http://i.imgur.com/n7kJAE1.gif
http://i.imgur.com/XDlwDbT.gif
It was 288 mi and then it increased to 294.
2. In column AA, there is the question that says "What was 100% rated range when the car was new?". Some users have entered 282 or 283 mi to this column. 
Here is a screenshot: https://i.imgur.com/6VActp6.gif
The same problem happened in Europe. Some people say the 90D had 408 km when new, some say 452 km when new. It is messed up because Tesla has messed up things. 
To correct this problem, I have created a new car model called "Model S 90D 2015" with less range and then moved most of the 2015 models to this category. I'm not sure if things are 100% accurate now but I'm pretty sure they are more accurate now than before. Thanks for reporting the problem. Cheers</t>
  </si>
  <si>
    <t>jpet|Asia Pacific &amp; Europe (excl UK)|03-Apr-2015|13-Sep-2015|Model S P85D|14775|388|On|No|||230|D) twice a month|E) monthly|H) never|0.7|11|406|On|||||21" staggered P85D</t>
  </si>
  <si>
    <t>|42996|Matteo|Hi, PCMc. I've looked closer into this and you are right, there is a problem. However, the problem seems to be that Tesla has changed the EPA range of the 90D at some point. There are two data points to support this theory:
1. Check out the 90D's range in these two Design Studio screenshots:
http://i.imgur.com/n7kJAE1.gif
http://i.imgur.com/XDlwDbT.gif
It was 288 mi and then it increased to 294.
2. In column AA, there is the question that says "What was 100% rated range when the car was new?". Some users have entered 282 or 283 mi to this column. 
Here is a screenshot: https://i.imgur.com/6VActp6.gif
The same problem happened in Europe. Some people say the 90D had 408 km when new, some say 452 km when new. It is messed up because Tesla has messed up things. 
To correct this problem, I have created a new car model called "Model S 90D 2015" with less range and then moved most of the 2015 models to this category. I'm not sure if things are 100% accurate now but I'm pretty sure they are more accurate now than before. Thanks for reporting the problem. Cheers||||||</t>
  </si>
  <si>
    <t>Spencer</t>
  </si>
  <si>
    <t>I've created an interactive chart in Domo to show the milage vs remaining range from the data provided. Check it out if you'd like to gain more insights. https://public.demo.domo.com/cards/e31Mb</t>
  </si>
  <si>
    <t>|43004|Spencer|I've created an interactive chart in Domo to show the milage vs remaining range from the data provided. Check it out if you'd like to gain more insights. https://public.demo.domo.com/cards/e31Mb||||||</t>
  </si>
  <si>
    <t>Hi, Spencer. It looks good.</t>
  </si>
  <si>
    <t>|43005|Matteo|Hi, Spencer. It looks good.||||||</t>
  </si>
  <si>
    <t>I saw a comment about inconsistent data.  It all looks OK to me.  If you can be more specific I can double check the numbers.</t>
  </si>
  <si>
    <t>justroll|Asia Pacific &amp; Europe (excl UK)|15-Oct-2014|15-Sep-2015|Model S 85|31712|378|Off|No|||218|B) twice a week|F) a few times a year|E) monthly|0.9|3.7|||||||</t>
  </si>
  <si>
    <t>|43022|VikingC|I saw a comment about inconsistent data.  It all looks OK to me.  If you can be more specific I can double check the numbers.||||||</t>
  </si>
  <si>
    <t>Hi, VikingC. I don't see any problem with your data.</t>
  </si>
  <si>
    <t>|43023|Matteo|Hi, VikingC. I don't see any problem with your data.||||||</t>
  </si>
  <si>
    <t>Claudiu T.</t>
  </si>
  <si>
    <t>Do not forget Joel's request (22 Jan 2016). A field for the county / country would be very interesting for those interested in these calculations.
Thank you very much.</t>
  </si>
  <si>
    <t>|43046|Claudiu T.|Do not forget Joel's request (22 Jan 2016). A field for the county / country would be very interesting for those interested in these calculations.
Thank you very much.||||||</t>
  </si>
  <si>
    <t>Hello Matteo. May I draw your attention to my 25 entries covering over 4 years/275.000km of driving. Clearly one can distinguish a yearly cycle showing a min 5% reduction of battery capacity during the winter compared to summer values. All my entries are provided based on very similar charging conditions (except for the ambient temperature which I cannot control  ;-) 
As you have a date for every entry, would there be any way to factor the yearly cycle effect on the graphs and the statistics?</t>
  </si>
  <si>
    <t>QueenieEye|Asia Pacific &amp; Europe (excl UK)|22-Nov-2013|16-Sep-2015|Model S 85|69161|366|On|No|||202|F) a few times a year|F) a few times a year|H) never|0.9|11|383|Off|||||</t>
  </si>
  <si>
    <t>|43048|Go4IT|Hello Matteo. May I draw your attention to my 25 entries covering over 4 years/275.000km of driving. Clearly one can distinguish a yearly cycle showing a min 5% reduction of battery capacity during the winter compared to summer values. All my entries are provided based on very similar charging conditions (except for the ambient temperature which I cannot control  ;-) 
As you have a date for every entry, would there be any way to factor the yearly cycle effect on the graphs and the statistics?||||||</t>
  </si>
  <si>
    <t>Hi, Go4IT. I have responded in the forum here: https://teslamotorsclub.com/tmc/posts/2407284/</t>
  </si>
  <si>
    <t>|43052|Matteo|Hi, Go4IT. I have responded in the forum here: https://teslamotorsclub.com/tmc/posts/2407284/||||||</t>
  </si>
  <si>
    <t>Will be usefull split TMS and TMX charts or not count km but MWh, because TMX have higher consumption and often hauling trailers, then degradation per kilometer is much higher like 10% compare to TMS...</t>
  </si>
  <si>
    <t>@17°C, 19" all wheather</t>
  </si>
  <si>
    <t>|43070|Lucas|Will be usefull split TMS and TMX charts or not count km but MWh, because TMX have higher consumption and often hauling trailers, then degradation per kilometer is much higher like 10% compare to TMS...||||||</t>
  </si>
  <si>
    <t>SSc3010|Asia Pacific &amp; Europe (excl UK)|04-Jun-2014|15-Sep-2015|Model S 85|69239|365|On|No|||187|D) twice a month|F) a few times a year|F) a few times a year|0.9|9|||||||@17°C, 19" all wheather</t>
  </si>
  <si>
    <t>Hi Lucas. For the first chart (mileage vs battery capacity chart), in the future, we could eventually add a way to select only the models you want to see in the chart. Currently, only 9 Model X owners submitted data compared to 375 Model S owners. However, with the Model 3 things could change. Also, if the Model S/X switch to 2170 cells, it would be interesting to compare 18650 to 2170 cells. 
By the way, on the Charts tab, if you scroll down you can see the Cycles chart. This chart considers how many times the battery was charged. Efficiency and battery size play a role here. Looking at cycles instead of mileage is a way to equalize efficiency and battery size differences.</t>
  </si>
  <si>
    <t>|43072|Matteo|Hi Lucas. For the first chart (mileage vs battery capacity chart), in the future, we could eventually add a way to select only the models you want to see in the chart. Currently, only 9 Model X owners submitted data compared to 375 Model S owners. However, with the Model 3 things could change. Also, if the Model S/X switch to 2170 cells, it would be interesting to compare 18650 to 2170 cells. 
By the way, on the Charts tab, if you scroll down you can see the Cycles chart. This chart considers how many times the battery was charged. Efficiency and battery size play a role here. Looking at cycles instead of mileage is a way to equalize efficiency and battery size differences.||||||</t>
  </si>
  <si>
    <t>jpet|Asia Pacific &amp; Europe (excl UK)|03-Apr-2015|17-Sep-2015|Model S P85D|15007|388|On|No|||233|D) twice a month|E) monthly|H) never|0.7|11|406|On|||||21" staggered P85D</t>
  </si>
  <si>
    <t>(389 * 68.4 / 380) / 77.5 = 0.9035</t>
  </si>
  <si>
    <t>jpet|Asia Pacific &amp; Europe (excl UK)|03-Apr-2015|17-Sep-2015|Model S P85D|15237|389|On|No|||233|D) twice a month|E) monthly|H) never|0.7|11|406|On|389|9|68.4|On|21" staggered P85D</t>
  </si>
  <si>
    <t>jpet|Asia Pacific &amp; Europe (excl UK)|03-Apr-2015|17-Sep-2015|Model S P85D|15471|389|On|No|||234|D) twice a month|E) monthly|H) never|0.7|11|406|On|||||21" staggered P85D</t>
  </si>
  <si>
    <t>Poko</t>
  </si>
  <si>
    <t>21'' Tires</t>
  </si>
  <si>
    <t>Poko|Asia Pacific &amp; Europe (excl UK)|03-Mar-2014|21-Sep-2015|Model S P85+|55125|365|On|No|||239|E) monthly|F) a few times a year|G) once or twice a year|0.8|7.2|||||||21'' Tires</t>
  </si>
  <si>
    <t>AnalysiZ|Asia Pacific &amp; Europe (excl UK)|30-Mar-2015|17-Sep-2015|Model S P85D|16302|406|On|No|||197||||0.8|11|||||||</t>
  </si>
  <si>
    <t>JCar|Asia Pacific &amp; Europe (excl UK)|23-Dec-2013|22-Sep-2015|Model S 85|51815|375|On|No|||198|D) twice a month|F) a few times a year|H) never|0.7|5|401||||||</t>
  </si>
  <si>
    <t>|||Matteo says: Hi. If you have any feedback you can write to row 142||||||</t>
  </si>
  <si>
    <t>justroll|Asia Pacific &amp; Europe (excl UK)|15-Oct-2014|27-Sep-2015|Model S 85|33439|377|Off|No|||218|B) twice a week|E) monthly|E) monthly|0.9|3.7|393||||||</t>
  </si>
  <si>
    <t>Change Log</t>
  </si>
  <si>
    <t>dfranssen|Asia Pacific &amp; Europe (excl UK)|19-Jun-2015|25-Sep-2015|Model S 85D|8414|401|Off|No|||224|F) a few times a year|F) a few times a year|H) never|0.9|22|||||||21" turbine</t>
  </si>
  <si>
    <t>|Date
(double click empty cell)|Username|Change Log||||||</t>
  </si>
  <si>
    <t>Trip based calculation is added. This performs a second percentage calculation based on trip data. The first percentage calculation is based on typical or rated range. Here is an example explaining trip based range calculation. Input data is:
Typical range at the beginning of the trip: 381 km 
Typical range at the end of the trip: 94 km
kWh consumption for this trip: 54,9 kWh
Range mode on/off when you read these trip numbers? Off
The calculation: Typical range consumption was 381-94= 287. However, range mode was off. If range mode was on, the numbers would be 381*400/395 and 94*400/395. Therefore typical range consumption that we will use is (381*400/395) - (94*400/395) = (381-94) * 400/395 = 290,6329 km
If 290,6329 km typical range equals to 54,9 kWh
Then 385,82 km typical range equals to X kWh
X= 385,82 * 54,9 / 290,6329 = 72,88 kWh (By the way 385,82 km is typical range at 100% charge when range mode on. This is shown in column L. Column name is "Typical Range correction if range mode was off")
85 kWh battery has 75,9 kWh usable capacity when new. Therefore remaining usable battery capacity is 72,88/75,9= 0.9602= 96,02%</t>
  </si>
  <si>
    <t>AnalysiZ|Asia Pacific &amp; Europe (excl UK)|30-Mar-2015|25-Sep-2015|Model S P85D|18610|407|On|No|||197||||||||||||</t>
  </si>
  <si>
    <t>|42153|Matteo|Trip based calculation is added. This performs a second percentage calculation based on trip data. The first percentage calculation is based on typical or rated range. Here is an example explaining trip based range calculation. Input data is:
Typical range at the beginning of the trip: 381 km 
Typical range at the end of the trip: 94 km
kWh consumption for this trip: 54,9 kWh
Range mode on/off when you read these trip numbers? Off
The calculation: Typical range consumption was 381-94= 287. However, range mode was off. If range mode was on, the numbers would be 381*400/395 and 94*400/395. Therefore typical range consumption that we will use is (381*400/395) - (94*400/395) = (381-94) * 400/395 = 290,6329 km
If 290,6329 km typical range equals to 54,9 kWh
Then 385,82 km typical range equals to X kWh
X= 385,82 * 54,9 / 290,6329 = 72,88 kWh (By the way 385,82 km is typical range at 100% charge when range mode on. This is shown in column L. Column name is "Typical Range correction if range mode was off")
85 kWh battery has 75,9 kWh usable capacity when new. Therefore remaining usable battery capacity is 72,88/75,9= 0.9602= 96,02%||||||</t>
  </si>
  <si>
    <t>Username selection to charts page is added. You can display your entries in a different colour from all the other dots.</t>
  </si>
  <si>
    <t>|42155|Matteo|Username selection to charts page is added. You can display your entries in a different colour from all the other dots.||||||</t>
  </si>
  <si>
    <t>All charts show now data from all countries.</t>
  </si>
  <si>
    <t>|42155|Matteo|All charts show now data from all countries.||||||</t>
  </si>
  <si>
    <t>The way replacement batteries are processed has been improved. This is how it works.
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
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
◘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
◘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</si>
  <si>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|42156|Matteo|The way replacement batteries are processed has been improved. This is how it works.
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
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
◘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
◘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</si>
  <si>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I added two new columns:
#1. Capacity at this mileage according to chart trendline
#2. Your capacity minus chart trendline at this mileage
What do these mean? On charts page there is a chart called "Mileage vs Range". The trendline on this chart shows how range changes based on mileage considering all entries. #1 shows the trendline value at your mileage. For example if the average capacity at 25,000km is 96.9%, then #1 will show 96.9% if your mileage is  25,000km. In other words #1 shows what your battery capacity should be at this mileage if it was like other cars.
#2 shows how much above or below of the trendline you are. For example if your mileage is 25,000km and your battery capacity is 97.1% then you are 0.2% better than the average and #2 will show 0.2%. In other words, #2 shows how your battery capacity compares to other cars. If #2 is positive, then you are doing better than the average. If #2 is negative than you are not. All this data is dynamic. The trendline changes with each new entry. #1 changes with the trendline. #2 changes with #1.</t>
  </si>
  <si>
    <t>|42172|Matteo|I added two new columns:
#1. Capacity at this mileage according to chart trendline
#2. Your capacity minus chart trendline at this mileage
What do these mean? On charts page there is a chart called "Mileage vs Range". The trendline on this chart shows how range changes based on mileage considering all entries. #1 shows the trendline value at your mileage. For example if the average capacity at 25,000km is 96.9%, then #1 will show 96.9% if your mileage is  25,000km. In other words #1 shows what your battery capacity should be at this mileage if it was like other cars.
#2 shows how much above or below of the trendline you are. For example if your mileage is 25,000km and your battery capacity is 97.1% then you are 0.2% better than the average and #2 will show 0.2%. In other words, #2 shows how your battery capacity compares to other cars. If #2 is positive, then you are doing better than the average. If #2 is negative than you are not. All this data is dynamic. The trendline changes with each new entry. #1 changes with the trendline. #2 changes with #1.||||||</t>
  </si>
  <si>
    <t>I added a stats page.</t>
  </si>
  <si>
    <t>|42175|Matteo|I added a stats page.||||||</t>
  </si>
  <si>
    <t>I added the "Typical / Rated Range Consumption Calculator" to Range Types Explained sheet.</t>
  </si>
  <si>
    <t>|42185|Matteo|I added the "Typical / Rated Range Consumption Calculator" to Range Types Explained sheet.||||||</t>
  </si>
  <si>
    <t>On TMC somebody asked this question: "Which is worse? 100% SOC or nearly empty?" http://www.teslamotorsclub.com/showthread.php/49434-Which-is-worse-100-SOC-or-nearly-empty
So I added both data to stats page. According to the data so far, charging to 100% daily or weekly makes your battery about 1% worse than people who do it a few times a year and about 2% worse than people who do it once or twice a year. However the other chart about running the battery nearly empty is inconsistent. There is a chance this will correct itself when there are entries from more people. Only the last entry from each person counts.</t>
  </si>
  <si>
    <t>|42191|Matteo|On TMC somebody asked this question: "Which is worse? 100% SOC or nearly empty?" http://www.teslamotorsclub.com/showthread.php/49434-Which-is-worse-100-SOC-or-nearly-empty
So I added both data to stats page. According to the data so far, charging to 100% daily or weekly makes your battery about 1% worse than people who do it a few times a year and about 2% worse than people who do it once or twice a year. However the other chart about running the battery nearly empty is inconsistent. There is a chance this will correct itself when there are entries from more people. Only the last entry from each person counts.||||||</t>
  </si>
  <si>
    <t>If visitors from USA select their username on charts page, the chart now shows miles instead km.</t>
  </si>
  <si>
    <t>|42215|Matteo|If visitors from USA select their username on charts page, the chart now shows miles instead km.||||||</t>
  </si>
  <si>
    <t xml:space="preserve">Added new chart to stats page about daily charge level effect on degradation. </t>
  </si>
  <si>
    <t>|42218|Matteo|Added new chart to stats page about daily charge level effect on degradation. ||||||</t>
  </si>
  <si>
    <t>Stats page has data about 4 frequency questions. The way these are processed has changed from percentage average to head count method.
Example: People were asked how often they supercharge. The following 4 users said they supercharge twice a week. Their battery capacity was as follows:
John: 1.7% above trendline at their mileage
James: 0.5% above trendline at their mileage
Jane: 0.6% above trendline at their mileage
Jennifer: -3.2% above trendline at their mileage
In the previous method, the average of these percentages would be calculated. That would be (1.7+0.5+0.6-3.2)/4= -0.1% The group average would be -0.1%. In other words supercharging twice a week is slighly bad. The problem is, only one user has a low negative score but because ir is very low it affects the entire group average. According to the new method, 3 out of 4 people in this group are above the trendline. Therefore this answer (supercharging twice a week) is 75% good.</t>
  </si>
  <si>
    <t>|42225|Matteo|Stats page has data about 4 frequency questions. The way these are processed has changed from percentage average to head count method.
Example: People were asked how often they supercharge. The following 4 users said they supercharge twice a week. Their battery capacity was as follows:
John: 1.7% above trendline at their mileage
James: 0.5% above trendline at their mileage
Jane: 0.6% above trendline at their mileage
Jennifer: -3.2% above trendline at their mileage
In the previous method, the average of these percentages would be calculated. That would be (1.7+0.5+0.6-3.2)/4= -0.1% The group average would be -0.1%. In other words supercharging twice a week is slighly bad. The problem is, only one user has a low negative score but because ir is very low it affects the entire group average. According to the new method, 3 out of 4 people in this group are above the trendline. Therefore this answer (supercharging twice a week) is 75% good.||||||</t>
  </si>
  <si>
    <t>Added daily charge power. Removed NEDC, battery type and firmware version.</t>
  </si>
  <si>
    <t>|42226|Matteo|Added daily charge power. Removed NEDC, battery type and firmware version.||||||</t>
  </si>
  <si>
    <t xml:space="preserve">I added "Average Supercharger Use" number to stats page. This is calculated from the answer people selected under "frequency of supercharging". For example "once a week" is converted to 52 times per year, "once a month" to 12 times etc. Then an average is calculated. As usual, for any stats data, only the last entry from each user counts to improve accuracy. 
Tesla's reminder letter about decreasing local supercharging is a popular discussion subject. So I thought it would be interesting to find out how many times an average user supercharges. Currently the number is 27 times per user per year. </t>
  </si>
  <si>
    <t>|42234|Matteo|I added "Average Supercharger Use" number to stats page. This is calculated from the answer people selected under "frequency of supercharging". For example "once a week" is converted to 52 times per year, "once a month" to 12 times etc. Then an average is calculated. As usual, for any stats data, only the last entry from each user counts to improve accuracy. 
Tesla's reminder letter about decreasing local supercharging is a popular discussion subject. So I thought it would be interesting to find out how many times an average user supercharges. Currently the number is 27 times per user per year. ||||||</t>
  </si>
  <si>
    <t>The trendline for Mileage vs Battery Capacity chart was updated. We switched from a third order polynomial trendline to a partly polynomial, partly linear trendline. This screenshot shows the old and new trendlines: http://i.imgur.com/pmYQykf.gif</t>
  </si>
  <si>
    <t>|42411|Matteo|The trendline for Mileage vs Battery Capacity chart was updated. We switched from a third order polynomial trendline to a partly polynomial, partly linear trendline. This screenshot shows the old and new trendlines: http://i.imgur.com/pmYQykf.gif||||||</t>
  </si>
  <si>
    <t>I updated the range numbers we use for USA and Canada. For example, P85D is supposed to display 253 mi EPA rated range with range mode on but it shows 256 miles on average according to answers to the survey question "What was 100% range when car was new?". Therefore I increased it from 253 to 256. S85 from 265 to 268, S70D from 240 to 243, S85D from 270 to 273. However I dropped S90D from 288 to 285. Canada numbers are the equivalent of these numbers in km. After his change the accuracy in USA and Canada sheets should have improved. In USA and Canada we had far too many entries above the trendline compared to Europe. This is now more balanced.</t>
  </si>
  <si>
    <t>|42412|Matteo|I updated the range numbers we use for USA and Canada. For example, P85D is supposed to display 253 mi EPA rated range with range mode on but it shows 256 miles on average according to answers to the survey question "What was 100% range when car was new?". Therefore I increased it from 253 to 256. S85 from 265 to 268, S70D from 240 to 243, S85D from 270 to 273. However I dropped S90D from 288 to 285. Canada numbers are the equivalent of these numbers in km. After his change the accuracy in USA and Canada sheets should have improved. In USA and Canada we had far too many entries above the trendline compared to Europe. This is now more balanced.||||||</t>
  </si>
  <si>
    <t xml:space="preserve">I added range numbers for S70, S70D and made minor adjustments in existing models. </t>
  </si>
  <si>
    <t>|42568|Matteo|I added range numbers for S70, S70D and made minor adjustments in existing models. ||||||</t>
  </si>
  <si>
    <t>Range numbers for different Tesla models have been updated based on the answer to the survey question "What was 100% range when the car was new?"</t>
  </si>
  <si>
    <t>|42597|Matteo|Range numbers for different Tesla models have been updated based on the answer to the survey question "What was 100% range when the car was new?"||||||</t>
  </si>
  <si>
    <t>We have had a vandalism incident today. A few entries were changed by somebody. In one entry the mileage was changed from 46,000 km to 460,000 km. I reversed all of them.</t>
  </si>
  <si>
    <t>|42605|Matteo|We have had a vandalism incident today. A few entries were changed by somebody. In one entry the mileage was changed from 46,000 km to 460,000 km. I reversed all of them.||||||</t>
  </si>
  <si>
    <t>I converted most in-cell formulas to arrayformula. This should speed up the file.</t>
  </si>
  <si>
    <t>|42694|Matteo|I converted most in-cell formulas to arrayformula. This should speed up the file.||||||</t>
  </si>
  <si>
    <t>I have updated usable battery capacity numbers according to the latest data posted here: https://teslamotorsclub.com/tmc/posts/1865416/</t>
  </si>
  <si>
    <t>|42716|Matteo|I have updated usable battery capacity numbers according to the latest data posted here: https://teslamotorsclub.com/tmc/posts/1865416/||||||</t>
  </si>
  <si>
    <t>18 Apr 2017, Matteo says: Editing old entries has been disabled for a while but will be re-enabled on 4 May 2017. The reason is because, I will be away and can't monitor the sheet regulary against unwanted edits.</t>
  </si>
  <si>
    <t>|42843|Matteo|18 Apr 2017, Matteo says: Editing old entries has been disabled for a while but will be re-enabled on 4 May 2017. The reason is because, I will be away and can't monitor the sheet regulary against unwanted edits.||||||</t>
  </si>
  <si>
    <t>I have updated the "Stats" tab. In the "Vehicle stats" table, I added these columns:
Usable battery capacity when new (Wh)
Average real world range when new (km)
Average real world range when new (mi)
Typical range when new (km)
EPA rated range when new (mi)
Avg real world range/Typical range
Avg real world range/EPA rated range</t>
  </si>
  <si>
    <t>|42994|Matteo|I have updated the "Stats" tab. In the "Vehicle stats" table, I added these columns:
Usable battery capacity when new (Wh)
Average real world range when new (km)
Average real world range when new (mi)
Typical range when new (km)
EPA rated range when new (mi)
Avg real world range/Typical range
Avg real world range/EPA rated range||||||</t>
  </si>
  <si>
    <t>(Matteo: Hi. I recovered this old entry from version history. It was overwritten with newer data. It is better to use a blank line instead editing existing entries. Thanks)</t>
  </si>
  <si>
    <t>Danielk|Asia Pacific &amp; Europe (excl UK)|28-Mar-2014|26-Sep-2014|Unspecified 85 kWh|20509|388|Unknown|No|||206|E) monthly|D) twice a month|H) never|||||||||(Matteo: Hi. I recovered this old entry from version history. It was overwritten with newer data. It is better to use a blank line instead editing existing entries. Thanks)</t>
  </si>
  <si>
    <t>|||Matteo says: Feedback section is above. Don't write here please. Scroll up to row 93||||||</t>
  </si>
  <si>
    <t>(370.63 * 17.1 / 90.13) / 77.5 = 0.9074</t>
  </si>
  <si>
    <t>Go4IT|Asia Pacific &amp; Europe (excl UK)|10-Sep-2013|30-Sep-2015|Model S P85|131000|366|Off|No|||215|D) twice a month|A) daily|F) a few times a year|1|22|400|On|366|277|17.1|Off|</t>
  </si>
  <si>
    <t>Fuelman</t>
  </si>
  <si>
    <t>19" Tires</t>
  </si>
  <si>
    <t>Fuelman|Asia Pacific &amp; Europe (excl UK)|19-Dec-2014|02-Oct-2015|Model S 85|9934|395|On|No|||222|E) monthly|F) a few times a year|G) once or twice a year|0.9|11|||||||19" Tires</t>
  </si>
  <si>
    <t>justroll|Asia Pacific &amp; Europe (excl UK)|15-Oct-2014|27-Sep-2015|Model S 85|34041|377|Off|No|||218|B) twice a week|C) weekly|E) monthly|0.9|3.7|393||||||</t>
  </si>
  <si>
    <t>(375.7 * 56.5 / 295.7) / 77.5 = 0.9263</t>
  </si>
  <si>
    <t>ErikR|Asia Pacific &amp; Europe (excl UK)|30-Sep-2014|03-Oct-2015|Model S 85|35580|371|Off|No|||259|F) a few times a year|E) monthly|H) never|0.8|11|399|Off|371|79|56.5|Off|19" Tires</t>
  </si>
  <si>
    <t>Keezje|Asia Pacific &amp; Europe (excl UK)|23-Dec-2013|01-Oct-2015|Model S P85|56000|374|Off|No|||228|F) a few times a year|F) a few times a year|F) a few times a year|0.9|11|396|Off|||||</t>
  </si>
  <si>
    <t>jvds</t>
  </si>
  <si>
    <t>jvds|Asia Pacific &amp; Europe (excl UK)|19-Sep-2015|05-Oct-2015|Model S 70D|896|351|Off|No|||197|F) a few times a year|F) a few times a year|H) never|0.9|16|323|Off|||||19" Tires</t>
  </si>
  <si>
    <t>Cookie Monster</t>
  </si>
  <si>
    <t>Cookie Monster|Asia Pacific &amp; Europe (excl UK)|10-Feb-2015|12-Oct-2015|Model S P85D|16300|402|Off|No|||209|E) monthly|E) monthly|G) once or twice a year|0.9|7|404|Off|||||21" turbine</t>
  </si>
  <si>
    <t>Boost</t>
  </si>
  <si>
    <t>Boost|Asia Pacific &amp; Europe (excl UK)|06-Dec-2013|06-Oct-2015|Model S P85|67023|374|Off|No|||200|C) weekly|F) a few times a year|F) a few times a year|0.9|3.7|402|Off|||||19" Tires</t>
  </si>
  <si>
    <t>GOS</t>
  </si>
  <si>
    <t>GOS|Asia Pacific &amp; Europe (excl UK)|28-Apr-2014|04-Sep-2015|Model S 85|19000|388|On|No|||195|F) a few times a year|F) a few times a year|G) once or twice a year|0.8|11|395|On|||||</t>
  </si>
  <si>
    <t>19" tires</t>
  </si>
  <si>
    <t>jvds|Asia Pacific &amp; Europe (excl UK)|19-Sep-2015|08-Oct-2015|Model S 70D|1068|351|Off|No|||198|F) a few times a year|F) a few times a year|H) never|0.9|11|323|Off|||||19" tires</t>
  </si>
  <si>
    <t>Rprp|Asia Pacific &amp; Europe (excl UK)|31-Dec-2013|11-Oct-2015|Model S P85|100000|368|Off|No|||233|C) weekly|D) twice a month|D) twice a month|0.8|11|393|Off|||||</t>
  </si>
  <si>
    <t>PimEffting</t>
  </si>
  <si>
    <t>PimEffting|Asia Pacific &amp; Europe (excl UK)|02-Feb-2015|13-Oct-2015|Model S 85|23000|389|On|No|||203|D) twice a month|F) a few times a year|H) never|0.9|11|398|On|||||</t>
  </si>
  <si>
    <t>shoot72|Asia Pacific &amp; Europe (excl UK)|05-Jun-2015|11-Oct-2015|Model S 85D|26085|395|Off|No|||207|C) weekly|F) a few times a year|H) never|0.9|11|||||||</t>
  </si>
  <si>
    <t>Sh3xCod</t>
  </si>
  <si>
    <t>Sh3xCod|Asia Pacific &amp; Europe (excl UK)|14-Mar-2015|18-May-2015|Model S 85D|5165|407|Off|No|||234|E) monthly|E) monthly|E) monthly|0.8|6|403|Off|||||19" tires</t>
  </si>
  <si>
    <t>Sh3xCod|Asia Pacific &amp; Europe (excl UK)|14-Mar-2015|10-Aug-2015|Model S 85D|7400|409|Off|No|||233|E) monthly|E) monthly|E) monthly|0.8|6|403|Off|||||</t>
  </si>
  <si>
    <t>MJ</t>
  </si>
  <si>
    <t>Only the last entry from each user counts for stats to improve the accuracy.</t>
  </si>
  <si>
    <t>MJ|Asia Pacific &amp; Europe (excl UK)|10-Apr-2014|19-Oct-2015|Model S 85|47500|383|Off|No|||205|D) twice a month|E) monthly|G) once or twice a year|0.9|3.7|409|Off|||||</t>
  </si>
  <si>
    <t>Daily charge level effect on degradation</t>
  </si>
  <si>
    <t>cairnz</t>
  </si>
  <si>
    <t>(379.75 * 40 / 202.53) / 77.5 = 0.9678</t>
  </si>
  <si>
    <t>cairnz|Asia Pacific &amp; Europe (excl UK)|23-Dec-2013|20-Oct-2015|Model S P85|114400|375|Off|No|||204|E) monthly|F) a few times a year|G) once or twice a year|0.8|6|404|Off|300|100|40|Off|</t>
  </si>
  <si>
    <t>Bonkers</t>
  </si>
  <si>
    <r>
      <t>1. Why not compare each users remaining battery capacity instead checking whether the users are above or below the trendline?</t>
    </r>
    <r>
      <rPr/>
      <t xml:space="preserve"> 
It's because each user's mileage is different. Comparing their absolute battery capacity wouldn't make sense. But comparing users to the trendline tells us how the user is doing regardless his mileage. The trendline is the red line on charts page on the mileage/range chart. If you select your username on charts page, you can see if you are above or below the trendline. However, if you want to know exactly how much above or below you are, you can look at the table where you entered your data. Near the end of columns look for a column called "Your capacity minus chart trendline at this mileage."
</t>
    </r>
    <r>
      <t xml:space="preserve">2. Why do these graphs ignore how much above or below the trendline each user is and only considers whether a user is above or below the trendline?
</t>
    </r>
    <r>
      <rPr/>
      <t>Here is an example to explain the reason: Let's assume the folowing people said "twice a week" when asked about their supercharging frequency and their battery capacity was as follows:
John: 1.7% above trendline
James: 0.5% above trendline
Jane: 0.6% above trendline
Jennifer: -3.2% below trendline
The average of their percentage numbers is -0.1 below the trendline. That would mean supercharging twice a week would be bad for the battery. However this would be wrong because 3 out of 4 people are above the trendline which means 75% of users are above the trendline. This would be represented with a line chart that is 75% green and 25% red.</t>
    </r>
  </si>
  <si>
    <t xml:space="preserve">19" </t>
  </si>
  <si>
    <t>(370.63 * 73.9 / 371.65) / 77.5 = 0.9509</t>
  </si>
  <si>
    <t>How many users selected this answer?</t>
  </si>
  <si>
    <t xml:space="preserve">Bonkers|Asia Pacific &amp; Europe (excl UK)|01-Nov-2013|20-Oct-2015|Model S 85|53000|366|Off|No|||211|E) monthly|F) a few times a year|G) once or twice a year|0.8|7.4|398|Off|367|0|73.9|Off|19" </t>
  </si>
  <si>
    <t>How many of those are above the trendline?</t>
  </si>
  <si>
    <t>Muffinman</t>
  </si>
  <si>
    <t>Users above trendline</t>
  </si>
  <si>
    <t>Users below trendline</t>
  </si>
  <si>
    <t>Comparing which answer is better for the battery. Green shows people above the trendline. Red shows below.</t>
  </si>
  <si>
    <t>(363.54 * 68.5 / 360.51) / 77.5 = 0.8913</t>
  </si>
  <si>
    <t>Muffinman|Asia Pacific &amp; Europe (excl UK)|30-Oct-2013|21-Oct-2015|Model S P85|92000|359|Off|No|||195|E) monthly|F) a few times a year|G) once or twice a year|0.7|6|394|Off|356|0|68.5|Off|</t>
  </si>
  <si>
    <t>TR</t>
  </si>
  <si>
    <t>TR|Asia Pacific &amp; Europe (excl UK)|25-Mar-2014|21-Oct-2015|Model S 60|44780|256|On|No|||200|F) a few times a year|D) twice a month|E) monthly|0.8|6|299|On|||||</t>
  </si>
  <si>
    <t>JBou</t>
  </si>
  <si>
    <t>3.7</t>
  </si>
  <si>
    <t>JBou|Asia Pacific &amp; Europe (excl UK)|21-Dec-2013|21-Oct-2015|Model S 85|59000|372|On|No|||227|E) monthly|F) a few times a year|G) once or twice a year|0.9|3.7|||||||19" tires</t>
  </si>
  <si>
    <t>(Matteo: In your previous entry it says battery was replaced. Please check your data.)</t>
  </si>
  <si>
    <t>JoeNe|Asia Pacific &amp; Europe (excl UK)|26-Nov-2013|21-Oct-2015|Model S 85|78676|365|Off|No|||226|F) a few times a year|F) a few times a year|G) once or twice a year|0.7|14|399|Off|||||(Matteo: In your previous entry it says battery was replaced. Please check your data.)</t>
  </si>
  <si>
    <t>trygvelo</t>
  </si>
  <si>
    <t>Notes</t>
  </si>
  <si>
    <t>21" tires</t>
  </si>
  <si>
    <t>trygvelo|Asia Pacific &amp; Europe (excl UK)|30-Sep-2013|15-Oct-2015|Model S P85+|40532|367|On|No|||223|F) a few times a year|F) a few times a year|G) once or twice a year|0.7|7.4|387|On|||||21" tires</t>
  </si>
  <si>
    <t>◘ If you want to clear the username selection, select the cell above and press delete on your keyboard.</t>
  </si>
  <si>
    <t>teslabil</t>
  </si>
  <si>
    <t>teslabil|Asia Pacific &amp; Europe (excl UK)|01-Mar-2014|21-Oct-2015|Model S P85|25775|384|Off|No|||209|E) monthly|E) monthly|H) never|0.9|4|||||||</t>
  </si>
  <si>
    <t>Haa</t>
  </si>
  <si>
    <t>◘ These charts are updated every time there is a new entry. All charts on this page show entries from all locations.</t>
  </si>
  <si>
    <t>◘ The trendlines are generated by the chart and automatically change over time as more entries are submitted.</t>
  </si>
  <si>
    <t>Haa|Asia Pacific &amp; Europe (excl UK)|10-Mar-2014|01-Oct-2015|Model S 85|43800|379|Off|No|||225|D) twice a month|G) once or twice a year|H) never|0.9|3.7|404|On|||||19" tires</t>
  </si>
  <si>
    <t>◘  If you have any questions, comments or feature requests about these charts, you can use the "Feedback" sheet. Switch to that page below.</t>
  </si>
  <si>
    <t xml:space="preserve">◘ When range mode is on, the displayed range in the car increases a few miles or km. For all calculations, this chart uses range numbers with range mode on because this statement by Jerome Guillen: "EPA testing is [done] with range mode on, given that it is assumed customers will use that function when they want to drive the farthest." (Source: https://teslamotorsclub.com/tmc/posts/898855/) In other words, because the range scores are achieved with range mode on, it is more accurate to do calculations based on range numbers when range mode is on. But users don't have to turn on range mode just to read their 100% charged range. The chart will calculate that accurately. </t>
  </si>
  <si>
    <t>justroll|Asia Pacific &amp; Europe (excl UK)|15-Oct-2014|21-Oct-2015|Model S 85|37896|375|Off|No|||218|B) twice a week|C) weekly|E) monthly|0.9|3.7|393|Off|||||19"</t>
  </si>
  <si>
    <t>A video showing how range mode effects displayed range</t>
  </si>
  <si>
    <t>Here is another video that shows the same effect:</t>
  </si>
  <si>
    <t>ebullio|Asia Pacific &amp; Europe (excl UK)|14-Nov-2013|23-Oct-2015|Model S 85|59060|380|Off|Yes|Don't know (km)|12000|236|E) monthly|F) a few times a year|G) once or twice a year|0.9|11|393|Off|||||</t>
  </si>
  <si>
    <t>◘ If you don't see your name on cycles chart, go back to data entry and enter lifetime average energy consumption (Wh/km or Wh/mi).</t>
  </si>
  <si>
    <t>Understanding Cycles</t>
  </si>
  <si>
    <t>e-Rik|Asia Pacific &amp; Europe (excl UK)|04-Nov-2013|22-Oct-2015|Model S P85|43500|374|Off|No|||218|F) a few times a year|F) a few times a year|F) a few times a year|0.8|11|||||||</t>
  </si>
  <si>
    <t>◘ Cycles show how many times the battery was charged and discharged. Notice that fractional charges that add up to 100% are also a cycle. For example charging 5 times from 70% to 90% (20% change) is 1 cycle. Professor Jeff Dahn who is an expert on Tesla batteries said the following when responding to a question by a Tesla owner:</t>
  </si>
  <si>
    <t>Total</t>
  </si>
  <si>
    <t>Quote: "If you charge from 30% to 70% 150 times or from 10% to 70% 100 times, the ageing of the battery will be approximately the same".</t>
  </si>
  <si>
    <t>in-clusion|Asia Pacific &amp; Europe (excl UK)|25-Nov-2013|23-Oct-2015|Model S P85+|74000|368|Off|No|||226||||||||||||</t>
  </si>
  <si>
    <t>According to the data, charging to 80% is slightly better than 90%. Answers that have too few entries can be ignored.</t>
  </si>
  <si>
    <t>The formula under the cycles chart looks somewhat complicated because it includes vampire loss which should be included to be more precise. Imagine somebody drives his S85 100 km/day for 10 days and his consumption is 218 Wh/km. In 10 days his total consumption would be 10*100*218= 218,000 Wh = 218 kWh. The S85 has 77.5 kWh usable capacity. Therefore we could say his consumption equals to 218/77.5= 2.81 cycles (2.81 full charges) but that would be wrong because we need to add the vampire loss. Assuming vampire loss is 4 kWh per day, that means 40 kWh in 10 days. Now his total consumption is 258 kWh and the cycles count would be 258/77.5= 3.33 cycles.</t>
  </si>
  <si>
    <t>(355.44 * 11.7 / 71.9) / 68.8 = 0.8407</t>
  </si>
  <si>
    <t>jvds|Asia Pacific &amp; Europe (excl UK)|19-Sep-2015|24-Oct-2015|Model S 70D|2611|351|Off|No|||210|E) monthly|E) monthly|H) never|0.9|11|||322|251|11.7|Off|</t>
  </si>
  <si>
    <t>A video by Prof Dahn comparing Model S to other EV batteries can be found here &gt;&gt;&gt;&gt;&gt;&gt;&gt;&gt;&gt;&gt;&gt;&gt;&gt;&gt;&gt;&gt;&gt;&gt;&gt;&gt;</t>
  </si>
  <si>
    <t>Supercharging frequency effect on degradation</t>
  </si>
  <si>
    <t>Replacement Batteries</t>
  </si>
  <si>
    <t>Supercharging frequency</t>
  </si>
  <si>
    <t>If you have a replacement battery, don't be surprised if you don't recognise the mileage and battery age numbers you see above. These numbers are calculated for your replacement battery. They are different than your car mileage or vehicle age. If you want to know more about how this calculation is done, read on. Otherwise this might be too much detail.
Let's assume somebody entered this data:
◘ Mileage: 30,000 km
◘ At what km did you replace battery? 24,000 km
◘ What happened to typical range after replacement? Improved 5 km
◘ Typical Range at 100% charge: 390 km
◘ Ownership duration: 350 days</t>
  </si>
  <si>
    <t>jpet|Asia Pacific &amp; Europe (excl UK)|03-Apr-2015|24-Oct-2015|Model S P85D|17865|392|On|No|||235|D) twice a month|E) monthly|H) never|0.7|11|406|On|||||21" staggered P85D</t>
  </si>
  <si>
    <t>Mileage calculation for replacement battery: If the battery hadn't been replaced, typical range would be 390-5= 385 km on the old battery at 30,000 km.
If 30,000 km equals to 400-385 km range loss
then X km equals to 400-390 km range loss
Cross multiply. X= 30,000 * (400-390) / (400-385) = 30,000 * 10 / 15 = 20,000 km. The chart will display 20,000 km</t>
  </si>
  <si>
    <t>◘ Why does the chart display 20,000 km even though actual mileage on the replacement battery is only 30,000-24,000= 6,000 km?
Because this replacement battery was refurbished and had some mileage on it.
◘ Why does the chart display 20,000 km even though mileage on the car is 30,000 km?
Because the chart displays mileage on the current battery not on the car and it has calculated that the replacement battery has 20,000 km mileage on it.
◘ How would the chart calculate age on the replacement battery?
Age = 350 * (400-390) / (400-385) = 350 * 10 / 15 = 233 days</t>
  </si>
  <si>
    <t>(392 * 65.7 / 353) / 77.5 = 0.9414</t>
  </si>
  <si>
    <t>jpet|Asia Pacific &amp; Europe (excl UK)|03-Apr-2015|24-Oct-2015|Model S P85D|17968|392|On|No|||235|D) twice a month|E) monthly|H) never|0.7|11|406|On|392|39|65.7|On|21" staggered P85D</t>
  </si>
  <si>
    <t>◘ What mileage would the chart show if the replacement battery still had 400 km range?
Even though the calculation would result in zero miles (X= 30,000 * (400-400) / (400-395) = 30,000 * 0 / 5 = 0 km) the chart recognises that the calculation shouldn't be less than what the user reported. In this case odometer shows 30,000, replacement happened at 24,000. Therefore mileage on the replacement battery is at least 6,000 km. Therefore the chart would display 6,000 km. The age calculation for the replacement battery would result in zero days too because the typical range is still 400 km (same as a new battery). Of course zero days would be incorrect too because the battery has 6000 km on it. Again the chart wouldn't use zero and would calculate the time that corresponds to 6000 km mileage as follows:
If 30,000 km equals to 350 days
Then 6,000 km equals to X days
X= 6,000*350/30,000=  70 days</t>
  </si>
  <si>
    <t>(393 * 49 / 281) / 77.5 = 0.8843</t>
  </si>
  <si>
    <t xml:space="preserve"> </t>
  </si>
  <si>
    <t>jpet|Asia Pacific &amp; Europe (excl UK)|03-Apr-2015|24-Oct-2015|Model S P85D|18278|393|On|No|||235|D) twice a month|E) monthly|H) never|0.7|11|406|On|393|112|49|On|21" staggered P85D</t>
  </si>
  <si>
    <t>Updates</t>
  </si>
  <si>
    <t>◘ 30 July 2015: The Mileage Chart now switches between km and miles depending on location of selected username. We have now more entries from USA than before. So I thought this would be useful. Matteo</t>
  </si>
  <si>
    <t>◘ 11 Feb 2016: The trendline for the first chart (Mileage vs Remaining range chart) has been updated. The old trendline was a third order polynomial trendline. It worked fine for 0-120,000 km where there are lots of entries but after there were no more entries it showed a sharp drop. The new trendline is polynomial until the data ends but linear afterwards. Like the old trendline this new trendline is also calculated automatically by the chart and updates when there are new entries. Matteo</t>
  </si>
  <si>
    <t>◘ 9 Aug 2016: I added a script that clears the username selection in E1 every 2 hours. Matteo</t>
  </si>
  <si>
    <t>21" tyres</t>
  </si>
  <si>
    <t>(393.92 * 64.1 / 337) / 77.5 = 0.9668</t>
  </si>
  <si>
    <t>◘ 29 March 2017: I updated the trendline for the first chart. Matteo</t>
  </si>
  <si>
    <t>Dimivdb|Asia Pacific &amp; Europe (excl UK)|30-Dec-2014|24-Oct-2015|Model S 85|14700|389|Off|No|||237|D) twice a month|D) twice a month|F) a few times a year|0.7|7.4|394|Off|389|52|64.1|On|21" tyres</t>
  </si>
  <si>
    <t>Xfrank|Asia Pacific &amp; Europe (excl UK)|23-Nov-2013|24-Oct-2015|Model S 60|39300|275|On|No|||209|B) twice a week|E) monthly|D) twice a month|0.8|11|286|Off|||||</t>
  </si>
  <si>
    <t>Charging @6°C</t>
  </si>
  <si>
    <t>SSc3010|Asia Pacific &amp; Europe (excl UK)|04-Jun-2014|18-Oct-2015|Model S 85|74631|364|On|No|||186|C) weekly||F) a few times a year|0.9|9|399|On|||||Charging @6°C</t>
  </si>
  <si>
    <t>hgs</t>
  </si>
  <si>
    <t>hgs|Asia Pacific &amp; Europe (excl UK)|06-Jun-2014|26-Oct-2015|Model S 85|64000|370|Off|No|||201|D) twice a month|F) a few times a year|G) once or twice a year|0.7|3.7|400|Off|||||</t>
  </si>
  <si>
    <t>jvds|Asia Pacific &amp; Europe (excl UK)|19-Sep-2015|26-Oct-2015|Model S 70D|2787|360|Off|No|||209|D) twice a month|E) monthly|H) never|0.9|11|360|Off|||||</t>
  </si>
  <si>
    <t>Cato76</t>
  </si>
  <si>
    <t>21" summer tires (Mchelin) and 20" winter tires (Nokian R2)</t>
  </si>
  <si>
    <t>Cato76|Asia Pacific &amp; Europe (excl UK)|13-Sep-2013|27-Oct-2015|Model S P85|64908|388|Off|No|||224|D) twice a month|E) monthly|H) never|0.9|3|408|Off|||||21" summer tires (Mchelin) and 20" winter tires (Nokian R2)</t>
  </si>
  <si>
    <t>Unique usernames, used for droplist on charts page.</t>
  </si>
  <si>
    <t>arnkl</t>
  </si>
  <si>
    <t>arnkl|Asia Pacific &amp; Europe (excl UK)|05-Jan-2014|18-Oct-2015|Model S 85|57000|379|On|No|||197|E) monthly|F) a few times a year|G) once or twice a year|0.8|2|||||||</t>
  </si>
  <si>
    <t>HansBE</t>
  </si>
  <si>
    <t>19" all weather tires from Tesla</t>
  </si>
  <si>
    <t>HansBE|Asia Pacific &amp; Europe (excl UK)|13-Dec-2014|21-Oct-2015|Model S 85|19308|380|Off|No|||228|F) a few times a year|F) a few times a year|H) never|0.9|22|||||||19" all weather tires from Tesla</t>
  </si>
  <si>
    <t>Supercharger Use</t>
  </si>
  <si>
    <t>Historical Stats</t>
  </si>
  <si>
    <t>Boost|Asia Pacific &amp; Europe (excl UK)|06-Dec-2013|30-Oct-2015|Model S P85|69300|371|Off|No|||200|D) twice a month|F) a few times a year|F) a few times a year|0.9|3.6|402|Off|||||</t>
  </si>
  <si>
    <t>Percentage of users</t>
  </si>
  <si>
    <t>Per year</t>
  </si>
  <si>
    <t>Total sessions</t>
  </si>
  <si>
    <t>Date</t>
  </si>
  <si>
    <t>Average Supercharger Use</t>
  </si>
  <si>
    <t>Trendline</t>
  </si>
  <si>
    <t>jvds|Asia Pacific &amp; Europe (excl UK)|19-Sep-2015|03-Nov-2015|Model S 70D|3567|366|Off|No|||202|D) twice a month|F) a few times a year|H) never|0.9|16|360|Off|||||</t>
  </si>
  <si>
    <t>Mileage in miles</t>
  </si>
  <si>
    <t>Mileage unit for selected user. This is related to charts page. When the user selects his username, the units change between km and miles depending on location of selected username.</t>
  </si>
  <si>
    <t>BennyG|Asia Pacific &amp; Europe (excl UK)|13-May-2015|05-Nov-2015|Model S 85|16840|385|Off|No|||204|F) a few times a year|F) a few times a year|G) once or twice a year|0.8|11|||||||19" all weather tires from Tesla</t>
  </si>
  <si>
    <t>jvds|Asia Pacific &amp; Europe (excl UK)|19-Sep-2015|05-Nov-2015|Model S 70D|3700|352|Off|No|||205|D) twice a month|F) a few times a year|H) never|0.9|16|360|Off|||||</t>
  </si>
  <si>
    <t>Select Username</t>
  </si>
  <si>
    <t>(390 * 57.7 / 305) / 77.5 = 0.952</t>
  </si>
  <si>
    <t>jpet|Asia Pacific &amp; Europe (excl UK)|03-Apr-2015|06-Nov-2015|Model S P85D|19091|390|On|No|||235|D) twice a month|E) monthly|H) never|0.7|11|406|On|390|85|57.7|On|21" staggered P85D</t>
  </si>
  <si>
    <t>jpet|Asia Pacific &amp; Europe (excl UK)|03-Apr-2015|06-Nov-2015|Model S P85D|19321|391|On|No|||235|D) twice a month|E) monthly|H) never|0.7|11|406|On|||||21" staggered P85D</t>
  </si>
  <si>
    <t>cbretaud</t>
  </si>
  <si>
    <t>(365.57 * 64 / 345.32) / 77.5 = 0.8742</t>
  </si>
  <si>
    <t>cbretaud|Asia Pacific &amp; Europe (excl UK)|27-Dec-2013|08-Nov-2015|Model S P85|122100|361|Off|No|||211|E) monthly|E) monthly|G) once or twice a year|0.9|7|398|Off|361|20|64|Off|19" all weather tires from Tesla</t>
  </si>
  <si>
    <t>fonberg</t>
  </si>
  <si>
    <t>Increased 8 kms</t>
  </si>
  <si>
    <t>(Matteo: Hi. After replacement if your range increased more than 8kms, you can now change that) 19" RSA2 at summer, 19" Nokian R2 Studless at winter</t>
  </si>
  <si>
    <t>fonberg|Asia Pacific &amp; Europe (excl UK)|13-Nov-2013|05-Nov-2015|Model S 85|60000|393|On|Yes|Increased 8 kms|49000|216|E) monthly|G) once or twice a year|H) never|0.9|3.7|393|On|||||(Matteo: Hi. After replacement if your range increased more than 8kms, you can now change that) 19" RSA2 at summer, 19" Nokian R2 Studless at winter</t>
  </si>
  <si>
    <t>GeirHM</t>
  </si>
  <si>
    <t>19" RSA2 at summer, 19" Nokian R2 Studless at winter</t>
  </si>
  <si>
    <t>GeirHM|Asia Pacific &amp; Europe (excl UK)|05-Feb-2015|09-Nov-2015|Model S 85D|32161|393|Off|No|||206|D) twice a month|F) a few times a year|H) never|0.8|11|404|Off|||||19" RSA2 at summer, 19" Nokian R2 Studless at winter</t>
  </si>
  <si>
    <t>ChrisWorks</t>
  </si>
  <si>
    <t>ChrisWorks|Asia Pacific &amp; Europe (excl UK)|01-Feb-2015|06-Nov-2015|Model S 85D|14000|396|Off|No|||204|E) monthly|E) monthly|H) never|0.8|4|404|Off|||||19" RSA2 at summer, 19" Nokian R2 Studless at winter</t>
  </si>
  <si>
    <t>voll1</t>
  </si>
  <si>
    <t>voll1|Asia Pacific &amp; Europe (excl UK)|01-Oct-2013|10-Nov-2015|Model S 85|40108|386|Off|No|||230|F) a few times a year|F) a few times a year|G) once or twice a year|0.8|2||Off|||||19" all weather tires from Tesla</t>
  </si>
  <si>
    <t>selsrog|Asia Pacific &amp; Europe (excl UK)|20-Jun-2014|17-Aug-2015|Model S 85|36743|368|Off|No|||237|E) monthly|E) monthly|F) a few times a year|0.8||||||||</t>
  </si>
  <si>
    <t>widodh|Asia Pacific &amp; Europe (excl UK)|26-Sep-2013|11-Nov-2015|Model S 85|99478|372|Off|Yes|Didn't change|65000|211|E) monthly|F) a few times a year|G) once or twice a year|0.9|22|||||||</t>
  </si>
  <si>
    <t>24.5</t>
  </si>
  <si>
    <t>(380.76 * 24.5 / 131.65) / 77.5 = 0.9143</t>
  </si>
  <si>
    <t>justroll|Asia Pacific &amp; Europe (excl UK)|15-Oct-2014|11-Nov-2015|Model S 85|41628|376|Off|No|||218|B) twice a week|E) monthly|E) monthly|0.9|3.7|393|Off|376|246|24.5|Off|</t>
  </si>
  <si>
    <t>Xfrank|Asia Pacific &amp; Europe (excl UK)|23-Nov-2013|12-Nov-2015|Model S 60|40750|295|On|No|||208|B) twice a week|C) weekly|F) a few times a year|0.8|11|||||||</t>
  </si>
  <si>
    <t>100% charge frequency effect on degradation</t>
  </si>
  <si>
    <t>flatlander</t>
  </si>
  <si>
    <t>100% charge frequency</t>
  </si>
  <si>
    <t>flatlander|Asia Pacific &amp; Europe (excl UK)|01-Jun-2014|12-Nov-2015|Model S 85|22000|383|Off|No|||209|C) weekly|E) monthly|G) once or twice a year|0.8||||||||</t>
  </si>
  <si>
    <t>21" Michelin</t>
  </si>
  <si>
    <t>HWS|Asia Pacific &amp; Europe (excl UK)|29-Nov-2013|12-Nov-2015|Model S P85|54971|370|Off|Yes|Don't know (km)|2100|244|F) a few times a year|F) a few times a year|G) once or twice a year|0.8|11|400|Off|||||21" Michelin</t>
  </si>
  <si>
    <t>Berg</t>
  </si>
  <si>
    <t>21" Michelin summer, 19" Pirelli winter  (Matteo: Hi. I recovered your old entry and added the new one separately. It is better this way when you check charts page.)</t>
  </si>
  <si>
    <t>Berg|Asia Pacific &amp; Europe (excl UK)|22-Nov-2013|12-Nov-2015|Model S P85|58000|372|Off|No|||245|F) a few times a year|F) a few times a year|F) a few times a year|0.8|11|382|Off|||||21" Michelin summer, 19" Pirelli winter  (Matteo: Hi. I recovered your old entry and added the new one separately. It is better this way when you check charts page.)</t>
  </si>
  <si>
    <t>JoeNe|Asia Pacific &amp; Europe (excl UK)|26-Nov-2013|13-Nov-2015|Model S 85|81614|361|Off|No|||228|F) a few times a year|F) a few times a year|F) a few times a year|0.7|18|400|Off|||||</t>
  </si>
  <si>
    <t>Liddus</t>
  </si>
  <si>
    <t>Liddus|Asia Pacific &amp; Europe (excl UK)|17-Mar-2014|11-Nov-2015|Model S P85|57000|382|Off|No|||198|F) a few times a year|E) monthly|H) never|0.9|11|392|Off|||||</t>
  </si>
  <si>
    <t>19" (Matteo: Hi. I recovered your old entry and added the new one separately)</t>
  </si>
  <si>
    <t>Anco|Asia Pacific &amp; Europe (excl UK)|05-Jun-2014|12-Nov-2015|Model S 85|43123|355|Off|No|||223|D) twice a month|F) a few times a year|G) once or twice a year|0.9||392|Off|||||19" (Matteo: Hi. I recovered your old entry and added the new one separately)</t>
  </si>
  <si>
    <t>Aggregate</t>
  </si>
  <si>
    <t>jvds|Asia Pacific &amp; Europe (excl UK)|19-Sep-2015|16-Nov-2015|Model S 70D|4400|350|Off|No|||205|D) twice a month|E) monthly|H) never|0.9|11|360|On|323||||</t>
  </si>
  <si>
    <t>Ervee</t>
  </si>
  <si>
    <t>aikisteve</t>
  </si>
  <si>
    <t>Ervee|Asia Pacific &amp; Europe (excl UK)|20-Sep-2014|24-Nov-2015|Model S 85|26550|375|Off|No|||246|F) a few times a year|F) a few times a year|F) a few times a year|0.8|11|||||||</t>
  </si>
  <si>
    <t>RC @0°C</t>
  </si>
  <si>
    <t>SSc3010|Asia Pacific &amp; Europe (excl UK)|04-Jun-2014|23-Nov-2015|Model S 85|81552|366|On|No|||185|D) twice a month|E) monthly|F) a few times a year|0.9|10|399|Off|||||RC @0°C</t>
  </si>
  <si>
    <t>AnalysiZ S70</t>
  </si>
  <si>
    <t>HWS2</t>
  </si>
  <si>
    <t>anco</t>
  </si>
  <si>
    <t>Andre68</t>
  </si>
  <si>
    <t>HWS2|Asia Pacific &amp; Europe (excl UK)|15-Nov-2013|30-Nov-2015|Model S 85|24281|377|Off|No|||223|G) once or twice a year|G) once or twice a year|H) never|0.8|11|400|Off|||||</t>
  </si>
  <si>
    <t>Anssi</t>
  </si>
  <si>
    <t>apollo 46</t>
  </si>
  <si>
    <t>Ashtorak</t>
  </si>
  <si>
    <t>Astrid</t>
  </si>
  <si>
    <t>HWS|Asia Pacific &amp; Europe (excl UK)|29-Nov-2013|30-Nov-2015|Model S P85|56138|377|On|Yes|Don't know (km)|2100|246|E) monthly|F) a few times a year|F) a few times a year|0.8|11|400|Off|||||</t>
  </si>
  <si>
    <t>Baselland</t>
  </si>
  <si>
    <t>Scholten</t>
  </si>
  <si>
    <t>BaselLandShrooms</t>
  </si>
  <si>
    <t>In de factory tilburg. New</t>
  </si>
  <si>
    <t>Scholten|Asia Pacific &amp; Europe (excl UK)|23-Nov-2015|24-Nov-2015|Model S 85D|12|420|Off|No|||210|E) monthly|D) twice a month|H) never|0.9|8|420|Off|||||In de factory tilburg. New</t>
  </si>
  <si>
    <t>Juicer</t>
  </si>
  <si>
    <t>According to the data, charging to 100% more frequently doesn't have a negative affect on degradation but users should be aware that keeping the battery at 0% or 100% for more than 2 hours is not good for the battery. Answers that have too few entries can be ignored.</t>
  </si>
  <si>
    <t>Near full discharge (8km/5mi or less) frequency effect on degradation</t>
  </si>
  <si>
    <t>Bernhard</t>
  </si>
  <si>
    <t>Juicer|Asia Pacific &amp; Europe (excl UK)|19-Aug-2015|20-Oct-2015|Model S 70D|2359|362|Off|No|||216|B) twice a week|E) monthly|H) never|0.9|11|362|Off|||||</t>
  </si>
  <si>
    <t>Bernie</t>
  </si>
  <si>
    <t>Near full discharge frequency</t>
  </si>
  <si>
    <t>Bianco</t>
  </si>
  <si>
    <t>Biet</t>
  </si>
  <si>
    <t>Big daddy G</t>
  </si>
  <si>
    <t>Johann Koeber</t>
  </si>
  <si>
    <t>Blumewirt</t>
  </si>
  <si>
    <t>Juicer|Asia Pacific &amp; Europe (excl UK)|19-Aug-2015|10-Nov-2015|Model S 70D|6300|367|Off|No|||223|B) twice a week|E) monthly|H) never|0.9|11|362|Off|||||</t>
  </si>
  <si>
    <t>BobbyKings</t>
  </si>
  <si>
    <t>Juicer|Asia Pacific &amp; Europe (excl UK)|19-Aug-2015|03-Dec-2015|Model S 70D|9199|362|Off|No|||221||||||||||||</t>
  </si>
  <si>
    <t>C Bretaud</t>
  </si>
  <si>
    <t>JBou|Asia Pacific &amp; Europe (excl UK)|21-Dec-2013|05-Dec-2015|Model S 85|63000|365|On|No|||212|D) twice a month|E) monthly|G) once or twice a year|0.9|3.7|400|Off|||||</t>
  </si>
  <si>
    <t>Canta</t>
  </si>
  <si>
    <t>Liddus|Asia Pacific &amp; Europe (excl UK)|17-Mar-2014|07-Dec-2015|Model S P85|60000|379|Off|No|||199|F) a few times a year|E) monthly|H) never|0.9|11|392|Off|||||</t>
  </si>
  <si>
    <t>CF777E</t>
  </si>
  <si>
    <t>Anco|Asia Pacific &amp; Europe (excl UK)|05-Jun-2014|09-Dec-2015|Model S 85|46500|374|Off|No|||222|D) twice a month|F) a few times a year|F) a few times a year|0.9|11|392|Off|||||</t>
  </si>
  <si>
    <t>Increased 20 kms</t>
  </si>
  <si>
    <t>(Matteo: Hi. After replacement if your range increased more than 8kms, you can now change that)</t>
  </si>
  <si>
    <t>Energie Gratiz|Asia Pacific &amp; Europe (excl UK)|10-Dec-2013|09-Dec-2015|Model S P85|173200|371|On|Yes|Increased 20 kms|77000|232|C) weekly|B) twice a week|E) monthly|0.9|11|399|On|||||(Matteo: Hi. After replacement if your range increased more than 8kms, you can now change that)</t>
  </si>
  <si>
    <t>chr20</t>
  </si>
  <si>
    <t>JM_AU</t>
  </si>
  <si>
    <t>ChrisK</t>
  </si>
  <si>
    <t>chrisschorsch</t>
  </si>
  <si>
    <t>JM_AU|Asia Pacific &amp; Europe (excl UK)|06-Nov-2014|09-Dec-2015|Model S 60|20100|303|On|No|||189|E) monthly|F) a few times a year|E) monthly|0.9|7|||||||</t>
  </si>
  <si>
    <t>Mjølner</t>
  </si>
  <si>
    <t>CJAHulskamp</t>
  </si>
  <si>
    <t>CJAhulskamp</t>
  </si>
  <si>
    <t>(411.14 * 11.1 / 68.86) / 77.5 = 0.8551</t>
  </si>
  <si>
    <t>Mjølner|Asia Pacific &amp; Europe (excl UK)|14-Aug-2015|29-Nov-2015|Model S 85D|9535|406|Off|No|||209|F) a few times a year|F) a few times a year|F) a few times a year|0.7|7.4|405|Off|282|214|11.1|Off|</t>
  </si>
  <si>
    <t>Johann Koeber|Asia Pacific &amp; Europe (excl UK)|26-Mar-2014|10-Dec-2015|Model S P85|124004|370|On|No|||226|B) twice a week|E) monthly|F) a few times a year|0.9|22|401|Off|||||</t>
  </si>
  <si>
    <t>D4Ha (NL)</t>
  </si>
  <si>
    <t>Dakine</t>
  </si>
  <si>
    <t>Rprp|Asia Pacific &amp; Europe (excl UK)|31-Dec-2013|10-Dec-2015|Model S P85|108400|366|Off|No|||233|C) weekly|E) monthly|E) monthly|0.8|11|||||||</t>
  </si>
  <si>
    <t>According to the data, near full discharge is bad for the battery.</t>
  </si>
  <si>
    <t>FVO|Asia Pacific &amp; Europe (excl UK)|17-Sep-2013|12-Dec-2015|Model S 85|52850|366|Off|No|||210|F) a few times a year|G) once or twice a year|F) a few times a year|0.8|6.2|390|On|||||</t>
  </si>
  <si>
    <t>Users by location</t>
  </si>
  <si>
    <t>45,4</t>
  </si>
  <si>
    <t>(361 * 45,4 / 267.34) / 77.5 = 0.791</t>
  </si>
  <si>
    <t>in-clusion|Asia Pacific &amp; Europe (excl UK)|25-Nov-2013|10-Dec-2015|Model S P85+|80000|361|On|No|||224|F) a few times a year|C) weekly|G) once or twice a year|0.9|11|400|Off|331|67|45,4|Off|</t>
  </si>
  <si>
    <t>Deffe</t>
  </si>
  <si>
    <t>Max 35111</t>
  </si>
  <si>
    <t>dekoene</t>
  </si>
  <si>
    <t>(Matteo: Hi Max. Double click to read. You are the first user to enter data for 90D. Tesla doesn't publish typical range numbers. Based on your data I entered 426 km at 100% charge when range mode on (421 km range mode off) as default setting. 426 is the number we will use for percentage calculations. This might change in the future when we have more 90D entries. Thanks</t>
  </si>
  <si>
    <t>diegop</t>
  </si>
  <si>
    <t>Max 35111|Asia Pacific &amp; Europe (excl UK)|15-Sep-2015|13-Dec-2015|Model S 90D 2015|1000|421|Off|No|||240|F) a few times a year|F) a few times a year|F) a few times a year|0.9||421|Off|||||(Matteo: Hi Max. Double click to read. You are the first user to enter data for 90D. Tesla doesn't publish typical range numbers. Based on your data I entered 426 km at 100% charge when range mode on (421 km range mode off) as default setting. 426 is the number we will use for percentage calculations. This might change in the future when we have more 90D entries. Thanks</t>
  </si>
  <si>
    <t>(370.63 * 17.6 / 93.16) / 77.5 = 0.9034</t>
  </si>
  <si>
    <t>Go4IT|Asia Pacific &amp; Europe (excl UK)|10-Sep-2013|14-Dec-2015|Model S P85|144000|366|Off|No|||214|D) twice a month|A) daily|F) a few times a year|1|22|400|On|366|274|17.6|Off|</t>
  </si>
  <si>
    <t>docjones</t>
  </si>
  <si>
    <t>Xighting</t>
  </si>
  <si>
    <t>dosmont</t>
  </si>
  <si>
    <t>Drinden</t>
  </si>
  <si>
    <t>DRM</t>
  </si>
  <si>
    <t>Xighting|Asia Pacific &amp; Europe (excl UK)|26-Jun-2014|14-Aug-2015|Model S 85|48000|374|Off|No|||223|C) weekly|F) a few times a year|G) once or twice a year|0.9|25|400|Off|||||</t>
  </si>
  <si>
    <t>GDgreen</t>
  </si>
  <si>
    <t>Vehicle Stats</t>
  </si>
  <si>
    <t>Number of vehicles</t>
  </si>
  <si>
    <t>Avr energy consumption (Wh/km)</t>
  </si>
  <si>
    <t>Avr energy consumption (Wh/mi)</t>
  </si>
  <si>
    <t>Usable battery capacity when new (Wh)</t>
  </si>
  <si>
    <t>21" Michelin summer, 19" Pirelli winter</t>
  </si>
  <si>
    <t>Average real world range when new (km)</t>
  </si>
  <si>
    <t>eae</t>
  </si>
  <si>
    <t>Average real world range when new (mi)</t>
  </si>
  <si>
    <t>Typical range when new (km)</t>
  </si>
  <si>
    <t>EPA rated range when new (mi)</t>
  </si>
  <si>
    <t>Avg real world range/Typical range</t>
  </si>
  <si>
    <t>Avg real world range/EPA rated range</t>
  </si>
  <si>
    <t>GDgreen|Asia Pacific &amp; Europe (excl UK)|16-Oct-2013|14-Dec-2015|Model S P85+|41868|357|Off|No|||225|F) a few times a year|F) a few times a year|H) never|0.6|20|400|On|||||21" Michelin summer, 19" Pirelli winter</t>
  </si>
  <si>
    <t>Grotebeer</t>
  </si>
  <si>
    <t>Grotebeer|Asia Pacific &amp; Europe (excl UK)|04-Dec-2013|15-Dec-2015|Model S 85|89867|374|On|No|||222|D) twice a month|D) twice a month|F) a few times a year|0.9|11|395|On|||||</t>
  </si>
  <si>
    <t>EggyP85</t>
  </si>
  <si>
    <t>JCar|Asia Pacific &amp; Europe (excl UK)|23-Dec-2013|11-Dec-2015|Model S 85|58000|369|On|No|||198|E) monthly|F) a few times a year|H) never|0.7|5|400|On|||||</t>
  </si>
  <si>
    <t>EggyP85+</t>
  </si>
  <si>
    <t>Zneip</t>
  </si>
  <si>
    <t>egn</t>
  </si>
  <si>
    <t>eMarkus</t>
  </si>
  <si>
    <t>Zneip|Asia Pacific &amp; Europe (excl UK)|01-Dec-2013|16-Dec-2015|Model S 85|61000|363|Off|No|||202|F) a few times a year|F) a few times a year|H) never|0.7|7.4|400|Off|||||</t>
  </si>
  <si>
    <t>eric verlaet</t>
  </si>
  <si>
    <t>(368 * 9.1 / 51) / 68.8 = 0.9544</t>
  </si>
  <si>
    <t>AnalysiZ S70|Asia Pacific &amp; Europe (excl UK)|14-Oct-2015|16-Dec-2015|Model S 70|1186|368|On|No|||189||||0.8|11|||368|317|9.1|On|</t>
  </si>
  <si>
    <t>fc12</t>
  </si>
  <si>
    <t>florianuhlemann</t>
  </si>
  <si>
    <t xml:space="preserve">19" Hankook </t>
  </si>
  <si>
    <t xml:space="preserve">Nulwoning|Asia Pacific &amp; Europe (excl UK)|20-Nov-2013|16-Dec-2015|Model S 85|108788|377|On|No|||186|B) twice a week|F) a few times a year|G) once or twice a year|0.7|11|400|On|270|130||On|19" Hankook </t>
  </si>
  <si>
    <t>HWS 90D</t>
  </si>
  <si>
    <t>fren</t>
  </si>
  <si>
    <t>First reading of new car</t>
  </si>
  <si>
    <t>rsvarthur</t>
  </si>
  <si>
    <t>HWS 90D|Asia Pacific &amp; Europe (excl UK)|30-Sep-2015|16-Dec-2015|Model S 90D 2015|9200|409|Off|No|||233|F) a few times a year|||||||||||First reading of new car</t>
  </si>
  <si>
    <t>ganimed</t>
  </si>
  <si>
    <t>(371.65 * 46.7 / 247.09) / 77.5 = 0.9064</t>
  </si>
  <si>
    <t>in-clusion|Asia Pacific &amp; Europe (excl UK)|25-Nov-2013|16-Dec-2015|Model S P85+|80690|367|Off|No|||225|F) a few times a year|C) weekly|F) a few times a year|0.9|11|400|Off|367|123|46.7|Off|</t>
  </si>
  <si>
    <t>gec</t>
  </si>
  <si>
    <t>(370.63 * 67.3 / 370.63) / 77.5 = 0.8684</t>
  </si>
  <si>
    <t>in-clusion|Asia Pacific &amp; Europe (excl UK)|25-Nov-2013|17-Dec-2015|Model S P85+|80941|366|Off|No|||225|F) a few times a year|C) weekly|F) a few times a year|0.9|11|400|Off|366|0|67.3|Off|</t>
  </si>
  <si>
    <t>Gert</t>
  </si>
  <si>
    <t>eae|Asia Pacific &amp; Europe (excl UK)|15-Dec-2015|18-Dec-2015|Model S 70D|513|359|Off|No|||217|H) never|H) never|H) never|0.9|11|358|Off|358|200|||</t>
  </si>
  <si>
    <t>Leiha</t>
  </si>
  <si>
    <t>gr8boy</t>
  </si>
  <si>
    <t>Greenstorm</t>
  </si>
  <si>
    <t>Gretsch</t>
  </si>
  <si>
    <t>Leiha|Asia Pacific &amp; Europe (excl UK)|03-Jun-2015|18-Dec-2015|Model S 85D|24300|399|Off|No|||209|C) weekly|F) a few times a year|H) never|0.9|11|405|Off|||||</t>
  </si>
  <si>
    <t>HenningH</t>
  </si>
  <si>
    <t>Gunjanov</t>
  </si>
  <si>
    <t>gvveen</t>
  </si>
  <si>
    <t>HenningH|Asia Pacific &amp; Europe (excl UK)|01-Aug-2013|18-Dec-2015|Model S P85|36000|375|Off|No|||244|D) twice a month|F) a few times a year|H) never|0.9|7.4|391|Off|||||</t>
  </si>
  <si>
    <t>gyapi</t>
  </si>
  <si>
    <t>in-clusion|Asia Pacific &amp; Europe (excl UK)|25-Nov-2013|20-Dec-2015|Model S P85+|81620|370|Off|No|||225|F) a few times a year|C) weekly|F) a few times a year|0.9|11|400|Off|||||</t>
  </si>
  <si>
    <t>Xfrank-85</t>
  </si>
  <si>
    <t>Hanteta</t>
  </si>
  <si>
    <t>Heinz Ruffieux</t>
  </si>
  <si>
    <t>Xfrank-85|Asia Pacific &amp; Europe (excl UK)|02-Sep-2015|19-Dec-2015|Model S 85|3200|398|Off|No|||218|C) weekly|D) twice a month|F) a few times a year|0.8|11||Off|||||</t>
  </si>
  <si>
    <t>ErikR|Asia Pacific &amp; Europe (excl UK)|30-Sep-2014|30-Nov-2015|Model S 85|40592|372|Off|No|||258|F) a few times a year|E) monthly|H) never|0.8|16|||||||</t>
  </si>
  <si>
    <t>HWS X100D</t>
  </si>
  <si>
    <t>(380.76 * 24.9 / 144.81) / 77.5 = 0.8448</t>
  </si>
  <si>
    <t>idefix</t>
  </si>
  <si>
    <t>ErikR|Asia Pacific &amp; Europe (excl UK)|30-Sep-2014|19-Dec-2015|Model S 85|42700|376|Off|No|||258|F) a few times a year|E) monthly|H) never|0.8|16|||376|233|24.9|Off|</t>
  </si>
  <si>
    <t>iDrops</t>
  </si>
  <si>
    <t>Phil_BE</t>
  </si>
  <si>
    <t>iggypop</t>
  </si>
  <si>
    <t>jakoys</t>
  </si>
  <si>
    <t>Phil_BE|Asia Pacific &amp; Europe (excl UK)|24-Sep-2015|21-Dec-2015|Model S 70D|3000|368|On|No|||233|F) a few times a year|E) monthly|F) a few times a year|0.9|11|365||||||</t>
  </si>
  <si>
    <t>trou</t>
  </si>
  <si>
    <t>JimmyJam|Asia Pacific &amp; Europe (excl UK)|24-Jun-2014|23-Dec-2015|Model S 85|75000|378|On|No|||222|E) monthly|F) a few times a year|F) a few times a year|0.8|17.25|398|Off|||||</t>
  </si>
  <si>
    <t>@8°C 19" All wheather</t>
  </si>
  <si>
    <t>SSc3010|Asia Pacific &amp; Europe (excl UK)|04-Jun-2014|25-Dec-2015|Model S 85|86781|375|On|No|||185|D) twice a month|E) monthly|F) a few times a year|0.9|9|398|Off|||||@8°C 19" All wheather</t>
  </si>
  <si>
    <t>71,6</t>
  </si>
  <si>
    <t>10C, 1/3 rain, avg speed 130km/h</t>
  </si>
  <si>
    <t>(378.73 * 71,6 / 376.71) / 77.5 = 0.9288</t>
  </si>
  <si>
    <t>Keezje|Asia Pacific &amp; Europe (excl UK)|23-Dec-2013|25-Dec-2015|Model S P85|64000|374|Off|No|||226|F) a few times a year|F) a few times a year|F) a few times a year|0.9|11|396|Off|374|2|71,6|Off|10C, 1/3 rain, avg speed 130km/h</t>
  </si>
  <si>
    <t>JoeJoe</t>
  </si>
  <si>
    <t>widodh|Asia Pacific &amp; Europe (excl UK)|26-Sep-2013|27-Dec-2015|Model S 85|106023|368|Off|Yes|Didn't change|66000|223|E) monthly|F) a few times a year|F) a few times a year|0.9|22|||||||</t>
  </si>
  <si>
    <t>Jolnar</t>
  </si>
  <si>
    <t>jonas_man</t>
  </si>
  <si>
    <t>jtesla</t>
  </si>
  <si>
    <t>justroll|Asia Pacific &amp; Europe (excl UK)|15-Oct-2014|27-Dec-2015|Model S 85|49285|376|Off|No|||218||||||||||||</t>
  </si>
  <si>
    <t>Viking</t>
  </si>
  <si>
    <t>KaJu74</t>
  </si>
  <si>
    <t>Viking|Asia Pacific &amp; Europe (excl UK)|09-Jan-2015|17-Dec-2015|Model S 85|34822|377|Off|No|||222|D) twice a month|E) monthly|F) a few times a year|0.9|12|||||||</t>
  </si>
  <si>
    <t>Kirre</t>
  </si>
  <si>
    <t>Berg|Asia Pacific &amp; Europe (excl UK)|22-Nov-2013|28-Dec-2015|Model S P85|64000|370|Off|No|||245|F) a few times a year|F) a few times a year|F) a few times a year|0.8|11|382|Off|||||21" Michelin summer, 19" Pirelli winter</t>
  </si>
  <si>
    <t>Koen De Smet</t>
  </si>
  <si>
    <t>korgmatose</t>
  </si>
  <si>
    <t>brderyck|Asia Pacific &amp; Europe (excl UK)|13-Dec-2014|29-Dec-2015|Model S 85|35000|378|Off|No|||218||||||||||||</t>
  </si>
  <si>
    <t>KR</t>
  </si>
  <si>
    <t>KRM</t>
  </si>
  <si>
    <t>BennyG|Asia Pacific &amp; Europe (excl UK)|13-May-2015|20-Dec-2015|Model S 85|22000|377|Off|No|||209|F) a few times a year|F) a few times a year|G) once or twice a year|0.8|11|||||||</t>
  </si>
  <si>
    <t>l.10.i</t>
  </si>
  <si>
    <t>MjjVonk|Asia Pacific &amp; Europe (excl UK)|11-Dec-2013|31-Dec-2015|Model S P85|90000|385|Off|No|||222|B) twice a week|B) twice a week|E) monthly|0.9|11|||||||</t>
  </si>
  <si>
    <t>pbakk</t>
  </si>
  <si>
    <t>lcs.toulouse</t>
  </si>
  <si>
    <t>pbakk|Asia Pacific &amp; Europe (excl UK)|23-Aug-2013|02-Jan-2016|Model S P85+|47000|371|On|No|||211|E) monthly|F) a few times a year|H) never|0.9|11|||||||</t>
  </si>
  <si>
    <t>Thor|Asia Pacific &amp; Europe (excl UK)|17-Dec-2014|04-Jan-2016|Model S 85|40000|384|Off|No|||225|E) monthly|E) monthly|H) never|0.8|11|398|Off|||||</t>
  </si>
  <si>
    <t>Luske</t>
  </si>
  <si>
    <t>MarcusS</t>
  </si>
  <si>
    <t>m0rph</t>
  </si>
  <si>
    <t>MarcusS|Asia Pacific &amp; Europe (excl UK)|01-Nov-2014|05-Jan-2016|Model S 85|27594|385|Off|No|||218||||||||||||</t>
  </si>
  <si>
    <t>maarteneekels</t>
  </si>
  <si>
    <t>Manu37</t>
  </si>
  <si>
    <t>MarcK</t>
  </si>
  <si>
    <t>JoeJoe|Asia Pacific &amp; Europe (excl UK)|30-Jun-2015|31-Dec-2015|Model S 70D|15300|360|On|No|||221|C) weekly|F) a few times a year|G) once or twice a year|||||||||</t>
  </si>
  <si>
    <t>MarkVL</t>
  </si>
  <si>
    <t>Martin</t>
  </si>
  <si>
    <t>Matthias Wagner</t>
  </si>
  <si>
    <t>redevries|Asia Pacific &amp; Europe (excl UK)|15-Nov-2013|07-Jan-2016|Model S 85|93906|368|Off|Yes|Didn't change|30000|224|F) a few times a year|F) a few times a year|G) once or twice a year|0.9|11|||||||19"</t>
  </si>
  <si>
    <t>merlinfive</t>
  </si>
  <si>
    <t>mguw</t>
  </si>
  <si>
    <t>HWS 90D|Asia Pacific &amp; Europe (excl UK)|30-Sep-2015|08-Jan-2016|Model S 90D 2015|13889|408|Off|No|||250|F) a few times a year|F) a few times a year|F) a few times a year|0.8|11|409|Off|||||</t>
  </si>
  <si>
    <t>mikelger</t>
  </si>
  <si>
    <t>mikeyc</t>
  </si>
  <si>
    <t>misterp</t>
  </si>
  <si>
    <t>MarkVL|Asia Pacific &amp; Europe (excl UK)|27-Nov-2013|10-Jan-2016|Model S 85|48623|380|Off|No|||240|E) monthly|D) twice a month|E) monthly|0.8|11|411|Off|||||</t>
  </si>
  <si>
    <t>mj</t>
  </si>
  <si>
    <t>19" Nokian winter</t>
  </si>
  <si>
    <t>PaulusdB|Asia Pacific &amp; Europe (excl UK)|13-Nov-2013|10-Jan-2016|Model S P85+|45400|381|On|No|||224|D) twice a month|F) a few times a year|G) once or twice a year|0.8|11|402|On|||||19" Nokian winter</t>
  </si>
  <si>
    <t>RaBalder</t>
  </si>
  <si>
    <t>moho</t>
  </si>
  <si>
    <t>morth_S</t>
  </si>
  <si>
    <t>morth_X</t>
  </si>
  <si>
    <t>MrvdG</t>
  </si>
  <si>
    <t>RaBalder|Asia Pacific &amp; Europe (excl UK)|03-Feb-2014|03-Jan-2016|Model S P85|43500|384|Off|No|||210|F) a few times a year|G) once or twice a year|H) never|0.6|2|||||||</t>
  </si>
  <si>
    <t>mw80</t>
  </si>
  <si>
    <t>Rprp|Asia Pacific &amp; Europe (excl UK)|31-Dec-2013|12-Jan-2016|Model S P85|115000|367|Off|No|||233|C) weekly|C) weekly|C) weekly|0.8|11|395|Off|||||</t>
  </si>
  <si>
    <t>Nexus</t>
  </si>
  <si>
    <t>thethe</t>
  </si>
  <si>
    <t>nico180</t>
  </si>
  <si>
    <t>Koen De Smet|Asia Pacific &amp; Europe (excl UK)|25-Jun-2015|29-Dec-2015|Model S 85|19225|379|Off|No|||228|D) twice a month|F) a few times a year|F) a few times a year|0.8|11|||||||</t>
  </si>
  <si>
    <t>Niels1275</t>
  </si>
  <si>
    <t>ODE90D</t>
  </si>
  <si>
    <t>QueenieEye|Asia Pacific &amp; Europe (excl UK)|22-Nov-2013|14-Jan-2016|Model S 85|83000|365|On|No|||201|E) monthly|E) monthly|H) never|0.9|11|383|Off|||||</t>
  </si>
  <si>
    <t>p666d</t>
  </si>
  <si>
    <t>patrickCH</t>
  </si>
  <si>
    <t>Seems the capacitiy of the battery is 65 kWh usable (Matteo: Same date was entered to manufacture date and range reading date. I changed range reading to 14 Jan 2016. Feel free to update if different. Cheers)</t>
  </si>
  <si>
    <t>Juicer|Asia Pacific &amp; Europe (excl UK)|19-Aug-2015|14-Jan-2016|Model S 70D|18723|356|Off|No|||226|C) weekly|E) monthly|F) a few times a year|0.9|11|365|Off|||||Seems the capacitiy of the battery is 65 kWh usable (Matteo: Same date was entered to manufacture date and range reading date. I changed range reading to 14 Jan 2016. Feel free to update if different. Cheers)</t>
  </si>
  <si>
    <t>Pebe</t>
  </si>
  <si>
    <t>peters25</t>
  </si>
  <si>
    <t>Ervee|Asia Pacific &amp; Europe (excl UK)|20-Sep-2014|13-Jan-2016|Model S 85|31300|372|Off|No|||247|E) monthly|F) a few times a year|F) a few times a year|0.8|11|||||||</t>
  </si>
  <si>
    <t>Phil V</t>
  </si>
  <si>
    <t>Go4IT|Asia Pacific &amp; Europe (excl UK)|10-Sep-2013|20-Jan-2016|Model S P85|150000|356|Off|No|||214|D) twice a month|A) daily|F) a few times a year|1|22|400|On|||||drive unit replaced twice</t>
  </si>
  <si>
    <t>SchwartzMobile</t>
  </si>
  <si>
    <t>5Km without range change from 385</t>
  </si>
  <si>
    <t>Thor|Asia Pacific &amp; Europe (excl UK)|17-Dec-2014|24-Jan-2016|Model S 85|41500|385|Off|No|||226|D) twice a month|F) a few times a year|H) never|0.8|11|398|Off|||||5Km without range change from 385</t>
  </si>
  <si>
    <t>pvkeep</t>
  </si>
  <si>
    <t>Quenbo</t>
  </si>
  <si>
    <t>Gunjanov|Asia Pacific &amp; Europe (excl UK)|06-May-2015|24-Jan-2016|Model S 85D|20000|415|Off|No|||222|D) twice a month|E) monthly|E) monthly|0.8|11|||||||</t>
  </si>
  <si>
    <t>r.wagner</t>
  </si>
  <si>
    <t>radio</t>
  </si>
  <si>
    <t>raptorsf</t>
  </si>
  <si>
    <t>Raymond</t>
  </si>
  <si>
    <t>Janc|Asia Pacific &amp; Europe (excl UK)|27-Jun-2014|24-Jan-2016|Model S 85|51000|380|On|No|||230||||||||||||</t>
  </si>
  <si>
    <t>Rob N.</t>
  </si>
  <si>
    <t>Rick A.</t>
  </si>
  <si>
    <t>Rob N.|Asia Pacific &amp; Europe (excl UK)|20-Dec-2015|25-Jan-2016|Model S 85D|3200|408|On|No|||230|B) twice a week|C) weekly|G) once or twice a year|0.8|11|408|On|||||</t>
  </si>
  <si>
    <t>Rolfe</t>
  </si>
  <si>
    <t>RonVerbrugge</t>
  </si>
  <si>
    <t>Deffe|Asia Pacific &amp; Europe (excl UK)|20-Dec-2014|28-Jan-2016|Model S P85|16133|391|On|No|||261|C) weekly|F) a few times a year|F) a few times a year|0.9||||||||</t>
  </si>
  <si>
    <t>Rprp 90D</t>
  </si>
  <si>
    <t>justroll|Asia Pacific &amp; Europe (excl UK)|15-Oct-2014|29-Jan-2016|Model S 85|52483|372|Off|No|||218||||||||||||</t>
  </si>
  <si>
    <t>Mounted Goodyear Eagle LS2 ROF since odo 50.000km. And consumption increased to +/-240Wh/km</t>
  </si>
  <si>
    <t>FVO|Asia Pacific &amp; Europe (excl UK)|20-Nov-2013|02-Feb-2016|Model S 85|58000|374|Off|No|||211|F) a few times a year|F) a few times a year|G) once or twice a year|0.8|6.2|387||||||Mounted Goodyear Eagle LS2 ROF since odo 50.000km. And consumption increased to +/-240Wh/km</t>
  </si>
  <si>
    <t>eae|Asia Pacific &amp; Europe (excl UK)|15-Dec-2015|04-Feb-2016|Model S 70D|3032|361|Off|No|||232|G) once or twice a year|H) never|H) never|0.9|11|361|Off|||||</t>
  </si>
  <si>
    <t>tehjimos</t>
  </si>
  <si>
    <t>charging @ 4°C</t>
  </si>
  <si>
    <t>SSc3010|Asia Pacific &amp; Europe (excl UK)|04-Jun-2014|03-Feb-2016|Model S 85|93058|371|On|No|||186|C) weekly|F) a few times a year|F) a few times a year|0.9|9|398|On|||||charging @ 4°C</t>
  </si>
  <si>
    <t>Siggy101</t>
  </si>
  <si>
    <t>CarlL|Asia Pacific &amp; Europe (excl UK)|20-Nov-2013|05-Feb-2016|Model S 85|58000|371|Off|Yes|Didn't change|35000|218|E) monthly|F) a few times a year|F) a few times a year|0.9|11|||||||</t>
  </si>
  <si>
    <t>sjøhyene</t>
  </si>
  <si>
    <t>HWS 90D|Asia Pacific &amp; Europe (excl UK)|30-Sep-2015|05-Feb-2016|Model S 90D|15058|434|On|No|||249|E) monthly|E) monthly|F) a few times a year|0.8|11|408|Off|||||</t>
  </si>
  <si>
    <t>svimtapp</t>
  </si>
  <si>
    <t>svimtapp|Asia Pacific &amp; Europe (excl UK)|30-Sep-2013|05-Feb-2015|Model S P85|49000|373|On|No|||209|F) a few times a year|F) a few times a year|F) a few times a year|0.8|11|||||||</t>
  </si>
  <si>
    <t>StefanSarzio</t>
  </si>
  <si>
    <t>Steinar</t>
  </si>
  <si>
    <t>Stickybit</t>
  </si>
  <si>
    <t>Nexus|Asia Pacific &amp; Europe (excl UK)|03-Dec-2015|08-Feb-2016|Model S 85D|6900|423|Off|No|||220|E) monthly|G) once or twice a year|G) once or twice a year|0.9|11|||||||</t>
  </si>
  <si>
    <t>Sues</t>
  </si>
  <si>
    <t>Rprp|Asia Pacific &amp; Europe (excl UK)|31-Dec-2013|10-Feb-2016|Model S P85|120000|369|Off|No|||233|C) weekly||G) once or twice a year|||||||||</t>
  </si>
  <si>
    <t>Tazmanian</t>
  </si>
  <si>
    <t>Nulwoning|Asia Pacific &amp; Europe (excl UK)|20-Nov-2013|20-Feb-2016|Model S 85|117000|368|On|No|||186|C) weekly|D) twice a month|G) once or twice a year|0.8|13|||||||</t>
  </si>
  <si>
    <t>UlrA</t>
  </si>
  <si>
    <t>shoot72|Asia Pacific &amp; Europe (excl UK)|05-Jun-2015|12-Feb-2016|Model S 85D|39100|409|Off|No|||211|C) weekly|F) a few times a year|G) once or twice a year|0.9|11|||||||</t>
  </si>
  <si>
    <t>Thor2</t>
  </si>
  <si>
    <t>Thor3</t>
  </si>
  <si>
    <t>Thor4</t>
  </si>
  <si>
    <t>tliviuc</t>
  </si>
  <si>
    <t>in-clusion|Asia Pacific &amp; Europe (excl UK)|25-Nov-2013|14-Feb-2016|Model S P85+|88870|373|Off|No|||225|F) a few times a year|C) weekly|E) monthly|0.9|11|400||||||</t>
  </si>
  <si>
    <t>tnt369</t>
  </si>
  <si>
    <t>sjøhyene|Asia Pacific &amp; Europe (excl UK)|03-Mar-2014|15-Feb-2016|Model S 85|45777|365|On|No|||220|E) monthly|G) once or twice a year|G) once or twice a year|0.8|7|||||||</t>
  </si>
  <si>
    <t>RonVerbrugge|Asia Pacific &amp; Europe (excl UK)|01-Jul-2015|15-Feb-2016|Model S P85D|28000|385|Off|No|||208|D) twice a month|F) a few times a year|H) never|0.8|22|398|Off|||||</t>
  </si>
  <si>
    <t>twall-e</t>
  </si>
  <si>
    <t>BasvdPoel|Asia Pacific &amp; Europe (excl UK)|28-May-2014|15-Feb-2016|Model S 85|34317|372|Off|No|||229|F) a few times a year|G) once or twice a year|G) once or twice a year|0.9|7||Off|||||</t>
  </si>
  <si>
    <t>(361.52 * 18.2 / 101.27) / 77.5 = 0.8384</t>
  </si>
  <si>
    <t>velociped77</t>
  </si>
  <si>
    <t>Go4IT|Asia Pacific &amp; Europe (excl UK)|10-Sep-2013|16-Feb-2016|Model S P85|155000|357|Off|No|||211|D) twice a month|A) daily|F) a few times a year|1|22|400|On|357|257|18.2|Off|drive unit replaced twice</t>
  </si>
  <si>
    <t>villena</t>
  </si>
  <si>
    <t>Wannes</t>
  </si>
  <si>
    <t>DRM|Asia Pacific &amp; Europe (excl UK)|26-Mar-2014|19-Feb-2016|Model S 85|54000|372|Off|No|||222|C) weekly|E) monthly|H) never|0.9|11|||||||</t>
  </si>
  <si>
    <t>WhiteStorm</t>
  </si>
  <si>
    <t>21" staggered summer / 19" staggered winter</t>
  </si>
  <si>
    <t>XFrank-85</t>
  </si>
  <si>
    <t>jpet|Asia Pacific &amp; Europe (excl UK)|03-Apr-2015|19-Feb-2016|Model S P85D|21620|374|On|No|||235|D) twice a month|E) monthly|G) once or twice a year|0.7|11|406|On|||||21" staggered summer / 19" staggered winter</t>
  </si>
  <si>
    <t>Yannick</t>
  </si>
  <si>
    <t>jpet|Asia Pacific &amp; Europe (excl UK)|03-Apr-2015|20-Feb-2016|Model S P85D|21878|375|On|No|||235|D) twice a month|E) monthly|G) once or twice a year|0.7|11|406|On|||||21" staggered summer / 19" staggered winter</t>
  </si>
  <si>
    <t>Erik-S85|Asia Pacific &amp; Europe (excl UK)|25-Nov-2014|20-Feb-2016|Model S 85|40501|377|Off|No|||218||||||||||||</t>
  </si>
  <si>
    <t>Teo says: I recovered your old data. It is better to submit a new entry when your data changes.</t>
  </si>
  <si>
    <t>Sues|Asia Pacific &amp; Europe (excl UK)|19-Mar-2014|27-Feb-2016|Model S 85|42200|365|Off|No|||222||||||||||||Teo says: I recovered your old data. It is better to submit a new entry when your data changes.</t>
  </si>
  <si>
    <t>in-clusion|Asia Pacific &amp; Europe (excl UK)|25-Nov-2013|14-Feb-2016|Model S P85+|89850|376|Off|No|||225|F) a few times a year|C) weekly|E) monthly|0.9|11|400|Off|||||</t>
  </si>
  <si>
    <t>moho|Asia Pacific &amp; Europe (excl UK)|20-Sep-2015|22-Feb-2016|Model S 85D|3856|421|Off|No|||269|E) monthly|F) a few times a year|F) a few times a year|0.9|11|421|Off|||||</t>
  </si>
  <si>
    <t>eae|Asia Pacific &amp; Europe (excl UK)|15-Dec-2015|23-Feb-2016|Model S 70D|4093|361|Off|No|||230||||||||||||</t>
  </si>
  <si>
    <t>gyapi|Asia Pacific &amp; Europe (excl UK)|14-Jun-2014|27-Feb-2016|Model S 85|37000|377|Off|No|||227|F) a few times a year|E) monthly|H) never|0.8||||||||</t>
  </si>
  <si>
    <t>(370.63 * 60.3 / 320) / 77.5 = 0.9012</t>
  </si>
  <si>
    <t>ErikR|Asia Pacific &amp; Europe (excl UK)|30-Sep-2014|27-Feb-2016|Model S 85|48277|366|Off|No|||258|F) a few times a year|E) monthly|H) never|0.8|15|||366|50|60.3|Off|</t>
  </si>
  <si>
    <t>(371.65 * 27.7 / 150.89) / 77.5 = 0.8804</t>
  </si>
  <si>
    <t>ErikR|Asia Pacific &amp; Europe (excl UK)|30-Sep-2014|28-Feb-2016|Model S 85|48521|367|Off|No|||258|F) a few times a year|E) monthly|H) never|0.8|15|||367|218|27.7|Off|</t>
  </si>
  <si>
    <t>7,4</t>
  </si>
  <si>
    <t>dosmont|Asia Pacific &amp; Europe (excl UK)|03-Mar-2015|02-Mar-2016|Model S 85D|36800|413|Off|No|||214|D) twice a month|E) monthly|F) a few times a year|0.8|7,4|409|On|||||</t>
  </si>
  <si>
    <t>Pebe|Asia Pacific &amp; Europe (excl UK)|07-Jan-2016|04-Mar-2016|Model S 85D|370|426|Off|No|||248||||0.9||426|Off|||||</t>
  </si>
  <si>
    <t>HWS 90D|Asia Pacific &amp; Europe (excl UK)|29-Sep-2015|04-Mar-2016|Model S 90D|16500|424|Off|No|||248|F) a few times a year|F) a few times a year|F) a few times a year|0.8|11|||||||</t>
  </si>
  <si>
    <t>Drinden|Asia Pacific &amp; Europe (excl UK)|24-Mar-2014|07-Mar-2016|Model S 85|65000|360|Off|No|||211|E) monthly|G) once or twice a year|G) once or twice a year|0.8|7,4|||||||</t>
  </si>
  <si>
    <t>JBou|Asia Pacific &amp; Europe (excl UK)|21-Dec-2013|05-Mar-2016|Model S 85|70614|369|On|No|||220|D) twice a month|E) monthly|F) a few times a year|0.8|11|||||||</t>
  </si>
  <si>
    <t>Anssi|Asia Pacific &amp; Europe (excl UK)|15-May-2015|04-Mar-2016|Model S 70D|17800|353|On|No|||218||||||||||||</t>
  </si>
  <si>
    <t>Jean|Asia Pacific &amp; Europe (excl UK)|07-Dec-2013|21-Mar-2015|Model S 85|132950|372|On|No|||220|F) a few times a year|B) twice a week|G) once or twice a year|0.9|18|399|Off|||||</t>
  </si>
  <si>
    <t>JoeNe|Asia Pacific &amp; Europe (excl UK)|26-Nov-2013|09-Mar-2016|Model S 85|92560.2733704338|368|Off|No|||228|F) a few times a year|F) a few times a year|F) a few times a year|0.7|18|399|Off|||||</t>
  </si>
  <si>
    <t>Rprp 90D|Asia Pacific &amp; Europe (excl UK)|10-Mar-2016|11-Mar-2016|Model S 90D|300|458|Off|No|||218||||||||||||</t>
  </si>
  <si>
    <t>Niels1275|Asia Pacific &amp; Europe (excl UK)|02-Jun-2014|11-Mar-2016|Model S 85|36500|372|On|No|||215|F) a few times a year|F) a few times a year|G) once or twice a year|0.9||407|On|||||</t>
  </si>
  <si>
    <t>Juicer|Asia Pacific &amp; Europe (excl UK)|19-Aug-2015|12-Mar-2016|Model S 70D|27355|357|Off|No|||225|B) twice a week|E) monthly|F) a few times a year|0.8|11|365|Off|||||</t>
  </si>
  <si>
    <t>Thor|Asia Pacific &amp; Europe (excl UK)|17-Dec-2014|14-Mar-2016|Model S 85|48000|384|Off|No|||227|D) twice a month|F) a few times a year|H) never|0.8|11|395|Off|||||</t>
  </si>
  <si>
    <t>eae|Asia Pacific &amp; Europe (excl UK)|15-Dec-2015|18-Mar-2016|Model S 70D|6076|361|Off|No|||228|F) a few times a year|H) never|H) never|0.9|11|361|Off|325||||</t>
  </si>
  <si>
    <t>justroll|Asia Pacific &amp; Europe (excl UK)|15-Oct-2014|18-Mar-2016|Model S 85|61737|378|Off|No|||237||||||||||||</t>
  </si>
  <si>
    <t>HWS 90D|Asia Pacific &amp; Europe (excl UK)|29-Sep-2015|18-Mar-2016|Model S 90D|17326|433|Off|No|||248|F) a few times a year|F) a few times a year|F) a few times a year|0.8|11|426|Off|||||</t>
  </si>
  <si>
    <t>BennyG|Asia Pacific &amp; Europe (excl UK)|13-May-2015|19-Mar-2016|Model S 85|28805|370|Off|No|||214|F) a few times a year|F) a few times a year|F) a few times a year|0.8|11|||||||</t>
  </si>
  <si>
    <t>Sues|Asia Pacific &amp; Europe (excl UK)|19-Mar-2014|19-Mar-2016|Model S 85|42900|376|On|No|||222||||||||||||</t>
  </si>
  <si>
    <t>pjw65|Asia Pacific &amp; Europe (excl UK)|13-May-2015|20-Mar-2016|Model S 85|28479|381|Off|No|||212|C) weekly|E) monthly|F) a few times a year|0.8|11|||||||</t>
  </si>
  <si>
    <t>Juicer|Asia Pacific &amp; Europe (excl UK)|19-Aug-2015|25-Mar-2016|Model S 70D|29300|356|Off|No|||224|B) twice a week|E) monthly|G) once or twice a year|0.8|11|365|Off|||||</t>
  </si>
  <si>
    <t>Thor2|Asia Pacific &amp; Europe (excl UK)|04-Dec-2015|25-Mar-2016|Model S 70D|11500|360|Off|No|||223||F) a few times a year|H) never|0.8|11|365|Off|||||</t>
  </si>
  <si>
    <t>3,7</t>
  </si>
  <si>
    <t>KR|Asia Pacific &amp; Europe (excl UK)|20-Dec-2013|25-Mar-2016|Model S 85|51000|369|Off|No|||222|F) a few times a year|F) a few times a year|G) once or twice a year|0.8|3,7|||||||</t>
  </si>
  <si>
    <t>Keezje|Asia Pacific &amp; Europe (excl UK)|23-Dec-2013|28-Mar-2016|Model S P85|71000|376|Off|No|||221|F) a few times a year|F) a few times a year|F) a few times a year|0.9|11|396|Off|||||</t>
  </si>
  <si>
    <t>Koen De Smet|Asia Pacific &amp; Europe (excl UK)|25-Jun-2015|05-Feb-2016|Model S 85|24639|382|Off|No|||228|D) twice a month|F) a few times a year|F) a few times a year|0.8|11|||||||</t>
  </si>
  <si>
    <t>Geert.Snijders|Asia Pacific &amp; Europe (excl UK)|05-Dec-2013|28-Mar-2016|Model S P85|69000|373|Off|No|||230|C) weekly|G) once or twice a year|F) a few times a year|||||||||</t>
  </si>
  <si>
    <t>4,6</t>
  </si>
  <si>
    <t>univ|Asia Pacific &amp; Europe (excl UK)|16-Apr-2015|30-Mar-2016|Model S 85D|41187|404|On|No|||256|B) twice a week|F) a few times a year|D) twice a month|0.5|4,6|404|On|||||</t>
  </si>
  <si>
    <t>Nulwoning|Asia Pacific &amp; Europe (excl UK)|20-Nov-2013|20-Mar-2016|Model S 85|126800|372|On|No|||187|B) twice a week|D) twice a month|G) once or twice a year|0.7|12|||||||</t>
  </si>
  <si>
    <t>Battery Replacement</t>
  </si>
  <si>
    <t>r.wagner|Asia Pacific &amp; Europe (excl UK)|31-Mar-2015|29-May-2016|Model S P85D|53000|375|Off|No|||220|C) weekly|E) monthly|F) a few times a year|0.8|11|407|Off|||||</t>
  </si>
  <si>
    <t>19" winter tyres, summer tires only the first 5,000 km</t>
  </si>
  <si>
    <t>Matthias Wagner|Asia Pacific &amp; Europe (excl UK)|01-Jun-2015|30-Mar-2016|Model S 70D|49987|358|On|No|||207|B) twice a week|F) a few times a year|H) never|||366|On|||||19" winter tyres, summer tires only the first 5,000 km</t>
  </si>
  <si>
    <t>Vehicles that had a battery replacement</t>
  </si>
  <si>
    <t>pjw65|Asia Pacific &amp; Europe (excl UK)|13-May-2015|31-Mar-2016|Model S 85|30311|388|On|No|||210||||||||||||</t>
  </si>
  <si>
    <t>SW at time of reading: v7.1 (2.14.66)</t>
  </si>
  <si>
    <t>Liddus|Asia Pacific &amp; Europe (excl UK)|17-Mar-2014|01-Apr-2016|Model S P85|70000|384|Off|No|||203|F) a few times a year|F) a few times a year|H) never|0.9|11|392|Off|||||SW at time of reading: v7.1 (2.14.66)</t>
  </si>
  <si>
    <t>KrisB|Asia Pacific &amp; Europe (excl UK)|26-Mar-2014|01-Apr-2016|Model S P85|54700|384|On|No|||171|E) monthly|F) a few times a year|G) once or twice a year|0.8||||||||</t>
  </si>
  <si>
    <t>jpet|Asia Pacific &amp; Europe (excl UK)|03-Apr-2015|04-Apr-2016|Model S P85D|24606|376|On|No|||235|D) twice a month|E) monthly|G) once or twice a year|0.8|11|406|On|||||21" staggered summer / 19" staggered winter</t>
  </si>
  <si>
    <t>thethe|Asia Pacific &amp; Europe (excl UK)|07-Jan-2014|04-Apr-2016|Model S P85|121121|373|On|No|||214|C) weekly|E) monthly|G) once or twice a year|0.9|11|407|On|||||</t>
  </si>
  <si>
    <t>(370.63 * 17.4 / 92.15) / 77.5 = 0.903</t>
  </si>
  <si>
    <t>Go4IT|Asia Pacific &amp; Europe (excl UK)|10-Sep-2013|05-Apr-2016|Model S P85|165000|366|Off|No|||211|D) twice a month|A) daily|F) a few times a year|1|22|400|Off|365|274|17.4|Off|drive unit replaced twice</t>
  </si>
  <si>
    <t>jpet|Asia Pacific &amp; Europe (excl UK)|03-Apr-2015|06-Apr-2016|Model S P85D|24758|376|On|No|||235|D) twice a month|E) monthly|G) once or twice a year|0.8|11|406|On|||||21" staggered summer / 19" staggered winter</t>
  </si>
  <si>
    <t>jpet|Asia Pacific &amp; Europe (excl UK)|03-Apr-2015|10-Apr-2016|Model S P85D|24956|376|On|No|||235|D) twice a month|E) monthly|G) once or twice a year|0.8|11|406|On|||||21" staggered summer / 19" staggered winter</t>
  </si>
  <si>
    <t>Best D value for trendline formula</t>
  </si>
  <si>
    <t>34,1</t>
  </si>
  <si>
    <t>Don't delete blue, yellow or green cells.</t>
  </si>
  <si>
    <t>(379.75 * 34,1 / 181.27) / 77.5 = 0.9218</t>
  </si>
  <si>
    <t>BennyG|Asia Pacific &amp; Europe (excl UK)|13-May-2015|09-Apr-2016|Model S 85|31293|375|Off|No|||213|F) a few times a year|F) a few times a year|F) a few times a year|0.8|11|||375|196|34,1|Off|</t>
  </si>
  <si>
    <t>Usable battery capacity when new</t>
  </si>
  <si>
    <t>This section is about the survey question "What was 100% typical range when the car was new?" The numbers on the left are updated periodically based on the averages calculated here.</t>
  </si>
  <si>
    <t>frequency options</t>
  </si>
  <si>
    <t>Thor|Asia Pacific &amp; Europe (excl UK)|17-Dec-2014|15-Apr-2016|Model S 85|49200|386|Off|No|||227|E) monthly|E) monthly|H) never|0.8|11|396|Off|||||</t>
  </si>
  <si>
    <t>frequency options translated to per day numberic values</t>
  </si>
  <si>
    <t>daily charge</t>
  </si>
  <si>
    <t>michelin PS3 summer tyres</t>
  </si>
  <si>
    <t>What happened to Typical Range after replacement?</t>
  </si>
  <si>
    <t>Phil_BE|Asia Pacific &amp; Europe (excl UK)|24-Sep-2015|21-Dec-2015|Model S 70D|7800|358|Off|No|||220|F) a few times a year|E) monthly|F) a few times a year|0.9|11|365|Off|||||michelin PS3 summer tyres</t>
  </si>
  <si>
    <t>change in miles or km</t>
  </si>
  <si>
    <t>multiplier to correct when range mode is off. There is a video about this here https://www.youtube.com/watch?v=MoAPDZTzxd0</t>
  </si>
  <si>
    <t>Passive consumption (Wh/day). This is used when calculating cycles. While the car is used every day, while charging or just parked, it consumes energy for battery thermal management and connectivity. This energy goes through the battery and increases cycles (battery wear). When trying to figure out how much energy car uses per day for thermal management and connectivity, tests should be done for 12 hours and then multplied by two. After 12 hours vampire loss drops. Therefore leaving the car for a few days unplugged at the airport with energy saving mode off and then measuring vampire loss per day will be inaccurate and won't reflect normal day to day use where the car is plugged in daily.</t>
  </si>
  <si>
    <t>Trendline related data (used in "charts data" sheet, leave alone the blank row)</t>
  </si>
  <si>
    <t>Rob N.|Asia Pacific &amp; Europe (excl UK)|12-Dec-2015|17-Apr-2016|Model S 85D|15000|413|Off|No|||223|B) twice a week|D) twice a month|H) never|0.8|11|408|Off|||||</t>
  </si>
  <si>
    <t>column numbers</t>
  </si>
  <si>
    <t>Winter 19"Hankook W320</t>
  </si>
  <si>
    <t>Nulwoning|Asia Pacific &amp; Europe (excl UK)|20-Nov-2013|17-Apr-2016|Model S 85|130820|377|On|No|||187|B) twice a week|D) twice a month|H) never|0.7|15|||||||Winter 19"Hankook W320</t>
  </si>
  <si>
    <t>shoot72|Asia Pacific &amp; Europe (excl UK)|05-Jun-2015|17-Apr-2016|Model S 85D|43210|410|Off|No|||210|C) weekly|E) monthly|H) never|0.9|11|||||||</t>
  </si>
  <si>
    <t>Current D value  for trendline formula</t>
  </si>
  <si>
    <t>Blue cells (including empty cells) are used for droplist items.</t>
  </si>
  <si>
    <t>eae|Asia Pacific &amp; Europe (excl UK)|15-Dec-2015|18-Apr-2016|Model S 70D|8643|361|Off|No|||220||||||||||||</t>
  </si>
  <si>
    <t>rated range</t>
  </si>
  <si>
    <t>typical range</t>
  </si>
  <si>
    <t>Average excluding min and max values</t>
  </si>
  <si>
    <t>in-clusion|Asia Pacific &amp; Europe (excl UK)|25-Nov-2013|14-Apr-2016|Model S P85+|97310|376|On|No|||228||||||||||||</t>
  </si>
  <si>
    <t>QueenieEye|Asia Pacific &amp; Europe (excl UK)|22-Nov-2013|19-Apr-2016|Model S 85|93400|369|On|No|||202|F) a few times a year|E) monthly|H) never|0.9|11|383|Off|||||</t>
  </si>
  <si>
    <t>JoeNe|Asia Pacific &amp; Europe (excl UK)|26-Nov-2013|22-Apr-2016|Model S 85|98528|374|Off|No|||228|F) a few times a year|F) a few times a year|F) a few times a year|0.7|18|||||||</t>
  </si>
  <si>
    <t>Row number</t>
  </si>
  <si>
    <t>jpet|Asia Pacific &amp; Europe (excl UK)|03-Apr-2015|22-Apr-2016|Model S P85D|26081|375|On|No|||234|D) twice a month|E) monthly|G) once or twice a year|0.8|11|406|On|||||21" staggered summer / 19" staggered winter</t>
  </si>
  <si>
    <t>Remaining range</t>
  </si>
  <si>
    <t>exp(-x/D)-1</t>
  </si>
  <si>
    <t>Remaing % -100%</t>
  </si>
  <si>
    <t>Juicer|Asia Pacific &amp; Europe (excl UK)|19-Aug-2015|30-Apr-2016|Model S 70D|36870|352|Off|No|||219|B) twice a week|E) monthly|F) a few times a year|0.8|11|360|Off|||||</t>
  </si>
  <si>
    <t>Low value</t>
  </si>
  <si>
    <t>A script regularly copies A1 to A2</t>
  </si>
  <si>
    <t>Yellow cells (including empty cells) are for formulas. They fill in data in "no entry needed" columns.</t>
  </si>
  <si>
    <t>miles</t>
  </si>
  <si>
    <t>km</t>
  </si>
  <si>
    <t>Wh</t>
  </si>
  <si>
    <t>JimmyJam|Asia Pacific &amp; Europe (excl UK)|24-Jun-2014|01-May-2016|Model S 85|89983|377|On|No|||222|D) twice a month|D) twice a month|F) a few times a year|0.9|17|||||||</t>
  </si>
  <si>
    <t>SSc3010|Asia Pacific &amp; Europe (excl UK)|04-Jun-2014|30-Apr-2016|Model S 85|108644|374|On|No|||185|C) weekly|F) a few times a year|F) a few times a year|0.9|9|398|On|||||Charging @6°C</t>
  </si>
  <si>
    <t>Raymond|Asia Pacific &amp; Europe (excl UK)|20-Jul-2013|02-May-2016|Model S 85|69255|387|On|No|||218|F) a few times a year|F) a few times a year|F) a few times a year|0.9|11|398|On|||||</t>
  </si>
  <si>
    <t>Range dropped from 405 km at 100% charge to 390 km after 36000 km before battery change</t>
  </si>
  <si>
    <t>Big daddy G|Asia Pacific &amp; Europe (excl UK)|15-May-2015|02-May-2016|Model S 85D|54500|425|Off|Yes|Increased 24 kms|36000|224|A) daily|G) once or twice a year|G) once or twice a year|0.9||425|Off|||||Range dropped from 405 km at 100% charge to 390 km after 36000 km before battery change</t>
  </si>
  <si>
    <t>anco|Asia Pacific &amp; Europe (excl UK)|05-Jun-2014|12-May-2016|Model S 85|62660|374|Off|No|||223|D) twice a month|E) monthly|F) a few times a year|0.9|11|392|Off|||||</t>
  </si>
  <si>
    <t>2,7</t>
  </si>
  <si>
    <t>Steinar|Asia Pacific &amp; Europe (excl UK)|24-May-2014|10-May-2016|Model S 60|39500|279|On|No|||199|E) monthly|F) a few times a year|H) never|0.9|2,7|||||||</t>
  </si>
  <si>
    <t>drive unit replaced 3 times</t>
  </si>
  <si>
    <t>mw80|Asia Pacific &amp; Europe (excl UK)|16-Nov-2013|25-Mar-2016|Model S 85|36410|379|On|No|||219|C) weekly|F) a few times a year|G) once or twice a year|0.9|11||On|||||drive unit replaced 3 times</t>
  </si>
  <si>
    <t>eae|Asia Pacific &amp; Europe (excl UK)|15-Dec-2015|18-May-2016|Model S 70D|11680|364|On|No|||218||||||||||||</t>
  </si>
  <si>
    <t>(369.62 * 17.2 / 93.16) / 77.5 = 0.8805</t>
  </si>
  <si>
    <t>Go4IT|Asia Pacific &amp; Europe (excl UK)|10-Sep-2013|18-May-2016|Model S P85|172000|365|Off|No|||211|D) twice a month|A) daily|F) a few times a year|1|22|400|Off|365|273|17.2|Off|drive unit replaced twice</t>
  </si>
  <si>
    <t>Juicer|Asia Pacific &amp; Europe (excl UK)|19-Aug-2015|20-May-2016|Model S 70D|39404|352|Off|No|||216|A) daily|E) monthly|F) a few times a year|0.8|11|360|Off|||||</t>
  </si>
  <si>
    <t>Steinar|Asia Pacific &amp; Europe (excl UK)|24-May-2014|27-May-2016|Model S 60|39800|274|On|No|||199|E) monthly|F) a few times a year|H) never|0.9|2,7||On|||||</t>
  </si>
  <si>
    <t>HWS 90D|Asia Pacific &amp; Europe (excl UK)|29-Sep-2015|27-May-2016|Model S 90D|24331|432|On|No|||236|F) a few times a year|F) a few times a year|F) a few times a year|0.8|11|426|Off|||||</t>
  </si>
  <si>
    <t>Charging @13°C</t>
  </si>
  <si>
    <t>SSc3010|Asia Pacific &amp; Europe (excl UK)|04-Jun-2014|27-May-2016|Model S 85|112723|375|On|No|||184|C) weekly|F) a few times a year|F) a few times a year|0.9|9|398|On|||||Charging @13°C</t>
  </si>
  <si>
    <t>x= mileage in km
y= remaining original range %
y = A - x/(B*100) + C*exp(-x/D)</t>
  </si>
  <si>
    <t>Charging @kW over 36hrs.</t>
  </si>
  <si>
    <t>Green cells (including empty cells) are for both drop list items and formulas.</t>
  </si>
  <si>
    <t>SSc3010|Asia Pacific &amp; Europe (excl UK)|04-Jun-2014|29-May-2016|Model S 85|113170|373|On|No|||184|C) weekly|F) a few times a year||0.9|9|398|On|||||Charging @kW over 36hrs.</t>
  </si>
  <si>
    <t>pjw65|Asia Pacific &amp; Europe (excl UK)|13-May-2015|05-Jun-2016|Model S 85|43806|383|On|No|||190|B) twice a week|E) monthly|E) monthly|0.8|11|||||||</t>
  </si>
  <si>
    <t>One year</t>
  </si>
  <si>
    <t>shoot72|Asia Pacific &amp; Europe (excl UK)|05-Jun-2015|05-Jun-2016|Model S 85D|47128|419|On|No|||212|C) weekly|E) monthly|F) a few times a year|0.9|11|||||||One year</t>
  </si>
  <si>
    <t>Don't separate these two columns</t>
  </si>
  <si>
    <t>2,3</t>
  </si>
  <si>
    <t>velociped77|Asia Pacific &amp; Europe (excl UK)|20-Jan-2016|10-Apr-2016|Model S 70D|1340|364|On|No|||179|E) monthly|F) a few times a year|H) never|0.7|2,3|||||20.2|On|</t>
  </si>
  <si>
    <t>velociped77|Asia Pacific &amp; Europe (excl UK)|20-Jan-2016|14-May-2016|Model S 70D|3177|364|Off|No|||179|E) monthly|F) a few times a year|H) never|0.7|2,3|||||17.3|Off|</t>
  </si>
  <si>
    <t>Bright blue cells mean there is an arrayformula in that cell that fills other cells below it.</t>
  </si>
  <si>
    <t>JBou|Asia Pacific &amp; Europe (excl UK)|21-Dec-2013|05-Jun-2016|Model S 85|80500|371|On|No|||217|E) monthly|F) a few times a year|G) once or twice a year|0.8|11|||||||</t>
  </si>
  <si>
    <t>selsrog|Asia Pacific &amp; Europe (excl UK)|20-Jun-2014|17-Dec-2015|Model S 85|46534|361|Off|No|||221|F) a few times a year|F) a few times a year|G) once or twice a year|0.8||||||||</t>
  </si>
  <si>
    <t>&lt;&lt; select car model</t>
  </si>
  <si>
    <t>off</t>
  </si>
  <si>
    <t>selsrog|Asia Pacific &amp; Europe (excl UK)|20-Jun-2014|28-Mar-2016|Model S 85|53226|364|Off|No|||221|F) a few times a year|F) a few times a year|G) once or twice a year|0.8||||||||</t>
  </si>
  <si>
    <t>New items added to one of the empty blue, green or yellow cells will appear automatically in droplists or formulas.
Make changes here to droplist items to affect all sheets. Change text or add/remove items. 
If you remove or change the spelling of an item above, it won't affect entries that were already using that item.
Example 1: I changed "less than a month" to "twice a month". Entries that were already set to "less than a month" didn't change. I manually changed these to te new value. 
Example 2: If "Model S 85" is discontinued in the future, you can remove it from this list and it will disappear from droplist options on all sheets. However entries that have already "Model S 85" selected, won't be affected, except they will display a warning that says the entry is invalid. To remove this warning, you have two options:
Option A: Select cells that show a warning (sort chart by that column to select all problem cells at once) &gt; right click &gt; data validation &gt; remove data validation. This option is not ideal.
Option B: Select cells that show a warning (sort chart by that column to select all problem cells at once) &gt; then right click the selection&gt; data validation &gt; Change "Criteria" from "List of Range" to "List of Items" &gt; On the next box enter a list separated by comma that includes the old option that was removed, for example Model S 60,Model S 70D,Model S 85,Model S 85D,Model S P85,Model S P85+,Model S P85D
How do you add a new droplist to main chart? Let's pretend car models is not there and we need to add it. 
1. On this page create a column and enter car models one at each row.
2. Change the cell colour to blue including a few empty cells after the last row, for future use.
3. Go to main chart &gt; select a column header &gt; on top menu select "Data" &gt; "Validation" &gt; "Remove Validation" to clear any existing setting from that column. Then again select "Data" &gt; "Validation" 
4. Change cell range from, let's say, USA!AD:AD to USA!AD4:AD to exclude top three rows.
5. For "Criteria" select "List from range.
6. On the box next to it click the small 3x3 table icon. It says "Select data range" when you hover.
7. Switch from the contry sheet to this sheet &gt; then select the items from those blue cells. The empty cells won't appear in the droplist until you enter a text.
8. Select "Reject input" &gt; don't select "show help", it doesn't work well &gt; click "Save"</t>
  </si>
  <si>
    <t>jpet|Asia Pacific &amp; Europe (excl UK)|03-Apr-2015|07-Jun-2016|Model S P85D|27279|377|On|No|||233|D) twice a month|E) monthly|G) once or twice a year|0.7|11|406|On|||||21" staggered summer / 19" staggered winter</t>
  </si>
  <si>
    <t>rated range mi</t>
  </si>
  <si>
    <t>typical range km</t>
  </si>
  <si>
    <t>jpet|Asia Pacific &amp; Europe (excl UK)|03-Apr-2015|11-Jun-2016|Model S P85D|27426|374|Off|No|||233|D) twice a month|E) monthly|G) once or twice a year|0.7|11|406|On|||||21" staggered summer / 19" staggered winter</t>
  </si>
  <si>
    <t>free parameters</t>
  </si>
  <si>
    <t>Had a battery for replacement for 3 months between march and june 2015</t>
  </si>
  <si>
    <t>value</t>
  </si>
  <si>
    <t>C Bretaud|Asia Pacific &amp; Europe (excl UK)|27-Dec-2013|11-Jun-2016|Model S P85|156115|372|Off|No|||214|D) twice a month|F) a few times a year|G) once or twice a year|0.9|7|392|Off|||||Had a battery for replacement for 3 months between march and june 2015</t>
  </si>
  <si>
    <t>uncertainty</t>
  </si>
  <si>
    <t>Start row for linest formula</t>
  </si>
  <si>
    <t>range for known Ys</t>
  </si>
  <si>
    <t>BasvdPoel|Asia Pacific &amp; Europe (excl UK)|28-May-2014|15-Feb-2016|Model S 85|40005|383|Off|No|||224|F) a few times a year|F) a few times a year|F) a few times a year|0.9|7|||||||</t>
  </si>
  <si>
    <t>Thor|Asia Pacific &amp; Europe (excl UK)|17-Dec-2014|11-Jun-2016|Model S 85|54000|386|Off|No|||226|E) monthly|F) a few times a year|H) never|0.8|11|392|Off|||||</t>
  </si>
  <si>
    <t>B+error</t>
  </si>
  <si>
    <t>19"; DU replacement May 2016; consumption reducing</t>
  </si>
  <si>
    <t>Keezje|Asia Pacific &amp; Europe (excl UK)|23-Dec-2013|11-Jun-2016|Model S P85|74500|379|Off|No|||226|D) twice a month|E) monthly|E) monthly|0.9|11|396|Off|||||19"; DU replacement May 2016; consumption reducing</t>
  </si>
  <si>
    <t>Erik-S85|Asia Pacific &amp; Europe (excl UK)|25-Nov-2014|12-Jun-2016|Model S 85|54000|383|Off|No|||220|E) monthly|F) a few times a year|G) once or twice a year|0.9|16|||||||</t>
  </si>
  <si>
    <t>Increased 1 km</t>
  </si>
  <si>
    <t>Nulwoning|Asia Pacific &amp; Europe (excl UK)|20-Nov-2013|16-Jun-2016|Model S 85|139100|374|On|No|||187|B) twice a week|D) twice a month|H) never|0.7|11|||||||</t>
  </si>
  <si>
    <t>A =</t>
  </si>
  <si>
    <t>Stickybit|Asia Pacific &amp; Europe (excl UK)|15-Mar-2016|15-Jun-2016|Model S 70D|13659|369|On|No|||209|A) daily|B) twice a week|G) once or twice a year|1|11|360|Off|||||</t>
  </si>
  <si>
    <t>B-error</t>
  </si>
  <si>
    <t>ebullio|Asia Pacific &amp; Europe (excl UK)|13-Nov-2013|17-Jun-2016|Model S 85|78956|382|Off|Yes|Don't know (km)|12000|235||||||||||||</t>
  </si>
  <si>
    <t>Increased 2 kms</t>
  </si>
  <si>
    <t>B =</t>
  </si>
  <si>
    <t>CJAHulskamp|Asia Pacific &amp; Europe (excl UK)|01-Dec-2015|17-Jun-2016|Model S 70|11968|369|Off|No|||187|D) twice a month|E) monthly|D) twice a month|0.8|11||Off|||||</t>
  </si>
  <si>
    <t>km to lose 1%</t>
  </si>
  <si>
    <t>End row for linest formula</t>
  </si>
  <si>
    <t>range for known Xs</t>
  </si>
  <si>
    <t>Matteo says: In your previous entry #345 you selected yes to battery replacement. I added the same data to this entry.</t>
  </si>
  <si>
    <t>Energie Gratiz|Asia Pacific &amp; Europe (excl UK)|10-Dec-2013|15-Jun-2016|Model S P85|231000|370|On|Yes|Increased 20 kms|77000|228||||||||||||Matteo says: In your previous entry #345 you selected yes to battery replacement. I added the same data to this entry.</t>
  </si>
  <si>
    <t>B</t>
  </si>
  <si>
    <t>Increased 3 kms</t>
  </si>
  <si>
    <t>BobbyKings|Asia Pacific &amp; Europe (excl UK)|30-Mar-2015|19-Jun-2016|Model S 85D|50011|412|Off|No|||206|C) weekly|E) monthly|E) monthly|0.9|11|||||||</t>
  </si>
  <si>
    <t>C =</t>
  </si>
  <si>
    <t>Nulwoning|Asia Pacific &amp; Europe (excl UK)|20-Nov-2013|23-Jun-2016|Model S 85|140050|376|On|No|||187|B) twice a week|D) twice a month|H) never|0.7|11|||||||</t>
  </si>
  <si>
    <t>-error</t>
  </si>
  <si>
    <t>Increased 4 kms</t>
  </si>
  <si>
    <t>Juicer|Asia Pacific &amp; Europe (excl UK)|19-Aug-2015|24-Jun-2016|Model S 70D|43787|353|Off|No|||213|A) daily|E) monthly|F) a few times a year|0.8|11|360|Off|||||</t>
  </si>
  <si>
    <t>D =</t>
  </si>
  <si>
    <t>Adjust to minimize sumsq</t>
  </si>
  <si>
    <t>Thor|Asia Pacific &amp; Europe (excl UK)|17-Dec-2014|26-Jun-2016|Model S 85|54765|384|Off|No|||225|E) monthly|E) monthly|F) a few times a year|0.8|11|392|Off|||||</t>
  </si>
  <si>
    <t>no daily charging, SOC is between 50 and 90% most of the time</t>
  </si>
  <si>
    <t>Ashtorak|Asia Pacific &amp; Europe (excl UK)|21-Mar-2016|16-Jun-2016|Model S 70|7080|367|On|No|||202|D) twice a month|E) monthly|F) a few times a year|||||||||no daily charging, SOC is between 50 and 90% most of the time</t>
  </si>
  <si>
    <t>+error</t>
  </si>
  <si>
    <t>jpet|Asia Pacific &amp; Europe (excl UK)|03-Apr-2015|02-Jul-2016|Model S P85D|28424|379|On|No|||232|D) twice a month|E) monthly|G) once or twice a year|0.7|11|406|On|||||21" staggered summer / 19" staggered winter</t>
  </si>
  <si>
    <t>Best D value?</t>
  </si>
  <si>
    <t>GDgreen|Asia Pacific &amp; Europe (excl UK)|16-Oct-2013|02-Jul-2016|Model S P85+|52500|380|Off|No|||225|G) once or twice a year|G) once or twice a year|H) never|0.8|18|400|On|||||</t>
  </si>
  <si>
    <t>Rprp 90D|Asia Pacific &amp; Europe (excl UK)|10-Mar-2016|08-Jul-2016|Model S 90D|15000|447|Off|No|||225||||||||||||</t>
  </si>
  <si>
    <t>mean error on B</t>
  </si>
  <si>
    <t>CarlL|Asia Pacific &amp; Europe (excl UK)|24-Dec-2015|29-Jun-2016|Model S 85D|12000|430|Off|No|||218||||||||||||</t>
  </si>
  <si>
    <t xml:space="preserve">R^2 = </t>
  </si>
  <si>
    <t>Drive unit replace twice</t>
  </si>
  <si>
    <t>(370.63 * 17.5 / 92.15) / 77.5 = 0.9082</t>
  </si>
  <si>
    <t>Go4IT|Asia Pacific &amp; Europe (excl UK)|10-Sep-2013|11-Jul-2016|Model S P85|183000|366|Off|No|||215|D) twice a month|A) daily|F) a few times a year|1|22|400|Off|366|275|17.5|Off|Drive unit replace twice</t>
  </si>
  <si>
    <t>F =</t>
  </si>
  <si>
    <t>eae|Asia Pacific &amp; Europe (excl UK)|15-Dec-2015|16-Jul-2016|Model S 70D|15300|364|On|No|||211|D) twice a month|H) never|H) never|0.9|11|361|Off|||||</t>
  </si>
  <si>
    <t>Thor2|Asia Pacific &amp; Europe (excl UK)|04-Dec-2015|16-Jul-2016|Model S 70D|19000|349|Off|No|||206|F) a few times a year|F) a few times a year|H) never|0.8|11||Off|||||</t>
  </si>
  <si>
    <t>Increased 9 kms</t>
  </si>
  <si>
    <t>^ sum sq.</t>
  </si>
  <si>
    <t>Increased 10 kms</t>
  </si>
  <si>
    <t>HWS 90D|Asia Pacific &amp; Europe (excl UK)|29-Sep-2015|18-Jul-2016|Model S 90D|26389|428|Off|No|||236|F) a few times a year|F) a few times a year|F) a few times a year|0.8|11|426|Off|||||</t>
  </si>
  <si>
    <t>Increased 11 kms</t>
  </si>
  <si>
    <t>Rick A.|Asia Pacific &amp; Europe (excl UK)|10-Jun-2016|16-Jul-2016|Model S 90D|4900|445|Off|No|||242||||||||||||</t>
  </si>
  <si>
    <t>Increased 12 kms</t>
  </si>
  <si>
    <t>Increased 13 kms</t>
  </si>
  <si>
    <t>shoot72|Asia Pacific &amp; Europe (excl UK)|05-Jun-2015|16-Jul-2016|Model S 85D|52600|419|On|No|||211|C) weekly|E) monthly|G) once or twice a year|0.9|11|||||||</t>
  </si>
  <si>
    <t>MrvdG|Asia Pacific &amp; Europe (excl UK)|20-Jun-2016|17-Jul-2016|Model S 90D|1512|456|Off|No|||194|C) weekly|C) weekly|E) monthly|0.9|11|456|Off|||||</t>
  </si>
  <si>
    <t>Increased 14 kms</t>
  </si>
  <si>
    <t>Increased 15 kms</t>
  </si>
  <si>
    <t>54,6</t>
  </si>
  <si>
    <t>(385.82 * 54,6 / 283) / 77.5 = 0.9605</t>
  </si>
  <si>
    <t>BennyG|Asia Pacific &amp; Europe (excl UK)|13-May-2015|25-Jul-2016|Model S 85|42234|381|Off|No|||207|E) monthly|F) a few times a year|G) once or twice a year|0.8|11|||381|98|54,6|On|</t>
  </si>
  <si>
    <t>Increased 16 kms</t>
  </si>
  <si>
    <t>Middle value (Charts and tables use this one)</t>
  </si>
  <si>
    <t>Juicer|Asia Pacific &amp; Europe (excl UK)|19-Aug-2015|28-Jul-2016|Model S 70D|49107|352|Off|No|||209|A) daily|E) monthly|F) a few times a year|0.8|11|360|Off|||||</t>
  </si>
  <si>
    <t>Increased 17 kms</t>
  </si>
  <si>
    <t>Battery type 1056776-00-E (P90D without ludicrous)</t>
  </si>
  <si>
    <t>Baselland|Asia Pacific &amp; Europe (excl UK)|13-Apr-2016|30-Jul-2016|Model S P90D|1330|412|Off|No|||244|E) monthly|D) twice a month|F) a few times a year|0.7|11|412|Off|||||Battery type 1056776-00-E (P90D without ludicrous)</t>
  </si>
  <si>
    <t>Increased 18 kms</t>
  </si>
  <si>
    <t>jpet|Asia Pacific &amp; Europe (excl UK)|03-Apr-2015|31-Jul-2016|Model S P85D|30001|379|On|No|||231|D) twice a month|E) monthly|G) once or twice a year|0.7|11|406|On|||||21" staggered summer / 19" staggered winter</t>
  </si>
  <si>
    <t>50,5</t>
  </si>
  <si>
    <t>(378 * 50,5 / 273) / 77.5 = 0.9022</t>
  </si>
  <si>
    <t>jpet|Asia Pacific &amp; Europe (excl UK)|03-Apr-2015|31-Jul-2016|Model S P85D|30094|378|On|No|||231|D) twice a month|E) monthly|G) once or twice a year|0.7|11|406|On|378|105|50,5|On|21" staggered summer / 19" staggered winter</t>
  </si>
  <si>
    <t>Increased 19 kms</t>
  </si>
  <si>
    <t>20,8</t>
  </si>
  <si>
    <t>(380 * 20,8 / 111) / 77.5 = 0.9188</t>
  </si>
  <si>
    <t>jpet|Asia Pacific &amp; Europe (excl UK)|03-Apr-2015|31-Jul-2016|Model S P85D|30353|380|On|No|||231|D) twice a month|E) monthly|G) once or twice a year|0.7|11|406|On|380|269|20,8|On|21" staggered summer / 19" staggered winter</t>
  </si>
  <si>
    <t>Full charge on 11kW</t>
  </si>
  <si>
    <t>twall-e|Asia Pacific &amp; Europe (excl UK)|17-Apr-2016|30-Jul-2016|Model S 70D|1700|363|On|No|||186||||||||||||Full charge on 11kW</t>
  </si>
  <si>
    <t>SW at time of reading: v7.1 (2.28.60)</t>
  </si>
  <si>
    <t>Liddus|Asia Pacific &amp; Europe (excl UK)|17-Mar-2014|01-Aug-2016|Model S P85|80000|377|Off|No|||201|F) a few times a year|F) a few times a year|H) never|0.9|11|392|Off|||||SW at time of reading: v7.1 (2.28.60)</t>
  </si>
  <si>
    <t>gelden|Asia Pacific &amp; Europe (excl UK)|25-Nov-2013|31-Jul-2016|Model S 85|71000|373|Off|Yes|Don't know (km)|26000|266|E) monthly|F) a few times a year|F) a few times a year|0.9|3|400|Off|||||</t>
  </si>
  <si>
    <t>21 inc, michelin super sport, 19 inch winter pirelli</t>
  </si>
  <si>
    <t>Berg|Asia Pacific &amp; Europe (excl UK)|22-Nov-2013|25-Jul-2016|Model S P85|84000|382|On|No|||235|F) a few times a year|F) a few times a year|F) a few times a year|0.8|7.5|||||||21 inc, michelin super sport, 19 inch winter pirelli</t>
  </si>
  <si>
    <t>Increased 21 kms</t>
  </si>
  <si>
    <t>Andre68|Asia Pacific &amp; Europe (excl UK)|01-Oct-2014|04-Aug-2016|Model S 85|76500|372|Off|No|||223|E) monthly|E) monthly|F) a few times a year|0.8||384|Off|||||</t>
  </si>
  <si>
    <t>Vandalism incidents</t>
  </si>
  <si>
    <t>JimmyJam|Asia Pacific &amp; Europe (excl UK)|24-Jun-2014|04-Aug-2016|Model S 85|100500|381|Off|No|||220|E) monthly|E) monthly|G) once or twice a year|0.8|18|||||||</t>
  </si>
  <si>
    <t>Increased 22 kms</t>
  </si>
  <si>
    <t>Thor2|Asia Pacific &amp; Europe (excl UK)|04-Dec-2015|04-Aug-2016|Model S 70D|25000|350|Off|No|||204|E) monthly|F) a few times a year|H) never|0.8|20||Off|||||</t>
  </si>
  <si>
    <t>jpet|Asia Pacific &amp; Europe (excl UK)|03-Apr-2015|06-Aug-2016|Model S P85D|30909|379|On|No|||231|D) twice a month|E) monthly|G) once or twice a year|0.7|11|406|On|||||21" staggered summer / 19" staggered winter</t>
  </si>
  <si>
    <t>Time (as shown on revision history)</t>
  </si>
  <si>
    <t>bpsmits|Asia Pacific &amp; Europe (excl UK)|20-Nov-2013|09-Aug-2016|Model S 85|104000|373|On|No|||218|D) twice a month|C) weekly|G) once or twice a year|0.8||||||||19"</t>
  </si>
  <si>
    <t>Change</t>
  </si>
  <si>
    <t>Nulwoning|Asia Pacific &amp; Europe (excl UK)|20-Nov-2013|09-Aug-2016|Model S 85|148150|379|On|No|||186|B) twice a week|F) a few times a year|G) once or twice a year|0.8|11||On|||||19"</t>
  </si>
  <si>
    <t>Increased 23 kms</t>
  </si>
  <si>
    <t>eae|Asia Pacific &amp; Europe (excl UK)|15-Dec-2015|09-Aug-2016|Model S 70D|17500|361|Off|No|||210||||||||||||</t>
  </si>
  <si>
    <t>Entry number</t>
  </si>
  <si>
    <t>Column</t>
  </si>
  <si>
    <t>Old value</t>
  </si>
  <si>
    <t>QueenieEye|Asia Pacific &amp; Europe (excl UK)|22-Nov-2013|11-Aug-2016|Model S 85|106563|369|On|No|||200|E) monthly|E) monthly|H) never|0.9|11|383|Off|||||</t>
  </si>
  <si>
    <t>New value</t>
  </si>
  <si>
    <t>HWS 90D|Asia Pacific &amp; Europe (excl UK)|29-Sep-2015|12-Aug-2016|Model S 90D|29890|431|On|No|||236|F) a few times a year|F) a few times a year|F) a few times a year|0.8|11|426|Off|||||</t>
  </si>
  <si>
    <t>eae|Asia Pacific &amp; Europe (excl UK)|15-Dec-2015|17-Aug-2016|Model S 70D|18300|359|Off|No|||209||||||||||||</t>
  </si>
  <si>
    <t>pjw65|Asia Pacific &amp; Europe (excl UK)|13-May-2015|13-Aug-2016|Model S 85|60700|382|Off|No|||200||||||||||||</t>
  </si>
  <si>
    <t>BennyG|Asia Pacific &amp; Europe (excl UK)|13-May-2015|10-Aug-2016|Model S 85|45533|385|On|No|||207|E) monthly|F) a few times a year|G) once or twice a year|0.8|11|||||||</t>
  </si>
  <si>
    <t>Matteo says: If your data has changed, please add a new entry. We have had some vandalism incidents. Therefore I reversed some changes.</t>
  </si>
  <si>
    <t>Rolfe|Asia Pacific &amp; Europe (excl UK)|13-May-2015|21-Aug-2016|Model S P85D|27000|381|Off|Yes|Don't know (km)|2000|221|F) a few times a year|F) a few times a year|G) once or twice a year|0.8|7||Off|||||Matteo says: If your data has changed, please add a new entry. We have had some vandalism incidents. Therefore I reversed some changes.</t>
  </si>
  <si>
    <t>Don't know</t>
  </si>
  <si>
    <t>Dropped 1 km</t>
  </si>
  <si>
    <t>SSc3010|Asia Pacific &amp; Europe (excl UK)|04-Jun-2014|05-Aug-2016|Model S 85|123275|376|On|No|||182|D) twice a month|F) a few times a year|F) a few times a year|0.9|9|||||||@17°C, 19" all wheather</t>
  </si>
  <si>
    <t>Date of range reading</t>
  </si>
  <si>
    <t>Keezje|Asia Pacific &amp; Europe (excl UK)|23-Dec-2013|23-Aug-2016|Model S P85|84561|381|Off|No|||225|D) twice a month|E) monthly|E) monthly|0.9|11|396|Off|||||</t>
  </si>
  <si>
    <t>Dropped 2 kms</t>
  </si>
  <si>
    <t>XFrank-85|Asia Pacific &amp; Europe (excl UK)|02-Sep-2015|23-Aug-2016|Model S P85|20500|386|Off|No|||212|C) weekly|D) twice a month|G) once or twice a year|0.8|11|398|Off|||||</t>
  </si>
  <si>
    <t>Dropped 3 kms</t>
  </si>
  <si>
    <t>Dropped 4 kms</t>
  </si>
  <si>
    <t>Eelcodb|Asia Pacific &amp; Europe (excl UK)|07-Nov-2014|17-Aug-2016|Model S 85|40200|389|On|No|||193|F) a few times a year|G) once or twice a year|H) never|0.7|11|384|On|||||19"</t>
  </si>
  <si>
    <t>FVO|Asia Pacific &amp; Europe (excl UK)|20-Nov-2013|22-Aug-2016|Model S 85|74000|381|On|No|||210|D) twice a month|F) a few times a year|G) once or twice a year|0.8|9|392|On|||||</t>
  </si>
  <si>
    <t>Juicer|Asia Pacific &amp; Europe (excl UK)|19-Aug-2015|27-Aug-2016|Model S 70D|53176|352|Off|No|||206|A) daily|E) monthly|D) twice a month|0.8|11|360|Off|||||</t>
  </si>
  <si>
    <t>Rprp 90D|Asia Pacific &amp; Europe (excl UK)|10-Mar-2016|29-Aug-2016|Model S 90D|20000|447|Off|No|||218||||||||||||</t>
  </si>
  <si>
    <t>ebullio|Asia Pacific &amp; Europe (excl UK)|13-Nov-2013|30-Aug-2016|Model S 85|86532|383|Off|Yes|Don't know (km)|12000|235|D) twice a month|F) a few times a year|F) a few times a year|0.9|11|||||||</t>
  </si>
  <si>
    <t>ErikR|Asia Pacific &amp; Europe (excl UK)|30-Sep-2014|10-May-2016|Model S 85|55421|367|Off|No|||258||||||||||||</t>
  </si>
  <si>
    <t>ErikR|Asia Pacific &amp; Europe (excl UK)|30-Sep-2014|25-Aug-2016|Model S 85|65833|373|Off|No|||253||||||||||||</t>
  </si>
  <si>
    <t>Bernie|Asia Pacific &amp; Europe (excl UK)|26-Apr-2016|30-Aug-2016|Model S 70D|6455|361|Off|No|||198||||||||||||</t>
  </si>
  <si>
    <t>twall-e|Asia Pacific &amp; Europe (excl UK)|17-Apr-2016|01-Sep-2016|Model S 70D|4000|354|On|No|||174|D) twice a month|F) a few times a year||0.9||360|Off|||||</t>
  </si>
  <si>
    <t>Increased 1 mile</t>
  </si>
  <si>
    <t>High value</t>
  </si>
  <si>
    <t>shoot72|Asia Pacific &amp; Europe (excl UK)|05-Jun-2015|22-Aug-2016|Model S 85D|57583|413|Off|No|||211|C) weekly|E) monthly|G) once or twice a year|0.9|11|||||||</t>
  </si>
  <si>
    <t>Increased 2 miles</t>
  </si>
  <si>
    <t>Increased 3 miles</t>
  </si>
  <si>
    <t>nico180|Asia Pacific &amp; Europe (excl UK)|20-Apr-2016|03-Sep-2016|Model S 90D|5444|446|Off|No|||220|E) monthly|F) a few times a year|E) monthly|0.9|11|455|Off|||||</t>
  </si>
  <si>
    <t>Increased 4 miles</t>
  </si>
  <si>
    <t>eae|Asia Pacific &amp; Europe (excl UK)|15-Dec-2015|05-Sep-2016|Model S 70D|20300|359|Off|No|||205|C) weekly|H) never|H) never|0.9|11|359|Off|||||</t>
  </si>
  <si>
    <t>Increased 5 miles</t>
  </si>
  <si>
    <t>ODE90D|Asia Pacific &amp; Europe (excl UK)|09-Dec-2015|06-Sep-2016|Model S 90D|48000|440|Off|No|||218|A) daily|E) monthly|D) twice a month|0.8|11|||||||</t>
  </si>
  <si>
    <t>JBou|Asia Pacific &amp; Europe (excl UK)|21-Dec-2013|06-Sep-2016|Model S 85|89000|372|On|No|||211|C) weekly|E) monthly|G) once or twice a year|0.8|11|||||||</t>
  </si>
  <si>
    <t>Nulwoning|Asia Pacific &amp; Europe (excl UK)|20-Nov-2013|06-Sep-2016|Model S 85|152250|382|On|No|||185|B) twice a week|F) a few times a year|G) once or twice a year|0.7|11|||||||</t>
  </si>
  <si>
    <t>Yannick|Asia Pacific &amp; Europe (excl UK)|29-Apr-2016|07-Sep-2016|Model S 70D|10000|365|On|No|||221||||||||||||</t>
  </si>
  <si>
    <t>Increased 7 miles</t>
  </si>
  <si>
    <t>Stickybit|Asia Pacific &amp; Europe (excl UK)|15-Mar-2016|07-Sep-2016|Model S 70D|21045|366|On|No|||218|D) twice a month|C) weekly|G) once or twice a year|0.9|11|360|On|||||</t>
  </si>
  <si>
    <t>HWS 90D|Asia Pacific &amp; Europe (excl UK)|29-Sep-2015|07-Sep-2016|Model S 90D|31865|433|On|No|||234|F) a few times a year|F) a few times a year|F) a few times a year|0.8|11|426|Off|||||</t>
  </si>
  <si>
    <t>Increased 8 miles</t>
  </si>
  <si>
    <t>mw80|Asia Pacific &amp; Europe (excl UK)|16-Nov-2013|03-Sep-2016|Model S 85|53756.1|381|On|No|||195|C) weekly|F) a few times a year|G) once or twice a year|0.9|11|||||||drive unit replaced 3 times</t>
  </si>
  <si>
    <t>Increased 9 miles</t>
  </si>
  <si>
    <t>Patrick Claerhout|Asia Pacific &amp; Europe (excl UK)|06-Nov-2013|07-Sep-2016|Model S 85|100250|375|On|No|||203|F) a few times a year|F) a few times a year|F) a few times a year|0.9||||||||</t>
  </si>
  <si>
    <t>Kirre|Asia Pacific &amp; Europe (excl UK)|29-Jun-2016|08-Sep-2016|Model S 70D|6316|357|Off|No|||181|E) monthly|D) twice a month|F) a few times a year|0.8|11|||||||</t>
  </si>
  <si>
    <t>Increased 10 miles</t>
  </si>
  <si>
    <t>jpet|Asia Pacific &amp; Europe (excl UK)|03-Apr-2015|09-Sep-2016|Model S P85D|32110|382|On|No|||230|D) twice a month|E) monthly|G) once or twice a year|0.7|11|406|On|||||21" staggered summer / 19" staggered winter</t>
  </si>
  <si>
    <t>Increased 11 miles</t>
  </si>
  <si>
    <t>Pebe|Asia Pacific &amp; Europe (excl UK)|03-Mar-2016|11-Sep-2016|Model S 85D|20147|428|Off|No|||220|E) monthly|F) a few times a year|G) once or twice a year|0.9|11|||||||</t>
  </si>
  <si>
    <t>Increased 12 miles</t>
  </si>
  <si>
    <t>in-clusion|Asia Pacific &amp; Europe (excl UK)|25-Nov-2013|11-Sep-2016|Model S P85+|116148|379|On|No|||224|F) a few times a year|C) weekly|E) monthly|0.9|11|400||||||</t>
  </si>
  <si>
    <t>Increased 13 miles</t>
  </si>
  <si>
    <t>Increased 14 miles</t>
  </si>
  <si>
    <t>QueenieEye|Asia Pacific &amp; Europe (excl UK)|22-Nov-2013|12-Sep-2016|Model S 85|109248|373|On|No|||200|E) monthly|E) monthly|H) never|0.9|11|383|Off|||||</t>
  </si>
  <si>
    <t>Increased 15 miles</t>
  </si>
  <si>
    <t>Tazmanian|Asia Pacific &amp; Europe (excl UK)|27-Jan-2016|12-Sep-2016|Model S 85D|17500|420|Off|No|||230|C) weekly|E) monthly|E) monthly|0.9||||||||</t>
  </si>
  <si>
    <t>Dropped 1 mile</t>
  </si>
  <si>
    <t>Dropped 2 miles</t>
  </si>
  <si>
    <t>diegop|Asia Pacific &amp; Europe (excl UK)|15-Nov-2015|14-Sep-2016|Model S 90|16667|410|Off|No|||204|F) a few times a year|F) a few times a year|F) a few times a year|0.8||420|Off|||||</t>
  </si>
  <si>
    <t>(370.63 * 17.1 / 92.15) / 77.5 = 0.8874</t>
  </si>
  <si>
    <t>Go4IT|Asia Pacific &amp; Europe (excl UK)|10-Sep-2013|15-Sep-2016|Model S P85|200000|366|Off|No|||212|D) twice a month|A) daily|F) a few times a year|1|22|400|Off|366|275|17.1|Off|</t>
  </si>
  <si>
    <t>Dropped 4 miles</t>
  </si>
  <si>
    <t>Calculating trendline at specific mileage:</t>
  </si>
  <si>
    <t>(385 * 28.8 / 151) / 77.5 = 0.9475</t>
  </si>
  <si>
    <t>BennyG|Asia Pacific &amp; Europe (excl UK)|13-May-2015|19-Sep-2016|Model S 85|50878|385|On|No|||205|F) a few times a year|E) monthly|G) once or twice a year|0.8|22|||385|234|28.8|On|</t>
  </si>
  <si>
    <t>eae|Asia Pacific &amp; Europe (excl UK)|15-Dec-2015|20-Sep-2016|Model S 70D|22442|361|Off|No|||202||||||||||||</t>
  </si>
  <si>
    <t>Dropped 5 miles</t>
  </si>
  <si>
    <t>Example:</t>
  </si>
  <si>
    <t>korgmatose|Asia Pacific &amp; Europe (excl UK)|30-Oct-2014|23-Sep-2016|Model S 85|68439|384|On|No|||220|B) twice a week|F) a few times a year||0.9|3|||||||</t>
  </si>
  <si>
    <t>Mileage</t>
  </si>
  <si>
    <t>Remaining original capacity</t>
  </si>
  <si>
    <t>jpet|Asia Pacific &amp; Europe (excl UK)|03-Apr-2015|24-Sep-2016|Model S P85D|32540|381|On|No|||229|D) twice a month|E) monthly|G) once or twice a year|0.7|11|406|On|||||21" staggered summer / 19" staggered winter</t>
  </si>
  <si>
    <t>jpet|Asia Pacific &amp; Europe (excl UK)|03-Apr-2015|25-Sep-2016|Model S P85D|32910|383|On|No|||229|D) twice a month|E) monthly|G) once or twice a year|0.7|11|406|On|||||21" staggered summer / 19" staggered winter</t>
  </si>
  <si>
    <t>@10°C / Battery contactors replaced @ 126000km</t>
  </si>
  <si>
    <t>(380 * 58.3 / 306) / 77.5 = 0.9342</t>
  </si>
  <si>
    <t>SSc3010|Asia Pacific &amp; Europe (excl UK)|04-Jun-2014|27-Sep-2016|Model S 85|133442|380|On|No|||182|D) twice a month|F) a few times a year|F) a few times a year|0.9|9|||378|72|58.3|On|@10°C / Battery contactors replaced @ 126000km</t>
  </si>
  <si>
    <t>Charged more often to 90% this year - seems like the battery benefitted from this</t>
  </si>
  <si>
    <t>Zneip|Asia Pacific &amp; Europe (excl UK)|01-Dec-2013|29-Sep-2016|Model S 85|84000|379|Off|No|||203|E) monthly|F) a few times a year|F) a few times a year|0.8|7|400||||||Charged more often to 90% this year - seems like the battery benefitted from this</t>
  </si>
  <si>
    <t>chr20|Asia Pacific &amp; Europe (excl UK)|19-Dec-2014|15-Aug-2016|Model S 85|102000|374|Off|No|||229|D) twice a month|E) monthly|F) a few times a year|0.9||||||||</t>
  </si>
  <si>
    <t>twall-e|Asia Pacific &amp; Europe (excl UK)|17-Apr-2016|01-Oct-2016|Model S 70|6463|358|On|No|||218|C) weekly|E) monthly|C) weekly|0.9|22|360|On|||||</t>
  </si>
  <si>
    <t>JoeNe|Asia Pacific &amp; Europe (excl UK)|25-Nov-2013|04-Oct-2016|Model S 85|117434|375|Off|No|||223|F) a few times a year|F) a few times a year|F) a few times a year|0.7|18|399|Off|||||</t>
  </si>
  <si>
    <t>eae|Asia Pacific &amp; Europe (excl UK)|15-Dec-2015|05-Oct-2016|Model S 70D|24088|359|Off|No|||201||||||||||||</t>
  </si>
  <si>
    <t>The range numbers above are with range mode on</t>
  </si>
  <si>
    <t>HWS 90D|Asia Pacific &amp; Europe (excl UK)|29-Sep-2015|07-Oct-2016|Model S 90D|35011|429|Off|No|||234|F) a few times a year|F) a few times a year|F) a few times a year|0.8|11|426|Off|||||</t>
  </si>
  <si>
    <t>blue cells are estimates</t>
  </si>
  <si>
    <t>Steinar|Asia Pacific &amp; Europe (excl UK)|24-May-2014|06-Oct-2016|Model S 60|45500|268|On|No|||195|F) a few times a year|F) a few times a year|H) never|0.9|3|288|On|||||</t>
  </si>
  <si>
    <t>Nulwoning|Asia Pacific &amp; Europe (excl UK)|20-Nov-2013|26-Sep-2016|Model S 85|156500|376|On|No|||185|B) twice a week|F) a few times a year|G) once or twice a year|0.7|11|||||||</t>
  </si>
  <si>
    <t>puple cells are based on answer to the survey question "What was 100% range when car was new?"</t>
  </si>
  <si>
    <t>orange cells are formulas</t>
  </si>
  <si>
    <t>Juicer|Asia Pacific &amp; Europe (excl UK)|19-Aug-2015|07-Oct-2016|Model S 70D|58335|351|Off|No|||203|A) daily|E) monthly|D) twice a month|0.8|11|360|Off|||||</t>
  </si>
  <si>
    <t>First entry</t>
  </si>
  <si>
    <t>Thor3|Asia Pacific &amp; Europe (excl UK)|13-Sep-2016|15-Oct-2016|Model S 90D|1980|445|Off|No|||214|E) monthly|F) a few times a year|H) never|0.8|11|455|Off|455||||First entry</t>
  </si>
  <si>
    <t>Battery contactors replaced @ 126000km</t>
  </si>
  <si>
    <t>SSc3010|Asia Pacific &amp; Europe (excl UK)|04-Jun-2014|11-Oct-2016|Model S 85|136267|380|On|No|||182|D) twice a month|F) a few times a year|F) a few times a year|0.9|9|||||||Battery contactors replaced @ 126000km</t>
  </si>
  <si>
    <t>maarteneekels|Asia Pacific &amp; Europe (excl UK)|03-Oct-2016|20-Oct-2016|Model X P90D|2746|378|Off|No|||261|B) twice a week|F) a few times a year|F) a few times a year|0.9|22|||||||</t>
  </si>
  <si>
    <t>korgmatose|Asia Pacific &amp; Europe (excl UK)|30-Oct-2014|23-Oct-2016|Model S 85|73402|383|On|No|||220||||||||||||</t>
  </si>
  <si>
    <t>redevries|Asia Pacific &amp; Europe (excl UK)|15-Nov-2013|23-Oct-2016|Model S 85|126077|371|Off|Yes|Don't know (km)|28000|226|F) a few times a year|F) a few times a year|F) a few times a year|0.9|16|||336||||</t>
  </si>
  <si>
    <t>jtesla|Asia Pacific &amp; Europe (excl UK)|12-Jun-2015|23-Oct-2016|Model S 85D|27700|400|Off|No|||215|D) twice a month|F) a few times a year|G) once or twice a year|0.8|11|||||||</t>
  </si>
  <si>
    <t>Fuelman|Asia Pacific &amp; Europe (excl UK)|19-Dec-2014|24-Oct-2016|Model S 85|24183|383|Off|No|||222|E) monthly|F) a few times a year|H) never|0.9|7|||||||</t>
  </si>
  <si>
    <t>Luske|Asia Pacific &amp; Europe (excl UK)|15-Jul-2015|29-Oct-2016|Model S 85|66849|391|On|No|||218||||||||||||</t>
  </si>
  <si>
    <t>Thor3|Asia Pacific &amp; Europe (excl UK)|13-Sep-2016|16-Oct-2016|Model S 90D|2500|450|Off|No|||214|E) monthly|F) a few times a year|H) never|0.8|11|455|Off|450||||</t>
  </si>
  <si>
    <t>jakoys|Asia Pacific &amp; Europe (excl UK)|10-Jun-2014|24-Apr-2015|Model S 85|36302|388|Off|No|||220|C) weekly|F) a few times a year|H) never|0.8|3|388|Off|||||</t>
  </si>
  <si>
    <t>jakoys|Asia Pacific &amp; Europe (excl UK)|10-Jun-2014|30-Jun-2015|Model S 85|39821|381|Off|No|||220|C) weekly|F) a few times a year|H) never|0.8|3|388|Off|||||</t>
  </si>
  <si>
    <t>jakoys|Asia Pacific &amp; Europe (excl UK)|10-Jun-2014|01-Oct-2015|Model S 85|48316|373|Off|No|||220|C) weekly|F) a few times a year|H) never|0.8|3|388|Off|||||</t>
  </si>
  <si>
    <t>jakoys|Asia Pacific &amp; Europe (excl UK)|10-Jun-2014|17-Jul-2016|Model S 85|68068|376|Off|No|||220|C) weekly|F) a few times a year|H) never|0.7|3|388|Off|||||</t>
  </si>
  <si>
    <t>ganimed|Asia Pacific &amp; Europe (excl UK)|25-Mar-2015|02-Nov-2016|Model S P85D|50105|387|Off|No|||185|D) twice a month|F) a few times a year|G) once or twice a year|0.9|22|406|Off|||||</t>
  </si>
  <si>
    <t>apollo 46|Asia Pacific &amp; Europe (excl UK)|08-Mar-2016|26-Mar-2016|Model S 90D|1196|450|Off|No|||228|D) twice a month|E) monthly|H) never|0.9|11|448|Off|||||</t>
  </si>
  <si>
    <t>apollo 46|Asia Pacific &amp; Europe (excl UK)|08-Mar-2016|06-Apr-2016|Model S 90D|2062|448|Off|No|||226|D) twice a month|E) monthly|H) never|0.9|22|448|Off|||||</t>
  </si>
  <si>
    <t>apollo 46|Asia Pacific &amp; Europe (excl UK)|08-Mar-2016|21-Jun-2016|Model S 90D|7133|448|Off|No|||218|D) twice a month|E) monthly|H) never|||448|Off|||||</t>
  </si>
  <si>
    <t>apollo 46|Asia Pacific &amp; Europe (excl UK)|08-Mar-2016|05-Aug-2016|Model S 90D|10715|446|Off|No|||215|D) twice a month|E) monthly|H) never|||448|Off|||||</t>
  </si>
  <si>
    <t>apollo 46|Asia Pacific &amp; Europe (excl UK)|08-Mar-2016|03-Oct-2016|Model S 90D|15001|439|Off|No|||216|D) twice a month|F) a few times a year|H) never|||448|Off|||||</t>
  </si>
  <si>
    <t>apollo 46|Asia Pacific &amp; Europe (excl UK)|08-Mar-2016|13-Oct-2016|Model S 90D|18602|434|Off|No|||213|D) twice a month|F) a few times a year|H) never|||448|Off|||||</t>
  </si>
  <si>
    <t>mj|Asia Pacific &amp; Europe (excl UK)|15-Dec-2014|28-Oct-2016|Model S 85|26110|381|Off|No|||213|G) once or twice a year|F) a few times a year|H) never|0.8|11|383|Off|||||</t>
  </si>
  <si>
    <t>mj|Asia Pacific &amp; Europe (excl UK)|13-Jan-2016|30-Oct-2016|Model S 90D|23990|450|Off|No|||195|D) twice a month|F) a few times a year|G) once or twice a year|0.8|11|460|Off|||||</t>
  </si>
  <si>
    <t>jakoys|Asia Pacific &amp; Europe (excl UK)|10-Jun-2014|25-Oct-2016|Model S 85|76800|376|Off|No|||220|E) monthly|F) a few times a year|H) never|0.6|3|388|Off|||||</t>
  </si>
  <si>
    <t>GDgreen|Asia Pacific &amp; Europe (excl UK)|16-Oct-2013|04-Nov-2016|Model S P85+|59750|380|Off|No|||225|G) once or twice a year|F) a few times a year|H) never|0.7|17|400|On|||||</t>
  </si>
  <si>
    <t>jpet|Asia Pacific &amp; Europe (excl UK)|03-Apr-2015|29-Oct-2016|Model S P85D|34205|383|On|No|||229|D) twice a month|E) monthly|G) once or twice a year|0.7|11|406|On|||||21" staggered summer / 19" staggered winter</t>
  </si>
  <si>
    <t>HWS 90D|Asia Pacific &amp; Europe (excl UK)|29-Sep-2015|02-Nov-2016|Model S 90D|37900|433|Off|No|||229|E) monthly|E) monthly|F) a few times a year|0.8|11|426|Off|||||</t>
  </si>
  <si>
    <t>eMarkus|Asia Pacific &amp; Europe (excl UK)|29-Dec-2014|20-Oct-2016|Model S 85|24950|396|Off|No|||215|D) twice a month|F) a few times a year|G) once or twice a year|0.9|10|||||||</t>
  </si>
  <si>
    <t>19" stock wheels with Goodyear All-Season tires, A/C disabled, only heat/ventilation</t>
  </si>
  <si>
    <t>florianuhlemann|Asia Pacific &amp; Europe (excl UK)|17-Jun-2014|23-Sep-2016|Model S P85|115834|384|On|No|||169|D) twice a month|F) a few times a year|G) once or twice a year|0.9|7|||||||19" stock wheels with Goodyear All-Season tires, A/C disabled, only heat/ventilation</t>
  </si>
  <si>
    <t>Heinz Ruffieux|Asia Pacific &amp; Europe (excl UK)|02-Jul-2013|04-Nov-2016|Model S 85|102000|376|Off|No|||205|E) monthly|E) monthly|F) a few times a year|0.9|3|383|Off|||||</t>
  </si>
  <si>
    <t>ebullio|Asia Pacific &amp; Europe (excl UK)|13-Nov-2013|07-Nov-2016|Model S 85|91921|379|Off|Yes|Don't know (km)|12000|234|E) monthly|F) a few times a year|G) once or twice a year|0.9|11||Off|||||</t>
  </si>
  <si>
    <t>Thor2|Asia Pacific &amp; Europe (excl UK)|04-Dec-2015|10-Nov-2016|Model S 70D|31273|349|Off|No|||201|E) monthly|F) a few times a year|H) never|0.8|11|365|Off|||||</t>
  </si>
  <si>
    <t>JimmyJam|Asia Pacific &amp; Europe (excl UK)|24-Jun-2014|11-Nov-2016|Model S 85|112000|377|On|No|||221|E) monthly|E) monthly|F) a few times a year|0.9|17|388|Off|||||</t>
  </si>
  <si>
    <t>SW at time of reading: v8.0 (2.42.40)</t>
  </si>
  <si>
    <t>Liddus|Asia Pacific &amp; Europe (excl UK)|17-Mar-2014|12-Nov-2016|Model S P85|90000|374|Off|No|||200|F) a few times a year|F) a few times a year|H) never|0.9|11|392|Off|||||SW at time of reading: v8.0 (2.42.40)</t>
  </si>
  <si>
    <t>Greenstorm|Asia Pacific &amp; Europe (excl UK)|10-Jun-2015|12-Jun-2015|Model S 85D|744|406|Off|No|||205|D) twice a month|E) monthly|G) once or twice a year|0.9|11|||||||</t>
  </si>
  <si>
    <t>Greenstorm|Asia Pacific &amp; Europe (excl UK)|10-Jun-2015|25-Jun-2015|Model S 85D|2908|406|Off|No|||205|D) twice a month|E) monthly|G) once or twice a year|0.9|11|||||||</t>
  </si>
  <si>
    <t>Greenstorm|Asia Pacific &amp; Europe (excl UK)|10-Jun-2015|30-Jun-2015|Model S 85D|4021|407|Off|No|||205|D) twice a month|E) monthly|G) once or twice a year|0.9|11|||||||</t>
  </si>
  <si>
    <t>Greenstorm|Asia Pacific &amp; Europe (excl UK)|10-Jun-2015|09-Jul-2015|Model S 85D|5488|405|Off|No|||205|D) twice a month|E) monthly|G) once or twice a year|0.9|11|||||||</t>
  </si>
  <si>
    <t>Greenstorm|Asia Pacific &amp; Europe (excl UK)|10-Jun-2015|14-Jul-2015|Model S 85D|6204|404|Off|No|||205|D) twice a month|E) monthly|G) once or twice a year|0.9|11|||||||</t>
  </si>
  <si>
    <t>Greenstorm|Asia Pacific &amp; Europe (excl UK)|10-Jun-2015|09-Aug-2015|Model S 85D|8626|404|Off|No|||205|D) twice a month|E) monthly|G) once or twice a year|0.9|11|||||||</t>
  </si>
  <si>
    <t>Greenstorm|Asia Pacific &amp; Europe (excl UK)|10-Jun-2015|17-Aug-2015|Model S 85D|10762|403|Off|No|||205|D) twice a month|E) monthly|G) once or twice a year|0.9|11|||||||</t>
  </si>
  <si>
    <t>Greenstorm|Asia Pacific &amp; Europe (excl UK)|10-Jun-2015|20-Oct-2015|Model S 85D|18650|393|Off|No|||205|D) twice a month|E) monthly|G) once or twice a year|0.8|11|||||||</t>
  </si>
  <si>
    <t>Greenstorm|Asia Pacific &amp; Europe (excl UK)|10-Jun-2015|30-Oct-2015|Model S 85D|26279|391|Off|No|||205|D) twice a month|E) monthly|G) once or twice a year|0.8|11|||||||</t>
  </si>
  <si>
    <t>Greenstorm|Asia Pacific &amp; Europe (excl UK)|10-Jun-2015|09-Mar-2016|Model S 85D|35030|401|Off|No|||205|D) twice a month|E) monthly|G) once or twice a year|0.8|11|||||||</t>
  </si>
  <si>
    <t>Greenstorm|Asia Pacific &amp; Europe (excl UK)|10-Jun-2015|12-Apr-2016|Model S 85D|39966|405|Off|No|||205|D) twice a month|E) monthly|G) once or twice a year|0.8|11|||||||</t>
  </si>
  <si>
    <t>Greenstorm|Asia Pacific &amp; Europe (excl UK)|10-Jun-2015|28-Apr-2016|Model S 85D|42641|404|Off|No|||205|D) twice a month|E) monthly|G) once or twice a year|0.8|11|||||||</t>
  </si>
  <si>
    <t>Greenstorm|Asia Pacific &amp; Europe (excl UK)|10-Jun-2015|12-May-2016|Model S 85D|44051|408|Off|No|||205|D) twice a month|E) monthly|G) once or twice a year|0.8|11|||||||</t>
  </si>
  <si>
    <t>Greenstorm|Asia Pacific &amp; Europe (excl UK)|10-Jun-2015|20-May-2016|Model S 85D|45490|407|Off|No|||206|D) twice a month|E) monthly|G) once or twice a year|0.8|11|||||||</t>
  </si>
  <si>
    <t>Greenstorm|Asia Pacific &amp; Europe (excl UK)|10-Jun-2015|21-Jun-2016|Model S 85D|49489|408|Off|No|||206|D) twice a month|E) monthly|G) once or twice a year|0.8|11|||||||</t>
  </si>
  <si>
    <t>Greenstorm|Asia Pacific &amp; Europe (excl UK)|10-Jun-2015|28-Jun-2016|Model S 85D|50600|409|Off|No|||206|D) twice a month|E) monthly|G) once or twice a year|0.8|11|||||||</t>
  </si>
  <si>
    <t>Greenstorm|Asia Pacific &amp; Europe (excl UK)|10-Jun-2015|31-Jul-2016|Model S 85D|53720|411|Off|No|||206|D) twice a month|E) monthly|G) once or twice a year|0.8|11|||||||</t>
  </si>
  <si>
    <t>Greenstorm|Asia Pacific &amp; Europe (excl UK)|10-Jun-2015|14-Aug-2016|Model S 85D|56320|411|Off|No|||206|D) twice a month|E) monthly|G) once or twice a year|0.8|11|||||||</t>
  </si>
  <si>
    <t>Greenstorm|Asia Pacific &amp; Europe (excl UK)|10-Jun-2015|12-Sep-2016|Model S 85D|61226|413|Off|No|||206|D) twice a month|E) monthly|G) once or twice a year|0.8|11|||||||</t>
  </si>
  <si>
    <t>Greenstorm|Asia Pacific &amp; Europe (excl UK)|10-Jun-2015|21-Sep-2016|Model S 85D|63010|414|Off|No|||206|D) twice a month|E) monthly|G) once or twice a year|0.8|11|||||||</t>
  </si>
  <si>
    <t>Greenstorm|Asia Pacific &amp; Europe (excl UK)|10-Jun-2015|10-Oct-2016|Model S 85D|64468|415|Off|No|||206|D) twice a month|E) monthly|G) once or twice a year|0.8|11|||||||</t>
  </si>
  <si>
    <t>Greenstorm|Asia Pacific &amp; Europe (excl UK)|10-Jun-2015|11-Oct-2016|Model S 85D|65086|416|Off|No|||206|D) twice a month|E) monthly|G) once or twice a year|0.8|11|||||||</t>
  </si>
  <si>
    <t>Greenstorm|Asia Pacific &amp; Europe (excl UK)|10-Jun-2015|12-Oct-2016|Model S 85D|65739|414|Off|No|||206|D) twice a month|E) monthly|G) once or twice a year|0.8|11|||||||</t>
  </si>
  <si>
    <t>Greenstorm|Asia Pacific &amp; Europe (excl UK)|10-Jun-2015|18-Oct-2016|Model S 85D|66604|417|Off|No|||206|D) twice a month|E) monthly|G) once or twice a year|0.8|11|||||||</t>
  </si>
  <si>
    <t>Greenstorm|Asia Pacific &amp; Europe (excl UK)|10-Jun-2015|25-Oct-2016|Model S 85D|67245|415|Off|No|||206|D) twice a month|E) monthly|G) once or twice a year|0.8|11|||||||</t>
  </si>
  <si>
    <t>Greenstorm|Asia Pacific &amp; Europe (excl UK)|10-Jun-2015|27-Oct-2016|Model S 85D|68687|415|Off|No|||206|D) twice a month|E) monthly|G) once or twice a year|0.8|11|||||||</t>
  </si>
  <si>
    <t>Aggregate|Asia Pacific &amp; Europe (excl UK)|24-Jun-2016|08-Oct-2016|Model S 75|1322|381|Off|No|||188||||0.9||384|Off|||||</t>
  </si>
  <si>
    <t>Aggregate|Asia Pacific &amp; Europe (excl UK)|24-Jun-2016|15-Oct-2016|Model S 75|3164|381|Off|No|||187||||0.9||||||||</t>
  </si>
  <si>
    <t>Aggregate|Asia Pacific &amp; Europe (excl UK)|24-Jun-2016|03-Nov-2016|Model S 75|4752|383|Off|No|||188||||0.9||||||||</t>
  </si>
  <si>
    <t>3,6</t>
  </si>
  <si>
    <t>korgmatose|Asia Pacific &amp; Europe (excl UK)|30-Oct-2014|14-Nov-2016|Model S 85|77430|377|Off|No|||193|B) twice a week|G) once or twice a year|H) never|0.9|3,6|||||||</t>
  </si>
  <si>
    <t>Korgmatose|Asia Pacific &amp; Europe (excl UK)|30-Oct-2014|14-Nov-2016|Model S 85|77430|377|Off|No|||193|B) twice a week|G) once or twice a year|H) never|0.9|3,6|||||||</t>
  </si>
  <si>
    <t>eae|Asia Pacific &amp; Europe (excl UK)|15-Dec-2015|17-Nov-2016|Model S 70D|28514|359|Off|No|||203||||||||||||</t>
  </si>
  <si>
    <t>HWS 90D|Asia Pacific &amp; Europe (excl UK)|29-Sep-2015|18-Nov-2016|Model S 90D|39193|433|Off|No|||229|E) monthly|E) monthly|F) a few times a year|0.8|11|426|Off|||||</t>
  </si>
  <si>
    <t>apollo 46|Asia Pacific &amp; Europe (excl UK)|08-Mar-2016|11-Nov-2016|Model S 90D|20421|439|Off|No|||214|D) twice a month|D) twice a month|H) never|0.8|22|448|Off|||||</t>
  </si>
  <si>
    <t>Bernie|Asia Pacific &amp; Europe (excl UK)|26-Apr-2016|19-Nov-2016|Model S 70D|11989|362|Off|No|||219|D) twice a month|F) a few times a year|F) a few times a year|0.9||||||||</t>
  </si>
  <si>
    <t>villena|Asia Pacific &amp; Europe (excl UK)|28-Apr-2015|23-Nov-2016|Model S 85D|88932|410|Off|No|||203|F) a few times a year|E) monthly|G) once or twice a year|0.9|11|||||||</t>
  </si>
  <si>
    <t>Aggregate|Asia Pacific &amp; Europe (excl UK)|24-Jun-2016|23-Nov-2016|Model S 75|6500|382|On|No|||189|D) twice a month|D) twice a month|G) once or twice a year|0.9|11|384|Off|||||</t>
  </si>
  <si>
    <t>korgmatose|Asia Pacific &amp; Europe (excl UK)|30-Oct-2014|24-Nov-2016|Model S 85|78334|376|Off|No|||194|B) twice a week|F) a few times a year|H) never|0.9||||||||</t>
  </si>
  <si>
    <t>korgmatose|Asia Pacific &amp; Europe (excl UK)|30-Oct-2014|27-Nov-2016|Model S 85|78456|376|Off|No|||194||||||||||||</t>
  </si>
  <si>
    <t>(384 * 34.8 / 184) / 77.5 = 0.9371</t>
  </si>
  <si>
    <t>BennyG|Asia Pacific &amp; Europe (excl UK)|13-May-2015|28-Nov-2016|Model S 85|60825|384|On|No|||205|E) monthly|F) a few times a year|H) never|0.9|11|||384|200|34.8|On|</t>
  </si>
  <si>
    <t>Koen De Smet|Asia Pacific &amp; Europe (excl UK)|25-Jun-2015|24-Nov-2016|Model S 85|58163|378|Off|No|||226|C) weekly|F) a few times a year|F) a few times a year|0.9|11|||||||</t>
  </si>
  <si>
    <t>Charging conditions: Cold pack from 90% (328km typ) to 100% at 0ºC ambiant temp.</t>
  </si>
  <si>
    <t>(362.53 * 18.5 / 100.25) / 77.5 = 0.8632</t>
  </si>
  <si>
    <t>Go4IT|Asia Pacific &amp; Europe (excl UK)|10-Sep-2013|28-Nov-2016|Model S P85|211500|358|Off|No|||212|D) twice a month|A) daily|F) a few times a year|1|22|400|Off|358|259|18.5|Off|Charging conditions: Cold pack from 90% (328km typ) to 100% at 0ºC ambiant temp.</t>
  </si>
  <si>
    <t>justroll|Asia Pacific &amp; Europe (excl UK)|15-Oct-2014|28-Nov-2016|Model S 85|97602|373|Off|No|||215|A) daily|F) a few times a year|E) monthly|0.9|3,6|393|Off|||||</t>
  </si>
  <si>
    <t>Thor3|Asia Pacific &amp; Europe (excl UK)|13-Sep-2016|27-Nov-2016|Model S 90D|8000|444|Off|No|||220|A) daily|F) a few times a year|H) never|0.9|11|450|Off|444||||</t>
  </si>
  <si>
    <t>eae|Asia Pacific &amp; Europe (excl UK)|15-Dec-2015|01-Dec-2016|Model S 70D|30000|358|Off|No|||205||||||||||||</t>
  </si>
  <si>
    <t>HWS 90D|Asia Pacific &amp; Europe (excl UK)|29-Sep-2015|02-Dec-2016|Model S 90D|39821|433|Off|No|||230|E) monthly|E) monthly|F) a few times a year|0.8|11|426|Off|||||</t>
  </si>
  <si>
    <t>in-clusion|Asia Pacific &amp; Europe (excl UK)|25-Nov-2013|03-Dec-2016|Model S P85+|127974|370|On|No|||224|F) a few times a year|C) weekly|F) a few times a year|0.9|11|400|Off|||||</t>
  </si>
  <si>
    <t>Juicer|Asia Pacific &amp; Europe (excl UK)|19-Aug-2015|24-Nov-2016|Model S 70D|65470|351|Off|No|||203|C) weekly|E) monthly|F) a few times a year|0.8|11|360|Off|||||</t>
  </si>
  <si>
    <t>korgmatose|Asia Pacific &amp; Europe (excl UK)|30-Oct-2014|06-Dec-2016|Model S 85|79700|376|Off|No|||194|B) twice a week|F) a few times a year|H) never|0.9||||||||</t>
  </si>
  <si>
    <t>Some links to remember</t>
  </si>
  <si>
    <t>Janc|Asia Pacific &amp; Europe (excl UK)|24-Jun-2014|27-Nov-2016|Model S 85|83000|377|On|No|||215|A) daily|F) a few times a year|H) never|0.9|11|||||||</t>
  </si>
  <si>
    <t>Applying Conditional Formatting Across Sheets</t>
  </si>
  <si>
    <t>QueenieEye|Asia Pacific &amp; Europe (excl UK)|22-Nov-2013|09-Dec-2016|Model S 85|119000|375|On|No|||200|E) monthly|E) monthly|H) never|0.9|11|383|Off|||||</t>
  </si>
  <si>
    <t>http://thejournal.com/articles/2014/12/11/google-apps-applying-conditional-formatting-across-sheets.aspx</t>
  </si>
  <si>
    <t>Aggregate|Asia Pacific &amp; Europe (excl UK)|24-Jun-2016|09-Dec-2016|Model S 75|8000|379|On|No|||192||||||||||||</t>
  </si>
  <si>
    <t>Use INDIRECT to dynamically refer to worksheets in Excel and Google Spreadsheets</t>
  </si>
  <si>
    <t>http://spreadsheetpro.net/how-to-make-a-dynamic-reference-to-a-worksheet-in-excel-and-google-spreadsheets/</t>
  </si>
  <si>
    <t>7,3</t>
  </si>
  <si>
    <t>dekoene|Asia Pacific &amp; Europe (excl UK)|31-Mar-2016|09-Dec-2016|Model S 70D|17070|357|Off|No|||229|F) a few times a year|F) a few times a year|G) once or twice a year|0.9|7,3|361|Off|||||</t>
  </si>
  <si>
    <t>jpet|Asia Pacific &amp; Europe (excl UK)|03-Apr-2015|09-Dec-2016|Model S P85D|36095|386|On|No|||230|D) twice a month|E) monthly|G) once or twice a year|0.7|11|406|On|||||21" staggered summer / 19" staggered winter</t>
  </si>
  <si>
    <t>Grotebeer|Asia Pacific &amp; Europe (excl UK)|01-Nov-2013|13-Dec-2016|Model S 85|128000|371|On|No|||212||||||||||||</t>
  </si>
  <si>
    <t>Tips and data other editors might find useful</t>
  </si>
  <si>
    <t>SSc3010|Asia Pacific &amp; Europe (excl UK)|04-Jun-2014|23-Nov-2016|Model S 85|145160|377|On|No|||182|C) weekly|F) a few times a year|G) once or twice a year|0.9|9|||||||Battery contactors replaced @ 126000km</t>
  </si>
  <si>
    <t>nitradavid</t>
  </si>
  <si>
    <t xml:space="preserve">Hi... I just created a simple code to automatically make a backups for you.. You will find it in tools - script editor or at this url. You need to create your own folder for your backUps and finish the code with unique code of your folder. You also have to set daily trigger. I think this sheet is great idea so I though this could help you to not loose all of your datas. Sorry for my English, I´m from Czech republic. https://script.google.com/macros/d/1Lq8xViasooHKZWoR6sWSObnZoKJAJOj9dP8CkoawEFJialTNi6ylNSPI/edit?template=default&amp;uiv=2&amp;mid=ACjPJvEbswB9jUwNhvExsriDcTiRL63COWg2NJMXaDzhOL-bIiUgkza4Y8S0HAk02z3EBjX5e4NKSVuF1Vxev_7VWy4-nTcqfsnJTWKHxEH7LU2Ds7FIx2nrcxuypHo1zalfAL57jHWcqhU
You can send me an email on nitradavid@gmail.com if you have some questions about that code </t>
  </si>
  <si>
    <t>Aggregate|Asia Pacific &amp; Europe (excl UK)|24-Jun-2016|16-Dec-2016|Model S 75|8400|380|On|No|||194|||F) a few times a year|||||||||</t>
  </si>
  <si>
    <t xml:space="preserve">I don't understand nitradavid's message. On top left if you click "File &gt; See revision history" it lets you go back to any time you want. You can view an older version and copy something without actually going back too. It is super useful. </t>
  </si>
  <si>
    <t>Baselland|Asia Pacific &amp; Europe (excl UK)|13-Apr-2016|18-Dec-2016|Model S P90D|10001|402|Off|No|||235|F) a few times a year|F) a few times a year|F) a few times a year|0.8|11|412|Off|||||</t>
  </si>
  <si>
    <t>Carefull about semicolon instead comma in formulas. Confused me as I was testing on another Google sheet and worked fine there. Example: instead =OR(1,2) you need to enter =OR(1;2) If you go to "File &gt; Spredsheet settings" and change country, that affects this issue.
Another difference (besides semicolon instead comma) is when comma changes to backslash. This example explains both 
USA spreadsheet =ArrayFormula(LINEST(C109:C112,B109:B112^{1,2,3}))
Netherlands spreadsheet =ArrayFormula(LINEST(C109:C112;B109:B112^{1\2\3}))</t>
  </si>
  <si>
    <t>eae|Asia Pacific &amp; Europe (excl UK)|15-Dec-2015|01-Dec-2016|Model S 70D|32054|358|Off|No|||207||||||||||||</t>
  </si>
  <si>
    <t>Hi Merijn. I created a new sheet called "droplistitems" [update: 6 May 2015: I changed sheet name to "admin stuff"]. It is hidden to avoid distraction. On top menu click "View &gt; Hidden Sheets" to see it. It controls the options in droplists. This way you can easily change the text or add more options and it will affect all sheets.</t>
  </si>
  <si>
    <t>To add "double click datepicker" to date columns, do this:
1. Select column
2. On top menu select &gt; data &gt; validation
3. Change cell range from 'MaxRange data'!C:C to 'MaxRange data'!C4:C to exclude top three rows
4. Change "Criteria" to date
5. Select "Recent input" and "Save"</t>
  </si>
  <si>
    <t xml:space="preserve">How conditional formatting is used in "Date of range reading" column to change the colour of this cell if date is earlier than delivery date:
1. Select second date column. Column D in our example. 
2. On top menu click "Format &gt; conditional formatting &gt; add new rule"
3. Next to "Apply to range" box, change "D:D" to "D4:D" to exclude first three rows that have column names. 
4. Under "Format cells if" select "Custom formula is" and enter =D4&lt;C4 meaning "format D4 if smaller than C4". "IF" is already assumed. You don't enter IF in the formula. </t>
  </si>
  <si>
    <t>Stickybit|Asia Pacific &amp; Europe (excl UK)|15-Mar-2016|23-Dec-2016|Model S 70D|32500|362|On|No|||204|E) monthly|D) twice a month|H) never|0.9|11|360|Off|||||</t>
  </si>
  <si>
    <t>Hi Merijn. Some columns don't require an enrty from users. They have a formula that calculates the value. Other users can't edit this column. Therefore they can't accidentally delete the formula in the cell but you can. So watch out not to delete formulas from protected cells.</t>
  </si>
  <si>
    <t>Careful about formula differences according to country selection of sheets. If "File &gt; Spredsheet Settings" is set to UK, the first line is used. If Netherlands, than second line is used. 
=SPARKLINE(D4;{"charttype","bar";"max",12;"color1","#8bf08e";"empty","zero"})
=SPARKLINE(D4;{"charttype"\"bar";"max"\12;"color1"\"#8bf08e";"empty"\"zero"})</t>
  </si>
  <si>
    <t>(Notes to self) Instead "Vlookup" use "index" and "match".
INDEX(reference; [row]; [column]) Here, reference" means range
MATCH(search_key; range; [search_type]) Here, search type is 0 for exact match
Combine them as INDEX(reference; MATCH(...); MATCH(...))
Tip: There is no need to specify row or column as a number like this: INDEX(...;...; 8) or as a string like this: INDEX(...; ...; MATCH("battery capacity";...)). Instead, the search key in match can be self referencing. Example: MATCH($F$1;$A$1:$F$1;0) translates as, whatever cell $F$1 is, find that cell in the range $A$1:$F$1.</t>
  </si>
  <si>
    <t>jpet|Asia Pacific &amp; Europe (excl UK)|03-Apr-2015|24-Dec-2016|Model S P85D|36535|386|On|No|||230|D) twice a month|E) monthly|G) once or twice a year|0.7|11|406|On|||||21" staggered summer / 19" staggered winter</t>
  </si>
  <si>
    <t xml:space="preserve">On the charts page I added a droplist to select usernames. However when the user wanted to clear his username (by selecting the cell and pressing delete on the keyboard) the charts would display a weird line on top of each dot. To overcome that, on the USA sheet, near the last few columns I changed =if(Charts!$F$1=B4;AV4;) to =if(Charts!$F$1=B4;AV4;-1). As a result see lots of -100% numbers. That's the reason for those -100% numbers. </t>
  </si>
  <si>
    <t>20" stagegerd Winterset 9 inch 245 front / 10,5 inch 285 rear</t>
  </si>
  <si>
    <t>in-clusion|Asia Pacific &amp; Europe (excl UK)|25-Nov-2013|24-Dec-2016|Model S P85+|130200|376|On|No|||218|F) a few times a year|B) twice a week|F) a few times a year|0.9|11|400|On|||||20" stagegerd Winterset 9 inch 245 front / 10,5 inch 285 rear</t>
  </si>
  <si>
    <t xml:space="preserve"> in france: 271 miles ( 436.6km at 100% ) got it new at 284miles ( 457km) </t>
  </si>
  <si>
    <t xml:space="preserve">fren|Asia Pacific &amp; Europe (excl UK)|26-Jun-2016|26-Sep-2016|Model S 90D|8000|444|On|No|||220|C) weekly|F) a few times a year|F) a few times a year|||457|On||||| in france: 271 miles ( 436.6km at 100% ) got it new at 284miles ( 457km) </t>
  </si>
  <si>
    <t>19 all year</t>
  </si>
  <si>
    <t>fren|Asia Pacific &amp; Europe (excl UK)|26-Jun-2016|30-Dec-2016|Model S 90D|13500|436|On|No|||220|C) weekly|F) a few times a year|F) a few times a year|||457|On|||||19 all year</t>
  </si>
  <si>
    <t>Comments and discussion about changes</t>
  </si>
  <si>
    <t xml:space="preserve">The numbers on range types column are not complete but this doesn't prevent people from entering. For example 5 of the missing 8 numbers are on "UK Typical range in miles" section. We don't know these numbers yet. However the chart doesn't prevent users if they want to enter their data. </t>
  </si>
  <si>
    <t>DRM|Asia Pacific &amp; Europe (excl UK)|23-Mar-2014|31-Dec-2016|Model S 85|79950|389|On|No|||218||||||||||||</t>
  </si>
  <si>
    <t xml:space="preserve">There is a column called "Ambient temparature". Is this a new column? It's completely empty. It could be removed if nobody is using.  </t>
  </si>
  <si>
    <t>I have some suggestions about existing columns. I thought it will be easier to write them here. Pick the ones you like. Ignore the ones you don't.</t>
  </si>
  <si>
    <t>Tesla delivery date
(double click empty cell)</t>
  </si>
  <si>
    <t>JCK|Asia Pacific &amp; Europe (excl UK)|19-Sep-2013|31-Dec-2016|Model S 85|135000|368|On|No|||241|B) twice a week|E) monthly|B) twice a week|0.9|22|||||||</t>
  </si>
  <si>
    <t xml:space="preserve">Firmware
Version
</t>
  </si>
  <si>
    <t>Firmware
Release</t>
  </si>
  <si>
    <t>frequency of supercharges</t>
  </si>
  <si>
    <t>frequency of  full discharge</t>
  </si>
  <si>
    <t>ambient temperature at time of reading</t>
  </si>
  <si>
    <t>korgmatose|Asia Pacific &amp; Europe (excl UK)|30-Oct-2014|01-Jan-2017|Model S 85|83021|377|Off|No|||214||||||||||||</t>
  </si>
  <si>
    <t>Change name to: 
Vehicle manufacture date
(double click empty cell)</t>
  </si>
  <si>
    <t>Greenstorm|Asia Pacific &amp; Europe (excl UK)|10-Jun-2015|18-Nov-2016|Model S 85D|70532|415|Off|No|||206|D) twice a month|E) monthly|G) once or twice a year|0.8|11|||||||</t>
  </si>
  <si>
    <t>Change to optional</t>
  </si>
  <si>
    <t>Drop. I don't think this has any relation to degradation</t>
  </si>
  <si>
    <t>Change name to: 
frequency of  3% or less charge left</t>
  </si>
  <si>
    <t>I changed these to make per year value more balanced.</t>
  </si>
  <si>
    <t>Old version</t>
  </si>
  <si>
    <t>Greenstorm|Asia Pacific &amp; Europe (excl UK)|10-Jun-2015|28-Nov-2016|Model S 85D|71619|410|Off|No|||206|D) twice a month|E) monthly|G) once or twice a year|0.8|11|||||||</t>
  </si>
  <si>
    <t>New version</t>
  </si>
  <si>
    <t>converting old data to new</t>
  </si>
  <si>
    <t>droplist item</t>
  </si>
  <si>
    <t>jja|Asia Pacific &amp; Europe (excl UK)|26-Nov-2013|23-Dec-2016|Model S 85|70300|382|Off|No|||200|E) monthly|F) a few times a year|G) once or twice a year|0.8|9|396|On|||||</t>
  </si>
  <si>
    <t>per year</t>
  </si>
  <si>
    <t>daily</t>
  </si>
  <si>
    <t>235-365</t>
  </si>
  <si>
    <t>big gap</t>
  </si>
  <si>
    <t>Greenstorm|Asia Pacific &amp; Europe (excl UK)|10-Jun-2015|12-Dec-2016|Model S 85D|72843|410|Off|No|||206|D) twice a month|E) monthly|G) once or twice a year|0.8|11|||||||</t>
  </si>
  <si>
    <t>twice a week</t>
  </si>
  <si>
    <t>79-234</t>
  </si>
  <si>
    <t>weekly</t>
  </si>
  <si>
    <t>39-78</t>
  </si>
  <si>
    <t>twice a month</t>
  </si>
  <si>
    <t>18-38</t>
  </si>
  <si>
    <t>monthly</t>
  </si>
  <si>
    <t>9-17</t>
  </si>
  <si>
    <t>less than monthly</t>
  </si>
  <si>
    <t>a few times a year</t>
  </si>
  <si>
    <t>4-8</t>
  </si>
  <si>
    <t>once or twice a year</t>
  </si>
  <si>
    <t>1-2</t>
  </si>
  <si>
    <t>never</t>
  </si>
  <si>
    <t>I made some more changes on the frequency droplist items.</t>
  </si>
  <si>
    <t xml:space="preserve">There were two entries with "23-2-2013" for Tesla delivery date. I changed it to 23-2-2014 because deliveries didn't start at that time. </t>
  </si>
  <si>
    <t>Greenstorm|Asia Pacific &amp; Europe (excl UK)|10-Jun-2015|14-Dec-2016|Model S 85D|73770|408|Off|No|||206|D) twice a month|E) monthly|G) once or twice a year|0.8|11|||||||</t>
  </si>
  <si>
    <t xml:space="preserve">There is another entry with" 26-061979" for Tesla delivery date. I didn't change that. I'm not sure what to make of it. Don't worry about the red cell colour on the second date column. It is because of conditional formatting. </t>
  </si>
  <si>
    <t>I changed my mind about dropping firmware version. Now I suggest making it optional instead dropping. I updated the chart a few messages above.</t>
  </si>
  <si>
    <t>I deleted old frequency columns. It was confusing people.</t>
  </si>
  <si>
    <t>I changed this:</t>
  </si>
  <si>
    <t>to this:</t>
  </si>
  <si>
    <t>Typical Range in km</t>
  </si>
  <si>
    <t>NEDC rated range in km</t>
  </si>
  <si>
    <t>only 1</t>
  </si>
  <si>
    <t>The reason is because there is inconsistency with NEDC rating. If somebody entered only NEDC rating and no typical range, it would be a problem. Tesla website shows 480 km NEDC for P85D but two different people entered close to 510km.</t>
  </si>
  <si>
    <t>I added this column:</t>
  </si>
  <si>
    <t>Greenstorm|Asia Pacific &amp; Europe (excl UK)|10-Jun-2015|27-Dec-2016|Model S 85D|74611|413|Off|No|||206|D) twice a month|E) monthly|G) once or twice a year|0.8|11|||||||</t>
  </si>
  <si>
    <t xml:space="preserve">I moved the droplist items for these three new columns to the "droplistitems" [update: 6 May 2015: I changed sheet name to "admin stuff"] sheet. You can edit these droplist items there to change all sheets at once. </t>
  </si>
  <si>
    <t xml:space="preserve">According to Jerome Guillen, Tesla is doing rated range tests with range mode on. The source for this information is these two messages:
http://www.teslamotorsclub.com/showthread.php/39572-P85D-range-and-highway-battery-performance/page20?p=898055&amp;viewfull=1#post898055
http://www.teslamotorsclub.com/showthread.php/39572-P85D-range-and-highway-battery-performance/page23?p=898855&amp;viewfull=1#post898855
   The second message shows the email exchange. The question and the answer are mixed because Jerome copied the question and added his answer to it. To clarify, this is the information:
skilly (aka Matt): 2. Given the disclaimers around range already noted (constant speed and 19" wheels) does not include a requirement to operate in range mode, can we assume that the EPA ratings should be achievable without using this function?
Jerome Guillen: -&gt; EPA testing is with range mode “on”, given that it is assumed customers will use that function when they want to drive the farthest
Therefore the range reading with range mode off, is not comperable to the 265 EPA or 400 km typical range. To make it comperable, this is what I suggest: Let's say the difference between range mode on/off is 2 km. That means a new battery should get 400 km typical range with range mode on and 398 km when off. To compansate for range mode off, we need to multiply 398 by 400/398. That means 398*400/398= 400 km. 
Example: User enters 383 km typical range and range mode is off. 383*400/398= 384.92 km comperable typical range. 
If 400 km is 100% of original range,
Then 384.92 is X
X= 384.92*100/400= 96.23%
If we didn't do this correction, the result would be: X= 383*100/400= 95.75%. Therefore most results now appear 0.48% worse than they actually are. </t>
  </si>
  <si>
    <t>Greenstorm|Asia Pacific &amp; Europe (excl UK)|10-Jun-2015|27-Dec-2016|Model S 85D|74973|417|Off|No|||206|D) twice a month|E) monthly|G) once or twice a year|0.8||||||||</t>
  </si>
  <si>
    <t xml:space="preserve">For warranty battery replacements, Tesla provides refurbished batteries, not new batteries. 
Tesla Warranty Document: "If your Battery or Drive Unitrequires warranty service, Tesla will repair the unit, or replace it with a factory reconditioned unit.When replacing a Battery, Tesla will ensure that the energy capacity of the replacement Battery isat least equal to that of the original Battery before the failure occurred." Source PDF File, page 4: http://www.teslamotors.com/sites/default/files/pdfs/model_s_quick_guide/Model_S_New_Vehicle_Limited_Warranty_NA_Touchscreen_6.2_R20150402_en_US.pdf
On the chart, only one user has submitted data before and after replacement. If you look at widodh's entries (sort chart by username), he had his battery replaced at 66,000 km. Luckily he submitted data just before it happened at 63,000 km. He had 374/400 km typical range on his old battery. Then on his new battery he has 68.018 - 66.000 = 2018 km mileage and 373/400 range. He didn't get a new battery. However, right now the chart is processing replacement batteries like new batteries. Therefore when you go to http://www.daglievemensen.nl/tesla/maxrange.htm you see that the user widodh has very low scores. In fact with only 2018 km mileage, he has 93.3% capacity left. This is misleading. I think usually people get slightly better batteries than their old but they don't get new batteries. Here is a quote: 
PBEndo @US-FL: "My battery was replaced at 25,000 miles. It has a lower range than my original battery when it was new but a higher range than my original battery before it was replaced." Source: http://my.teslamotors.com/forum/forums/after-your-battery-was-replaced-did-you-experience-reduction-rated-range
</t>
  </si>
  <si>
    <t>This is what I suggest: 
1. Remove the question "At what km did you replace battery?"
2. Add the question: How many times was your battery pack replaced? 0,1,2,3?
3. Let's assume when Tesla provides a warranty replacement pack, on average people get 2 km more range than they had on the failed battery. 
Example 1: This is what we have now: User: widodh
Mileage on new battery: 68.018 - 66.000 = 2018 km | Typical range: 373 km | Percentage of original range: 373*100/400= 93.25% at 2018 km
This is what we would have after the change: User: widodh
Mileage on new battery: 68.018 km | Number of battery replacements: 1 | Typical range: 373 km | Battery replacement correction: -2km
Typical range after correction: 373-2=371 km | Percentage of original range: 371*100/400= 92.75% at 68.018 km
Example 2: This is what we have now: User: gelden
Mileage on new battery: 29.700 - 26.000 = 3700 km | Typical range: 387 km | Percentage of original range: 387*100/400= 96.75% at 3700 km
This is what we would have after the change: User: gelden
Mileage on new battery: 29.700 km | Number of battery replacements: 1 | Typical range: 387 km | Battery replacement correction: -2km
Typical range after correction: 387-2=385 km | Percentage of original range: 387*100/400= 96.25% at 29.700 km</t>
  </si>
  <si>
    <t xml:space="preserve">Adding unnecessary rows makes the sheet slower. I shortened some sheets. </t>
  </si>
  <si>
    <t>Hi Merijn. On the graph there is an option to display R square value. This value is a percentage of how sucessful the trendline formula represents the data. Another way to think about it is, if a group of random people gave you their mileage and you calculated their remaining original range according to the trendline formula, your calculation would be as close to actual numbers as this value shows. For example if R square is 0.65 it means the formula is 65% successful representing the data. I had a look whether mileage/degradation or cycles/degradation was more successful. they are the same. Therefore I removed the cycles columns.</t>
  </si>
  <si>
    <t xml:space="preserve">May 6, 2015 Ddowns2050 says the following for S85D "274 when in range mode and 271 in normal on a full charge". Link: 
http://my.teslamotors.com/forum/forums/range-questions-new-85d-owners#comment-638280
I will slightly increase the compensation for "range mode off". This increases the R-squared value. The R-squared value for the chart is 0.668 right now, meaning that entries match that curve 66.8%. That's a good rate. It was under 64% in the past. 
</t>
  </si>
  <si>
    <t xml:space="preserve">Update I changed it from 400/397 to 400/396. Meaning that it will compensate 4km which is consistent with what Ddowns2050 said. The R-squared increased from 66.8% to 67.9 percent. You can read this value on the chart on the "Graph" sheet. Changing 400/397 to 400/396 was done on the "admin stuff" sheet. Notice that some dots are below and some are above the trendline on the chart. Therefore increasing the compensation for range-mode-off, moves dots below the trendline closer but it moves dots above the trendline further away from the trendline. Therefore if this was not increasing predictability, it would be bad. In fact if you increase the compensation too much, the R-squared value drops. If there are people reading this who don't know about R-squared, I recommend watching some youtube videos here https://www.youtube.com/results?search_query=R-squared&amp;page=1 It is actually simple. If R-squared was 1 (100%) then all dots would appear exactly on the trendline and they would be 100% predictable. We are now at 68.6 percent. Not bad at all. There are many entries that didn't say if range mode was on or off. That drops the score. </t>
  </si>
  <si>
    <t xml:space="preserve">One user from the USA entered their data on the first sheet that says "Asia, Australia, Europe (excl UK)" in sheet name as well as on top of the sheet when you open it. Apparently this was not enough to redirect them to the correct sheet. I will add another trick to make this more obvious. The entry messed up the data which is why I realized the error. The user has 269 EPA rating for S85D. He converted this to km and entered under the "Typical range" column and his battery capacity was 108%. He even converted fahrenheit to celcius to enter heat data. Lucily in the comments section he wrote "Northern California", so I moved the whole entry to USA. </t>
  </si>
  <si>
    <t xml:space="preserve">I have increased range mode off compensation because the users AnalysiZ, Go4IT and Jean have entered numbers with and without range mode on. This shows how much compensation is needed. </t>
  </si>
  <si>
    <t>aikisteve|Asia Pacific &amp; Europe (excl UK)|15-Jan-2015|09-Nov-2016|Model S P85D|63000|379|Off|No|||220|C) weekly|F) a few times a year|F) a few times a year|0.9|22|411|On|||||</t>
  </si>
  <si>
    <t xml:space="preserve">I added USA to the graph. As long as mileage and percentage columns are next to each other, you can use data from different sheets in the same chart. I had to create duplicate columns at the end of the tables. But I think this is better than complicating things with a script. There is a script called vmerge. I didn't want to use that. It works fine as it is. In the chart, you need to select combine vertically. </t>
  </si>
  <si>
    <t xml:space="preserve">The way battery replacements are processed has been updated. More info on charts page about how the calculation works. </t>
  </si>
  <si>
    <t>Tests and experiments</t>
  </si>
  <si>
    <t>HWS 90D|Asia Pacific &amp; Europe (excl UK)|29-Sep-2015|06-Jan-2017|Model S 90D|41845|430|Off|No|||231|E) monthly|E) monthly|F) a few times a year|0.8|11|||||||</t>
  </si>
  <si>
    <t>select username</t>
  </si>
  <si>
    <t>user</t>
  </si>
  <si>
    <t>mileage</t>
  </si>
  <si>
    <t>range</t>
  </si>
  <si>
    <t>Aggregate|Asia Pacific &amp; Europe (excl UK)|24-Jun-2016|31-Dec-2016|Model S 75|10239|377|Off|No|||199|C) weekly|E) monthly|D) twice a month|0.9|11|384|Off|||||</t>
  </si>
  <si>
    <t>Nulwoning|Asia Pacific &amp; Europe (excl UK)|20-Nov-2013|10-Jan-2017|Model S 85|171735|365|On|No|||185|C) weekly|E) monthly|H) never|0.7|11|||||||</t>
  </si>
  <si>
    <t>Tom</t>
  </si>
  <si>
    <t>The reason for the -100% numbers is because, if those cells are blank and the username selection cell is blank too, small lines to appear on the chart on top of each dot.</t>
  </si>
  <si>
    <t>x</t>
  </si>
  <si>
    <t>y</t>
  </si>
  <si>
    <t>The y values in this table are filled using the function y= 2x^3 + 3x^2 - 6x + 8. Changing the data in country sheets will change the function and this table.</t>
  </si>
  <si>
    <t>JoeNe|Asia Pacific &amp; Europe (excl UK)|26-Nov-2013|09-Jan-2017|Model S 85|127174|374|Off|No|||223|F) a few times a year|F) a few times a year|G) once or twice a year|0.8|18|399|Off|||||</t>
  </si>
  <si>
    <t>justroll|Asia Pacific &amp; Europe (excl UK)|15-Oct-2014|16-Jan-2017|Model S 85|104958|372|Off|No|||217|B) twice a week|F) a few times a year|G) once or twice a year|0.9||||||||</t>
  </si>
  <si>
    <t>third order =ArrayFormula(LINEST(C109:C112;B109:B112^{1\2\3}))</t>
  </si>
  <si>
    <t>y= 2x^3 + 3x^2 - 6x + 8</t>
  </si>
  <si>
    <t>Charging conditions: Cold pack from 25% to 100% in one go at  -7°C ambiant temp.</t>
  </si>
  <si>
    <t>(361 * 19.6 / 107.34) / 77.5 = 0.8505</t>
  </si>
  <si>
    <t>Go4IT|Asia Pacific &amp; Europe (excl UK)|10-Sep-2013|17-Jan-2017|Model S P85|222000|361|On|No|||212|B) twice a week|A) daily|E) monthly|1|22|400|Off|361|255|19.6|Off|Charging conditions: Cold pack from 25% to 100% in one go at  -7°C ambiant temp.</t>
  </si>
  <si>
    <t>nico180|Asia Pacific &amp; Europe (excl UK)|20-Apr-2016|19-Jan-2017|Model S 90D|26700|430|Off|No|||230|D) twice a month|D) twice a month|E) monthly|0.9|11|455|Off|||||</t>
  </si>
  <si>
    <t>The y values in this table are filled using the function y= 18x^2 - 39.4x + 29. Changing the data in country sheets will change the function and this table.</t>
  </si>
  <si>
    <t>korgmatose|Asia Pacific &amp; Europe (excl UK)|30-Oct-2014|21-Jan-2017|Model S 85|86130|378|Off|No|||208||||||||||||</t>
  </si>
  <si>
    <t>y= 18x^2 - 39.4x + 29</t>
  </si>
  <si>
    <t>Bianco|Asia Pacific &amp; Europe (excl UK)|13-May-2014|23-Mar-2016|Model S 85|38500|375|Off|No|||220|F) a few times a year|F) a few times a year|H) never|0.8|22|381|Off|||||</t>
  </si>
  <si>
    <t>Merge columns</t>
  </si>
  <si>
    <t>This is some data on Sheet1</t>
  </si>
  <si>
    <t>Juicer|Asia Pacific &amp; Europe (excl UK)|19-Aug-2015|26-Jan-2017|Model S 70D|73105|353|Off|No|||205|C) weekly|E) monthly|F) a few times a year|0.8|11|360|Off|||||</t>
  </si>
  <si>
    <t>Merged data</t>
  </si>
  <si>
    <t xml:space="preserve">Name </t>
  </si>
  <si>
    <t>apollo 46|Asia Pacific &amp; Europe (excl UK)|08-Mar-2016|31-Jan-2017|Model S 90D|25581|432|Off|No|||222|D) twice a month|E) monthly|H) never|0.8|11|448|Off|||||</t>
  </si>
  <si>
    <t>Favorite Colour</t>
  </si>
  <si>
    <t>Age</t>
  </si>
  <si>
    <t>blue</t>
  </si>
  <si>
    <t>London</t>
  </si>
  <si>
    <t>Bianco|Asia Pacific &amp; Europe (excl UK)|13-May-2014|01-Feb-2017|Model S 85|56157|377|Off|No|||220||||||||||||</t>
  </si>
  <si>
    <t>HWS 90D|Asia Pacific &amp; Europe (excl UK)|29-Sep-2015|03-Feb-2017|Model S 90D|43090|427|Off|No|||233|E) monthly|E) monthly|F) a few times a year|0.8|11|411|Off|||||</t>
  </si>
  <si>
    <t>black</t>
  </si>
  <si>
    <t>Liverpool</t>
  </si>
  <si>
    <t>Sally</t>
  </si>
  <si>
    <t>pink</t>
  </si>
  <si>
    <t>Bournemouth</t>
  </si>
  <si>
    <t>Mike</t>
  </si>
  <si>
    <t>dark blue</t>
  </si>
  <si>
    <t>Brighton</t>
  </si>
  <si>
    <t>Jane</t>
  </si>
  <si>
    <t>This is some data on Sheet2</t>
  </si>
  <si>
    <t>July</t>
  </si>
  <si>
    <t>Suzan</t>
  </si>
  <si>
    <t>fren|Asia Pacific &amp; Europe (excl UK)|26-Jun-2016|05-Feb-2017|Model S 90D|15000|433|On|No|||240|C) weekly|F) a few times a year|E) monthly|0.9|11|457|On|||||</t>
  </si>
  <si>
    <t>Peter</t>
  </si>
  <si>
    <t>red</t>
  </si>
  <si>
    <t>Using Indirect in Formula</t>
  </si>
  <si>
    <t>Keezje|Asia Pacific &amp; Europe (excl UK)|23-Dec-2013|05-Feb-2017|Model S P85|98000|374|Off|No|||212|D) twice a month|E) monthly|E) monthly|0.9|11|396|Off|||||</t>
  </si>
  <si>
    <t>basic formula</t>
  </si>
  <si>
    <t>=sum(C156:C160)</t>
  </si>
  <si>
    <t>using indirect</t>
  </si>
  <si>
    <t>=sum(indirect("E155:E"&amp;C159))</t>
  </si>
  <si>
    <t>dekoene|Asia Pacific &amp; Europe (excl UK)|31-Mar-2016|09-Feb-2017|Model S 70D|21000|358|Off|No|||232|F) a few times a year|F) a few times a year|G) once or twice a year|0.9|11|361|Off|||||</t>
  </si>
  <si>
    <t>last column is</t>
  </si>
  <si>
    <t>simple formula</t>
  </si>
  <si>
    <t>Stickybit|Asia Pacific &amp; Europe (excl UK)|15-Mar-2016|13-Feb-2017|Model S 70D|37124|364|On|No|||207|F) a few times a year|D) twice a month|G) once or twice a year|0.9|11|360|Off|||||</t>
  </si>
  <si>
    <t>A161:A164</t>
  </si>
  <si>
    <t>indirect formula</t>
  </si>
  <si>
    <t>Aggregate|Asia Pacific &amp; Europe (excl UK)|24-Jun-2016|14-Feb-2017|Model S 75|14950|372|On|No|||201||||||||||||</t>
  </si>
  <si>
    <t>column1</t>
  </si>
  <si>
    <t>column2</t>
  </si>
  <si>
    <t>Add cell in column2 if column1 is ...</t>
  </si>
  <si>
    <t>What we want</t>
  </si>
  <si>
    <t>SUM</t>
  </si>
  <si>
    <t>Nulwoning|Asia Pacific &amp; Europe (excl UK)|20-Nov-2013|20-Feb-2017|Model S 85|176157|368|On|No|||185|C) weekly|D) twice a month|H) never|0.6|11|||||||</t>
  </si>
  <si>
    <t>AVERAGE</t>
  </si>
  <si>
    <t>criteria for column1</t>
  </si>
  <si>
    <t>jpet|Asia Pacific &amp; Europe (excl UK)|03-Apr-2015|18-Feb-2017|Model S P85D|39061|387|On|No|||232|D) twice a month|E) monthly|G) once or twice a year|0.7|11|406|On|||||21" staggered summer / 19" staggered winter</t>
  </si>
  <si>
    <t>change this text</t>
  </si>
  <si>
    <t>not sure of the manufactor date, but it is close. I only charge on weekends to 90%</t>
  </si>
  <si>
    <t>jonas_man|Asia Pacific &amp; Europe (excl UK)|01-Sep-2016|06-Nov-2016|Model S 90D|800|441|Off|No|||236|E) monthly|F) a few times a year|H) never|0.9|3|441|Off|||||not sure of the manufactor date, but it is close. I only charge on weekends to 90%</t>
  </si>
  <si>
    <t>change this</t>
  </si>
  <si>
    <t>Sparkline graphs</t>
  </si>
  <si>
    <t>jonas_man|Asia Pacific &amp; Europe (excl UK)|01-Sep-2016|24-Dec-2016|Model S 90D|2361|447|Off|No|||219|E) monthly|F) a few times a year|H) never|0.9|3|441|Off|||||not sure of the manufactor date, but it is close. I only charge on weekends to 90%</t>
  </si>
  <si>
    <t>jonas_man|Asia Pacific &amp; Europe (excl UK)|01-Sep-2016|14-Jan-2017|Model S 90D|4362|447|Off|No|||219|E) monthly|F) a few times a year|H) never|0.9|3|441|Off|||||not sure of the manufactor date, but it is close. I only charge on weekends to 90%</t>
  </si>
  <si>
    <t>(260 * 19.3 / 80) / 58.5 = 1.0722</t>
  </si>
  <si>
    <t>misterp|Asia Pacific &amp; Europe (excl UK)|24-Jun-2014|28-Feb-2017|Model S 60|49800|260|On|No|||223|F) a few times a year|G) once or twice a year|H) never|0.9|11|280|On|220|140|19.3|On|</t>
  </si>
  <si>
    <t>SW 8.0 (17.4.14)</t>
  </si>
  <si>
    <t>Liddus|Asia Pacific &amp; Europe (excl UK)|17-Mar-2014|28-Feb-2017|Model S P85|100000|376|Off|No|||202|F) a few times a year|F) a few times a year|H) never|0.9|11|392|Off|||||SW 8.0 (17.4.14)</t>
  </si>
  <si>
    <t>Charging conditions: Cold pack from 25% to 100% in one go at  5°C ambiant temp.</t>
  </si>
  <si>
    <t>(364.56 * 20 / 112.41) / 77.5 = 0.837</t>
  </si>
  <si>
    <t>Go4IT|Asia Pacific &amp; Europe (excl UK)|10-Sep-2013|01-Mar-2017|Model S P85|230000|360|Off|No|||212|D) twice a month|A) daily|F) a few times a year|1|22|400|Off|361|250|20|Off|Charging conditions: Cold pack from 25% to 100% in one go at  5°C ambiant temp.</t>
  </si>
  <si>
    <t>CJAhulskamp|Asia Pacific &amp; Europe (excl UK)|01-Dec-2015|01-Mar-2017|Model S 70|38020|359|Off|No|||210|E) monthly|F) a few times a year|F) a few times a year|0.9|22|||||||</t>
  </si>
  <si>
    <t>FVO|Asia Pacific &amp; Europe (excl UK)|17-Sep-2013|27-Feb-2017|Model S 85|85000|369|On|No|||212|E) monthly|F) a few times a year|G) once or twice a year|0.8|7|387|On|||||</t>
  </si>
  <si>
    <t>Juicer|Asia Pacific &amp; Europe (excl UK)|19-Aug-2015|03-Mar-2017|Model S 70D|80104|350|Off|No|||207|C) weekly|E) monthly|F) a few times a year|0.8|11|360|Off|||||</t>
  </si>
  <si>
    <t>Is this user's last range reading?</t>
  </si>
  <si>
    <t>redevries|Asia Pacific &amp; Europe (excl UK)|15-Nov-2013|03-Mar-2017|Model S 85|144744|371|Off|Yes|Don't know (km)|28000|226|F) a few times a year|E) monthly|F) a few times a year|0.9|11|400|Off|||||</t>
  </si>
  <si>
    <t>twall-e|Asia Pacific &amp; Europe (excl UK)|17-Apr-2016|03-Mar-2017|Model S 70D|20000|344|Off|No|||193|E) monthly|E) monthly|F) a few times a year|0.9|28|360|On|||||</t>
  </si>
  <si>
    <t>gvveen|Asia Pacific &amp; Europe (excl UK)|15-Sep-2016|03-Mar-2017|Model S 75|28385|373|Off|No|||198||||||||||||</t>
  </si>
  <si>
    <t>1,5 grd.C temperature at recent trip</t>
  </si>
  <si>
    <t>(435.44 * 46.7 / 211.95) / 77.5 = 1.238</t>
  </si>
  <si>
    <t>mikelger|Asia Pacific &amp; Europe (excl UK)|19-Mar-2016|08-Mar-2017|Model S 85D|26663|430|Off|No|||211|C) weekly|H) never|F) a few times a year|0.5|11|430|Off|292|82.7|46.7|Off|1,5 grd.C temperature at recent trip</t>
  </si>
  <si>
    <t>Drinden|Asia Pacific &amp; Europe (excl UK)|24-Mar-2014|08-Mar-2017|Model S 85|100000|359|Off|No|||210|E) monthly|F) a few times a year|G) once or twice a year|0.8|3.7||Off|||||</t>
  </si>
  <si>
    <t>66,8</t>
  </si>
  <si>
    <t>(388 * 66,8 / 365) / 77.5 = 0.9162</t>
  </si>
  <si>
    <t>jpet|Asia Pacific &amp; Europe (excl UK)|03-Apr-2015|11-Mar-2017|Model S P85D|40014|388|On|No|||232|D) twice a month|E) monthly|G) once or twice a year|0.7|11|406|On|386|21|66,8|On|21" staggered summer / 19" staggered winter</t>
  </si>
  <si>
    <t>korgmatose|Asia Pacific &amp; Europe (excl UK)|30-Oct-2014|14-Mar-2017|Model S 85|93406|380|Off|No|||206|B) twice a week|E) monthly|H) never|0.9|3.7|||||||</t>
  </si>
  <si>
    <t>shoot72|Asia Pacific &amp; Europe (excl UK)|05-Jun-2015|02-Mar-2017|Model S 85D|78500|412|Off|No|||215|C) weekly||F) a few times a year|0.9|11|||||||</t>
  </si>
  <si>
    <t>Nulwoning|Asia Pacific &amp; Europe (excl UK)|20-Nov-2013|16-Mar-2017|Model S 85|180600|365|On|No|||186|B) twice a week|E) monthly|G) once or twice a year|0.7|11|||||||19"</t>
  </si>
  <si>
    <t>(381 * 35.4 / 187) / 77.5 = 0.9306</t>
  </si>
  <si>
    <t>BennyG|Asia Pacific &amp; Europe (excl UK)|13-May-2015|21-Mar-2017|Model S 85|75443|381|On|No|||205|F) a few times a year|G) once or twice a year|G) once or twice a year|0.8|11|||381|194|35.4|On|</t>
  </si>
  <si>
    <t>Charging conditions: Cold pack from 40% to 100% in one go at  6°C ambiant temp.</t>
  </si>
  <si>
    <t>(366.58 * 22.4 / 121.52) / 77.5 = 0.8719</t>
  </si>
  <si>
    <t>Go4IT|Asia Pacific &amp; Europe (excl UK)|10-Sep-2013|23-Mar-2017|Model S P85|235000|362|Off|No|||212|D) twice a month|A) daily|F) a few times a year|1|22|400|Off|362|242|22.4|Off|Charging conditions: Cold pack from 40% to 100% in one go at  6°C ambiant temp.</t>
  </si>
  <si>
    <t>korgmatose|Asia Pacific &amp; Europe (excl UK)|30-Oct-2014|27-Mar-2017|Model S 85|95393|380|Off|No|||205||||||||||||</t>
  </si>
  <si>
    <t>p666d|Asia Pacific &amp; Europe (excl UK)|15-May-2015|31-Mar-2017|Model S P85D|51605|388|On|No|||212|E) monthly|D) twice a month|G) once or twice a year|0.9|11|403||||||</t>
  </si>
  <si>
    <t>Matteo says: The trip section is optional but it needs to be any recent non-stop trip to be accurate.</t>
  </si>
  <si>
    <t>apollo 46|Asia Pacific &amp; Europe (excl UK)|08-Mar-2016|29-Mar-2017|Model S 90D|30786|431|Off|No|||222|E) monthly|D) twice a month|H) never|0.9|11|448|Off|||||Matteo says: The trip section is optional but it needs to be any recent non-stop trip to be accurate.</t>
  </si>
  <si>
    <t>Aggregate|Asia Pacific &amp; Europe (excl UK)|24-Jun-2016|03-Apr-2017|Model S 75|21634|375|On|No|||200|B) twice a week|E) monthly|E) monthly|0.7|11|384|On|||||</t>
  </si>
  <si>
    <t>Juicer|Asia Pacific &amp; Europe (excl UK)|19-Aug-2015|06-Apr-2017|Model S 70D|84753|350|Off|No|||207|C) weekly|E) monthly|F) a few times a year|0.8|11|360|Off|||||</t>
  </si>
  <si>
    <t>patrickCH|Asia Pacific &amp; Europe (excl UK)|31-Mar-2014|31-Jan-2017|Model S 85|65500|382|Off|No|||216|F) a few times a year|G) once or twice a year|H) never|0.6|11|||||||</t>
  </si>
  <si>
    <t>C Bretaud|Asia Pacific &amp; Europe (excl UK)|27-Dec-2013|11-Apr-2017|Model S P85|201000|367|Off|No|||217|D) twice a month|C) weekly|G) once or twice a year|0.9|9|392|Off|||||</t>
  </si>
  <si>
    <t>HWS 90D|Asia Pacific &amp; Europe (excl UK)|29-Sep-2015|13-Apr-2017|Model S 90D|47860|425|Off|No|||234|G) once or twice a year|F) a few times a year|E) monthly|0.8|11|||||||</t>
  </si>
  <si>
    <t>Steinar|Asia Pacific &amp; Europe (excl UK)|24-May-2014|15-Apr-2017|Model S 60|54100|255|On|No|||199|E) monthly|H) never|F) a few times a year|0.9|3|||||||</t>
  </si>
  <si>
    <t>jvds|Asia Pacific &amp; Europe (excl UK)|19-Sep-2015|15-Apr-2017|Model S 70D|31913|348|Off|No|||219|E) monthly|F) a few times a year|H) never|0.9|11|358|Off|||||</t>
  </si>
  <si>
    <t>Lucas|Asia Pacific &amp; Europe (excl UK)|28-Sep-2016|17-Apr-2017|Model X 90D|24980|398|On|No|||302|D) twice a month|F) a few times a year|F) a few times a year|0.9|11|402|Off|||||</t>
  </si>
  <si>
    <t>gr8boy|Asia Pacific &amp; Europe (excl UK)|15-Nov-2015|17-Apr-2017|Model S 90D|51342|431|Off|No|||218|D) twice a month|E) monthly|E) monthly|0.8|11|446|Off|||||</t>
  </si>
  <si>
    <t>ebullio|Asia Pacific &amp; Europe (excl UK)|13-Nov-2013|18-Apr-2017|Model S 85|106530|371|Off|Yes|Don't know (km)|12000|234|E) monthly|F) a few times a year|G) once or twice a year|0.9|11|400|Off|||||</t>
  </si>
  <si>
    <t>Canta|Asia Pacific &amp; Europe (excl UK)|08-Oct-2014|16-Apr-2017|Model S 85|117145|381|On|No|||224|D) twice a month|D) twice a month|F) a few times a year|||||||||</t>
  </si>
  <si>
    <t>tehjimos|Asia Pacific &amp; Europe (excl UK)|01-Dec-2014|19-Apr-2017|Model S 85|106000|369|Off|No|||250|B) twice a week|E) monthly|D) twice a month|0.9||396||||||</t>
  </si>
  <si>
    <t>jakoys|Asia Pacific &amp; Europe (excl UK)|10-Jun-2014|21-Apr-2017|Model S 85|84877|383|On|No|||218|C) weekly|F) a few times a year|H) never|0.6|5|||||||</t>
  </si>
  <si>
    <t>jvds|Asia Pacific &amp; Europe (excl UK)|19-Sep-2015|22-Apr-2017|Model S 70D|32373|352|Off|No|||212|E) monthly|F) a few times a year|G) once or twice a year|0.9|11||Off|||||</t>
  </si>
  <si>
    <t>gec|Asia Pacific &amp; Europe (excl UK)|04-Dec-2014|28-Apr-2017|Model S 85|34485|384|Off|No||||F) a few times a year|F) a few times a year|G) once or twice a year|0.8|22|||||||</t>
  </si>
  <si>
    <t>19" summer</t>
  </si>
  <si>
    <t>jvds|Asia Pacific &amp; Europe (excl UK)|19-Sep-2015|29-Apr-2017|Model S 70D|32788|345|Off|No||||F) a few times a year|F) a few times a year|H) never|0.9|16|352|Off|||||19" summer</t>
  </si>
  <si>
    <t>Aggregate|Asia Pacific &amp; Europe (excl UK)|24-Jun-2016|28-Jun-2017|Model S 75|24000|367|On|No|||196|C) weekly|D) twice a month|E) monthly|0.9|11|384|On|||||</t>
  </si>
  <si>
    <t>korgmatose|Asia Pacific &amp; Europe (excl UK)|30-Oct-2014|03-May-2017|Model S 85|97893|378.5|Off|No|||204||||||||||||</t>
  </si>
  <si>
    <t>HWS 90D|Asia Pacific &amp; Europe (excl UK)|29-Sep-2015|03-May-2017|Model S 90D|51222|428|Off|No|||234|D) twice a month|F) a few times a year|E) monthly|0.8|11|432|Off|||||</t>
  </si>
  <si>
    <t>Jolnar|Asia Pacific &amp; Europe (excl UK)|20-Sep-2013|06-May-2017|Model S P85|140000|371|On|No|||209|D) twice a month|D) twice a month|E) monthly|0.7|3,6|402||||||</t>
  </si>
  <si>
    <t>(370.63 * 18.3 / 104.3) / 77.5 = 0.8391</t>
  </si>
  <si>
    <t>Go4IT|Asia Pacific &amp; Europe (excl UK)|10-Sep-2013|09-May-2017|Model S P85|240000|366|Off|No|||212|D) twice a month|A) daily|F) a few times a year|1|22|400|Off|366|263|18.3|Off|Charging conditions: Cold pack from 40% to 100% in one go at  6°C ambiant temp.</t>
  </si>
  <si>
    <t>Juicer|Asia Pacific &amp; Europe (excl UK)|19-Aug-2015|12-May-2017|Model S 70D|91273|349|Off|No|||207|C) weekly|E) monthly|F) a few times a year|0.8|11|360|Off|||||</t>
  </si>
  <si>
    <t>dekoene|Asia Pacific &amp; Europe (excl UK)|31-Mar-2016|12-May-2017|Model S 70D|27991|359|Off|No|||234|F) a few times a year|F) a few times a year|G) once or twice a year|0.9|7,3|361|Off|||||</t>
  </si>
  <si>
    <t>Martin|Asia Pacific &amp; Europe (excl UK)|01-Mar-2014|14-May-2017|Model S P85|90375|366|Off|No|||220|C) weekly|E) monthly|F) a few times a year|0.6||404|Off|||||</t>
  </si>
  <si>
    <t>Stickybit|Asia Pacific &amp; Europe (excl UK)|15-Mar-2016|13-Apr-2017|Model S 70D|43082|365|On|No|||209|E) monthly|D) twice a month|G) once or twice a year|0.9|11|360|Off|||||</t>
  </si>
  <si>
    <t>SSc3010|Asia Pacific &amp; Europe (excl UK)|04-Jun-2014|02-May-2017|Model S 85|172871|380|On|No|||182|D) twice a month|F) a few times a year|F) a few times a year|0.9|9|398|Off|||||Charging @13°C</t>
  </si>
  <si>
    <t>korgmatose|Asia Pacific &amp; Europe (excl UK)|30-Oct-2014|16-May-2017|Model S 85|99100|379|Off|No|||206||||||||||||</t>
  </si>
  <si>
    <t>WhiteStorm|Asia Pacific &amp; Europe (excl UK)|09-May-2017|16-May-2017|Model S P100D|1364|488|On|No|||188|C) weekly|F) a few times a year|H) never|0.8||488|On|||||</t>
  </si>
  <si>
    <t>Gretsch|Asia Pacific &amp; Europe (excl UK)|20-Oct-2015|17-May-2017|Model S 85D|47834|420|Off|No|||218|D) twice a month|F) a few times a year|G) once or twice a year|0.7|22|||||||19"</t>
  </si>
  <si>
    <t>brderyck|Asia Pacific &amp; Europe (excl UK)|13-Dec-2014|19-May-2017|Model S 85|62000|380|Off|No|||240|F) a few times a year|F) a few times a year|F) a few times a year||11|||||||</t>
  </si>
  <si>
    <t>jpet|Asia Pacific &amp; Europe (excl UK)|03-Apr-2015|19-May-2017|Model S P85D|43470|389|On|No|||232|D) twice a month|E) monthly|G) once or twice a year|0.7|11|406|On|||||21" staggered summer / 19" staggered winter</t>
  </si>
  <si>
    <t>Aggregate|Asia Pacific &amp; Europe (excl UK)|24-Jun-2016|19-May-2017|Model S 75|27000|370|On|No|||194|C) weekly|E) monthly|F) a few times a year|0.9|11|384|On|||||</t>
  </si>
  <si>
    <t>peters25|Asia Pacific &amp; Europe (excl UK)|23-Feb-2017|20-May-2017|Model S 90D|8600|455|Off|No|||214|D) twice a month|D) twice a month|G) once or twice a year|0.9|11|460|Off|||||</t>
  </si>
  <si>
    <t xml:space="preserve"> 21 stagered summer, 20 stagered winter</t>
  </si>
  <si>
    <t>in-clusion|Asia Pacific &amp; Europe (excl UK)|25-Nov-2013|24-Dec-2016|Model S P85+|147768|373|Off|No|||226|C) weekly|C) weekly|F) a few times a year|0.9|11|400|Off||||| 21 stagered summer, 20 stagered winter</t>
  </si>
  <si>
    <t>Bernie|Asia Pacific &amp; Europe (excl UK)|26-Apr-2016|28-May-2017|Model S 70D|23635|362|Off|No|||218|D) twice a month|G) once or twice a year|E) monthly|0.9|11|362|Off|||||</t>
  </si>
  <si>
    <t>iggypop|Asia Pacific &amp; Europe (excl UK)|28-Apr-2017|01-Jun-2017|Model S 75D|3272|388|On|No|||190|C) weekly|E) monthly|F) a few times a year|0.9|11|384|Off|||||</t>
  </si>
  <si>
    <t>apollo 46|Asia Pacific &amp; Europe (excl UK)|08-Mar-2016|06-Jun-2017|Model S 90D|35581|429|Off|No|||219|D) twice a month|D) twice a month|G) once or twice a year|0.9|11|448|Off|||||</t>
  </si>
  <si>
    <t>19"  only summer car usage</t>
  </si>
  <si>
    <t>morth_S|Asia Pacific &amp; Europe (excl UK)|20-Aug-2014|07-Apr-2017|Model S 85|14857|389|Off|No|||210|E) monthly|G) once or twice a year|H) never|0.8|11|||||||19"  only summer car usage</t>
  </si>
  <si>
    <t>20"  only summer car usage</t>
  </si>
  <si>
    <t>morth_X|Asia Pacific &amp; Europe (excl UK)|08-Mar-2017|01-Apr-2017|Model X 90D|100|395|Off|No|||225|E) monthly|G) once or twice a year|H) never|0.8|16|395|Off|||||20"  only summer car usage</t>
  </si>
  <si>
    <t>Charging conditions: Cold pack from 40% to 100% in one go at  12°C ambiant temp.</t>
  </si>
  <si>
    <t>(371.65 * 18.8 / 101.27) / 77.5 = 0.8903</t>
  </si>
  <si>
    <t>Go4IT|Asia Pacific &amp; Europe (excl UK)|10-Sep-2013|09-Jun-2017|Model S P85|246000|367|Off|No|||212|D) twice a month|A) daily|F) a few times a year|1|22|400|Off|365|265|18.8|Off|Charging conditions: Cold pack from 40% to 100% in one go at  12°C ambiant temp.</t>
  </si>
  <si>
    <t>redevries|Asia Pacific &amp; Europe (excl UK)|15-Nov-2013|11-Jun-2017|Model S 85|154801|373|Off|Yes|Don't know (km)|28000|226||||||||||||</t>
  </si>
  <si>
    <t>korgmatose|Asia Pacific &amp; Europe (excl UK)|30-Oct-2014|11-Jun-2017|Model S 85|100315|380|Off|No|||206||||||||||||</t>
  </si>
  <si>
    <t>Fuelman|Asia Pacific &amp; Europe (excl UK)|13-Dec-2014|13-Jun-2017|Model S 85|30287|378|Off|No|||224|F) a few times a year|G) once or twice a year|F) a few times a year|0.8||||||||</t>
  </si>
  <si>
    <t>Thor4|Asia Pacific &amp; Europe (excl UK)|13-Jun-2017|17-Jun-2017|Model S 75|350|373|Off|No|||194|F) a few times a year|E) monthly|H) never|0.9|11|373|Off||||Off|</t>
  </si>
  <si>
    <t>idefix|Asia Pacific &amp; Europe (excl UK)|08-Sep-2016|21-Jun-2017|Model S 70D|38000|343|Off|No|||210|A) daily|F) a few times a year|H) never|0.9|36|360|Off|||||</t>
  </si>
  <si>
    <t>SW 8.1 (17.24.28), 19" wheels</t>
  </si>
  <si>
    <t>Liddus|Asia Pacific &amp; Europe (excl UK)|17-Mar-2014|22-Jun-2017|Model S P85|110000|382|Off|No|||201|F) a few times a year|F) a few times a year|H) never|0.9|11|392|Off|||||SW 8.1 (17.24.28), 19" wheels</t>
  </si>
  <si>
    <t>HWS 90D|Asia Pacific &amp; Europe (excl UK)|29-Sep-2015|21-Jun-2017|Model S 90D|53328|427|Off|No|||234|E) monthly|E) monthly|F) a few times a year|0.8|11|432|Off|||||</t>
  </si>
  <si>
    <t>Thor4|Asia Pacific &amp; Europe (excl UK)|13-Jun-2017|24-Jun-2017|Model S 75|736|373|Off|No|||196|E) monthly|E) monthly|H) never|0.9|11|373|Off|||||</t>
  </si>
  <si>
    <t>jvds|Asia Pacific &amp; Europe (excl UK)|19-Sep-2015|23-Jun-2017|Model S 70D|37050|355|Off|No|||200|E) monthly|E) monthly|H) never|0.9|16|352|Off|||||</t>
  </si>
  <si>
    <t>JBou|Asia Pacific &amp; Europe (excl UK)|21-Dec-2013|24-Jun-2017|Model S 85|116500|375|On|No|||206|D) twice a month|F) a few times a year|G) once or twice a year|0.9|11|||||||</t>
  </si>
  <si>
    <t>D4Ha (NL)|Asia Pacific &amp; Europe (excl UK)|22-May-2015|19-May-2017|Model X 90D|120728|400|On|No|||230||||||||||||</t>
  </si>
  <si>
    <t>jvds|Asia Pacific &amp; Europe (excl UK)|19-Sep-2015|01-Jul-2017|Model S 70D|37891|355|Off|No|||203|E) monthly|D) twice a month|H) never|0.9|16|352|Off|||||</t>
  </si>
  <si>
    <t>Koen De Smet|Asia Pacific &amp; Europe (excl UK)|25-Jun-2015|10-Feb-2017|Model S 85|66387|382|Off|No|||222|F) a few times a year|F) a few times a year|F) a few times a year|0.9|11|||||||</t>
  </si>
  <si>
    <t>Koen De Smet|Asia Pacific &amp; Europe (excl UK)|25-Jun-2015|01-Apr-2017|Model S 85|72626|382|Off|No|||222|F) a few times a year|F) a few times a year|F) a few times a year|||||||||</t>
  </si>
  <si>
    <t>Nexus|Asia Pacific &amp; Europe (excl UK)|03-Dec-2015|05-Jun-2017|Model S 85D|50000|421|Off|No|||208|F) a few times a year|G) once or twice a year|H) never|0.8|11|||||||</t>
  </si>
  <si>
    <t>rsvarthur|Asia Pacific &amp; Europe (excl UK)|10-Sep-2013|03-Jul-2017|Model S P85|206254|367|Off|Yes|Don't know (km)|20000|223|D) twice a month|B) twice a week|D) twice a month|0.9|11|395|Off|||||</t>
  </si>
  <si>
    <t>mikeyc|Asia Pacific &amp; Europe (excl UK)|15-Oct-2014|05-Jul-2017|Model S 85|26726|378|Off|No|||218|F) a few times a year|F) a few times a year|G) once or twice a year|0.8|5|||||||</t>
  </si>
  <si>
    <t>Charging conditions: Cold pack from 40% to 100% in one go at 15°C ambiant temp. Leaving right after disconnection when charge reached 369 km</t>
  </si>
  <si>
    <t>(373.67 * 18.1 / 101.27) / 77.5 = 0.8618</t>
  </si>
  <si>
    <t>Go4IT|Asia Pacific &amp; Europe (excl UK)|10-Sep-2013|12-Jul-2017|Model S P85|251000|369|Off|No|||212|D) twice a month|A) daily|F) a few times a year|1|22|400|Off|369|269|18.1|Off|Charging conditions: Cold pack from 40% to 100% in one go at 15°C ambiant temp. Leaving right after disconnection when charge reached 369 km</t>
  </si>
  <si>
    <t>Charging conditions: Cold pack from 40% to 100% in one go at 15°C ambiant temp. Leaving 15 minutes after moving the car out of garag. In other words, the last 3-5 km of charge are of poor energy quality so the optional calculation is a more capacity measure than the displayed capacity...</t>
  </si>
  <si>
    <t>(373.67 * 18.1 / 96.2) / 77.5 = 0.9071</t>
  </si>
  <si>
    <t>Go4IT|Asia Pacific &amp; Europe (excl UK)|10-Sep-2013|13-Jul-2017|Model S P85|251200|369|Off|No|||212|D) twice a month|A) daily|F) a few times a year|1|22|400|Off|364|269|18.1|Off|Charging conditions: Cold pack from 40% to 100% in one go at 15°C ambiant temp. Leaving 15 minutes after moving the car out of garag. In other words, the last 3-5 km of charge are of poor energy quality so the optional calculation is a more capacity measure than the displayed capacity...</t>
  </si>
  <si>
    <t>Luske|Asia Pacific &amp; Europe (excl UK)|15-Jun-2015|09-Jul-2017|Model S 85|113000|381|On|No|||212|C) weekly|F) a few times a year|E) monthly|0.9||||||||</t>
  </si>
  <si>
    <t>Luske|Asia Pacific &amp; Europe (excl UK)|15-Jun-2015|10-Dec-2016|Model S 85|70518|388|On|No|||214||||||||||||</t>
  </si>
  <si>
    <t>HWS 90D|Asia Pacific &amp; Europe (excl UK)|29-Sep-2015|13-Jul-2017|Model S 90D|55201|425|Off|No|||233|E) monthly|E) monthly|F) a few times a year|0.8|11|432|Off|||||</t>
  </si>
  <si>
    <t>univ|Asia Pacific &amp; Europe (excl UK)|16-Apr-2015|13-Jul-2017|Model S 85D|169000|414|On|No|||248|B) twice a week|D) twice a month|C) weekly|0.5|4,6|404|On|||||</t>
  </si>
  <si>
    <t>Baselland|Asia Pacific &amp; Europe (excl UK)|13-Apr-2016|22-Jul-2017|Model S P90D|19700|400|Off|No|||230|F) a few times a year|F) a few times a year|G) once or twice a year|0.8|11|412|Off|||||</t>
  </si>
  <si>
    <t>BaselLandShrooms|Asia Pacific &amp; Europe (excl UK)|26-Nov-2014|24-Jul-2017|Model S 85|44471|385|Off|No|||221|D) twice a month|H) never|H) never|0.8|22|||||||</t>
  </si>
  <si>
    <t>peters25|Asia Pacific &amp; Europe (excl UK)|23-Feb-2017|20-Jul-2017|Model S 90D|13977|453|Off|No|||207|D) twice a month|E) monthly|F) a few times a year|0.9|11|460|Off|||||</t>
  </si>
  <si>
    <t>Juicer|Asia Pacific &amp; Europe (excl UK)|19-Aug-2015|20-Jul-2017|Model S 70D|100449|348|Off|No|||205|C) weekly|E) monthly|F) a few times a year|0.8|11|360|Off|||||</t>
  </si>
  <si>
    <t>Aggregate|Asia Pacific &amp; Europe (excl UK)|24-Jun-2016|28-Jul-2017|Model S 75|32600|372|On|No|||189|E) monthly|F) a few times a year|F) a few times a year|0.9|11|385|On|||||</t>
  </si>
  <si>
    <t>patrickCH|Asia Pacific &amp; Europe (excl UK)|31-Mar-2014|29-Jul-2017|Model S 85|78372|378|Off|No|||215|F) a few times a year|F) a few times a year|H) never|0.7|18|404|On|||||</t>
  </si>
  <si>
    <t>Thor4|Asia Pacific &amp; Europe (excl UK)|13-Jun-2017|29-Jul-2017|Model S 75|7500|373|Off|No|||192|E) monthly|F) a few times a year|H) never|0.8|11|373|Off|||||</t>
  </si>
  <si>
    <t>ChrisK|Asia Pacific &amp; Europe (excl UK)|25-Jun-2015|01-Aug-2017|Model S 85|145128|370|On|No|||227|C) weekly|E) monthly|D) twice a month|0.9|22|||||||</t>
  </si>
  <si>
    <t>idefix|Asia Pacific &amp; Europe (excl UK)|08-Sep-2016|03-Aug-2017|Model S 70D|42193|342.04|Off|No|||205|A) daily|F) a few times a year|H) never|0.9|11|360|Off|||||</t>
  </si>
  <si>
    <t>GDgreen|Asia Pacific &amp; Europe (excl UK)|16-Oct-2013|03-Aug-2017|Model S P85+|68900|380|Off|No|||227|G) once or twice a year|G) once or twice a year|G) once or twice a year|0.7|20|400|On|||||</t>
  </si>
  <si>
    <t>jpet|Asia Pacific &amp; Europe (excl UK)|03-Apr-2015|04-Aug-2017|Model S P85D|46881|390|On|No|||232|D) twice a month|E) monthly|G) once or twice a year|0.7|11|406|On|||||21" staggered summer / 19" staggered winter</t>
  </si>
  <si>
    <t>jpet|Asia Pacific &amp; Europe (excl UK)|03-Apr-2015|08-Aug-2017|Model S P85D|46975|389|On|No|||232|D) twice a month|E) monthly|G) once or twice a year|0.7|11|406|On|||||21" staggered summer / 19" staggered winter</t>
  </si>
  <si>
    <t>egn|Asia Pacific &amp; Europe (excl UK)|05-Feb-2014|08-Aug-2017|Model S 85|74181|380|Off|No|||233|D) twice a month|E) monthly|H) never|0.7|22||Off|||||</t>
  </si>
  <si>
    <t>merlinfive|Asia Pacific &amp; Europe (excl UK)|25-Jun-2015|10-Aug-2017|Model S 85D|114321|408|Off|No|||230|D) twice a month|F) a few times a year|F) a few times a year|0.9|22|405|Off|||||</t>
  </si>
  <si>
    <t>19''</t>
  </si>
  <si>
    <t>CF777E|Asia Pacific &amp; Europe (excl UK)|31-Mar-2017|10-Aug-2017|Model S 90D|8900|456|Off|No|||198|F) a few times a year|F) a few times a year|H) never|0.9|11|456|Off|||||19''</t>
  </si>
  <si>
    <t>Biet|Asia Pacific &amp; Europe (excl UK)|05-Apr-2015|10-Aug-2017|Model S P85D|88900|383|Off|No|||188||F) a few times a year|H) never|0.9|15|404|Off|||||</t>
  </si>
  <si>
    <t>gec|Asia Pacific &amp; Europe (excl UK)|04-Dec-2014|29-Jul-2017|Model S 85|37970|386|Off|No|||218|E) monthly|F) a few times a year|F) a few times a year|0.9|22|||||||</t>
  </si>
  <si>
    <t>gec|Asia Pacific &amp; Europe (excl UK)|04-Dec-2014|11-Aug-2017|Model S 85|39951|384|Off|No|||||||||||||||</t>
  </si>
  <si>
    <t>tnt369|Asia Pacific &amp; Europe (excl UK)|14-Feb-2016|11-Aug-2017|Model S 90D|42500|444|Off|No|||210|C) weekly|F) a few times a year|F) a few times a year|0.9|3|455|Off|||||19"</t>
  </si>
  <si>
    <t>19" Tesla Aero for Winter and Diwe Impatto in summer (better than Turbine)</t>
  </si>
  <si>
    <t>Blumewirt|Asia Pacific &amp; Europe (excl UK)|15-Jun-2015|13-Aug-2017|Model S 70D|171941|351|On|No|||188|A) daily|F) a few times a year|G) once or twice a year|||366|On|||||19" Tesla Aero for Winter and Diwe Impatto in summer (better than Turbine)</t>
  </si>
  <si>
    <t>Siggy101|Asia Pacific &amp; Europe (excl UK)|28-Feb-2017|25-Jul-2017|Model S 90D|5500|450|Off|No|||193|F) a few times a year|G) once or twice a year|H) never|0.9|4|||||||</t>
  </si>
  <si>
    <t>jakoys|Asia Pacific &amp; Europe (excl UK)|10-Jun-2014|12-Aug-2017|Model S 85|95640|379|Off|No|||218|C) weekly|F) a few times a year|H) never|0.7|3|388|Off|||||</t>
  </si>
  <si>
    <t>WhiteStorm|Asia Pacific &amp; Europe (excl UK)|09-May-2017|15-Aug-2017|Model S P100D|9695|484|On|No||||C) weekly|E) monthly|H) never|0.8||488|On|||||</t>
  </si>
  <si>
    <t>19" BBS Summer / 19" Slipstream Winter</t>
  </si>
  <si>
    <t>chrisschorsch|Asia Pacific &amp; Europe (excl UK)|30-Nov-2016|16-Aug-2017|Model S 90D|22185|439|Off|No|||218|D) twice a month|F) a few times a year|H) never|0.9|16.5|451|Off|||||19" BBS Summer / 19" Slipstream Winter</t>
  </si>
  <si>
    <t>JimmyJam|Asia Pacific &amp; Europe (excl UK)|24-Jun-2014|16-Aug-2017|Model S 85|143425|371|On|No|||217|D) twice a month|E) monthly|F) a few times a year|0.9|17|398|On|||||</t>
  </si>
  <si>
    <t>KaJu74|Asia Pacific &amp; Europe (excl UK)|07-Jul-2016|17-Aug-2017|Model S 75D|23357|375|On|No|||215|F) a few times a year|F) a few times a year|H) never|0.9|6|||||||</t>
  </si>
  <si>
    <t>fc12|Asia Pacific &amp; Europe (excl UK)|28-Apr-2017|01-Aug-2017|Model S 90D|4501|452|Off|No|||190|D) twice a month|F) a few times a year|H) never|0.8|11|452|Off|||||19"</t>
  </si>
  <si>
    <t>Keezje|Asia Pacific &amp; Europe (excl UK)|23-Dec-2013|18-Aug-2017|Model S P85|121000|374|On|No|||221|D) twice a month|E) monthly|F) a few times a year|0.9|11|396|Off|||||</t>
  </si>
  <si>
    <t>@18°C</t>
  </si>
  <si>
    <t>SSc3010|Asia Pacific &amp; Europe (excl UK)|04-Jun-2014|29-Jul-2017|Model S 85|187618|375|On|No|||181.4|D) twice a month|F) a few times a year|G) once or twice a year|0.9|9|398|On|||||@18°C</t>
  </si>
  <si>
    <t>JCK|Asia Pacific &amp; Europe (excl UK)|19-Sep-2013|21-Aug-2017|Model S 85|158400|368|On|Yes|Didn't change|53982|201|D) twice a month|F) a few times a year|F) a few times a year|0.9||392|On|||||</t>
  </si>
  <si>
    <t>m0rph|Asia Pacific &amp; Europe (excl UK)|15-Dec-2015|21-Aug-2017|Model S 70|67565|356|On|No|||227|D) twice a month|F) a few times a year|F) a few times a year|0.9|11|||||||</t>
  </si>
  <si>
    <t>Phil V|Asia Pacific &amp; Europe (excl UK)|30-Jun-2016|21-Aug-2017|Model S 90D|45389|425|Off|No|||216|B) twice a week|F) a few times a year|D) twice a month|0.6||||||||</t>
  </si>
  <si>
    <t>KRM|Asia Pacific &amp; Europe (excl UK)|30-Jun-2014|22-Aug-2017|Model S P85|73397|379|On|No|||205|F) a few times a year|F) a few times a year|G) once or twice a year|0.8|11|||||||</t>
  </si>
  <si>
    <t>bpsmits|Asia Pacific &amp; Europe (excl UK)|20-Nov-2013|23-Aug-2017|Model S 85|134709|377|On|No|||217|D) twice a month|C) weekly|G) once or twice a year|0.8||||||||</t>
  </si>
  <si>
    <t>(387.85 * 36 / 200) / 72.6 = 0.9616</t>
  </si>
  <si>
    <t>BennyG|Asia Pacific &amp; Europe (excl UK)|07-Jul-2017|13-Aug-2017|Model S 75D|6548|383|Off|No|||183|C) weekly|E) monthly|G) once or twice a year|0.8|11|382|Off|383|183|36|On|</t>
  </si>
  <si>
    <t>S-19910|Asia Pacific &amp; Europe (excl UK)|26-Nov-2013|20-Aug-2017|Model S P85|187612|376|Off|No|||205|C) weekly|D) twice a month|C) weekly|0.9|22|399|Off|||||</t>
  </si>
  <si>
    <t>MarcK|Asia Pacific &amp; Europe (excl UK)|04-Apr-2016|24-Aug-2017|Model S P85|64103|408|On|No|||207|F) a few times a year|F) a few times a year|H) never|0.8||411||385|296|||</t>
  </si>
  <si>
    <t>EggyP85+|Asia Pacific &amp; Europe (excl UK)|13-Jun-2014|17-Jul-2017|Model S P85+|54475|378|Off|No|||218|C) weekly|F) a few times a year|F) a few times a year||||Off|||||</t>
  </si>
  <si>
    <t>EggyP85|Asia Pacific &amp; Europe (excl UK)|26-Mar-2014|18-Mar-2017|Model S P85|52159|381|Off|No|||218|C) weekly|F) a few times a year|F) a few times a year||||Off|||||</t>
  </si>
  <si>
    <t>EggyP85|Asia Pacific &amp; Europe (excl UK)|26-Mar-2014|22-Apr-2017|Model S P85|55071|381|Off|No|||218|C) weekly|F) a few times a year|F) a few times a year||||Off|||||</t>
  </si>
  <si>
    <t>EggyP85|Asia Pacific &amp; Europe (excl UK)|26-Mar-2014|23-Apr-2017|Model S P85|55300|381|Off|No|||218|C) weekly|F) a few times a year|F) a few times a year||||Off|||||</t>
  </si>
  <si>
    <t>EggyP85+|Asia Pacific &amp; Europe (excl UK)|13-Jun-2014|21-Jul-2017|Model S P85+|54757|377|Off|No|||218|C) weekly|F) a few times a year|F) a few times a year||||Off|||||</t>
  </si>
  <si>
    <t>EggyP85+|Asia Pacific &amp; Europe (excl UK)|13-Jun-2014|11-Aug-2017|Model S P85+|57228|379|Off|No|||218|C) weekly|F) a few times a year|F) a few times a year||||Off|||||</t>
  </si>
  <si>
    <t>in-clusion|Asia Pacific &amp; Europe (excl UK)|25-Nov-2013|25-Aug-2017|Model S P85+|154610|361|Off|No|||225|C) weekly|C) weekly|F) a few times a year|0.9|11|400|Off|||||</t>
  </si>
  <si>
    <t>EggyP85+|Asia Pacific &amp; Europe (excl UK)|13-Jun-2014|27-Aug-2017|Model S P85+|58191|380|Off|No|||218|C) weekly|F) a few times a year|F) a few times a year||||Off|||||</t>
  </si>
  <si>
    <t>Charging conditions: Cold pack from 40% to 100% in one go at  16°C ambiant temp.</t>
  </si>
  <si>
    <t>(367.59 * 17.6 / 95.19) / 77.5 = 0.877</t>
  </si>
  <si>
    <t>Go4IT|Asia Pacific &amp; Europe (excl UK)|10-Sep-2013|28-Aug-2017|Model S P85|269000|363|Off|No|||212|D) twice a month|A) daily|F) a few times a year|1|22|400|Off|363|269|17.6|Off|Charging conditions: Cold pack from 40% to 100% in one go at  16°C ambiant temp.</t>
  </si>
  <si>
    <t>jpet|Asia Pacific &amp; Europe (excl UK)|03-Apr-2015|27-Aug-2017|Model S P85D|48204|389|On|No|||232|D) twice a month|E) monthly|G) once or twice a year|0.7|11|406|On|||||21" staggered summer / 19" staggered winter</t>
  </si>
  <si>
    <t>19"summer (19" winter) Trip1907</t>
  </si>
  <si>
    <t>(434.43 * 58.7 / 361.52) / 81.8 = 0.8623</t>
  </si>
  <si>
    <t>apollo 46|Asia Pacific &amp; Europe (excl UK)|08-Mar-2016|29-Aug-2017|Model S 90D|42743|429|Off|No|||215|D) twice a month|E) monthly|G) once or twice a year|0.9|11|448|Off|425|68|58.7|Off|19"summer (19" winter) Trip1907</t>
  </si>
  <si>
    <t>iggypop|Asia Pacific &amp; Europe (excl UK)|28-Apr-2017|31-Aug-2017|Model S 75D|10025|379|On|No|||179|C) weekly|F) a few times a year|F) a few times a year|0.9|11|||||||</t>
  </si>
  <si>
    <t>(356 * 35.6 / 200) / 68.8 = 0.921</t>
  </si>
  <si>
    <t>eric verlaet|Asia Pacific &amp; Europe (excl UK)|15-Sep-2015|31-Aug-2017|Model S 70D|91770|356|On|No|||178|E) monthly|E) monthly|H) never|0.8|4|382|On|320|120|35.6|On|</t>
  </si>
  <si>
    <t>EggyP85|Asia Pacific &amp; Europe (excl UK)|26-Mar-2014|28-Aug-2017|Model S P85|64584|380|Off|No|||218|C) weekly|F) a few times a year|F) a few times a year||||Off|||||</t>
  </si>
  <si>
    <t>Charging conditions heavily changed: Supercharged 4 times/week during first 3 months + nightly on 10A/230V (2.3kW) single phase with UMC. From then on, mostly only nightly on 2.3kW.</t>
  </si>
  <si>
    <t>l.10.i|Asia Pacific &amp; Europe (excl UK)|21-Jan-2017|27-Aug-2017|Model S 90D|17966|448|Off|No|||184|D) twice a month|F) a few times a year|H) never|0.8|2.3|||||||Charging conditions heavily changed: Supercharged 4 times/week during first 3 months + nightly on 10A/230V (2.3kW) single phase with UMC. From then on, mostly only nightly on 2.3kW.</t>
  </si>
  <si>
    <t>idefix|Asia Pacific &amp; Europe (excl UK)|08-Sep-2016|01-Sep-2017|Model S 70D|46445|345|Off|No|||202|A) daily|F) a few times a year|H) never|0.9|11|360|Off|||||</t>
  </si>
  <si>
    <t>Gert|Asia Pacific &amp; Europe (excl UK)|10-Oct-2013|04-Sep-2017|Model S 85|95422|379|Off|No|||244|F) a few times a year|C) weekly|F) a few times a year|0.9||||||||</t>
  </si>
  <si>
    <t>justroll|Asia Pacific &amp; Europe (excl UK)|15-Oct-2014|04-Sep-2017|Model S 85|137120|374|Off|No|||215||||||||||||</t>
  </si>
  <si>
    <t>Hanteta|Asia Pacific &amp; Europe (excl UK)|09-May-2017|05-Sep-2017|Model S 90D|9911|460|On|No|||191|F) a few times a year|E) monthly|F) a few times a year|0.8||||||||</t>
  </si>
  <si>
    <t>docjones|Asia Pacific &amp; Europe (excl UK)|01-Nov-2013|05-Sep-2017|Model S 85|113418|385|On|No|||218||||||||||||</t>
  </si>
  <si>
    <t>19" aero wheels</t>
  </si>
  <si>
    <t>Wannes|Asia Pacific &amp; Europe (excl UK)|30-Nov-2014|06-Sep-2017|Model S 85|69189|388|Off|No|||204|C) weekly|G) once or twice a year|G) once or twice a year|0.6|2|||||||19" aero wheels</t>
  </si>
  <si>
    <t>eric verlaet|Asia Pacific &amp; Europe (excl UK)|15-Sep-2015|08-Sep-2017|Model S 70D|93005|351|On|No|||178|D) twice a month|E) monthly|H) never|0.8|3|382|On|||||</t>
  </si>
  <si>
    <t>19'</t>
  </si>
  <si>
    <t>jvds|Asia Pacific &amp; Europe (excl UK)|19-Sep-2015|08-Sep-2017|Model S 70D|42825|348|Off|No|||189|E) monthly|E) monthly|G) once or twice a year|0.9|16|352|Off|||||19'</t>
  </si>
  <si>
    <t>Astrid|Asia Pacific &amp; Europe (excl UK)|26-Apr-2017|11-Sep-2017|Model X 100D|7170|450|On|No|||215|E) monthly|||||||||||</t>
  </si>
  <si>
    <t>Aggregate|Asia Pacific &amp; Europe (excl UK)|24-Jun-2016|09-Sep-2017|Model S 75|37850|371|On|No|||186||||||||||||</t>
  </si>
  <si>
    <t>in-clusion|Asia Pacific &amp; Europe (excl UK)|25-Nov-2013|25-Aug-2017|Model S P85+|156486|355|Off|No|||225|C) weekly|C) weekly|F) a few times a year|0.9|11|400|Off|||||</t>
  </si>
  <si>
    <t>Thor4|Asia Pacific &amp; Europe (excl UK)|13-Jun-2017|12-Sep-2017|Model S 75|10500|373|Off|No|||190|E) monthly|E) monthly|H) never|0.8|11|373|Off|||||</t>
  </si>
  <si>
    <t>Anco|Asia Pacific &amp; Europe (excl UK)|02-Jun-2014|02-Sep-2017|Model S 85|106200|378|Off|No|||219|D) twice a month|D) twice a month|F) a few times a year|0.9|11|391|Off|||||</t>
  </si>
  <si>
    <t>pvkeep|Asia Pacific &amp; Europe (excl UK)|23-Dec-2015|10-Sep-2017|Model S 90D|45500|433|Off|No|||214|C) weekly|F) a few times a year|F) a few times a year|0.8|11|||||||</t>
  </si>
  <si>
    <t>FVO|Asia Pacific &amp; Europe (excl UK)|20-Nov-2013|19-Sep-2017|Model S 85|98400|371|On|No|||209|E) monthly|E) monthly|G) once or twice a year|0.8|7|391|On|||||</t>
  </si>
  <si>
    <t>Siggy101|Asia Pacific &amp; Europe (excl UK)|28-Feb-2017|15-Sep-2017|Model S 90D|8200|449|Off|No|||193|E) monthly|G) once or twice a year|H) never|0.9|4|||||||</t>
  </si>
  <si>
    <t>JoeNe|Asia Pacific &amp; Europe (excl UK)|26-Nov-2013|20-Sep-2017|Model S 85|152072|376|Off|No|||222|F) a few times a year|G) once or twice a year|G) once or twice a year|0.8|18|399|Off|||||</t>
  </si>
  <si>
    <t>75,1</t>
  </si>
  <si>
    <t>(450 * 75,1 / 420) / 81.8 = 0.9837</t>
  </si>
  <si>
    <t>radio|Asia Pacific &amp; Europe (excl UK)|10-Jan-2017|24-Sep-2017|Model S 90D|15800|450|On|No|||204|B) twice a week|D) twice a month|E) monthly|0.8|110|453|On|450|30|75,1|On|</t>
  </si>
  <si>
    <t>Aggregate|Asia Pacific &amp; Europe (excl UK)|24-Jun-2016|24-Sep-2017|Model S 75|40000|370|On|No|||185||||||||||||</t>
  </si>
  <si>
    <t>HWS 90D|Asia Pacific &amp; Europe (excl UK)|29-Sep-2015|22-Sep-2017|Model S 90D|63637|422|Off|No|||233|E) monthly|E) monthly|F) a few times a year|0.8|11|432|Off|||||</t>
  </si>
  <si>
    <t>HWS X100D|Asia Pacific &amp; Europe (excl UK)|16-Sep-2017|25-Sep-2017|Model X 100D|675|453|Off|No|||267|E) monthly|E) monthly|F) a few times a year|0.8|18|453|Off|||||</t>
  </si>
  <si>
    <t>(427 * 94 / 303.8) / 81.8 = 1.6152</t>
  </si>
  <si>
    <t>fren|Asia Pacific &amp; Europe (excl UK)|26-Jun-2016|26-Sep-2017|Model S 90D|37500|427|On|No|||204|D) twice a month|E) monthly|F) a few times a year|0.8|10|457|Off|370|70|94|Off|</t>
  </si>
  <si>
    <t>Dakine|Asia Pacific &amp; Europe (excl UK)|30-Dec-1899|28-Sep-2017|Model S 75|14806|379|Off|No||||F) a few times a year|F) a few times a year|G) once or twice a year|0.9|10|||||||</t>
  </si>
  <si>
    <t>jpet|Asia Pacific &amp; Europe (excl UK)|03-Apr-2015|30-Sep-2017|Model S P85D|50068|385|Off|No|||232|D) twice a month|E) monthly|G) once or twice a year|0.7|11|406|On|||||21" staggered summer / 19" staggered winter</t>
  </si>
  <si>
    <t>SSc3010|Asia Pacific &amp; Europe (excl UK)|04-Jun-2014|19-Sep-2017|Model S 85|196476|374|On|No|||182|C) weekly|F) a few times a year|G) once or twice a year|0.9|9|399|On|||||@18°C</t>
  </si>
  <si>
    <t>egn|Asia Pacific &amp; Europe (excl UK)|05-Feb-2014|27-Sep-2017|Model S 85|80240|381|Off|No|||223|D) twice a month|D) twice a month|H) never|0.7|22||Off|||||</t>
  </si>
  <si>
    <t>(434.43 * 41 / 241.01) / 77.5 = 0.9536</t>
  </si>
  <si>
    <t>mikelger|Asia Pacific &amp; Europe (excl UK)|19-Mar-2016|05-Oct-2017|Model S 85D|39929|429|Off|No|||206.2|C) weekly|H) never|H) never|0.7|11|430|Off|309|71|41|Off|</t>
  </si>
  <si>
    <t>JCK|Asia Pacific &amp; Europe (excl UK)|04-Jul-2017|05-Oct-2017|Model X 100D|2000|453|On|No|||247|A) daily|G) once or twice a year|H) never|0.9|16|453|Off|||||</t>
  </si>
  <si>
    <t>happy</t>
  </si>
  <si>
    <t>Johann Koeber|Asia Pacific &amp; Europe (excl UK)|14-Mar-2014|05-Oct-2017|Model S P85|248884|364|On|No|||223|B) twice a week|E) monthly|F) a few times a year|0.9|22|||||||happy</t>
  </si>
  <si>
    <t>Bernhard|Asia Pacific &amp; Europe (excl UK)|14-Feb-2016|04-Aug-2017|Model S 70|52000|361|On|No|||210|E) monthly|F) a few times a year|H) never|0.8|11|362|On|||||</t>
  </si>
  <si>
    <t>HWS X100D|Asia Pacific &amp; Europe (excl UK)|16-Sep-2017|06-Oct-2017|Model X 100D|1327|459|Off|No|||268|E) monthly|E) monthly|F) a few times a year|0.8|18|453|Off|||||</t>
  </si>
  <si>
    <t>Juicer|Asia Pacific &amp; Europe (excl UK)|19-Aug-2015|06-Oct-2017|Model S 70D|112335|347|Off|No|||204|B) twice a week|F) a few times a year|F) a few times a year|0.8|11|360|Off|||||</t>
  </si>
  <si>
    <t>tliviuc|Asia Pacific &amp; Europe (excl UK)|01-Aug-2017|07-Oct-2017|Model S 90D|605|448|Off|No|||197|B) twice a week|F) a few times a year|G) once or twice a year|0.9||448|Off|||||</t>
  </si>
  <si>
    <t>iDrops|Asia Pacific &amp; Europe (excl UK)|01-Jun-2016|07-Oct-2017|Model S 90D|33886|445|On|No|||214|D) twice a month|G) once or twice a year|G) once or twice a year|0.8|15|||||||</t>
  </si>
  <si>
    <t>Luske|Asia Pacific &amp; Europe (excl UK)|15-Jul-2015|09-Sep-2017|Model S 85|128867.2|379|On|No|||214|C) weekly|E) monthly|F) a few times a year|0.9|45|||||||</t>
  </si>
  <si>
    <t>Quenbo|Asia Pacific &amp; Europe (excl UK)|01-Jun-2017|10-Oct-2017|Model S P100D|4781|482|Off|No|||267|D) twice a month|E) monthly|E) monthly|0.9|7.2|||||||</t>
  </si>
  <si>
    <t>Manu37|Asia Pacific &amp; Europe (excl UK)|23-Dec-2015|25-Aug-2017|Model S 85D|44000|424|On|No|||205|F) a few times a year|G) once or twice a year|H) never|0.7|8|||||||</t>
  </si>
  <si>
    <t>Thor4|Asia Pacific &amp; Europe (excl UK)|13-Jun-2017|14-Oct-2017|Model S 75|12063|373|Off|No|||189|E) monthly|E) monthly|H) never|0.8|11|373|Off|||||</t>
  </si>
  <si>
    <t>tliviuc|Asia Pacific &amp; Europe (excl UK)|01-Aug-2017|14-Oct-2017|Model S 90D|1167|446|Off|No|||191|B) twice a week|D) twice a month|G) once or twice a year|0.9||448|Off|||||</t>
  </si>
  <si>
    <t>(379.75 * 70.1 / 376.71) / 77.5 = 0.9118</t>
  </si>
  <si>
    <t>pjw65|Asia Pacific &amp; Europe (excl UK)|13-May-2015|15-Oct-2017|Model S 85|117055|375|Off|No|||185|C) weekly|E) monthly|F) a few times a year|0.8|11|||375|3|70.1|Off|</t>
  </si>
  <si>
    <t>UlrA|Asia Pacific &amp; Europe (excl UK)|21-Apr-2016|13-Oct-2017|Model S 90D 2015|99390|425|Off|No|||220|D) twice a month|F) a few times a year|F) a few times a year|0.8|45|459|Off|||||19" aero wheels</t>
  </si>
  <si>
    <t>mguw|Asia Pacific &amp; Europe (excl UK)|01-Dec-2015|16-Oct-2017|Model S 85D|52000|417|Off|No|||222|D) twice a month|E) monthly|F) a few times a year|0.8||428|On|||||</t>
  </si>
  <si>
    <t>trou|Asia Pacific &amp; Europe (excl UK)|14-Nov-2014|16-Oct-2017|Model S 85|157556|370|Off|No|||223|D) twice a month|F) a few times a year|D) twice a month|0.6|4.5|396|Off|370|3|||</t>
  </si>
  <si>
    <t>korgmatose|Asia Pacific &amp; Europe (excl UK)|30-Oct-2014|18-Oct-2017|Model S 85|110360|377|Off|No|||204||||||||||||</t>
  </si>
  <si>
    <t>JBou|Asia Pacific &amp; Europe (excl UK)|21-Dec-2013|18-Oct-2017|Model S 85|125000|370|Off|No|||206|D) twice a month|F) a few times a year|H) never|0.9|11|||||||</t>
  </si>
  <si>
    <t>Quenbo|Asia Pacific &amp; Europe (excl UK)|01-Jun-2017|27-Oct-2017|Model S P100D|6472|478|Off|No|||260|D) twice a month|D) twice a month|F) a few times a year|0.9|7|||||||</t>
  </si>
  <si>
    <t>jvds|Asia Pacific &amp; Europe (excl UK)|19-Sep-2015|28-Oct-2017|Model S 70D|45754|348|Off|No|||218|E) monthly|E) monthly|G) once or twice a year|0.9|11|360|On|||||</t>
  </si>
  <si>
    <t>@14°C</t>
  </si>
  <si>
    <t>SSc3010|Asia Pacific &amp; Europe (excl UK)|04-Jun-2014|23-Oct-2017|Model S 85|202506|373|On|No|||180|D) twice a month|F) a few times a year|G) once or twice a year|0.9|9|399|On|||||@14°C</t>
  </si>
  <si>
    <t>Lucas|Asia Pacific &amp; Europe (excl UK)|28-Sep-2016|01-Nov-2017|Model X 90D|52783|372|On|No|||289|E) monthly|D) twice a month|D) twice a month|0.8||||||||</t>
  </si>
  <si>
    <t>Phil_BE|Asia Pacific &amp; Europe (excl UK)|30-Jun-2016|06-Nov-2017|Model S 90D|55961|424|On|No|||213|B) twice a week|F) a few times a year|C) weekly|0.5||||||||</t>
  </si>
  <si>
    <t>Charging conditions: Cold pack from 40% to 100% in one go at 3°C ambiant temp.</t>
  </si>
  <si>
    <t>(359.49 * 18.1 / 98.23) / 77.5 = 0.8547</t>
  </si>
  <si>
    <t>Go4IT|Asia Pacific &amp; Europe (excl UK)|10-Sep-2013|09-Nov-2017|Model S P85|276500|355|Off|No|||212|D) twice a month|A) daily|F) a few times a year|1|22|400|Off|354|257|18.1|Off|Charging conditions: Cold pack from 40% to 100% in one go at 3°C ambiant temp.</t>
  </si>
  <si>
    <t>jakoys|Asia Pacific &amp; Europe (excl UK)|10-Jun-2014|13-Oct-2017|Model S 85|100790|378|Off|No|||218|D) twice a month|E) monthly|H) never|0.7|5|388|Off|||||</t>
  </si>
  <si>
    <t>StefanSarzio|Asia Pacific &amp; Europe (excl UK)|01-Jan-2017|17-Nov-2017|Model S 75|38288|362|Off|No|||206|C) weekly|F) a few times a year|F) a few times a year|||||||||</t>
  </si>
  <si>
    <t>19'', tires replaced at 30tkm front, 35tkm rear</t>
  </si>
  <si>
    <t>lcs.toulouse|Asia Pacific &amp; Europe (excl UK)|01-Apr-2016|19-Nov-2017|Model S 90D|37425|436|Off|No||||F) a few times a year|D) twice a month|G) once or twice a year|0.8|7|458|Off|||||19'', tires replaced at 30tkm front, 35tkm rear</t>
  </si>
  <si>
    <t>eric verlaet|Asia Pacific &amp; Europe (excl UK)|15-Sep-2015|19-Nov-2017|Model S 70D|102748|352|On|No||||C) weekly|C) weekly|F) a few times a year|0.8|4|||||||</t>
  </si>
  <si>
    <t>raptorsf|Asia Pacific &amp; Europe (excl UK)|13-Sep-2017|20-Nov-2017|Model S 75D|3200|389|On|No|||||||||||||||</t>
  </si>
  <si>
    <t>idefix|Asia Pacific &amp; Europe (excl UK)|08-Sep-2016|22-Nov-2017|Model S 70D|55355|340|Off|No|||205|A) daily|G) once or twice a year|H) never|0.9||353|Off|||||</t>
  </si>
  <si>
    <t>tliviuc|Asia Pacific &amp; Europe (excl UK)|01-Aug-2017|26-Nov-2017|Model S 90D|3323|449|Off|No|||198|B) twice a week|E) monthly|G) once or twice a year|0.9||448|Off|||||</t>
  </si>
  <si>
    <t>apollo 46|Asia Pacific &amp; Europe (excl UK)|08-Mar-2016|27-Nov-2017|Model S 90D|51364|431|Off|No|||213|D) twice a month|E) monthly|F) a few times a year|0.7|40|448|Off|||||</t>
  </si>
  <si>
    <t>Lucas|Asia Pacific &amp; Europe (excl UK)|28-Sep-2016|01-Dec-2017|Model X 90D|56417|370|On|No|||||||||||||||</t>
  </si>
  <si>
    <t>shoot72|Asia Pacific &amp; Europe (excl UK)|05-Jun-2015|01-Dec-2017|Model S 85D|109111|410|Off|No|||215|C) weekly|D) twice a month|F) a few times a year|0.9|11|418|Off|||||</t>
  </si>
  <si>
    <t>SchwartzMobile|Asia Pacific &amp; Europe (excl UK)|01-Nov-2015|02-Dec-2017|Model S 85D|115665|412|Off|No|||240|D) twice a month|C) weekly|F) a few times a year|0.9|11|402|Off|||||</t>
  </si>
  <si>
    <t>jvds|Asia Pacific &amp; Europe (excl UK)|19-Sep-2015|03-Dec-2017|Model S 70D|47832|350|Off|No|||218|E) monthly|E) monthly|G) once or twice a year|0.9|11|360|Off|||||</t>
  </si>
  <si>
    <t>Day number in that year</t>
  </si>
  <si>
    <t>Months</t>
  </si>
  <si>
    <t>Month</t>
  </si>
  <si>
    <t>Your capacity minus chart trendline at this mileage</t>
  </si>
  <si>
    <t>Average deviation from average user</t>
  </si>
  <si>
    <t>Below</t>
  </si>
  <si>
    <t>Above</t>
  </si>
  <si>
    <t>Above or Below</t>
  </si>
  <si>
    <t>January</t>
  </si>
  <si>
    <t>February</t>
  </si>
  <si>
    <t>March</t>
  </si>
  <si>
    <t>April</t>
  </si>
  <si>
    <t>May</t>
  </si>
  <si>
    <t>June</t>
  </si>
  <si>
    <t>August</t>
  </si>
  <si>
    <t>September</t>
  </si>
  <si>
    <t>October</t>
  </si>
  <si>
    <t>November</t>
  </si>
  <si>
    <t>December</t>
  </si>
  <si>
    <t>These cells are filled from sheets. Editing the sheet will change these. The idea is to compare column names here to make sure something isn't wrong. The colours here have no meaning.</t>
  </si>
  <si>
    <t>Average: 218
Enter average if you don't know</t>
  </si>
  <si>
    <t>Optional: Answer these four questions according to any recent non-stop trip (no overnight parking during the trip) after any charge level and you will get a second percentage calculation in column AK.</t>
  </si>
  <si>
    <t>Mileage per day</t>
  </si>
  <si>
    <t>Typical range after correction if range mode was off</t>
  </si>
  <si>
    <t>Mileage in km after correction if battery was replaced</t>
  </si>
  <si>
    <t>Battery age (days) after correction if battery was replaced</t>
  </si>
  <si>
    <t>Typical range of this model when new</t>
  </si>
  <si>
    <t>Remaining original range</t>
  </si>
  <si>
    <t>Remaining usable capacity until typical range shows zero</t>
  </si>
  <si>
    <t>Typical range consumption for trip</t>
  </si>
  <si>
    <t>Remaining usable capacity until typical range shows zero according to trip data</t>
  </si>
  <si>
    <t>trip based battery capacity calculation explained</t>
  </si>
  <si>
    <t>100% range when the car was new after range mode adjustment</t>
  </si>
  <si>
    <t>Vehicle age (days)</t>
  </si>
  <si>
    <t>Cycles</t>
  </si>
  <si>
    <t>wh/km</t>
  </si>
  <si>
    <t>Average capacity of all cars at this mileage according to chart trendline</t>
  </si>
  <si>
    <t>Dynamic data (copy from here)</t>
  </si>
  <si>
    <t>Mixed data</t>
  </si>
  <si>
    <t>Data changed or new data?</t>
  </si>
  <si>
    <t>Dynamic data changes for selected entry</t>
  </si>
  <si>
    <t>Average: 212.87
Enter average if you don't know</t>
  </si>
  <si>
    <t>EPA range after correction if range mode was off</t>
  </si>
  <si>
    <t>Rated range of this model when new</t>
  </si>
  <si>
    <t>Average: 338
Enter average if you don't know</t>
  </si>
  <si>
    <t>Mileage in mi after correction if battery was replaced</t>
  </si>
  <si>
    <t>wh/mi to wh/km</t>
  </si>
  <si>
    <t>Average: 316
Enter average if you don't know</t>
  </si>
  <si>
    <t>km or mi</t>
  </si>
  <si>
    <t>rated or typical</t>
  </si>
  <si>
    <t>typical or rated</t>
  </si>
  <si>
    <t>wout</t>
  </si>
</sst>
</file>

<file path=xl/styles.xml><?xml version="1.0" encoding="utf-8"?>
<styleSheet xmlns="http://schemas.openxmlformats.org/spreadsheetml/2006/main" xmlns:x14ac="http://schemas.microsoft.com/office/spreadsheetml/2009/9/ac" xmlns:mc="http://schemas.openxmlformats.org/markup-compatibility/2006">
  <numFmts count="33">
    <numFmt numFmtId="164" formatCode="d&quot; &quot;mmm&quot; &quot;yyyy"/>
    <numFmt numFmtId="165" formatCode="#,##0[$ kW]"/>
    <numFmt numFmtId="166" formatCode="#,##0.0000"/>
    <numFmt numFmtId="167" formatCode="#,##0[$ kWh]"/>
    <numFmt numFmtId="168" formatCode="#,##0.00[$ kWh]"/>
    <numFmt numFmtId="169" formatCode="#,##0.0"/>
    <numFmt numFmtId="170" formatCode="#,##0[$ Wh]"/>
    <numFmt numFmtId="171" formatCode="d-M-yyyy"/>
    <numFmt numFmtId="172" formatCode="d mmm yyyy"/>
    <numFmt numFmtId="173" formatCode="#,##0[$ mi]"/>
    <numFmt numFmtId="174" formatCode="#,##0[$ km]"/>
    <numFmt numFmtId="175" formatCode="dd&quot; &quot;mmm&quot; &quot;yyyy"/>
    <numFmt numFmtId="176" formatCode="[$£-809]#,##0.00"/>
    <numFmt numFmtId="177" formatCode="dd&quot;-&quot;mm&quot;-&quot;yyyy"/>
    <numFmt numFmtId="178" formatCode="#,##0[$ days]"/>
    <numFmt numFmtId="179" formatCode="#,##0.0[$ Wh/km]"/>
    <numFmt numFmtId="180" formatCode="#,##0[$ users]"/>
    <numFmt numFmtId="181" formatCode="0.0%"/>
    <numFmt numFmtId="182" formatCode="#,##0.0[$ times/year]"/>
    <numFmt numFmtId="183" formatCode="#,##0.0[$ users]"/>
    <numFmt numFmtId="184" formatCode="0.0"/>
    <numFmt numFmtId="185" formatCode="#,##0[$ vehicles]"/>
    <numFmt numFmtId="186" formatCode="0.0000"/>
    <numFmt numFmtId="187" formatCode="#,##0.00000000000"/>
    <numFmt numFmtId="188" formatCode="mmmm&quot; &quot;d&quot;, &quot;yyyy"/>
    <numFmt numFmtId="189" formatCode="h&quot;:&quot;mm&quot; &quot;am/pm"/>
    <numFmt numFmtId="190" formatCode="d-M-yyyy H:mm:ss"/>
    <numFmt numFmtId="191" formatCode="m/d/yyyy h:mm:ss"/>
    <numFmt numFmtId="192" formatCode="d. mmm yyyy"/>
    <numFmt numFmtId="193" formatCode="d mmmm yyyy"/>
    <numFmt numFmtId="194" formatCode="dd. mmmm yyyy"/>
    <numFmt numFmtId="195" formatCode="ddmmmmyyyy"/>
    <numFmt numFmtId="196" formatCode="#,##0.000"/>
  </numFmts>
  <fonts count="45">
    <font>
      <sz val="10.0"/>
      <color rgb="FF000000"/>
      <name val="Arial"/>
    </font>
    <font>
      <sz val="14.0"/>
      <color rgb="FF000000"/>
      <name val="Arial"/>
    </font>
    <font>
      <b/>
      <sz val="10.0"/>
      <color rgb="FF000000"/>
      <name val="Arial"/>
    </font>
    <font/>
    <font>
      <name val="Arial"/>
    </font>
    <font>
      <sz val="10.0"/>
      <name val="Arial"/>
    </font>
    <font>
      <sz val="10.0"/>
      <name val="Sans-serif"/>
    </font>
    <font>
      <sz val="10.0"/>
      <color rgb="FFB7B7B7"/>
      <name val="Arial"/>
    </font>
    <font>
      <color rgb="FF000000"/>
      <name val="Arial"/>
    </font>
    <font>
      <color rgb="FFB7B7B7"/>
      <name val="Arial"/>
    </font>
    <font>
      <b/>
      <color rgb="FF000000"/>
    </font>
    <font>
      <b/>
    </font>
    <font>
      <color rgb="FF000000"/>
    </font>
    <font>
      <color rgb="FFFFFFFF"/>
    </font>
    <font>
      <u/>
      <color rgb="FF0000FF"/>
    </font>
    <font>
      <u/>
      <color rgb="FF0000FF"/>
    </font>
    <font>
      <u/>
      <color rgb="FF0000FF"/>
    </font>
    <font>
      <u/>
      <color rgb="FF0000FF"/>
    </font>
    <font>
      <u/>
      <color rgb="FF0000FF"/>
    </font>
    <font>
      <u/>
      <color rgb="FF0000FF"/>
    </font>
    <font>
      <u/>
      <color rgb="FF0000FF"/>
    </font>
    <font>
      <u/>
      <color rgb="FF0000FF"/>
    </font>
    <font>
      <u/>
      <color rgb="FF0000FF"/>
    </font>
    <font>
      <sz val="10.0"/>
    </font>
    <font>
      <sz val="11.0"/>
    </font>
    <font>
      <sz val="10.0"/>
      <name val="Roboto"/>
    </font>
    <font>
      <sz val="11.0"/>
      <color rgb="FFFFFFFF"/>
    </font>
    <font>
      <sz val="9.0"/>
    </font>
    <font>
      <sz val="10.0"/>
      <color rgb="FF000000"/>
    </font>
    <font>
      <b/>
      <sz val="12.0"/>
    </font>
    <font>
      <u/>
      <color rgb="FF0000FF"/>
    </font>
    <font>
      <u/>
      <color rgb="FF0000FF"/>
    </font>
    <font>
      <i/>
      <sz val="10.0"/>
    </font>
    <font>
      <b/>
      <sz val="10.0"/>
    </font>
    <font>
      <u/>
      <color rgb="FF0000FF"/>
    </font>
    <font>
      <color rgb="FFFFFFFF"/>
      <name val="Arial"/>
    </font>
    <font>
      <u/>
      <sz val="10.0"/>
      <color rgb="FF0000FF"/>
    </font>
    <font>
      <u/>
      <sz val="10.0"/>
      <color rgb="FF0000FF"/>
    </font>
    <font>
      <u/>
      <sz val="10.0"/>
      <color rgb="FF0000FF"/>
      <name val="Arial"/>
    </font>
    <font>
      <u/>
      <color rgb="FF0000FF"/>
    </font>
    <font>
      <b/>
      <sz val="10.0"/>
      <name val="Arial"/>
    </font>
    <font>
      <sz val="14.0"/>
    </font>
    <font>
      <sz val="10.0"/>
      <name val="Serif"/>
    </font>
    <font>
      <sz val="9.0"/>
      <color rgb="FF000000"/>
      <name val="Arial"/>
    </font>
    <font>
      <sz val="13.0"/>
    </font>
  </fonts>
  <fills count="39">
    <fill>
      <patternFill patternType="none"/>
    </fill>
    <fill>
      <patternFill patternType="lightGray"/>
    </fill>
    <fill>
      <patternFill patternType="solid">
        <fgColor rgb="FFFF0000"/>
        <bgColor rgb="FFFF0000"/>
      </patternFill>
    </fill>
    <fill>
      <patternFill patternType="solid">
        <fgColor rgb="FF6D9EEB"/>
        <bgColor rgb="FF6D9EEB"/>
      </patternFill>
    </fill>
    <fill>
      <patternFill patternType="solid">
        <fgColor rgb="FFFFEF32"/>
        <bgColor rgb="FFFFEF32"/>
      </patternFill>
    </fill>
    <fill>
      <patternFill patternType="solid">
        <fgColor rgb="FFD9D9D9"/>
        <bgColor rgb="FFD9D9D9"/>
      </patternFill>
    </fill>
    <fill>
      <patternFill patternType="solid">
        <fgColor rgb="FF8BF08E"/>
        <bgColor rgb="FF8BF08E"/>
      </patternFill>
    </fill>
    <fill>
      <patternFill patternType="solid">
        <fgColor rgb="FFFFD966"/>
        <bgColor rgb="FFFFD966"/>
      </patternFill>
    </fill>
    <fill>
      <patternFill patternType="solid">
        <fgColor rgb="FFA7CDD9"/>
        <bgColor rgb="FFA7CDD9"/>
      </patternFill>
    </fill>
    <fill>
      <patternFill patternType="solid">
        <fgColor rgb="FFFFFFFF"/>
        <bgColor rgb="FFFFFFFF"/>
      </patternFill>
    </fill>
    <fill>
      <patternFill patternType="solid">
        <fgColor rgb="FFFFFF00"/>
        <bgColor rgb="FFFFFF00"/>
      </patternFill>
    </fill>
    <fill>
      <patternFill patternType="solid">
        <fgColor rgb="FF93C47D"/>
        <bgColor rgb="FF93C47D"/>
      </patternFill>
    </fill>
    <fill>
      <patternFill patternType="solid">
        <fgColor rgb="FFE0E9F8"/>
        <bgColor rgb="FFE0E9F8"/>
      </patternFill>
    </fill>
    <fill>
      <patternFill patternType="solid">
        <fgColor rgb="FFFFA9A9"/>
        <bgColor rgb="FFFFA9A9"/>
      </patternFill>
    </fill>
    <fill>
      <patternFill patternType="solid">
        <fgColor rgb="FFB6D7A8"/>
        <bgColor rgb="FFB6D7A8"/>
      </patternFill>
    </fill>
    <fill>
      <patternFill patternType="solid">
        <fgColor rgb="FF1C4587"/>
        <bgColor rgb="FF1C4587"/>
      </patternFill>
    </fill>
    <fill>
      <patternFill patternType="solid">
        <fgColor rgb="FF20E803"/>
        <bgColor rgb="FF20E803"/>
      </patternFill>
    </fill>
    <fill>
      <patternFill patternType="solid">
        <fgColor rgb="FFA4C2F4"/>
        <bgColor rgb="FFA4C2F4"/>
      </patternFill>
    </fill>
    <fill>
      <patternFill patternType="solid">
        <fgColor rgb="FFF3F3F3"/>
        <bgColor rgb="FFF3F3F3"/>
      </patternFill>
    </fill>
    <fill>
      <patternFill patternType="solid">
        <fgColor rgb="FFC9DAF8"/>
        <bgColor rgb="FFC9DAF8"/>
      </patternFill>
    </fill>
    <fill>
      <patternFill patternType="solid">
        <fgColor rgb="FFB3CBF0"/>
        <bgColor rgb="FFB3CBF0"/>
      </patternFill>
    </fill>
    <fill>
      <patternFill patternType="solid">
        <fgColor rgb="FF666666"/>
        <bgColor rgb="FF666666"/>
      </patternFill>
    </fill>
    <fill>
      <patternFill patternType="solid">
        <fgColor rgb="FFD9D2E9"/>
        <bgColor rgb="FFD9D2E9"/>
      </patternFill>
    </fill>
    <fill>
      <patternFill patternType="solid">
        <fgColor rgb="FFB4A7D6"/>
        <bgColor rgb="FFB4A7D6"/>
      </patternFill>
    </fill>
    <fill>
      <patternFill patternType="solid">
        <fgColor rgb="FF9CFF00"/>
        <bgColor rgb="FF9CFF00"/>
      </patternFill>
    </fill>
    <fill>
      <patternFill patternType="solid">
        <fgColor rgb="FF00FFFF"/>
        <bgColor rgb="FF00FFFF"/>
      </patternFill>
    </fill>
    <fill>
      <patternFill patternType="solid">
        <fgColor rgb="FF5CF301"/>
        <bgColor rgb="FF5CF301"/>
      </patternFill>
    </fill>
    <fill>
      <patternFill patternType="solid">
        <fgColor rgb="FF674EA7"/>
        <bgColor rgb="FF674EA7"/>
      </patternFill>
    </fill>
    <fill>
      <patternFill patternType="solid">
        <fgColor rgb="FF8E7CC3"/>
        <bgColor rgb="FF8E7CC3"/>
      </patternFill>
    </fill>
    <fill>
      <patternFill patternType="solid">
        <fgColor rgb="FFA64D79"/>
        <bgColor rgb="FFA64D79"/>
      </patternFill>
    </fill>
    <fill>
      <patternFill patternType="solid">
        <fgColor rgb="FFE06666"/>
        <bgColor rgb="FFE06666"/>
      </patternFill>
    </fill>
    <fill>
      <patternFill patternType="solid">
        <fgColor rgb="FFFF9900"/>
        <bgColor rgb="FFFF9900"/>
      </patternFill>
    </fill>
    <fill>
      <patternFill patternType="solid">
        <fgColor rgb="FFEFEFEF"/>
        <bgColor rgb="FFEFEFEF"/>
      </patternFill>
    </fill>
    <fill>
      <patternFill patternType="solid">
        <fgColor rgb="FFEA9999"/>
        <bgColor rgb="FFEA9999"/>
      </patternFill>
    </fill>
    <fill>
      <patternFill patternType="solid">
        <fgColor rgb="FFF6B26B"/>
        <bgColor rgb="FFF6B26B"/>
      </patternFill>
    </fill>
    <fill>
      <patternFill patternType="solid">
        <fgColor rgb="FFFFD333"/>
        <bgColor rgb="FFFFD333"/>
      </patternFill>
    </fill>
    <fill>
      <patternFill patternType="solid">
        <fgColor rgb="FF12E504"/>
        <bgColor rgb="FF12E504"/>
      </patternFill>
    </fill>
    <fill>
      <patternFill patternType="solid">
        <fgColor rgb="FF65B3FD"/>
        <bgColor rgb="FF65B3FD"/>
      </patternFill>
    </fill>
    <fill>
      <patternFill patternType="solid">
        <fgColor rgb="FFFFE599"/>
        <bgColor rgb="FFFFE599"/>
      </patternFill>
    </fill>
  </fills>
  <borders count="40">
    <border/>
    <border>
      <left style="thin">
        <color rgb="FF000000"/>
      </left>
      <right style="thin">
        <color rgb="FF000000"/>
      </right>
      <top style="thin">
        <color rgb="FF000000"/>
      </top>
      <bottom style="thin">
        <color rgb="FF000000"/>
      </bottom>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right style="thin">
        <color rgb="FF000000"/>
      </right>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
      <left style="thin">
        <color rgb="FF000000"/>
      </left>
      <top style="thin">
        <color rgb="FF000000"/>
      </top>
    </border>
    <border>
      <right style="thin">
        <color rgb="FF000000"/>
      </right>
      <top style="thin">
        <color rgb="FF000000"/>
      </top>
    </border>
    <border>
      <left style="thin">
        <color rgb="FF000000"/>
      </left>
      <right style="thin">
        <color rgb="FF000000"/>
      </right>
    </border>
    <border>
      <left style="thin">
        <color rgb="FF000000"/>
      </left>
    </border>
    <border>
      <right style="thin">
        <color rgb="FF000000"/>
      </right>
    </border>
    <border>
      <left style="thin">
        <color rgb="FF000000"/>
      </left>
      <bottom style="thin">
        <color rgb="FF000000"/>
      </bottom>
    </border>
    <border>
      <top style="thin">
        <color rgb="FF000000"/>
      </top>
    </border>
    <border>
      <bottom style="thin">
        <color rgb="FF000000"/>
      </bottom>
    </border>
    <border>
      <left style="thin">
        <color rgb="FFF3F3F3"/>
      </left>
      <right style="thin">
        <color rgb="FFF3F3F3"/>
      </right>
      <top style="thin">
        <color rgb="FFF3F3F3"/>
      </top>
      <bottom style="thin">
        <color rgb="FFF3F3F3"/>
      </bottom>
    </border>
    <border>
      <left style="thin">
        <color rgb="FFF3F3F3"/>
      </left>
      <top style="thin">
        <color rgb="FFF3F3F3"/>
      </top>
      <bottom style="thin">
        <color rgb="FFF3F3F3"/>
      </bottom>
    </border>
    <border>
      <right style="thin">
        <color rgb="FFF3F3F3"/>
      </right>
      <top style="thin">
        <color rgb="FFF3F3F3"/>
      </top>
      <bottom style="thin">
        <color rgb="FFF3F3F3"/>
      </bottom>
    </border>
    <border>
      <left style="thin">
        <color rgb="FFF3F3F3"/>
      </left>
      <right style="thin">
        <color rgb="FFF3F3F3"/>
      </right>
      <bottom style="thin">
        <color rgb="FFF3F3F3"/>
      </bottom>
    </border>
    <border>
      <left style="thin">
        <color rgb="FFF3F3F3"/>
      </left>
      <right style="thin">
        <color rgb="FFF3F3F3"/>
      </right>
      <top style="thin">
        <color rgb="FFF3F3F3"/>
      </top>
    </border>
    <border>
      <left style="thin">
        <color rgb="FF999999"/>
      </left>
      <top style="thin">
        <color rgb="FF999999"/>
      </top>
      <bottom style="thin">
        <color rgb="FF999999"/>
      </bottom>
    </border>
    <border>
      <top style="thin">
        <color rgb="FF999999"/>
      </top>
      <bottom style="thin">
        <color rgb="FF999999"/>
      </bottom>
    </border>
    <border>
      <right style="thin">
        <color rgb="FF999999"/>
      </right>
      <top style="thin">
        <color rgb="FF999999"/>
      </top>
      <bottom style="thin">
        <color rgb="FF999999"/>
      </bottom>
    </border>
    <border>
      <left style="thin">
        <color rgb="FF999999"/>
      </left>
      <right style="thin">
        <color rgb="FF999999"/>
      </right>
      <top style="thin">
        <color rgb="FF999999"/>
      </top>
      <bottom style="thin">
        <color rgb="FF999999"/>
      </bottom>
    </border>
    <border>
      <left style="thin">
        <color rgb="FF999999"/>
      </left>
      <right style="thin">
        <color rgb="FF999999"/>
      </right>
      <top style="thin">
        <color rgb="FF999999"/>
      </top>
    </border>
    <border>
      <left style="thin">
        <color rgb="FF999999"/>
      </left>
      <top style="thin">
        <color rgb="FF999999"/>
      </top>
    </border>
    <border>
      <left style="thin">
        <color rgb="FF999999"/>
      </left>
      <bottom style="thin">
        <color rgb="FF999999"/>
      </bottom>
    </border>
    <border>
      <left style="thin">
        <color rgb="FF666666"/>
      </left>
      <top style="thin">
        <color rgb="FF666666"/>
      </top>
      <bottom style="thin">
        <color rgb="FFB7B7B7"/>
      </bottom>
    </border>
    <border>
      <top style="thin">
        <color rgb="FF666666"/>
      </top>
      <bottom style="thin">
        <color rgb="FFB7B7B7"/>
      </bottom>
    </border>
    <border>
      <right style="thin">
        <color rgb="FF666666"/>
      </right>
      <top style="thin">
        <color rgb="FF666666"/>
      </top>
      <bottom style="thin">
        <color rgb="FFB7B7B7"/>
      </bottom>
    </border>
    <border>
      <left style="thin">
        <color rgb="FF666666"/>
      </left>
      <top style="thin">
        <color rgb="FFB7B7B7"/>
      </top>
    </border>
    <border>
      <top style="thin">
        <color rgb="FFB7B7B7"/>
      </top>
    </border>
    <border>
      <right style="thin">
        <color rgb="FF666666"/>
      </right>
      <top style="thin">
        <color rgb="FFB7B7B7"/>
      </top>
    </border>
    <border>
      <left style="thin">
        <color rgb="FF666666"/>
      </left>
      <right style="thin">
        <color rgb="FFB7B7B7"/>
      </right>
      <top style="thin">
        <color rgb="FF666666"/>
      </top>
      <bottom style="thin">
        <color rgb="FFB7B7B7"/>
      </bottom>
    </border>
    <border>
      <left style="thin">
        <color rgb="FFB7B7B7"/>
      </left>
      <right style="thin">
        <color rgb="FF666666"/>
      </right>
      <top style="thin">
        <color rgb="FF666666"/>
      </top>
      <bottom style="thin">
        <color rgb="FFB7B7B7"/>
      </bottom>
    </border>
    <border>
      <left style="thin">
        <color rgb="FF666666"/>
      </left>
      <right style="thin">
        <color rgb="FFB7B7B7"/>
      </right>
      <top style="thin">
        <color rgb="FFB7B7B7"/>
      </top>
      <bottom style="thin">
        <color rgb="FFB7B7B7"/>
      </bottom>
    </border>
    <border>
      <left style="thin">
        <color rgb="FFB7B7B7"/>
      </left>
      <right style="thin">
        <color rgb="FF666666"/>
      </right>
      <top style="thin">
        <color rgb="FFB7B7B7"/>
      </top>
      <bottom style="thin">
        <color rgb="FFB7B7B7"/>
      </bottom>
    </border>
    <border>
      <left style="thin">
        <color rgb="FF666666"/>
      </left>
      <right style="thin">
        <color rgb="FFB7B7B7"/>
      </right>
      <top style="thin">
        <color rgb="FFB7B7B7"/>
      </top>
      <bottom style="thin">
        <color rgb="FF666666"/>
      </bottom>
    </border>
    <border>
      <left style="thin">
        <color rgb="FFB7B7B7"/>
      </left>
      <right style="thin">
        <color rgb="FF666666"/>
      </right>
      <top style="thin">
        <color rgb="FFB7B7B7"/>
      </top>
      <bottom style="thin">
        <color rgb="FF666666"/>
      </bottom>
    </border>
  </borders>
  <cellStyleXfs count="1">
    <xf borderId="0" fillId="0" fontId="0" numFmtId="0" applyAlignment="1" applyFont="1"/>
  </cellStyleXfs>
  <cellXfs count="1047">
    <xf borderId="0" fillId="0" fontId="0" numFmtId="0" xfId="0" applyAlignment="1" applyFont="1">
      <alignment readingOrder="0" shrinkToFit="0" vertical="bottom" wrapText="0"/>
    </xf>
    <xf borderId="1" fillId="2" fontId="1" numFmtId="0" xfId="0" applyAlignment="1" applyBorder="1" applyFill="1" applyFont="1">
      <alignment horizontal="right" readingOrder="0" shrinkToFit="0" vertical="center" wrapText="1"/>
    </xf>
    <xf borderId="1" fillId="3" fontId="1" numFmtId="0" xfId="0" applyAlignment="1" applyBorder="1" applyFill="1" applyFont="1">
      <alignment horizontal="right" readingOrder="0" shrinkToFit="0" vertical="center" wrapText="0"/>
    </xf>
    <xf borderId="1" fillId="2" fontId="1" numFmtId="0" xfId="0" applyAlignment="1" applyBorder="1" applyFont="1">
      <alignment horizontal="left" readingOrder="0" shrinkToFit="0" vertical="center" wrapText="0"/>
    </xf>
    <xf borderId="1" fillId="4" fontId="1" numFmtId="0" xfId="0" applyAlignment="1" applyBorder="1" applyFill="1" applyFont="1">
      <alignment horizontal="right" readingOrder="0" shrinkToFit="0" vertical="center" wrapText="1"/>
    </xf>
    <xf borderId="1" fillId="3" fontId="1" numFmtId="49" xfId="0" applyAlignment="1" applyBorder="1" applyFont="1" applyNumberFormat="1">
      <alignment horizontal="left" readingOrder="0" shrinkToFit="0" vertical="center" wrapText="0"/>
    </xf>
    <xf borderId="2" fillId="4" fontId="1" numFmtId="0" xfId="0" applyAlignment="1" applyBorder="1" applyFont="1">
      <alignment horizontal="left" readingOrder="0" shrinkToFit="0" vertical="center" wrapText="0"/>
    </xf>
    <xf borderId="1" fillId="0" fontId="0" numFmtId="0" xfId="0" applyAlignment="1" applyBorder="1" applyFont="1">
      <alignment horizontal="center" readingOrder="0" shrinkToFit="0" vertical="center" wrapText="0"/>
    </xf>
    <xf borderId="3" fillId="4" fontId="1" numFmtId="0" xfId="0" applyAlignment="1" applyBorder="1" applyFont="1">
      <alignment horizontal="left" readingOrder="0" shrinkToFit="0" vertical="center" wrapText="0"/>
    </xf>
    <xf borderId="1" fillId="0" fontId="0" numFmtId="0" xfId="0" applyAlignment="1" applyBorder="1" applyFont="1">
      <alignment horizontal="left" readingOrder="0" shrinkToFit="0" vertical="center" wrapText="0"/>
    </xf>
    <xf borderId="1" fillId="0" fontId="0" numFmtId="164" xfId="0" applyAlignment="1" applyBorder="1" applyFont="1" applyNumberFormat="1">
      <alignment horizontal="center" readingOrder="0" shrinkToFit="0" vertical="center" wrapText="1"/>
    </xf>
    <xf borderId="1" fillId="0" fontId="2" numFmtId="0" xfId="0" applyAlignment="1" applyBorder="1" applyFont="1">
      <alignment horizontal="center" readingOrder="0" shrinkToFit="0" vertical="center" wrapText="1"/>
    </xf>
    <xf borderId="1" fillId="0" fontId="0" numFmtId="3" xfId="0" applyAlignment="1" applyBorder="1" applyFont="1" applyNumberFormat="1">
      <alignment horizontal="center" readingOrder="0" shrinkToFit="0" vertical="center" wrapText="1"/>
    </xf>
    <xf borderId="1" fillId="0" fontId="0" numFmtId="0" xfId="0" applyAlignment="1" applyBorder="1" applyFont="1">
      <alignment horizontal="center" readingOrder="0" shrinkToFit="0" vertical="center" wrapText="1"/>
    </xf>
    <xf borderId="2" fillId="0" fontId="0" numFmtId="3" xfId="0" applyAlignment="1" applyBorder="1" applyFont="1" applyNumberFormat="1">
      <alignment horizontal="left" readingOrder="0" shrinkToFit="0" vertical="center" wrapText="1"/>
    </xf>
    <xf borderId="3" fillId="0" fontId="0" numFmtId="3" xfId="0" applyAlignment="1" applyBorder="1" applyFont="1" applyNumberFormat="1">
      <alignment horizontal="left" readingOrder="0" shrinkToFit="0" vertical="center" wrapText="1"/>
    </xf>
    <xf borderId="4" fillId="0" fontId="0" numFmtId="3" xfId="0" applyAlignment="1" applyBorder="1" applyFont="1" applyNumberFormat="1">
      <alignment horizontal="left" readingOrder="0" shrinkToFit="0" vertical="center" wrapText="1"/>
    </xf>
    <xf borderId="1" fillId="0" fontId="0" numFmtId="0" xfId="0" applyAlignment="1" applyBorder="1" applyFont="1">
      <alignment horizontal="center" readingOrder="0" shrinkToFit="0" vertical="center" wrapText="1"/>
    </xf>
    <xf borderId="1" fillId="0" fontId="0" numFmtId="4" xfId="0" applyAlignment="1" applyBorder="1" applyFont="1" applyNumberFormat="1">
      <alignment horizontal="center" readingOrder="0" shrinkToFit="0" vertical="center" wrapText="1"/>
    </xf>
    <xf borderId="1" fillId="0" fontId="2" numFmtId="0" xfId="0" applyAlignment="1" applyBorder="1" applyFont="1">
      <alignment horizontal="right" readingOrder="0" shrinkToFit="0" vertical="center" wrapText="1"/>
    </xf>
    <xf borderId="1" fillId="0" fontId="0" numFmtId="3" xfId="0" applyAlignment="1" applyBorder="1" applyFont="1" applyNumberFormat="1">
      <alignment horizontal="center" readingOrder="0" shrinkToFit="0" vertical="center" wrapText="1"/>
    </xf>
    <xf borderId="1" fillId="0" fontId="0" numFmtId="4" xfId="0" applyAlignment="1" applyBorder="1" applyFont="1" applyNumberFormat="1">
      <alignment horizontal="center" readingOrder="0" shrinkToFit="0" vertical="center" wrapText="1"/>
    </xf>
    <xf borderId="1" fillId="0" fontId="2" numFmtId="0" xfId="0" applyAlignment="1" applyBorder="1" applyFont="1">
      <alignment horizontal="center" readingOrder="0" shrinkToFit="0" vertical="center" wrapText="1"/>
    </xf>
    <xf borderId="2" fillId="0" fontId="0" numFmtId="165" xfId="0" applyAlignment="1" applyBorder="1" applyFont="1" applyNumberFormat="1">
      <alignment horizontal="center" readingOrder="0" shrinkToFit="0" vertical="center" wrapText="1"/>
    </xf>
    <xf borderId="4" fillId="0" fontId="3" numFmtId="0" xfId="0" applyBorder="1" applyFont="1"/>
    <xf borderId="1" fillId="0" fontId="0" numFmtId="0" xfId="0" applyAlignment="1" applyBorder="1" applyFont="1">
      <alignment horizontal="center" shrinkToFit="0" vertical="center" wrapText="1"/>
    </xf>
    <xf borderId="1" fillId="0" fontId="2" numFmtId="0" xfId="0" applyAlignment="1" applyBorder="1" applyFont="1">
      <alignment horizontal="left" readingOrder="0" shrinkToFit="0" vertical="center" wrapText="1"/>
    </xf>
    <xf borderId="2" fillId="0" fontId="0" numFmtId="0" xfId="0" applyAlignment="1" applyBorder="1" applyFont="1">
      <alignment horizontal="left" readingOrder="0" shrinkToFit="0" vertical="center" wrapText="1"/>
    </xf>
    <xf borderId="3" fillId="0" fontId="3" numFmtId="0" xfId="0" applyBorder="1" applyFont="1"/>
    <xf borderId="1" fillId="0" fontId="2" numFmtId="0" xfId="0" applyAlignment="1" applyBorder="1" applyFont="1">
      <alignment horizontal="center" readingOrder="0" shrinkToFit="0" vertical="center" wrapText="0"/>
    </xf>
    <xf borderId="1" fillId="0" fontId="0" numFmtId="0" xfId="0" applyAlignment="1" applyBorder="1" applyFont="1">
      <alignment horizontal="center" readingOrder="0" shrinkToFit="0" vertical="center" wrapText="0"/>
    </xf>
    <xf borderId="1" fillId="0" fontId="2" numFmtId="0" xfId="0" applyAlignment="1" applyBorder="1" applyFont="1">
      <alignment horizontal="left" readingOrder="0" shrinkToFit="0" vertical="center" wrapText="0"/>
    </xf>
    <xf borderId="2" fillId="0" fontId="0" numFmtId="0" xfId="0" applyAlignment="1" applyBorder="1" applyFont="1">
      <alignment horizontal="center" readingOrder="0" shrinkToFit="0" vertical="center" wrapText="1"/>
    </xf>
    <xf borderId="2" fillId="0" fontId="0" numFmtId="1" xfId="0" applyAlignment="1" applyBorder="1" applyFont="1" applyNumberFormat="1">
      <alignment horizontal="center" readingOrder="0" shrinkToFit="0" vertical="center" wrapText="1"/>
    </xf>
    <xf borderId="1" fillId="0" fontId="0" numFmtId="3" xfId="0" applyAlignment="1" applyBorder="1" applyFont="1" applyNumberFormat="1">
      <alignment horizontal="center" readingOrder="0" shrinkToFit="0" vertical="center" wrapText="0"/>
    </xf>
    <xf borderId="1" fillId="0" fontId="0" numFmtId="0" xfId="0" applyAlignment="1" applyBorder="1" applyFont="1">
      <alignment horizontal="left" readingOrder="0" shrinkToFit="0" vertical="center" wrapText="0"/>
    </xf>
    <xf borderId="1" fillId="0" fontId="4" numFmtId="0" xfId="0" applyAlignment="1" applyBorder="1" applyFont="1">
      <alignment horizontal="center" readingOrder="0" shrinkToFit="0" vertical="center" wrapText="1"/>
    </xf>
    <xf borderId="2" fillId="0" fontId="4" numFmtId="0" xfId="0" applyAlignment="1" applyBorder="1" applyFont="1">
      <alignment horizontal="center" readingOrder="0" shrinkToFit="0" vertical="center" wrapText="1"/>
    </xf>
    <xf borderId="2" fillId="0" fontId="0" numFmtId="0" xfId="0" applyAlignment="1" applyBorder="1" applyFont="1">
      <alignment horizontal="center" readingOrder="0" shrinkToFit="0" vertical="center" wrapText="0"/>
    </xf>
    <xf borderId="5" fillId="0" fontId="4" numFmtId="0" xfId="0" applyAlignment="1" applyBorder="1" applyFont="1">
      <alignment horizontal="right" vertical="center"/>
    </xf>
    <xf borderId="2" fillId="0" fontId="5" numFmtId="0" xfId="0" applyAlignment="1" applyBorder="1" applyFont="1">
      <alignment horizontal="center" readingOrder="0" shrinkToFit="0" vertical="center" wrapText="1"/>
    </xf>
    <xf borderId="1" fillId="0" fontId="4" numFmtId="3" xfId="0" applyAlignment="1" applyBorder="1" applyFont="1" applyNumberFormat="1">
      <alignment horizontal="center" readingOrder="0" shrinkToFit="0" vertical="center" wrapText="1"/>
    </xf>
    <xf borderId="1" fillId="0" fontId="5" numFmtId="0" xfId="0" applyAlignment="1" applyBorder="1" applyFont="1">
      <alignment horizontal="center" readingOrder="0" shrinkToFit="0" vertical="center" wrapText="1"/>
    </xf>
    <xf borderId="1" fillId="0" fontId="0" numFmtId="0" xfId="0" applyAlignment="1" applyBorder="1" applyFont="1">
      <alignment vertical="center"/>
    </xf>
    <xf borderId="1" fillId="0" fontId="5" numFmtId="0" xfId="0" applyAlignment="1" applyBorder="1" applyFont="1">
      <alignment vertical="center"/>
    </xf>
    <xf borderId="0" fillId="0" fontId="5" numFmtId="0" xfId="0" applyAlignment="1" applyFont="1">
      <alignment vertical="center"/>
    </xf>
    <xf borderId="0" fillId="0" fontId="0" numFmtId="0" xfId="0" applyAlignment="1" applyFont="1">
      <alignment vertical="center"/>
    </xf>
    <xf borderId="1" fillId="5" fontId="5" numFmtId="3" xfId="0" applyAlignment="1" applyBorder="1" applyFill="1" applyFont="1" applyNumberFormat="1">
      <alignment horizontal="left" readingOrder="0" shrinkToFit="0" vertical="center" wrapText="0"/>
    </xf>
    <xf borderId="1" fillId="6" fontId="5" numFmtId="0" xfId="0" applyAlignment="1" applyBorder="1" applyFill="1" applyFont="1">
      <alignment horizontal="left" readingOrder="0" shrinkToFit="0" vertical="center" wrapText="0"/>
    </xf>
    <xf borderId="1" fillId="5" fontId="5" numFmtId="4" xfId="0" applyAlignment="1" applyBorder="1" applyFont="1" applyNumberFormat="1">
      <alignment horizontal="left" readingOrder="0" shrinkToFit="0" vertical="center" wrapText="0"/>
    </xf>
    <xf borderId="1" fillId="6" fontId="5" numFmtId="164" xfId="0" applyAlignment="1" applyBorder="1" applyFont="1" applyNumberFormat="1">
      <alignment horizontal="right" readingOrder="0" shrinkToFit="0" vertical="center" wrapText="0"/>
    </xf>
    <xf borderId="0" fillId="0" fontId="0" numFmtId="0" xfId="0" applyAlignment="1" applyFont="1">
      <alignment horizontal="center" vertical="center"/>
    </xf>
    <xf borderId="1" fillId="6" fontId="5" numFmtId="3" xfId="0" applyAlignment="1" applyBorder="1" applyFont="1" applyNumberFormat="1">
      <alignment horizontal="right" readingOrder="0" shrinkToFit="0" vertical="center" wrapText="0"/>
    </xf>
    <xf borderId="1" fillId="5" fontId="5" numFmtId="2" xfId="0" applyAlignment="1" applyBorder="1" applyFont="1" applyNumberFormat="1">
      <alignment horizontal="left" readingOrder="0" shrinkToFit="0" vertical="center" wrapText="0"/>
    </xf>
    <xf borderId="1" fillId="5" fontId="5" numFmtId="4" xfId="0" applyAlignment="1" applyBorder="1" applyFont="1" applyNumberFormat="1">
      <alignment horizontal="center" readingOrder="0" shrinkToFit="0" vertical="center" wrapText="0"/>
    </xf>
    <xf borderId="1" fillId="6" fontId="5" numFmtId="3" xfId="0" applyAlignment="1" applyBorder="1" applyFont="1" applyNumberFormat="1">
      <alignment horizontal="center" readingOrder="0" shrinkToFit="0" vertical="center" wrapText="0"/>
    </xf>
    <xf borderId="1" fillId="6" fontId="5" numFmtId="0" xfId="0" applyAlignment="1" applyBorder="1" applyFont="1">
      <alignment horizontal="center" readingOrder="0" shrinkToFit="0" vertical="center" wrapText="0"/>
    </xf>
    <xf borderId="1" fillId="6" fontId="5" numFmtId="0" xfId="0" applyAlignment="1" applyBorder="1" applyFont="1">
      <alignment horizontal="center" readingOrder="0" shrinkToFit="0" vertical="center" wrapText="0"/>
    </xf>
    <xf borderId="1" fillId="5" fontId="5" numFmtId="0" xfId="0" applyAlignment="1" applyBorder="1" applyFont="1">
      <alignment horizontal="center" readingOrder="0" shrinkToFit="0" vertical="center" wrapText="0"/>
    </xf>
    <xf borderId="1" fillId="5" fontId="5" numFmtId="3" xfId="0" applyAlignment="1" applyBorder="1" applyFont="1" applyNumberFormat="1">
      <alignment horizontal="center" readingOrder="0" shrinkToFit="0" vertical="center" wrapText="0"/>
    </xf>
    <xf borderId="1" fillId="5" fontId="5" numFmtId="166" xfId="0" applyAlignment="1" applyBorder="1" applyFont="1" applyNumberFormat="1">
      <alignment horizontal="center" readingOrder="0" shrinkToFit="0" vertical="center" wrapText="0"/>
    </xf>
    <xf borderId="1" fillId="7" fontId="5" numFmtId="0" xfId="0" applyAlignment="1" applyBorder="1" applyFill="1" applyFont="1">
      <alignment horizontal="left" readingOrder="0" shrinkToFit="0" vertical="center" wrapText="0"/>
    </xf>
    <xf borderId="1" fillId="7" fontId="5" numFmtId="0" xfId="0" applyAlignment="1" applyBorder="1" applyFont="1">
      <alignment horizontal="center" readingOrder="0" shrinkToFit="0" vertical="center" wrapText="0"/>
    </xf>
    <xf borderId="1" fillId="7" fontId="5" numFmtId="165" xfId="0" applyAlignment="1" applyBorder="1" applyFont="1" applyNumberFormat="1">
      <alignment horizontal="center" readingOrder="0" shrinkToFit="0" vertical="center" wrapText="0"/>
    </xf>
    <xf borderId="1" fillId="7" fontId="5" numFmtId="0" xfId="0" applyAlignment="1" applyBorder="1" applyFont="1">
      <alignment horizontal="center" readingOrder="0" shrinkToFit="0" vertical="center" wrapText="0"/>
    </xf>
    <xf borderId="1" fillId="7" fontId="5" numFmtId="165" xfId="0" applyAlignment="1" applyBorder="1" applyFont="1" applyNumberFormat="1">
      <alignment horizontal="center" readingOrder="0" shrinkToFit="0" vertical="center" wrapText="0"/>
    </xf>
    <xf borderId="1" fillId="7" fontId="5" numFmtId="0" xfId="0" applyAlignment="1" applyBorder="1" applyFont="1">
      <alignment horizontal="left" readingOrder="0" shrinkToFit="0" vertical="center" wrapText="0"/>
    </xf>
    <xf borderId="1" fillId="5" fontId="5" numFmtId="2" xfId="0" applyAlignment="1" applyBorder="1" applyFont="1" applyNumberFormat="1">
      <alignment horizontal="center" readingOrder="0" shrinkToFit="0" vertical="center" wrapText="0"/>
    </xf>
    <xf borderId="1" fillId="5" fontId="5" numFmtId="167" xfId="0" applyAlignment="1" applyBorder="1" applyFont="1" applyNumberFormat="1">
      <alignment horizontal="center" readingOrder="0" shrinkToFit="0" vertical="center" wrapText="0"/>
    </xf>
    <xf borderId="1" fillId="5" fontId="5" numFmtId="4" xfId="0" applyAlignment="1" applyBorder="1" applyFont="1" applyNumberFormat="1">
      <alignment horizontal="left" readingOrder="0" shrinkToFit="0" vertical="center" wrapText="0"/>
    </xf>
    <xf borderId="6" fillId="5" fontId="4" numFmtId="4" xfId="0" applyAlignment="1" applyBorder="1" applyFont="1" applyNumberFormat="1">
      <alignment horizontal="right" shrinkToFit="0" vertical="center" wrapText="0"/>
    </xf>
    <xf borderId="1" fillId="5" fontId="5" numFmtId="4" xfId="0" applyAlignment="1" applyBorder="1" applyFont="1" applyNumberFormat="1">
      <alignment horizontal="right" readingOrder="0" shrinkToFit="0" vertical="center" wrapText="0"/>
    </xf>
    <xf borderId="1" fillId="5" fontId="5" numFmtId="3" xfId="0" applyAlignment="1" applyBorder="1" applyFont="1" applyNumberFormat="1">
      <alignment horizontal="left" readingOrder="0" shrinkToFit="0" vertical="center" wrapText="0"/>
    </xf>
    <xf borderId="1" fillId="5" fontId="5" numFmtId="1" xfId="0" applyAlignment="1" applyBorder="1" applyFont="1" applyNumberFormat="1">
      <alignment horizontal="center" readingOrder="0" shrinkToFit="0" vertical="center" wrapText="0"/>
    </xf>
    <xf borderId="6" fillId="5" fontId="5" numFmtId="4" xfId="0" applyAlignment="1" applyBorder="1" applyFont="1" applyNumberFormat="1">
      <alignment horizontal="right" shrinkToFit="0" vertical="center" wrapText="0"/>
    </xf>
    <xf borderId="1" fillId="5" fontId="5" numFmtId="10" xfId="0" applyAlignment="1" applyBorder="1" applyFont="1" applyNumberFormat="1">
      <alignment horizontal="right" readingOrder="0" shrinkToFit="0" vertical="center" wrapText="0"/>
    </xf>
    <xf borderId="1" fillId="5" fontId="5" numFmtId="10" xfId="0" applyAlignment="1" applyBorder="1" applyFont="1" applyNumberFormat="1">
      <alignment horizontal="center" readingOrder="0" shrinkToFit="0" vertical="center" wrapText="0"/>
    </xf>
    <xf borderId="0" fillId="0" fontId="5" numFmtId="0" xfId="0" applyAlignment="1" applyFont="1">
      <alignment vertical="center"/>
    </xf>
    <xf borderId="1" fillId="5" fontId="5" numFmtId="168" xfId="0" applyAlignment="1" applyBorder="1" applyFont="1" applyNumberFormat="1">
      <alignment horizontal="center" readingOrder="0" shrinkToFit="0" vertical="center" wrapText="0"/>
    </xf>
    <xf borderId="1" fillId="0" fontId="5" numFmtId="0" xfId="0" applyAlignment="1" applyBorder="1" applyFont="1">
      <alignment horizontal="left" readingOrder="0" shrinkToFit="0" vertical="center" wrapText="0"/>
    </xf>
    <xf borderId="1" fillId="5" fontId="0" numFmtId="4" xfId="0" applyAlignment="1" applyBorder="1" applyFont="1" applyNumberFormat="1">
      <alignment horizontal="left" readingOrder="0" shrinkToFit="0" vertical="center" wrapText="0"/>
    </xf>
    <xf borderId="0" fillId="0" fontId="4" numFmtId="0" xfId="0" applyAlignment="1" applyFont="1">
      <alignment vertical="center"/>
    </xf>
    <xf borderId="1" fillId="0" fontId="5" numFmtId="0" xfId="0" applyAlignment="1" applyBorder="1" applyFont="1">
      <alignment horizontal="center" readingOrder="0" shrinkToFit="0" vertical="center" wrapText="1"/>
    </xf>
    <xf borderId="1" fillId="0" fontId="5" numFmtId="0" xfId="0" applyAlignment="1" applyBorder="1" applyFont="1">
      <alignment horizontal="left" readingOrder="0" shrinkToFit="0" vertical="center" wrapText="1"/>
    </xf>
    <xf borderId="1" fillId="0" fontId="5" numFmtId="0" xfId="0" applyAlignment="1" applyBorder="1" applyFont="1">
      <alignment horizontal="left" readingOrder="0" shrinkToFit="0" vertical="center" wrapText="1"/>
    </xf>
    <xf borderId="1" fillId="0" fontId="5" numFmtId="164" xfId="0" applyAlignment="1" applyBorder="1" applyFont="1" applyNumberFormat="1">
      <alignment horizontal="right" readingOrder="0" shrinkToFit="0" vertical="center" wrapText="1"/>
    </xf>
    <xf borderId="1" fillId="0" fontId="5" numFmtId="3" xfId="0" applyAlignment="1" applyBorder="1" applyFont="1" applyNumberFormat="1">
      <alignment horizontal="center" readingOrder="0" shrinkToFit="0" vertical="center" wrapText="1"/>
    </xf>
    <xf borderId="1" fillId="8" fontId="5" numFmtId="0" xfId="0" applyAlignment="1" applyBorder="1" applyFill="1" applyFont="1">
      <alignment horizontal="center" readingOrder="0" shrinkToFit="0" vertical="center" wrapText="1"/>
    </xf>
    <xf borderId="1" fillId="8" fontId="4" numFmtId="166" xfId="0" applyAlignment="1" applyBorder="1" applyFont="1" applyNumberFormat="1">
      <alignment horizontal="center" readingOrder="0" shrinkToFit="0" vertical="center" wrapText="1"/>
    </xf>
    <xf borderId="1" fillId="8" fontId="5" numFmtId="4" xfId="0" applyAlignment="1" applyBorder="1" applyFont="1" applyNumberFormat="1">
      <alignment horizontal="center" readingOrder="0" shrinkToFit="0" vertical="center" wrapText="1"/>
    </xf>
    <xf borderId="1" fillId="8" fontId="5" numFmtId="3" xfId="0" applyAlignment="1" applyBorder="1" applyFont="1" applyNumberFormat="1">
      <alignment horizontal="center" readingOrder="0" shrinkToFit="0" vertical="center" wrapText="1"/>
    </xf>
    <xf borderId="1" fillId="5" fontId="4" numFmtId="0" xfId="0" applyAlignment="1" applyBorder="1" applyFont="1">
      <alignment horizontal="center" readingOrder="0" shrinkToFit="0" vertical="center" wrapText="1"/>
    </xf>
    <xf borderId="1" fillId="0" fontId="5" numFmtId="165" xfId="0" applyAlignment="1" applyBorder="1" applyFont="1" applyNumberFormat="1">
      <alignment horizontal="center" readingOrder="0" shrinkToFit="0" vertical="center" wrapText="1"/>
    </xf>
    <xf borderId="1" fillId="5" fontId="5" numFmtId="0" xfId="0" applyAlignment="1" applyBorder="1" applyFont="1">
      <alignment horizontal="center" readingOrder="0" shrinkToFit="0" vertical="center" wrapText="1"/>
    </xf>
    <xf borderId="1" fillId="8" fontId="5" numFmtId="1" xfId="0" applyAlignment="1" applyBorder="1" applyFont="1" applyNumberFormat="1">
      <alignment horizontal="center" readingOrder="0" shrinkToFit="0" vertical="center" wrapText="1"/>
    </xf>
    <xf borderId="1" fillId="8" fontId="5" numFmtId="0" xfId="0" applyAlignment="1" applyBorder="1" applyFont="1">
      <alignment horizontal="center" readingOrder="0" shrinkToFit="0" vertical="center" wrapText="1"/>
    </xf>
    <xf borderId="1" fillId="8" fontId="5" numFmtId="168" xfId="0" applyAlignment="1" applyBorder="1" applyFont="1" applyNumberFormat="1">
      <alignment horizontal="center" readingOrder="0" shrinkToFit="0" vertical="center" wrapText="1"/>
    </xf>
    <xf borderId="1" fillId="8" fontId="5" numFmtId="0" xfId="0" applyAlignment="1" applyBorder="1" applyFont="1">
      <alignment horizontal="center" readingOrder="0" shrinkToFit="0" vertical="center" wrapText="0"/>
    </xf>
    <xf borderId="1" fillId="8" fontId="5" numFmtId="2" xfId="0" applyAlignment="1" applyBorder="1" applyFont="1" applyNumberFormat="1">
      <alignment horizontal="left" readingOrder="0" shrinkToFit="0" vertical="center" wrapText="0"/>
    </xf>
    <xf borderId="1" fillId="8" fontId="0" numFmtId="4" xfId="0" applyAlignment="1" applyBorder="1" applyFont="1" applyNumberFormat="1">
      <alignment horizontal="center" readingOrder="0" shrinkToFit="0" vertical="center" wrapText="1"/>
    </xf>
    <xf borderId="6" fillId="8" fontId="4" numFmtId="10" xfId="0" applyAlignment="1" applyBorder="1" applyFont="1" applyNumberFormat="1">
      <alignment horizontal="right" shrinkToFit="0" vertical="center" wrapText="1"/>
    </xf>
    <xf borderId="6" fillId="8" fontId="5" numFmtId="10" xfId="0" applyAlignment="1" applyBorder="1" applyFont="1" applyNumberFormat="1">
      <alignment horizontal="right" shrinkToFit="0" vertical="center" wrapText="1"/>
    </xf>
    <xf borderId="1" fillId="8" fontId="5" numFmtId="10" xfId="0" applyAlignment="1" applyBorder="1" applyFont="1" applyNumberFormat="1">
      <alignment horizontal="right" readingOrder="0" shrinkToFit="0" vertical="center" wrapText="1"/>
    </xf>
    <xf borderId="1" fillId="8" fontId="5" numFmtId="0" xfId="0" applyAlignment="1" applyBorder="1" applyFont="1">
      <alignment horizontal="left" readingOrder="0" shrinkToFit="0" vertical="center" wrapText="1"/>
    </xf>
    <xf borderId="1" fillId="5" fontId="5" numFmtId="0" xfId="0" applyAlignment="1" applyBorder="1" applyFont="1">
      <alignment horizontal="left" readingOrder="0" shrinkToFit="0" vertical="center" wrapText="1"/>
    </xf>
    <xf borderId="1" fillId="5" fontId="5" numFmtId="0" xfId="0" applyAlignment="1" applyBorder="1" applyFont="1">
      <alignment horizontal="center" readingOrder="0" vertical="center"/>
    </xf>
    <xf borderId="1" fillId="5" fontId="5" numFmtId="0" xfId="0" applyAlignment="1" applyBorder="1" applyFont="1">
      <alignment readingOrder="0" shrinkToFit="0" vertical="center" wrapText="1"/>
    </xf>
    <xf borderId="1" fillId="0" fontId="5" numFmtId="0" xfId="0" applyAlignment="1" applyBorder="1" applyFont="1">
      <alignment horizontal="left" readingOrder="0" shrinkToFit="0" vertical="center" wrapText="0"/>
    </xf>
    <xf borderId="1" fillId="0" fontId="5" numFmtId="0" xfId="0" applyAlignment="1" applyBorder="1" applyFont="1">
      <alignment readingOrder="0" shrinkToFit="0" vertical="center" wrapText="0"/>
    </xf>
    <xf borderId="1" fillId="0" fontId="5" numFmtId="3" xfId="0" applyAlignment="1" applyBorder="1" applyFont="1" applyNumberFormat="1">
      <alignment horizontal="left" readingOrder="0" shrinkToFit="0" vertical="center" wrapText="0"/>
    </xf>
    <xf borderId="1" fillId="0" fontId="5" numFmtId="164" xfId="0" applyAlignment="1" applyBorder="1" applyFont="1" applyNumberFormat="1">
      <alignment horizontal="right" readingOrder="0" shrinkToFit="0" vertical="center" wrapText="0"/>
    </xf>
    <xf borderId="1" fillId="0" fontId="5" numFmtId="0" xfId="0" applyAlignment="1" applyBorder="1" applyFont="1">
      <alignment horizontal="center" readingOrder="0" shrinkToFit="0" vertical="center" wrapText="0"/>
    </xf>
    <xf borderId="1" fillId="0" fontId="5" numFmtId="0" xfId="0" applyAlignment="1" applyBorder="1" applyFont="1">
      <alignment readingOrder="0" shrinkToFit="0" vertical="center" wrapText="0"/>
    </xf>
    <xf borderId="1" fillId="0" fontId="5" numFmtId="3" xfId="0" applyAlignment="1" applyBorder="1" applyFont="1" applyNumberFormat="1">
      <alignment horizontal="right" readingOrder="0" shrinkToFit="0" vertical="center" wrapText="0"/>
    </xf>
    <xf borderId="1" fillId="5" fontId="5" numFmtId="169" xfId="0" applyAlignment="1" applyBorder="1" applyFont="1" applyNumberFormat="1">
      <alignment horizontal="center" readingOrder="0" shrinkToFit="0" vertical="center" wrapText="0"/>
    </xf>
    <xf borderId="1" fillId="0" fontId="5" numFmtId="3" xfId="0" applyAlignment="1" applyBorder="1" applyFont="1" applyNumberFormat="1">
      <alignment horizontal="left" readingOrder="0" shrinkToFit="0" vertical="center" wrapText="0"/>
    </xf>
    <xf borderId="1" fillId="0" fontId="6" numFmtId="164" xfId="0" applyAlignment="1" applyBorder="1" applyFont="1" applyNumberFormat="1">
      <alignment horizontal="right" readingOrder="0" shrinkToFit="0" vertical="center" wrapText="0"/>
    </xf>
    <xf borderId="1" fillId="0" fontId="5" numFmtId="164" xfId="0" applyAlignment="1" applyBorder="1" applyFont="1" applyNumberFormat="1">
      <alignment horizontal="right" readingOrder="0" shrinkToFit="0" vertical="center" wrapText="0"/>
    </xf>
    <xf borderId="1" fillId="0" fontId="5" numFmtId="3" xfId="0" applyAlignment="1" applyBorder="1" applyFont="1" applyNumberFormat="1">
      <alignment horizontal="right" readingOrder="0" shrinkToFit="0" vertical="center" wrapText="0"/>
    </xf>
    <xf borderId="1" fillId="0" fontId="5" numFmtId="3" xfId="0" applyAlignment="1" applyBorder="1" applyFont="1" applyNumberFormat="1">
      <alignment horizontal="center" readingOrder="0" shrinkToFit="0" vertical="center" wrapText="0"/>
    </xf>
    <xf borderId="1" fillId="0" fontId="5" numFmtId="3" xfId="0" applyAlignment="1" applyBorder="1" applyFont="1" applyNumberFormat="1">
      <alignment horizontal="center" readingOrder="0" shrinkToFit="0" vertical="center" wrapText="0"/>
    </xf>
    <xf borderId="1" fillId="5" fontId="5" numFmtId="4" xfId="0" applyAlignment="1" applyBorder="1" applyFont="1" applyNumberFormat="1">
      <alignment horizontal="center" shrinkToFit="0" vertical="center" wrapText="0"/>
    </xf>
    <xf borderId="1" fillId="0" fontId="5" numFmtId="0" xfId="0" applyAlignment="1" applyBorder="1" applyFont="1">
      <alignment horizontal="center" readingOrder="0" shrinkToFit="0" vertical="center" wrapText="0"/>
    </xf>
    <xf borderId="1" fillId="0" fontId="5" numFmtId="3" xfId="0" applyAlignment="1" applyBorder="1" applyFont="1" applyNumberFormat="1">
      <alignment horizontal="center" shrinkToFit="0" vertical="center" wrapText="0"/>
    </xf>
    <xf borderId="1" fillId="5" fontId="5" numFmtId="3" xfId="0" applyAlignment="1" applyBorder="1" applyFont="1" applyNumberFormat="1">
      <alignment horizontal="right" readingOrder="0" shrinkToFit="0" vertical="center" wrapText="0"/>
    </xf>
    <xf borderId="1" fillId="5" fontId="5" numFmtId="3" xfId="0" applyAlignment="1" applyBorder="1" applyFont="1" applyNumberFormat="1">
      <alignment horizontal="center" shrinkToFit="0" vertical="center" wrapText="0"/>
    </xf>
    <xf borderId="1" fillId="5" fontId="5" numFmtId="10" xfId="0" applyAlignment="1" applyBorder="1" applyFont="1" applyNumberFormat="1">
      <alignment horizontal="center" shrinkToFit="0" vertical="center" wrapText="0"/>
    </xf>
    <xf borderId="1" fillId="5" fontId="5" numFmtId="170" xfId="0" applyAlignment="1" applyBorder="1" applyFont="1" applyNumberFormat="1">
      <alignment horizontal="center" shrinkToFit="0" vertical="center" wrapText="0"/>
    </xf>
    <xf borderId="1" fillId="5" fontId="5" numFmtId="1" xfId="0" applyAlignment="1" applyBorder="1" applyFont="1" applyNumberFormat="1">
      <alignment horizontal="center" shrinkToFit="0" vertical="center" wrapText="0"/>
    </xf>
    <xf borderId="1" fillId="5" fontId="4" numFmtId="1" xfId="0" applyAlignment="1" applyBorder="1" applyFont="1" applyNumberFormat="1">
      <alignment horizontal="center" shrinkToFit="0" vertical="center" wrapText="0"/>
    </xf>
    <xf borderId="1" fillId="0" fontId="5" numFmtId="9" xfId="0" applyAlignment="1" applyBorder="1" applyFont="1" applyNumberFormat="1">
      <alignment horizontal="center" readingOrder="0" shrinkToFit="0" vertical="center" wrapText="0"/>
    </xf>
    <xf borderId="1" fillId="0" fontId="5" numFmtId="9" xfId="0" applyAlignment="1" applyBorder="1" applyFont="1" applyNumberFormat="1">
      <alignment horizontal="center" readingOrder="0" shrinkToFit="0" vertical="center" wrapText="0"/>
    </xf>
    <xf borderId="1" fillId="9" fontId="5" numFmtId="0" xfId="0" applyAlignment="1" applyBorder="1" applyFill="1" applyFont="1">
      <alignment horizontal="center" vertical="center"/>
    </xf>
    <xf borderId="1" fillId="0" fontId="5" numFmtId="0" xfId="0" applyAlignment="1" applyBorder="1" applyFont="1">
      <alignment horizontal="center" shrinkToFit="0" vertical="center" wrapText="0"/>
    </xf>
    <xf borderId="1" fillId="0" fontId="5" numFmtId="0" xfId="0" applyAlignment="1" applyBorder="1" applyFont="1">
      <alignment readingOrder="0" shrinkToFit="0" vertical="center" wrapText="0"/>
    </xf>
    <xf borderId="1" fillId="5" fontId="5" numFmtId="2" xfId="0" applyAlignment="1" applyBorder="1" applyFont="1" applyNumberFormat="1">
      <alignment horizontal="center" readingOrder="0" shrinkToFit="0" vertical="center" wrapText="0"/>
    </xf>
    <xf borderId="1" fillId="5" fontId="5" numFmtId="168" xfId="0" applyAlignment="1" applyBorder="1" applyFont="1" applyNumberFormat="1">
      <alignment horizontal="center" readingOrder="0" shrinkToFit="0" vertical="center" wrapText="0"/>
    </xf>
    <xf borderId="1" fillId="5" fontId="5" numFmtId="2" xfId="0" applyAlignment="1" applyBorder="1" applyFont="1" applyNumberFormat="1">
      <alignment horizontal="right" readingOrder="0" shrinkToFit="0" vertical="center" wrapText="0"/>
    </xf>
    <xf borderId="1" fillId="9" fontId="4" numFmtId="0" xfId="0" applyAlignment="1" applyBorder="1" applyFont="1">
      <alignment horizontal="center" vertical="center"/>
    </xf>
    <xf borderId="1" fillId="5" fontId="5" numFmtId="0" xfId="0" applyAlignment="1" applyBorder="1" applyFont="1">
      <alignment horizontal="right" readingOrder="0" shrinkToFit="0" vertical="center" wrapText="0"/>
    </xf>
    <xf borderId="1" fillId="5" fontId="5" numFmtId="2" xfId="0" applyAlignment="1" applyBorder="1" applyFont="1" applyNumberFormat="1">
      <alignment shrinkToFit="0" vertical="center" wrapText="0"/>
    </xf>
    <xf borderId="1" fillId="0" fontId="5" numFmtId="0" xfId="0" applyAlignment="1" applyBorder="1" applyFont="1">
      <alignment horizontal="center" vertical="center"/>
    </xf>
    <xf borderId="1" fillId="5" fontId="5" numFmtId="3" xfId="0" applyAlignment="1" applyBorder="1" applyFont="1" applyNumberFormat="1">
      <alignment shrinkToFit="0" vertical="center" wrapText="0"/>
    </xf>
    <xf borderId="1" fillId="5" fontId="0" numFmtId="10" xfId="0" applyAlignment="1" applyBorder="1" applyFont="1" applyNumberFormat="1">
      <alignment vertical="center"/>
    </xf>
    <xf borderId="1" fillId="5" fontId="5" numFmtId="10" xfId="0" applyAlignment="1" applyBorder="1" applyFont="1" applyNumberFormat="1">
      <alignment vertical="center"/>
    </xf>
    <xf borderId="1" fillId="0" fontId="4" numFmtId="0" xfId="0" applyAlignment="1" applyBorder="1" applyFont="1">
      <alignment horizontal="center" readingOrder="0" vertical="center"/>
    </xf>
    <xf borderId="1" fillId="5" fontId="5" numFmtId="0" xfId="0" applyAlignment="1" applyBorder="1" applyFont="1">
      <alignment shrinkToFit="0" vertical="center" wrapText="0"/>
    </xf>
    <xf borderId="1" fillId="0" fontId="5" numFmtId="0" xfId="0" applyAlignment="1" applyBorder="1" applyFont="1">
      <alignment shrinkToFit="0" vertical="center" wrapText="0"/>
    </xf>
    <xf borderId="1" fillId="5" fontId="7" numFmtId="0" xfId="0" applyAlignment="1" applyBorder="1" applyFont="1">
      <alignment shrinkToFit="0" vertical="center" wrapText="0"/>
    </xf>
    <xf borderId="1" fillId="10" fontId="4" numFmtId="0" xfId="0" applyAlignment="1" applyBorder="1" applyFill="1" applyFont="1">
      <alignment horizontal="center" readingOrder="0" vertical="center"/>
    </xf>
    <xf borderId="1" fillId="10" fontId="4" numFmtId="0" xfId="0" applyAlignment="1" applyBorder="1" applyFont="1">
      <alignment horizontal="center" vertical="center"/>
    </xf>
    <xf borderId="1" fillId="5" fontId="5" numFmtId="0" xfId="0" applyAlignment="1" applyBorder="1" applyFont="1">
      <alignment horizontal="center" shrinkToFit="0" vertical="center" wrapText="0"/>
    </xf>
    <xf borderId="1" fillId="5" fontId="0" numFmtId="3" xfId="0" applyAlignment="1" applyBorder="1" applyFont="1" applyNumberFormat="1">
      <alignment vertical="center"/>
    </xf>
    <xf borderId="1" fillId="5" fontId="5" numFmtId="0" xfId="0" applyAlignment="1" applyBorder="1" applyFont="1">
      <alignment horizontal="left" shrinkToFit="0" vertical="center" wrapText="0"/>
    </xf>
    <xf borderId="1" fillId="5" fontId="4" numFmtId="2" xfId="0" applyAlignment="1" applyBorder="1" applyFont="1" applyNumberFormat="1">
      <alignment shrinkToFit="0" vertical="center" wrapText="0"/>
    </xf>
    <xf borderId="0" fillId="0" fontId="5" numFmtId="0" xfId="0" applyAlignment="1" applyFont="1">
      <alignment shrinkToFit="0" vertical="center" wrapText="0"/>
    </xf>
    <xf borderId="1" fillId="5" fontId="4" numFmtId="3" xfId="0" applyAlignment="1" applyBorder="1" applyFont="1" applyNumberFormat="1">
      <alignment shrinkToFit="0" vertical="center" wrapText="0"/>
    </xf>
    <xf borderId="1" fillId="0" fontId="5" numFmtId="164" xfId="0" applyAlignment="1" applyBorder="1" applyFont="1" applyNumberFormat="1">
      <alignment horizontal="right" shrinkToFit="0" vertical="center" wrapText="0"/>
    </xf>
    <xf borderId="1" fillId="5" fontId="8" numFmtId="10" xfId="0" applyAlignment="1" applyBorder="1" applyFont="1" applyNumberFormat="1">
      <alignment vertical="center"/>
    </xf>
    <xf borderId="1" fillId="10" fontId="5" numFmtId="0" xfId="0" applyAlignment="1" applyBorder="1" applyFont="1">
      <alignment horizontal="center" readingOrder="0" shrinkToFit="0" vertical="center" wrapText="0"/>
    </xf>
    <xf borderId="1" fillId="9" fontId="5" numFmtId="0" xfId="0" applyAlignment="1" applyBorder="1" applyFont="1">
      <alignment horizontal="center" readingOrder="0" vertical="center"/>
    </xf>
    <xf borderId="1" fillId="5" fontId="4" numFmtId="10" xfId="0" applyAlignment="1" applyBorder="1" applyFont="1" applyNumberFormat="1">
      <alignment vertical="center"/>
    </xf>
    <xf borderId="0" fillId="0" fontId="0" numFmtId="0" xfId="0" applyAlignment="1" applyFont="1">
      <alignment readingOrder="0" shrinkToFit="0" vertical="center" wrapText="0"/>
    </xf>
    <xf borderId="1" fillId="5" fontId="4" numFmtId="0" xfId="0" applyAlignment="1" applyBorder="1" applyFont="1">
      <alignment shrinkToFit="0" vertical="center" wrapText="0"/>
    </xf>
    <xf borderId="1" fillId="5" fontId="5" numFmtId="164" xfId="0" applyAlignment="1" applyBorder="1" applyFont="1" applyNumberFormat="1">
      <alignment horizontal="left" shrinkToFit="0" vertical="center" wrapText="0"/>
    </xf>
    <xf borderId="1" fillId="0" fontId="5" numFmtId="0" xfId="0" applyAlignment="1" applyBorder="1" applyFont="1">
      <alignment shrinkToFit="0" vertical="center" wrapText="0"/>
    </xf>
    <xf borderId="1" fillId="5" fontId="9" numFmtId="0" xfId="0" applyAlignment="1" applyBorder="1" applyFont="1">
      <alignment shrinkToFit="0" vertical="center" wrapText="0"/>
    </xf>
    <xf borderId="1" fillId="0" fontId="5" numFmtId="3" xfId="0" applyAlignment="1" applyBorder="1" applyFont="1" applyNumberFormat="1">
      <alignment horizontal="right" shrinkToFit="0" vertical="center" wrapText="0"/>
    </xf>
    <xf borderId="1" fillId="5" fontId="4" numFmtId="0" xfId="0" applyAlignment="1" applyBorder="1" applyFont="1">
      <alignment horizontal="center" readingOrder="0" vertical="center"/>
    </xf>
    <xf borderId="0" fillId="0" fontId="4" numFmtId="0" xfId="0" applyAlignment="1" applyFont="1">
      <alignment vertical="center"/>
    </xf>
    <xf borderId="1" fillId="0" fontId="5" numFmtId="0" xfId="0" applyAlignment="1" applyBorder="1" applyFont="1">
      <alignment horizontal="left" shrinkToFit="0" vertical="center" wrapText="0"/>
    </xf>
    <xf borderId="1" fillId="0" fontId="4" numFmtId="0" xfId="0" applyAlignment="1" applyBorder="1" applyFont="1">
      <alignment horizontal="center" vertical="center"/>
    </xf>
    <xf borderId="6" fillId="5" fontId="4" numFmtId="0" xfId="0" applyAlignment="1" applyBorder="1" applyFont="1">
      <alignment shrinkToFit="0" vertical="center" wrapText="0"/>
    </xf>
    <xf borderId="1" fillId="5" fontId="4" numFmtId="0" xfId="0" applyAlignment="1" applyBorder="1" applyFont="1">
      <alignment horizontal="left" shrinkToFit="0" vertical="center" wrapText="0"/>
    </xf>
    <xf borderId="1" fillId="10" fontId="5" numFmtId="0" xfId="0" applyAlignment="1" applyBorder="1" applyFont="1">
      <alignment horizontal="left" readingOrder="0" shrinkToFit="0" vertical="center" wrapText="0"/>
    </xf>
    <xf borderId="1" fillId="10" fontId="5" numFmtId="0" xfId="0" applyAlignment="1" applyBorder="1" applyFont="1">
      <alignment horizontal="center" readingOrder="0" shrinkToFit="0" vertical="center" wrapText="0"/>
    </xf>
    <xf borderId="1" fillId="5" fontId="4" numFmtId="171" xfId="0" applyAlignment="1" applyBorder="1" applyFont="1" applyNumberFormat="1">
      <alignment horizontal="left" shrinkToFit="0" vertical="center" wrapText="0"/>
    </xf>
    <xf borderId="1" fillId="9" fontId="5" numFmtId="0" xfId="0" applyAlignment="1" applyBorder="1" applyFont="1">
      <alignment horizontal="center" shrinkToFit="0" vertical="center" wrapText="0"/>
    </xf>
    <xf borderId="1" fillId="5" fontId="4" numFmtId="164" xfId="0" applyAlignment="1" applyBorder="1" applyFont="1" applyNumberFormat="1">
      <alignment horizontal="left" shrinkToFit="0" vertical="center" wrapText="0"/>
    </xf>
    <xf borderId="1" fillId="9" fontId="5" numFmtId="164" xfId="0" applyAlignment="1" applyBorder="1" applyFont="1" applyNumberFormat="1">
      <alignment horizontal="right" shrinkToFit="0" vertical="center" wrapText="0"/>
    </xf>
    <xf borderId="1" fillId="9" fontId="4" numFmtId="0" xfId="0" applyAlignment="1" applyBorder="1" applyFont="1">
      <alignment horizontal="center" readingOrder="0" vertical="center"/>
    </xf>
    <xf borderId="1" fillId="0" fontId="5" numFmtId="0" xfId="0" applyAlignment="1" applyBorder="1" applyFont="1">
      <alignment horizontal="left" shrinkToFit="0" vertical="center" wrapText="0"/>
    </xf>
    <xf borderId="1" fillId="0" fontId="5" numFmtId="0" xfId="0" applyAlignment="1" applyBorder="1" applyFont="1">
      <alignment horizontal="center" readingOrder="0" vertical="center"/>
    </xf>
    <xf borderId="1" fillId="10" fontId="5" numFmtId="0" xfId="0" applyAlignment="1" applyBorder="1" applyFont="1">
      <alignment horizontal="center" shrinkToFit="0" vertical="center" wrapText="0"/>
    </xf>
    <xf borderId="1" fillId="5" fontId="4" numFmtId="0" xfId="0" applyAlignment="1" applyBorder="1" applyFont="1">
      <alignment vertical="center"/>
    </xf>
    <xf borderId="1" fillId="0" fontId="0" numFmtId="0" xfId="0" applyAlignment="1" applyBorder="1" applyFont="1">
      <alignment readingOrder="0" shrinkToFit="0" vertical="center" wrapText="0"/>
    </xf>
    <xf borderId="1" fillId="5" fontId="5" numFmtId="0" xfId="0" applyAlignment="1" applyBorder="1" applyFont="1">
      <alignment horizontal="left" shrinkToFit="0" vertical="center" wrapText="0"/>
    </xf>
    <xf borderId="1" fillId="9" fontId="5" numFmtId="3" xfId="0" applyAlignment="1" applyBorder="1" applyFont="1" applyNumberFormat="1">
      <alignment horizontal="center" shrinkToFit="0" vertical="center" wrapText="0"/>
    </xf>
    <xf borderId="1" fillId="0" fontId="5" numFmtId="0" xfId="0" applyAlignment="1" applyBorder="1" applyFont="1">
      <alignment shrinkToFit="0" vertical="center" wrapText="0"/>
    </xf>
    <xf borderId="1" fillId="0" fontId="5" numFmtId="164" xfId="0" applyAlignment="1" applyBorder="1" applyFont="1" applyNumberFormat="1">
      <alignment horizontal="right" shrinkToFit="0" vertical="center" wrapText="0"/>
    </xf>
    <xf borderId="4" fillId="0" fontId="5" numFmtId="0" xfId="0" applyAlignment="1" applyBorder="1" applyFont="1">
      <alignment shrinkToFit="0" vertical="center" wrapText="0"/>
    </xf>
    <xf borderId="1" fillId="0" fontId="5" numFmtId="0" xfId="0" applyAlignment="1" applyBorder="1" applyFont="1">
      <alignment horizontal="center" shrinkToFit="0" vertical="center" wrapText="0"/>
    </xf>
    <xf borderId="4" fillId="0" fontId="5" numFmtId="3" xfId="0" applyAlignment="1" applyBorder="1" applyFont="1" applyNumberFormat="1">
      <alignment horizontal="left" readingOrder="0" shrinkToFit="0" vertical="center" wrapText="0"/>
    </xf>
    <xf borderId="4" fillId="0" fontId="5" numFmtId="164" xfId="0" applyAlignment="1" applyBorder="1" applyFont="1" applyNumberFormat="1">
      <alignment horizontal="right" shrinkToFit="0" vertical="center" wrapText="0"/>
    </xf>
    <xf borderId="1" fillId="0" fontId="5" numFmtId="3" xfId="0" applyAlignment="1" applyBorder="1" applyFont="1" applyNumberFormat="1">
      <alignment horizontal="center" shrinkToFit="0" vertical="center" wrapText="0"/>
    </xf>
    <xf borderId="4" fillId="0" fontId="5" numFmtId="0" xfId="0" applyAlignment="1" applyBorder="1" applyFont="1">
      <alignment horizontal="left" readingOrder="0" shrinkToFit="0" vertical="center" wrapText="0"/>
    </xf>
    <xf borderId="4" fillId="0" fontId="5" numFmtId="3" xfId="0" applyAlignment="1" applyBorder="1" applyFont="1" applyNumberFormat="1">
      <alignment horizontal="right" shrinkToFit="0" vertical="center" wrapText="0"/>
    </xf>
    <xf borderId="4" fillId="5" fontId="5" numFmtId="169" xfId="0" applyAlignment="1" applyBorder="1" applyFont="1" applyNumberFormat="1">
      <alignment horizontal="center" readingOrder="0" shrinkToFit="0" vertical="center" wrapText="0"/>
    </xf>
    <xf borderId="4" fillId="0" fontId="5" numFmtId="3" xfId="0" applyAlignment="1" applyBorder="1" applyFont="1" applyNumberFormat="1">
      <alignment horizontal="center" shrinkToFit="0" vertical="center" wrapText="0"/>
    </xf>
    <xf borderId="4" fillId="10" fontId="5" numFmtId="0" xfId="0" applyAlignment="1" applyBorder="1" applyFont="1">
      <alignment horizontal="center" readingOrder="0" shrinkToFit="0" vertical="center" wrapText="0"/>
    </xf>
    <xf borderId="4" fillId="5" fontId="5" numFmtId="4" xfId="0" applyAlignment="1" applyBorder="1" applyFont="1" applyNumberFormat="1">
      <alignment horizontal="center" shrinkToFit="0" vertical="center" wrapText="0"/>
    </xf>
    <xf borderId="4" fillId="0" fontId="5" numFmtId="3" xfId="0" applyAlignment="1" applyBorder="1" applyFont="1" applyNumberFormat="1">
      <alignment horizontal="center" readingOrder="0" shrinkToFit="0" vertical="center" wrapText="0"/>
    </xf>
    <xf borderId="4" fillId="0" fontId="5" numFmtId="0" xfId="0" applyAlignment="1" applyBorder="1" applyFont="1">
      <alignment horizontal="center" shrinkToFit="0" vertical="center" wrapText="0"/>
    </xf>
    <xf borderId="4" fillId="5" fontId="5" numFmtId="3" xfId="0" applyAlignment="1" applyBorder="1" applyFont="1" applyNumberFormat="1">
      <alignment horizontal="center" shrinkToFit="0" vertical="center" wrapText="0"/>
    </xf>
    <xf borderId="4" fillId="5" fontId="5" numFmtId="10" xfId="0" applyAlignment="1" applyBorder="1" applyFont="1" applyNumberFormat="1">
      <alignment horizontal="center" shrinkToFit="0" vertical="center" wrapText="0"/>
    </xf>
    <xf borderId="4" fillId="5" fontId="5" numFmtId="170" xfId="0" applyAlignment="1" applyBorder="1" applyFont="1" applyNumberFormat="1">
      <alignment horizontal="center" shrinkToFit="0" vertical="center" wrapText="0"/>
    </xf>
    <xf borderId="4" fillId="5" fontId="5" numFmtId="1" xfId="0" applyAlignment="1" applyBorder="1" applyFont="1" applyNumberFormat="1">
      <alignment horizontal="center" shrinkToFit="0" vertical="center" wrapText="0"/>
    </xf>
    <xf borderId="4" fillId="0" fontId="5" numFmtId="9" xfId="0" applyAlignment="1" applyBorder="1" applyFont="1" applyNumberFormat="1">
      <alignment horizontal="center" readingOrder="0" shrinkToFit="0" vertical="center" wrapText="0"/>
    </xf>
    <xf borderId="4" fillId="0" fontId="5" numFmtId="0" xfId="0" applyAlignment="1" applyBorder="1" applyFont="1">
      <alignment horizontal="center" readingOrder="0" shrinkToFit="0" vertical="center" wrapText="0"/>
    </xf>
    <xf borderId="4" fillId="0" fontId="5" numFmtId="0" xfId="0" applyAlignment="1" applyBorder="1" applyFont="1">
      <alignment shrinkToFit="0" vertical="center" wrapText="0"/>
    </xf>
    <xf borderId="1" fillId="0" fontId="0" numFmtId="0" xfId="0" applyAlignment="1" applyBorder="1" applyFont="1">
      <alignment shrinkToFit="0" vertical="center" wrapText="0"/>
    </xf>
    <xf borderId="0" fillId="0" fontId="5" numFmtId="0" xfId="0" applyAlignment="1" applyFont="1">
      <alignment readingOrder="0" shrinkToFit="0" vertical="center" wrapText="0"/>
    </xf>
    <xf borderId="1" fillId="0" fontId="0" numFmtId="164" xfId="0" applyAlignment="1" applyBorder="1" applyFont="1" applyNumberFormat="1">
      <alignment readingOrder="0" vertical="center"/>
    </xf>
    <xf borderId="0" fillId="0" fontId="0" numFmtId="164" xfId="0" applyAlignment="1" applyFont="1" applyNumberFormat="1">
      <alignment readingOrder="0" vertical="center"/>
    </xf>
    <xf borderId="1" fillId="11" fontId="1" numFmtId="0" xfId="0" applyAlignment="1" applyBorder="1" applyFill="1" applyFont="1">
      <alignment horizontal="right" readingOrder="0" shrinkToFit="0" vertical="center" wrapText="0"/>
    </xf>
    <xf borderId="1" fillId="11" fontId="1" numFmtId="0" xfId="0" applyAlignment="1" applyBorder="1" applyFont="1">
      <alignment horizontal="left" readingOrder="0" shrinkToFit="0" vertical="center" wrapText="0"/>
    </xf>
    <xf borderId="0" fillId="9" fontId="0" numFmtId="0" xfId="0" applyAlignment="1" applyFont="1">
      <alignment horizontal="left" readingOrder="0" shrinkToFit="0" vertical="center" wrapText="0"/>
    </xf>
    <xf borderId="1" fillId="8" fontId="4" numFmtId="4" xfId="0" applyAlignment="1" applyBorder="1" applyFont="1" applyNumberFormat="1">
      <alignment horizontal="center" readingOrder="0" shrinkToFit="0" vertical="center" wrapText="1"/>
    </xf>
    <xf borderId="1" fillId="10" fontId="5" numFmtId="164" xfId="0" applyAlignment="1" applyBorder="1" applyFont="1" applyNumberFormat="1">
      <alignment horizontal="right" shrinkToFit="0" vertical="center" wrapText="0"/>
    </xf>
    <xf borderId="1" fillId="0" fontId="5" numFmtId="0" xfId="0" applyAlignment="1" applyBorder="1" applyFont="1">
      <alignment readingOrder="0" shrinkToFit="0" vertical="center" wrapText="0"/>
    </xf>
    <xf borderId="1" fillId="0" fontId="5" numFmtId="0" xfId="0" applyAlignment="1" applyBorder="1" applyFont="1">
      <alignment horizontal="center" readingOrder="0" shrinkToFit="0" vertical="center" wrapText="0"/>
    </xf>
    <xf borderId="1" fillId="0" fontId="5" numFmtId="0" xfId="0" applyAlignment="1" applyBorder="1" applyFont="1">
      <alignment horizontal="left" readingOrder="0" shrinkToFit="0" vertical="center" wrapText="0"/>
    </xf>
    <xf borderId="1" fillId="5" fontId="5" numFmtId="0" xfId="0" applyAlignment="1" applyBorder="1" applyFont="1">
      <alignment vertical="center"/>
    </xf>
    <xf borderId="1" fillId="5" fontId="5" numFmtId="1" xfId="0" applyAlignment="1" applyBorder="1" applyFont="1" applyNumberFormat="1">
      <alignment horizontal="right" readingOrder="0" shrinkToFit="0" vertical="center" wrapText="0"/>
    </xf>
    <xf borderId="1" fillId="0" fontId="5" numFmtId="0" xfId="0" applyAlignment="1" applyBorder="1" applyFont="1">
      <alignment shrinkToFit="0" vertical="center" wrapText="0"/>
    </xf>
    <xf borderId="4" fillId="0" fontId="5" numFmtId="3" xfId="0" applyAlignment="1" applyBorder="1" applyFont="1" applyNumberFormat="1">
      <alignment horizontal="left" shrinkToFit="0" vertical="center" wrapText="0"/>
    </xf>
    <xf borderId="4" fillId="0" fontId="5" numFmtId="164" xfId="0" applyAlignment="1" applyBorder="1" applyFont="1" applyNumberFormat="1">
      <alignment horizontal="right" shrinkToFit="0" vertical="center" wrapText="0"/>
    </xf>
    <xf borderId="4" fillId="0" fontId="5" numFmtId="164" xfId="0" applyAlignment="1" applyBorder="1" applyFont="1" applyNumberFormat="1">
      <alignment horizontal="right" readingOrder="0" shrinkToFit="0" vertical="center" wrapText="0"/>
    </xf>
    <xf borderId="4" fillId="0" fontId="5" numFmtId="0" xfId="0" applyAlignment="1" applyBorder="1" applyFont="1">
      <alignment horizontal="left" shrinkToFit="0" vertical="center" wrapText="0"/>
    </xf>
    <xf borderId="4" fillId="0" fontId="5" numFmtId="3" xfId="0" applyAlignment="1" applyBorder="1" applyFont="1" applyNumberFormat="1">
      <alignment horizontal="right" readingOrder="0" shrinkToFit="0" vertical="center" wrapText="0"/>
    </xf>
    <xf borderId="1" fillId="9" fontId="5" numFmtId="164" xfId="0" applyAlignment="1" applyBorder="1" applyFont="1" applyNumberFormat="1">
      <alignment horizontal="right" readingOrder="0" shrinkToFit="0" vertical="center" wrapText="0"/>
    </xf>
    <xf borderId="1" fillId="0" fontId="5" numFmtId="0" xfId="0" applyAlignment="1" applyBorder="1" applyFont="1">
      <alignment horizontal="right" readingOrder="0" shrinkToFit="0" vertical="center" wrapText="0"/>
    </xf>
    <xf borderId="1" fillId="9" fontId="4" numFmtId="4" xfId="0" applyAlignment="1" applyBorder="1" applyFont="1" applyNumberFormat="1">
      <alignment horizontal="center" vertical="center"/>
    </xf>
    <xf borderId="1" fillId="5" fontId="8" numFmtId="3" xfId="0" applyAlignment="1" applyBorder="1" applyFont="1" applyNumberFormat="1">
      <alignment vertical="center"/>
    </xf>
    <xf borderId="1" fillId="5" fontId="5" numFmtId="0" xfId="0" applyAlignment="1" applyBorder="1" applyFont="1">
      <alignment shrinkToFit="0" vertical="center" wrapText="0"/>
    </xf>
    <xf borderId="1" fillId="9" fontId="4" numFmtId="4" xfId="0" applyAlignment="1" applyBorder="1" applyFont="1" applyNumberFormat="1">
      <alignment horizontal="center" readingOrder="0" vertical="center"/>
    </xf>
    <xf borderId="1" fillId="0" fontId="5" numFmtId="0" xfId="0" applyAlignment="1" applyBorder="1" applyFont="1">
      <alignment horizontal="right" shrinkToFit="0" vertical="center" wrapText="0"/>
    </xf>
    <xf borderId="1" fillId="0" fontId="5" numFmtId="172" xfId="0" applyAlignment="1" applyBorder="1" applyFont="1" applyNumberFormat="1">
      <alignment horizontal="right" readingOrder="0" shrinkToFit="0" vertical="center" wrapText="0"/>
    </xf>
    <xf borderId="0" fillId="0" fontId="5" numFmtId="0" xfId="0" applyAlignment="1" applyFont="1">
      <alignment shrinkToFit="0" vertical="center" wrapText="0"/>
    </xf>
    <xf borderId="1" fillId="0" fontId="10" numFmtId="0" xfId="0" applyAlignment="1" applyBorder="1" applyFont="1">
      <alignment horizontal="left" readingOrder="0" vertical="center"/>
    </xf>
    <xf borderId="2" fillId="0" fontId="10" numFmtId="0" xfId="0" applyAlignment="1" applyBorder="1" applyFont="1">
      <alignment horizontal="center" readingOrder="0" shrinkToFit="0" vertical="center" wrapText="1"/>
    </xf>
    <xf borderId="2" fillId="0" fontId="11" numFmtId="0" xfId="0" applyAlignment="1" applyBorder="1" applyFont="1">
      <alignment horizontal="center" readingOrder="0" shrinkToFit="0" vertical="center" wrapText="1"/>
    </xf>
    <xf borderId="2" fillId="0" fontId="3" numFmtId="0" xfId="0" applyAlignment="1" applyBorder="1" applyFont="1">
      <alignment readingOrder="0" vertical="center"/>
    </xf>
    <xf borderId="1" fillId="5" fontId="3" numFmtId="0" xfId="0" applyAlignment="1" applyBorder="1" applyFont="1">
      <alignment shrinkToFit="0" vertical="top" wrapText="0"/>
    </xf>
    <xf borderId="1" fillId="5" fontId="3" numFmtId="0" xfId="0" applyAlignment="1" applyBorder="1" applyFont="1">
      <alignment shrinkToFit="0" vertical="top" wrapText="0"/>
    </xf>
    <xf borderId="1" fillId="5" fontId="3" numFmtId="0" xfId="0" applyBorder="1" applyFont="1"/>
    <xf borderId="1" fillId="5" fontId="5" numFmtId="0" xfId="0" applyAlignment="1" applyBorder="1" applyFont="1">
      <alignment horizontal="center" readingOrder="0" vertical="center"/>
    </xf>
    <xf borderId="1" fillId="5" fontId="3" numFmtId="0" xfId="0" applyAlignment="1" applyBorder="1" applyFont="1">
      <alignment horizontal="right" shrinkToFit="0" wrapText="0"/>
    </xf>
    <xf borderId="1" fillId="9" fontId="12" numFmtId="0" xfId="0" applyAlignment="1" applyBorder="1" applyFont="1">
      <alignment horizontal="left" readingOrder="0" vertical="center"/>
    </xf>
    <xf borderId="1" fillId="12" fontId="12" numFmtId="0" xfId="0" applyAlignment="1" applyBorder="1" applyFill="1" applyFont="1">
      <alignment horizontal="center" readingOrder="0" vertical="center"/>
    </xf>
    <xf borderId="1" fillId="13" fontId="12" numFmtId="0" xfId="0" applyAlignment="1" applyBorder="1" applyFill="1" applyFont="1">
      <alignment horizontal="center" readingOrder="0" vertical="center"/>
    </xf>
    <xf borderId="1" fillId="14" fontId="3" numFmtId="0" xfId="0" applyAlignment="1" applyBorder="1" applyFill="1" applyFont="1">
      <alignment horizontal="center" readingOrder="0" vertical="center"/>
    </xf>
    <xf borderId="1" fillId="14" fontId="12" numFmtId="0" xfId="0" applyAlignment="1" applyBorder="1" applyFont="1">
      <alignment horizontal="center" readingOrder="0" vertical="center"/>
    </xf>
    <xf borderId="1" fillId="4" fontId="12" numFmtId="0" xfId="0" applyAlignment="1" applyBorder="1" applyFont="1">
      <alignment horizontal="center" readingOrder="0" vertical="center"/>
    </xf>
    <xf borderId="1" fillId="0" fontId="3" numFmtId="0" xfId="0" applyAlignment="1" applyBorder="1" applyFont="1">
      <alignment horizontal="center" vertical="center"/>
    </xf>
    <xf borderId="1" fillId="0" fontId="3" numFmtId="0" xfId="0" applyAlignment="1" applyBorder="1" applyFont="1">
      <alignment horizontal="center" vertical="center"/>
    </xf>
    <xf borderId="1" fillId="15" fontId="13" numFmtId="0" xfId="0" applyAlignment="1" applyBorder="1" applyFill="1" applyFont="1">
      <alignment readingOrder="0" vertical="center"/>
    </xf>
    <xf borderId="1" fillId="5" fontId="3" numFmtId="0" xfId="0" applyAlignment="1" applyBorder="1" applyFont="1">
      <alignment horizontal="center" readingOrder="0" vertical="center"/>
    </xf>
    <xf borderId="1" fillId="9" fontId="3" numFmtId="0" xfId="0" applyAlignment="1" applyBorder="1" applyFont="1">
      <alignment horizontal="left" readingOrder="0" vertical="center"/>
    </xf>
    <xf borderId="1" fillId="12" fontId="14" numFmtId="173" xfId="0" applyAlignment="1" applyBorder="1" applyFont="1" applyNumberFormat="1">
      <alignment horizontal="center" readingOrder="0" vertical="center"/>
    </xf>
    <xf borderId="1" fillId="12" fontId="3" numFmtId="0" xfId="0" applyAlignment="1" applyBorder="1" applyFont="1">
      <alignment horizontal="center" readingOrder="0" vertical="center"/>
    </xf>
    <xf borderId="1" fillId="13" fontId="15" numFmtId="174" xfId="0" applyAlignment="1" applyBorder="1" applyFont="1" applyNumberFormat="1">
      <alignment horizontal="center" readingOrder="0" vertical="center"/>
    </xf>
    <xf borderId="1" fillId="13" fontId="3" numFmtId="0" xfId="0" applyAlignment="1" applyBorder="1" applyFont="1">
      <alignment horizontal="center" readingOrder="0" vertical="center"/>
    </xf>
    <xf borderId="1" fillId="14" fontId="3" numFmtId="173" xfId="0" applyAlignment="1" applyBorder="1" applyFont="1" applyNumberFormat="1">
      <alignment horizontal="center" readingOrder="0" vertical="center"/>
    </xf>
    <xf borderId="1" fillId="4" fontId="3" numFmtId="174" xfId="0" applyAlignment="1" applyBorder="1" applyFont="1" applyNumberFormat="1">
      <alignment horizontal="center" vertical="center"/>
    </xf>
    <xf borderId="1" fillId="4" fontId="3" numFmtId="0" xfId="0" applyAlignment="1" applyBorder="1" applyFont="1">
      <alignment horizontal="center" readingOrder="0" vertical="center"/>
    </xf>
    <xf borderId="1" fillId="0" fontId="16" numFmtId="173" xfId="0" applyAlignment="1" applyBorder="1" applyFont="1" applyNumberFormat="1">
      <alignment horizontal="center" readingOrder="0" vertical="center"/>
    </xf>
    <xf borderId="1" fillId="0" fontId="17" numFmtId="174" xfId="0" applyAlignment="1" applyBorder="1" applyFont="1" applyNumberFormat="1">
      <alignment horizontal="center" readingOrder="0" vertical="center"/>
    </xf>
    <xf borderId="1" fillId="0" fontId="18" numFmtId="0" xfId="0" applyAlignment="1" applyBorder="1" applyFont="1">
      <alignment horizontal="center" readingOrder="0" vertical="center"/>
    </xf>
    <xf borderId="1" fillId="16" fontId="3" numFmtId="0" xfId="0" applyAlignment="1" applyBorder="1" applyFill="1" applyFont="1">
      <alignment readingOrder="0" vertical="center"/>
    </xf>
    <xf borderId="1" fillId="2" fontId="3" numFmtId="0" xfId="0" applyAlignment="1" applyBorder="1" applyFont="1">
      <alignment readingOrder="0" vertical="center"/>
    </xf>
    <xf borderId="1" fillId="0" fontId="3" numFmtId="173" xfId="0" applyAlignment="1" applyBorder="1" applyFont="1" applyNumberFormat="1">
      <alignment horizontal="center" readingOrder="0" vertical="center"/>
    </xf>
    <xf borderId="1" fillId="0" fontId="3" numFmtId="174" xfId="0" applyAlignment="1" applyBorder="1" applyFont="1" applyNumberFormat="1">
      <alignment horizontal="center" readingOrder="0" vertical="center"/>
    </xf>
    <xf borderId="1" fillId="13" fontId="3" numFmtId="174" xfId="0" applyAlignment="1" applyBorder="1" applyFont="1" applyNumberFormat="1">
      <alignment horizontal="center" readingOrder="0" vertical="center"/>
    </xf>
    <xf borderId="1" fillId="0" fontId="3" numFmtId="0" xfId="0" applyAlignment="1" applyBorder="1" applyFont="1">
      <alignment shrinkToFit="0" wrapText="0"/>
    </xf>
    <xf borderId="0" fillId="0" fontId="3" numFmtId="0" xfId="0" applyAlignment="1" applyFont="1">
      <alignment vertical="center"/>
    </xf>
    <xf borderId="1" fillId="0" fontId="19" numFmtId="0" xfId="0" applyAlignment="1" applyBorder="1" applyFont="1">
      <alignment horizontal="center" vertical="center"/>
    </xf>
    <xf borderId="0" fillId="16" fontId="3" numFmtId="0" xfId="0" applyAlignment="1" applyFont="1">
      <alignment readingOrder="0" vertical="center"/>
    </xf>
    <xf borderId="0" fillId="16" fontId="3" numFmtId="0" xfId="0" applyAlignment="1" applyFont="1">
      <alignment vertical="center"/>
    </xf>
    <xf borderId="0" fillId="2" fontId="3" numFmtId="0" xfId="0" applyAlignment="1" applyFont="1">
      <alignment readingOrder="0" vertical="center"/>
    </xf>
    <xf borderId="0" fillId="2" fontId="3" numFmtId="0" xfId="0" applyAlignment="1" applyFont="1">
      <alignment vertical="center"/>
    </xf>
    <xf borderId="1" fillId="5" fontId="3" numFmtId="0" xfId="0" applyAlignment="1" applyBorder="1" applyFont="1">
      <alignment horizontal="right" shrinkToFit="0" wrapText="1"/>
    </xf>
    <xf borderId="1" fillId="12" fontId="3" numFmtId="173" xfId="0" applyAlignment="1" applyBorder="1" applyFont="1" applyNumberFormat="1">
      <alignment horizontal="center" readingOrder="0" vertical="center"/>
    </xf>
    <xf borderId="1" fillId="4" fontId="20" numFmtId="174" xfId="0" applyAlignment="1" applyBorder="1" applyFont="1" applyNumberFormat="1">
      <alignment horizontal="center" vertical="center"/>
    </xf>
    <xf borderId="1" fillId="12" fontId="21" numFmtId="173" xfId="0" applyAlignment="1" applyBorder="1" applyFont="1" applyNumberFormat="1">
      <alignment horizontal="center" readingOrder="0" vertical="center"/>
    </xf>
    <xf borderId="0" fillId="0" fontId="3" numFmtId="0" xfId="0" applyAlignment="1" applyFont="1">
      <alignment shrinkToFit="0" wrapText="0"/>
    </xf>
    <xf borderId="0" fillId="0" fontId="3" numFmtId="0" xfId="0" applyAlignment="1" applyFont="1">
      <alignment horizontal="center" readingOrder="0" shrinkToFit="0" vertical="center" wrapText="1"/>
    </xf>
    <xf borderId="0" fillId="0" fontId="3" numFmtId="175" xfId="0" applyAlignment="1" applyFont="1" applyNumberFormat="1">
      <alignment horizontal="center" readingOrder="0" shrinkToFit="0" vertical="center" wrapText="1"/>
    </xf>
    <xf borderId="0" fillId="0" fontId="3" numFmtId="0" xfId="0" applyAlignment="1" applyFont="1">
      <alignment horizontal="center" readingOrder="0" shrinkToFit="0" vertical="center" wrapText="0"/>
    </xf>
    <xf borderId="0" fillId="0" fontId="3" numFmtId="0" xfId="0" applyAlignment="1" applyFont="1">
      <alignment horizontal="left" readingOrder="0" shrinkToFit="0" vertical="center" wrapText="0"/>
    </xf>
    <xf borderId="0" fillId="0" fontId="11" numFmtId="0" xfId="0" applyAlignment="1" applyFont="1">
      <alignment horizontal="center" readingOrder="0" shrinkToFit="0" vertical="center" wrapText="0"/>
    </xf>
    <xf borderId="2" fillId="5" fontId="3" numFmtId="0" xfId="0" applyAlignment="1" applyBorder="1" applyFont="1">
      <alignment horizontal="left" readingOrder="0" vertical="top"/>
    </xf>
    <xf borderId="0" fillId="0" fontId="3" numFmtId="0" xfId="0" applyAlignment="1" applyFont="1">
      <alignment horizontal="right" readingOrder="0" shrinkToFit="0" vertical="center" wrapText="0"/>
    </xf>
    <xf borderId="0" fillId="0" fontId="22" numFmtId="0" xfId="0" applyAlignment="1" applyFont="1">
      <alignment horizontal="left" readingOrder="0" shrinkToFit="0" vertical="center" wrapText="0"/>
    </xf>
    <xf borderId="1" fillId="5" fontId="5" numFmtId="10" xfId="0" applyAlignment="1" applyBorder="1" applyFont="1" applyNumberFormat="1">
      <alignment horizontal="left" readingOrder="0" shrinkToFit="0" vertical="top" wrapText="0"/>
    </xf>
    <xf borderId="1" fillId="5" fontId="3" numFmtId="0" xfId="0" applyAlignment="1" applyBorder="1" applyFont="1">
      <alignment horizontal="left" shrinkToFit="0" vertical="top" wrapText="0"/>
    </xf>
    <xf borderId="1" fillId="5" fontId="5" numFmtId="0" xfId="0" applyAlignment="1" applyBorder="1" applyFont="1">
      <alignment horizontal="left" shrinkToFit="0" vertical="top" wrapText="0"/>
    </xf>
    <xf borderId="1" fillId="0" fontId="3" numFmtId="175" xfId="0" applyAlignment="1" applyBorder="1" applyFont="1" applyNumberFormat="1">
      <alignment horizontal="center" readingOrder="0" shrinkToFit="0" vertical="center" wrapText="1"/>
    </xf>
    <xf borderId="1" fillId="0" fontId="3" numFmtId="0" xfId="0" applyBorder="1" applyFont="1"/>
    <xf borderId="1" fillId="5" fontId="5" numFmtId="1" xfId="0" applyAlignment="1" applyBorder="1" applyFont="1" applyNumberFormat="1">
      <alignment shrinkToFit="0" vertical="center" wrapText="0"/>
    </xf>
    <xf borderId="0" fillId="0" fontId="5" numFmtId="1" xfId="0" applyAlignment="1" applyFont="1" applyNumberFormat="1">
      <alignment shrinkToFit="0" vertical="center" wrapText="0"/>
    </xf>
    <xf borderId="0" fillId="0" fontId="3" numFmtId="0" xfId="0" applyAlignment="1" applyFont="1">
      <alignment horizontal="center" shrinkToFit="0" wrapText="0"/>
    </xf>
    <xf borderId="0" fillId="0" fontId="5" numFmtId="1" xfId="0" applyAlignment="1" applyFont="1" applyNumberFormat="1">
      <alignment vertical="center"/>
    </xf>
    <xf borderId="2" fillId="10" fontId="23" numFmtId="0" xfId="0" applyAlignment="1" applyBorder="1" applyFont="1">
      <alignment horizontal="left" readingOrder="0" shrinkToFit="0" vertical="center" wrapText="1"/>
    </xf>
    <xf borderId="1" fillId="17" fontId="3" numFmtId="175" xfId="0" applyAlignment="1" applyBorder="1" applyFill="1" applyFont="1" applyNumberFormat="1">
      <alignment horizontal="center" readingOrder="0" shrinkToFit="0" vertical="center" wrapText="1"/>
    </xf>
    <xf borderId="1" fillId="17" fontId="11" numFmtId="0" xfId="0" applyAlignment="1" applyBorder="1" applyFont="1">
      <alignment horizontal="center" readingOrder="0" shrinkToFit="0" vertical="center" wrapText="1"/>
    </xf>
    <xf borderId="7" fillId="9" fontId="3" numFmtId="0" xfId="0" applyAlignment="1" applyBorder="1" applyFont="1">
      <alignment horizontal="center" readingOrder="0" shrinkToFit="0" vertical="center" wrapText="1"/>
    </xf>
    <xf borderId="2" fillId="17" fontId="11" numFmtId="0" xfId="0" applyAlignment="1" applyBorder="1" applyFont="1">
      <alignment horizontal="center" readingOrder="0" shrinkToFit="0" vertical="center" wrapText="0"/>
    </xf>
    <xf borderId="8" fillId="12" fontId="3" numFmtId="49" xfId="0" applyAlignment="1" applyBorder="1" applyFont="1" applyNumberFormat="1">
      <alignment horizontal="center" readingOrder="0" shrinkToFit="0" vertical="center" wrapText="1"/>
    </xf>
    <xf borderId="9" fillId="0" fontId="3" numFmtId="0" xfId="0" applyBorder="1" applyFont="1"/>
    <xf borderId="8" fillId="13" fontId="3" numFmtId="0" xfId="0" applyAlignment="1" applyBorder="1" applyFont="1">
      <alignment horizontal="center" readingOrder="0" shrinkToFit="0" vertical="center" wrapText="1"/>
    </xf>
    <xf borderId="8" fillId="14" fontId="3" numFmtId="0" xfId="0" applyAlignment="1" applyBorder="1" applyFont="1">
      <alignment horizontal="center" readingOrder="0" shrinkToFit="0" vertical="center" wrapText="1"/>
    </xf>
    <xf borderId="8" fillId="4" fontId="3" numFmtId="0" xfId="0" applyAlignment="1" applyBorder="1" applyFont="1">
      <alignment horizontal="center" readingOrder="0" shrinkToFit="0" vertical="center" wrapText="1"/>
    </xf>
    <xf borderId="1" fillId="8" fontId="3" numFmtId="0" xfId="0" applyAlignment="1" applyBorder="1" applyFont="1">
      <alignment horizontal="left" shrinkToFit="0" vertical="top" wrapText="0"/>
    </xf>
    <xf borderId="10" fillId="0" fontId="3" numFmtId="0" xfId="0" applyBorder="1" applyFont="1"/>
    <xf borderId="11" fillId="0" fontId="3" numFmtId="0" xfId="0" applyBorder="1" applyFont="1"/>
    <xf borderId="12" fillId="0" fontId="3" numFmtId="0" xfId="0" applyBorder="1" applyFont="1"/>
    <xf borderId="0" fillId="0" fontId="3" numFmtId="14" xfId="0" applyAlignment="1" applyFont="1" applyNumberFormat="1">
      <alignment horizontal="right" readingOrder="0" vertical="center"/>
    </xf>
    <xf borderId="1" fillId="0" fontId="3" numFmtId="175" xfId="0" applyAlignment="1" applyBorder="1" applyFont="1" applyNumberFormat="1">
      <alignment horizontal="right" readingOrder="0" vertical="center"/>
    </xf>
    <xf borderId="6" fillId="0" fontId="3" numFmtId="0" xfId="0" applyBorder="1" applyFont="1"/>
    <xf borderId="1" fillId="0" fontId="5" numFmtId="0" xfId="0" applyAlignment="1" applyBorder="1" applyFont="1">
      <alignment horizontal="center" readingOrder="0" shrinkToFit="0" vertical="center" wrapText="0"/>
    </xf>
    <xf borderId="13" fillId="0" fontId="3" numFmtId="0" xfId="0" applyBorder="1" applyFont="1"/>
    <xf borderId="5" fillId="0" fontId="3" numFmtId="0" xfId="0" applyBorder="1" applyFont="1"/>
    <xf borderId="2" fillId="0" fontId="3" numFmtId="0" xfId="0" applyAlignment="1" applyBorder="1" applyFont="1">
      <alignment readingOrder="0" shrinkToFit="0" wrapText="1"/>
    </xf>
    <xf borderId="0" fillId="0" fontId="12" numFmtId="0" xfId="0" applyAlignment="1" applyFont="1">
      <alignment readingOrder="0" shrinkToFit="0" vertical="top" wrapText="1"/>
    </xf>
    <xf borderId="0" fillId="0" fontId="3" numFmtId="0" xfId="0" applyAlignment="1" applyFont="1">
      <alignment readingOrder="0" shrinkToFit="0" wrapText="1"/>
    </xf>
    <xf borderId="0" fillId="0" fontId="11" numFmtId="0" xfId="0" applyAlignment="1" applyFont="1">
      <alignment horizontal="center" readingOrder="0" shrinkToFit="0" vertical="center" wrapText="1"/>
    </xf>
    <xf borderId="0" fillId="0" fontId="3" numFmtId="0" xfId="0" applyAlignment="1" applyFont="1">
      <alignment horizontal="center"/>
    </xf>
    <xf borderId="1" fillId="0" fontId="3" numFmtId="0" xfId="0" applyAlignment="1" applyBorder="1" applyFont="1">
      <alignment horizontal="center" readingOrder="0" vertical="center"/>
    </xf>
    <xf borderId="2" fillId="0" fontId="3" numFmtId="0" xfId="0" applyAlignment="1" applyBorder="1" applyFont="1">
      <alignment readingOrder="0" shrinkToFit="0" vertical="center" wrapText="1"/>
    </xf>
    <xf borderId="1" fillId="17" fontId="3" numFmtId="0" xfId="0" applyAlignment="1" applyBorder="1" applyFont="1">
      <alignment horizontal="center" readingOrder="0" shrinkToFit="0" vertical="center" wrapText="1"/>
    </xf>
    <xf borderId="2" fillId="17" fontId="3" numFmtId="0" xfId="0" applyAlignment="1" applyBorder="1" applyFont="1">
      <alignment horizontal="center" readingOrder="0" shrinkToFit="0" vertical="center" wrapText="0"/>
    </xf>
    <xf borderId="1" fillId="0" fontId="3" numFmtId="0" xfId="0" applyAlignment="1" applyBorder="1" applyFont="1">
      <alignment horizontal="right" readingOrder="0" vertical="center"/>
    </xf>
    <xf borderId="2" fillId="0" fontId="3" numFmtId="0" xfId="0" applyAlignment="1" applyBorder="1" applyFont="1">
      <alignment horizontal="left" readingOrder="0" shrinkToFit="0" vertical="center" wrapText="1"/>
    </xf>
    <xf borderId="1" fillId="0" fontId="3" numFmtId="14" xfId="0" applyAlignment="1" applyBorder="1" applyFont="1" applyNumberFormat="1">
      <alignment horizontal="center" readingOrder="0" vertical="center"/>
    </xf>
    <xf borderId="2" fillId="0" fontId="3" numFmtId="0" xfId="0" applyAlignment="1" applyBorder="1" applyFont="1">
      <alignment readingOrder="0" shrinkToFit="0" vertical="center" wrapText="1"/>
    </xf>
    <xf borderId="0" fillId="0" fontId="3" numFmtId="0" xfId="0" applyAlignment="1" applyFont="1">
      <alignment readingOrder="0" shrinkToFit="0" vertical="center" wrapText="1"/>
    </xf>
    <xf borderId="2" fillId="0" fontId="3" numFmtId="0" xfId="0" applyAlignment="1" applyBorder="1" applyFont="1">
      <alignment horizontal="left" readingOrder="0" shrinkToFit="0" vertical="center" wrapText="1"/>
    </xf>
    <xf borderId="0" fillId="0" fontId="3" numFmtId="0" xfId="0" applyAlignment="1" applyFont="1">
      <alignment readingOrder="0"/>
    </xf>
    <xf borderId="0" fillId="0" fontId="3" numFmtId="0" xfId="0" applyAlignment="1" applyFont="1">
      <alignment horizontal="center" readingOrder="0" vertical="center"/>
    </xf>
    <xf borderId="7" fillId="0" fontId="3" numFmtId="175" xfId="0" applyAlignment="1" applyBorder="1" applyFont="1" applyNumberFormat="1">
      <alignment horizontal="right" readingOrder="0" vertical="center"/>
    </xf>
    <xf borderId="7" fillId="0" fontId="3" numFmtId="0" xfId="0" applyAlignment="1" applyBorder="1" applyFont="1">
      <alignment horizontal="center" readingOrder="0" vertical="center"/>
    </xf>
    <xf borderId="8" fillId="0" fontId="3" numFmtId="0" xfId="0" applyAlignment="1" applyBorder="1" applyFont="1">
      <alignment horizontal="left" readingOrder="0" shrinkToFit="0" vertical="center" wrapText="1"/>
    </xf>
    <xf borderId="14" fillId="0" fontId="3" numFmtId="0" xfId="0" applyBorder="1" applyFont="1"/>
    <xf borderId="15" fillId="0" fontId="3" numFmtId="0" xfId="0" applyBorder="1" applyFont="1"/>
    <xf borderId="1" fillId="10" fontId="5" numFmtId="164" xfId="0" applyAlignment="1" applyBorder="1" applyFont="1" applyNumberFormat="1">
      <alignment horizontal="right" readingOrder="0" shrinkToFit="0" vertical="center" wrapText="0"/>
    </xf>
    <xf borderId="0" fillId="0" fontId="3" numFmtId="0" xfId="0" applyAlignment="1" applyFont="1">
      <alignment shrinkToFit="0" vertical="center" wrapText="1"/>
    </xf>
    <xf borderId="0" fillId="0" fontId="5" numFmtId="0" xfId="0" applyAlignment="1" applyFont="1">
      <alignment horizontal="left" readingOrder="0" shrinkToFit="0" vertical="center" wrapText="0"/>
    </xf>
    <xf borderId="1" fillId="0" fontId="5" numFmtId="0" xfId="0" applyAlignment="1" applyBorder="1" applyFont="1">
      <alignment readingOrder="0" vertical="center"/>
    </xf>
    <xf borderId="4" fillId="0" fontId="4" numFmtId="0" xfId="0" applyAlignment="1" applyBorder="1" applyFont="1">
      <alignment horizontal="center" vertical="center"/>
    </xf>
    <xf borderId="3" fillId="0" fontId="4" numFmtId="0" xfId="0" applyAlignment="1" applyBorder="1" applyFont="1">
      <alignment horizontal="left" readingOrder="0" shrinkToFit="0" vertical="center" wrapText="1"/>
    </xf>
    <xf borderId="0" fillId="0" fontId="3" numFmtId="0" xfId="0" applyAlignment="1" applyFont="1">
      <alignment vertical="center"/>
    </xf>
    <xf borderId="0" fillId="0" fontId="5" numFmtId="164" xfId="0" applyAlignment="1" applyFont="1" applyNumberFormat="1">
      <alignment readingOrder="0" vertical="center"/>
    </xf>
    <xf borderId="1" fillId="0" fontId="3" numFmtId="0" xfId="0" applyAlignment="1" applyBorder="1" applyFont="1">
      <alignment horizontal="center" readingOrder="0" shrinkToFit="0" vertical="center" wrapText="1"/>
    </xf>
    <xf borderId="0" fillId="18" fontId="24" numFmtId="0" xfId="0" applyAlignment="1" applyFill="1" applyFont="1">
      <alignment horizontal="center" vertical="center"/>
    </xf>
    <xf borderId="0" fillId="18" fontId="24" numFmtId="0" xfId="0" applyAlignment="1" applyFont="1">
      <alignment vertical="center"/>
    </xf>
    <xf borderId="0" fillId="18" fontId="24" numFmtId="0" xfId="0" applyAlignment="1" applyFont="1">
      <alignment horizontal="right" readingOrder="0" vertical="center"/>
    </xf>
    <xf borderId="1" fillId="0" fontId="25" numFmtId="176" xfId="0" applyAlignment="1" applyBorder="1" applyFont="1" applyNumberFormat="1">
      <alignment horizontal="center" readingOrder="0" shrinkToFit="0" vertical="center" wrapText="0"/>
    </xf>
    <xf borderId="0" fillId="18" fontId="26" numFmtId="0" xfId="0" applyAlignment="1" applyFont="1">
      <alignment horizontal="left" readingOrder="0" vertical="center"/>
    </xf>
    <xf borderId="0" fillId="18" fontId="24" numFmtId="0" xfId="0" applyAlignment="1" applyFont="1">
      <alignment horizontal="left" readingOrder="0" vertical="center"/>
    </xf>
    <xf borderId="0" fillId="18" fontId="24" numFmtId="0" xfId="0" applyAlignment="1" applyFont="1">
      <alignment readingOrder="0" vertical="center"/>
    </xf>
    <xf borderId="0" fillId="18" fontId="24" numFmtId="0" xfId="0" applyAlignment="1" applyFont="1">
      <alignment readingOrder="0" vertical="center"/>
    </xf>
    <xf borderId="0" fillId="18" fontId="3" numFmtId="0" xfId="0" applyFont="1"/>
    <xf borderId="0" fillId="18" fontId="23" numFmtId="0" xfId="0" applyAlignment="1" applyFont="1">
      <alignment vertical="center"/>
    </xf>
    <xf borderId="0" fillId="18" fontId="23" numFmtId="0" xfId="0" applyAlignment="1" applyFont="1">
      <alignment horizontal="left" vertical="center"/>
    </xf>
    <xf borderId="0" fillId="18" fontId="23" numFmtId="0" xfId="0" applyAlignment="1" applyFont="1">
      <alignment vertical="center"/>
    </xf>
    <xf borderId="0" fillId="18" fontId="23" numFmtId="0" xfId="0" applyAlignment="1" applyFont="1">
      <alignment horizontal="right" vertical="center"/>
    </xf>
    <xf borderId="0" fillId="18" fontId="23" numFmtId="0" xfId="0" applyAlignment="1" applyFont="1">
      <alignment horizontal="center" vertical="center"/>
    </xf>
    <xf borderId="0" fillId="18" fontId="23" numFmtId="0" xfId="0" applyAlignment="1" applyFont="1">
      <alignment shrinkToFit="0" vertical="center" wrapText="0"/>
    </xf>
    <xf borderId="0" fillId="18" fontId="23" numFmtId="0" xfId="0" applyAlignment="1" applyFont="1">
      <alignment horizontal="left" shrinkToFit="0" vertical="center" wrapText="0"/>
    </xf>
    <xf borderId="16" fillId="19" fontId="3" numFmtId="0" xfId="0" applyAlignment="1" applyBorder="1" applyFill="1" applyFont="1">
      <alignment horizontal="right" readingOrder="0" vertical="center"/>
    </xf>
    <xf borderId="17" fillId="19" fontId="23" numFmtId="0" xfId="0" applyAlignment="1" applyBorder="1" applyFont="1">
      <alignment horizontal="left" vertical="center"/>
    </xf>
    <xf borderId="18" fillId="0" fontId="3" numFmtId="0" xfId="0" applyBorder="1" applyFont="1"/>
    <xf borderId="16" fillId="19" fontId="3" numFmtId="177" xfId="0" applyAlignment="1" applyBorder="1" applyFont="1" applyNumberFormat="1">
      <alignment horizontal="left" vertical="center"/>
    </xf>
    <xf borderId="17" fillId="19" fontId="3" numFmtId="0" xfId="0" applyAlignment="1" applyBorder="1" applyFont="1">
      <alignment horizontal="right" readingOrder="0" vertical="center"/>
    </xf>
    <xf borderId="16" fillId="19" fontId="3" numFmtId="0" xfId="0" applyAlignment="1" applyBorder="1" applyFont="1">
      <alignment horizontal="left" vertical="center"/>
    </xf>
    <xf borderId="2" fillId="0" fontId="3" numFmtId="0" xfId="0" applyAlignment="1" applyBorder="1" applyFont="1">
      <alignment horizontal="left" readingOrder="0" shrinkToFit="0" vertical="center" wrapText="1"/>
    </xf>
    <xf borderId="17" fillId="19" fontId="3" numFmtId="0" xfId="0" applyAlignment="1" applyBorder="1" applyFont="1">
      <alignment horizontal="right" vertical="center"/>
    </xf>
    <xf borderId="16" fillId="19" fontId="3" numFmtId="178" xfId="0" applyAlignment="1" applyBorder="1" applyFont="1" applyNumberFormat="1">
      <alignment horizontal="left" vertical="center"/>
    </xf>
    <xf borderId="0" fillId="18" fontId="23" numFmtId="0" xfId="0" applyAlignment="1" applyFont="1">
      <alignment horizontal="left" readingOrder="0" shrinkToFit="0" vertical="center" wrapText="1"/>
    </xf>
    <xf borderId="0" fillId="18" fontId="27" numFmtId="0" xfId="0" applyAlignment="1" applyFont="1">
      <alignment horizontal="left" vertical="center"/>
    </xf>
    <xf borderId="0" fillId="18" fontId="27" numFmtId="0" xfId="0" applyAlignment="1" applyFont="1">
      <alignment horizontal="left" shrinkToFit="0" vertical="center" wrapText="1"/>
    </xf>
    <xf borderId="0" fillId="18" fontId="27" numFmtId="0" xfId="0" applyAlignment="1" applyFont="1">
      <alignment vertical="center"/>
    </xf>
    <xf borderId="0" fillId="18" fontId="27" numFmtId="0" xfId="0" applyAlignment="1" applyFont="1">
      <alignment horizontal="right" vertical="center"/>
    </xf>
    <xf borderId="0" fillId="18" fontId="27" numFmtId="0" xfId="0" applyAlignment="1" applyFont="1">
      <alignment horizontal="center" vertical="center"/>
    </xf>
    <xf borderId="0" fillId="18" fontId="27" numFmtId="0" xfId="0" applyAlignment="1" applyFont="1">
      <alignment shrinkToFit="0" vertical="center" wrapText="0"/>
    </xf>
    <xf borderId="0" fillId="18" fontId="27" numFmtId="0" xfId="0" applyAlignment="1" applyFont="1">
      <alignment horizontal="left" shrinkToFit="0" vertical="center" wrapText="0"/>
    </xf>
    <xf borderId="0" fillId="18" fontId="23" numFmtId="0" xfId="0" applyAlignment="1" applyFont="1">
      <alignment vertical="center"/>
    </xf>
    <xf borderId="19" fillId="5" fontId="23" numFmtId="0" xfId="0" applyAlignment="1" applyBorder="1" applyFont="1">
      <alignment horizontal="left" vertical="center"/>
    </xf>
    <xf borderId="19" fillId="6" fontId="23" numFmtId="0" xfId="0" applyAlignment="1" applyBorder="1" applyFont="1">
      <alignment horizontal="left" vertical="center"/>
    </xf>
    <xf borderId="19" fillId="6" fontId="23" numFmtId="0" xfId="0" applyAlignment="1" applyBorder="1" applyFont="1">
      <alignment vertical="center"/>
    </xf>
    <xf borderId="19" fillId="6" fontId="23" numFmtId="0" xfId="0" applyAlignment="1" applyBorder="1" applyFont="1">
      <alignment horizontal="right" vertical="center"/>
    </xf>
    <xf borderId="19" fillId="5" fontId="23" numFmtId="0" xfId="0" applyAlignment="1" applyBorder="1" applyFont="1">
      <alignment horizontal="right" vertical="center"/>
    </xf>
    <xf borderId="1" fillId="0" fontId="3" numFmtId="172" xfId="0" applyAlignment="1" applyBorder="1" applyFont="1" applyNumberFormat="1">
      <alignment horizontal="right" readingOrder="0" vertical="center"/>
    </xf>
    <xf borderId="19" fillId="5" fontId="23" numFmtId="0" xfId="0" applyAlignment="1" applyBorder="1" applyFont="1">
      <alignment horizontal="center" vertical="center"/>
    </xf>
    <xf borderId="19" fillId="4" fontId="23" numFmtId="0" xfId="0" applyAlignment="1" applyBorder="1" applyFont="1">
      <alignment shrinkToFit="0" vertical="center" wrapText="0"/>
    </xf>
    <xf borderId="19" fillId="4" fontId="23" numFmtId="0" xfId="0" applyAlignment="1" applyBorder="1" applyFont="1">
      <alignment horizontal="left" shrinkToFit="0" vertical="center" wrapText="0"/>
    </xf>
    <xf borderId="19" fillId="4" fontId="23" numFmtId="0" xfId="0" applyAlignment="1" applyBorder="1" applyFont="1">
      <alignment horizontal="left" vertical="center"/>
    </xf>
    <xf borderId="19" fillId="4" fontId="23" numFmtId="0" xfId="0" applyAlignment="1" applyBorder="1" applyFont="1">
      <alignment horizontal="center" vertical="center"/>
    </xf>
    <xf borderId="19" fillId="4" fontId="23" numFmtId="0" xfId="0" applyAlignment="1" applyBorder="1" applyFont="1">
      <alignment horizontal="right" vertical="center"/>
    </xf>
    <xf borderId="19" fillId="4" fontId="23" numFmtId="0" xfId="0" applyAlignment="1" applyBorder="1" applyFont="1">
      <alignment vertical="center"/>
    </xf>
    <xf borderId="19" fillId="5" fontId="23" numFmtId="0" xfId="0" applyAlignment="1" applyBorder="1" applyFont="1">
      <alignment vertical="center"/>
    </xf>
    <xf borderId="16" fillId="5" fontId="23" numFmtId="0" xfId="0" applyAlignment="1" applyBorder="1" applyFont="1">
      <alignment horizontal="right" vertical="center"/>
    </xf>
    <xf borderId="16" fillId="5" fontId="23" numFmtId="0" xfId="0" applyAlignment="1" applyBorder="1" applyFont="1">
      <alignment vertical="center"/>
    </xf>
    <xf borderId="16" fillId="19" fontId="28" numFmtId="0" xfId="0" applyAlignment="1" applyBorder="1" applyFont="1">
      <alignment horizontal="left" shrinkToFit="0" vertical="center" wrapText="1"/>
    </xf>
    <xf borderId="16" fillId="19" fontId="28" numFmtId="0" xfId="0" applyAlignment="1" applyBorder="1" applyFont="1">
      <alignment horizontal="left" shrinkToFit="0" vertical="center" wrapText="1"/>
    </xf>
    <xf borderId="16" fillId="19" fontId="28" numFmtId="0" xfId="0" applyAlignment="1" applyBorder="1" applyFont="1">
      <alignment shrinkToFit="0" vertical="center" wrapText="1"/>
    </xf>
    <xf borderId="16" fillId="19" fontId="28" numFmtId="0" xfId="0" applyAlignment="1" applyBorder="1" applyFont="1">
      <alignment horizontal="right" shrinkToFit="0" vertical="center" wrapText="1"/>
    </xf>
    <xf borderId="16" fillId="19" fontId="28" numFmtId="0" xfId="0" applyAlignment="1" applyBorder="1" applyFont="1">
      <alignment horizontal="center" shrinkToFit="0" vertical="center" wrapText="1"/>
    </xf>
    <xf borderId="16" fillId="19" fontId="23" numFmtId="0" xfId="0" applyAlignment="1" applyBorder="1" applyFont="1">
      <alignment shrinkToFit="0" vertical="center" wrapText="1"/>
    </xf>
    <xf borderId="16" fillId="19" fontId="28" numFmtId="0" xfId="0" applyAlignment="1" applyBorder="1" applyFont="1">
      <alignment horizontal="left" shrinkToFit="0" vertical="center" wrapText="0"/>
    </xf>
    <xf borderId="16" fillId="19" fontId="28" numFmtId="0" xfId="0" applyAlignment="1" applyBorder="1" applyFont="1">
      <alignment horizontal="left" shrinkToFit="0" vertical="center" wrapText="0"/>
    </xf>
    <xf borderId="16" fillId="19" fontId="28" numFmtId="0" xfId="0" applyAlignment="1" applyBorder="1" applyFont="1">
      <alignment shrinkToFit="0" vertical="center" wrapText="0"/>
    </xf>
    <xf borderId="16" fillId="19" fontId="28" numFmtId="0" xfId="0" applyAlignment="1" applyBorder="1" applyFont="1">
      <alignment horizontal="right" shrinkToFit="0" vertical="center" wrapText="0"/>
    </xf>
    <xf borderId="16" fillId="19" fontId="0" numFmtId="0" xfId="0" applyAlignment="1" applyBorder="1" applyFont="1">
      <alignment horizontal="center" shrinkToFit="0" vertical="center" wrapText="0"/>
    </xf>
    <xf borderId="16" fillId="19" fontId="12" numFmtId="0" xfId="0" applyAlignment="1" applyBorder="1" applyFont="1">
      <alignment horizontal="center" shrinkToFit="0" vertical="center" wrapText="0"/>
    </xf>
    <xf borderId="16" fillId="19" fontId="28" numFmtId="0" xfId="0" applyAlignment="1" applyBorder="1" applyFont="1">
      <alignment horizontal="center" shrinkToFit="0" vertical="center" wrapText="0"/>
    </xf>
    <xf borderId="16" fillId="19" fontId="23" numFmtId="0" xfId="0" applyAlignment="1" applyBorder="1" applyFont="1">
      <alignment shrinkToFit="0" vertical="center" wrapText="0"/>
    </xf>
    <xf borderId="0" fillId="18" fontId="3" numFmtId="0" xfId="0" applyAlignment="1" applyFont="1">
      <alignment shrinkToFit="0" wrapText="0"/>
    </xf>
    <xf borderId="16" fillId="19" fontId="28" numFmtId="0" xfId="0" applyAlignment="1" applyBorder="1" applyFont="1">
      <alignment horizontal="left" vertical="center"/>
    </xf>
    <xf borderId="16" fillId="19" fontId="28" numFmtId="0" xfId="0" applyAlignment="1" applyBorder="1" applyFont="1">
      <alignment horizontal="left" vertical="center"/>
    </xf>
    <xf borderId="16" fillId="19" fontId="28" numFmtId="0" xfId="0" applyAlignment="1" applyBorder="1" applyFont="1">
      <alignment vertical="center"/>
    </xf>
    <xf borderId="16" fillId="19" fontId="28" numFmtId="0" xfId="0" applyAlignment="1" applyBorder="1" applyFont="1">
      <alignment horizontal="right" vertical="center"/>
    </xf>
    <xf borderId="2" fillId="10" fontId="3" numFmtId="0" xfId="0" applyAlignment="1" applyBorder="1" applyFont="1">
      <alignment horizontal="left" readingOrder="0" shrinkToFit="0" vertical="center" wrapText="1"/>
    </xf>
    <xf borderId="16" fillId="19" fontId="28" numFmtId="0" xfId="0" applyAlignment="1" applyBorder="1" applyFont="1">
      <alignment horizontal="center" vertical="center"/>
    </xf>
    <xf borderId="0" fillId="0" fontId="3" numFmtId="175" xfId="0" applyAlignment="1" applyFont="1" applyNumberFormat="1">
      <alignment horizontal="right" readingOrder="0" vertical="center"/>
    </xf>
    <xf borderId="0" fillId="0" fontId="3" numFmtId="0" xfId="0" applyAlignment="1" applyFont="1">
      <alignment readingOrder="0" shrinkToFit="0" vertical="center" wrapText="1"/>
    </xf>
    <xf borderId="16" fillId="19" fontId="23" numFmtId="0" xfId="0" applyAlignment="1" applyBorder="1" applyFont="1">
      <alignment vertical="center"/>
    </xf>
    <xf borderId="2" fillId="17" fontId="11" numFmtId="0" xfId="0" applyAlignment="1" applyBorder="1" applyFont="1">
      <alignment horizontal="center" readingOrder="0" shrinkToFit="0" vertical="center" wrapText="1"/>
    </xf>
    <xf borderId="1" fillId="0" fontId="5" numFmtId="3" xfId="0" applyAlignment="1" applyBorder="1" applyFont="1" applyNumberFormat="1">
      <alignment horizontal="left" vertical="center"/>
    </xf>
    <xf borderId="1" fillId="0" fontId="5" numFmtId="164" xfId="0" applyAlignment="1" applyBorder="1" applyFont="1" applyNumberFormat="1">
      <alignment horizontal="right" vertical="center"/>
    </xf>
    <xf borderId="16" fillId="19" fontId="28" numFmtId="0" xfId="0" applyAlignment="1" applyBorder="1" applyFont="1">
      <alignment horizontal="left" readingOrder="0" vertical="center"/>
    </xf>
    <xf borderId="16" fillId="19" fontId="28" numFmtId="0" xfId="0" applyAlignment="1" applyBorder="1" applyFont="1">
      <alignment horizontal="left" readingOrder="0" vertical="center"/>
    </xf>
    <xf borderId="1" fillId="0" fontId="5" numFmtId="164" xfId="0" applyAlignment="1" applyBorder="1" applyFont="1" applyNumberFormat="1">
      <alignment horizontal="right" readingOrder="0" vertical="center"/>
    </xf>
    <xf borderId="16" fillId="19" fontId="28" numFmtId="0" xfId="0" applyAlignment="1" applyBorder="1" applyFont="1">
      <alignment readingOrder="0" vertical="center"/>
    </xf>
    <xf borderId="1" fillId="10" fontId="5" numFmtId="0" xfId="0" applyAlignment="1" applyBorder="1" applyFont="1">
      <alignment horizontal="left" vertical="center"/>
    </xf>
    <xf borderId="1" fillId="0" fontId="5" numFmtId="3" xfId="0" applyAlignment="1" applyBorder="1" applyFont="1" applyNumberFormat="1">
      <alignment horizontal="right" readingOrder="0" vertical="top"/>
    </xf>
    <xf borderId="1" fillId="20" fontId="5" numFmtId="169" xfId="0" applyAlignment="1" applyBorder="1" applyFill="1" applyFont="1" applyNumberFormat="1">
      <alignment horizontal="center" shrinkToFit="0" vertical="center" wrapText="0"/>
    </xf>
    <xf borderId="20" fillId="19" fontId="28" numFmtId="0" xfId="0" applyAlignment="1" applyBorder="1" applyFont="1">
      <alignment horizontal="left" readingOrder="0" vertical="center"/>
    </xf>
    <xf borderId="1" fillId="0" fontId="5" numFmtId="3" xfId="0" applyAlignment="1" applyBorder="1" applyFont="1" applyNumberFormat="1">
      <alignment horizontal="center" readingOrder="0" vertical="center"/>
    </xf>
    <xf borderId="20" fillId="19" fontId="28" numFmtId="0" xfId="0" applyAlignment="1" applyBorder="1" applyFont="1">
      <alignment horizontal="left" readingOrder="0" vertical="center"/>
    </xf>
    <xf borderId="1" fillId="10" fontId="5" numFmtId="0" xfId="0" applyAlignment="1" applyBorder="1" applyFont="1">
      <alignment horizontal="center" vertical="center"/>
    </xf>
    <xf borderId="1" fillId="5" fontId="5" numFmtId="4" xfId="0" applyAlignment="1" applyBorder="1" applyFont="1" applyNumberFormat="1">
      <alignment horizontal="center" vertical="center"/>
    </xf>
    <xf borderId="20" fillId="19" fontId="28" numFmtId="0" xfId="0" applyAlignment="1" applyBorder="1" applyFont="1">
      <alignment readingOrder="0" vertical="center"/>
    </xf>
    <xf borderId="20" fillId="19" fontId="28" numFmtId="0" xfId="0" applyAlignment="1" applyBorder="1" applyFont="1">
      <alignment vertical="center"/>
    </xf>
    <xf borderId="1" fillId="0" fontId="5" numFmtId="3" xfId="0" applyAlignment="1" applyBorder="1" applyFont="1" applyNumberFormat="1">
      <alignment horizontal="center" vertical="center"/>
    </xf>
    <xf borderId="20" fillId="19" fontId="28" numFmtId="0" xfId="0" applyAlignment="1" applyBorder="1" applyFont="1">
      <alignment horizontal="right" vertical="center"/>
    </xf>
    <xf borderId="1" fillId="21" fontId="5" numFmtId="3" xfId="0" applyAlignment="1" applyBorder="1" applyFill="1" applyFont="1" applyNumberFormat="1">
      <alignment vertical="center"/>
    </xf>
    <xf borderId="20" fillId="19" fontId="28" numFmtId="0" xfId="0" applyAlignment="1" applyBorder="1" applyFont="1">
      <alignment horizontal="center" vertical="center"/>
    </xf>
    <xf borderId="1" fillId="5" fontId="5" numFmtId="10" xfId="0" applyAlignment="1" applyBorder="1" applyFont="1" applyNumberFormat="1">
      <alignment horizontal="center" vertical="center"/>
    </xf>
    <xf borderId="20" fillId="19" fontId="28" numFmtId="0" xfId="0" applyAlignment="1" applyBorder="1" applyFont="1">
      <alignment shrinkToFit="0" vertical="center" wrapText="0"/>
    </xf>
    <xf borderId="1" fillId="5" fontId="5" numFmtId="170" xfId="0" applyAlignment="1" applyBorder="1" applyFont="1" applyNumberFormat="1">
      <alignment horizontal="center" vertical="center"/>
    </xf>
    <xf borderId="20" fillId="19" fontId="28" numFmtId="0" xfId="0" applyAlignment="1" applyBorder="1" applyFont="1">
      <alignment horizontal="left" shrinkToFit="0" vertical="center" wrapText="0"/>
    </xf>
    <xf borderId="1" fillId="5" fontId="5" numFmtId="1" xfId="0" applyAlignment="1" applyBorder="1" applyFont="1" applyNumberFormat="1">
      <alignment horizontal="center" vertical="center"/>
    </xf>
    <xf borderId="20" fillId="19" fontId="28" numFmtId="0" xfId="0" applyAlignment="1" applyBorder="1" applyFont="1">
      <alignment horizontal="left" vertical="center"/>
    </xf>
    <xf borderId="1" fillId="0" fontId="5" numFmtId="0" xfId="0" applyAlignment="1" applyBorder="1" applyFont="1">
      <alignment horizontal="left" vertical="center"/>
    </xf>
    <xf borderId="20" fillId="19" fontId="23" numFmtId="0" xfId="0" applyAlignment="1" applyBorder="1" applyFont="1">
      <alignment vertical="center"/>
    </xf>
    <xf borderId="1" fillId="0" fontId="5" numFmtId="9" xfId="0" applyAlignment="1" applyBorder="1" applyFont="1" applyNumberFormat="1">
      <alignment vertical="center"/>
    </xf>
    <xf borderId="1" fillId="0" fontId="5" numFmtId="0" xfId="0" applyAlignment="1" applyBorder="1" applyFont="1">
      <alignment vertical="center"/>
    </xf>
    <xf borderId="16" fillId="19" fontId="23" numFmtId="0" xfId="0" applyAlignment="1" applyBorder="1" applyFont="1">
      <alignment horizontal="left" readingOrder="0" vertical="center"/>
    </xf>
    <xf borderId="16" fillId="19" fontId="23" numFmtId="0" xfId="0" applyAlignment="1" applyBorder="1" applyFont="1">
      <alignment readingOrder="0" vertical="center"/>
    </xf>
    <xf borderId="16" fillId="19" fontId="23" numFmtId="0" xfId="0" applyAlignment="1" applyBorder="1" applyFont="1">
      <alignment readingOrder="0" vertical="center"/>
    </xf>
    <xf borderId="2" fillId="10" fontId="3" numFmtId="0" xfId="0" applyAlignment="1" applyBorder="1" applyFont="1">
      <alignment readingOrder="0" shrinkToFit="0" vertical="center" wrapText="1"/>
    </xf>
    <xf borderId="16" fillId="19" fontId="23" numFmtId="0" xfId="0" applyAlignment="1" applyBorder="1" applyFont="1">
      <alignment horizontal="right" vertical="center"/>
    </xf>
    <xf borderId="16" fillId="19" fontId="23" numFmtId="0" xfId="0" applyAlignment="1" applyBorder="1" applyFont="1">
      <alignment horizontal="center" vertical="center"/>
    </xf>
    <xf borderId="16" fillId="19" fontId="23" numFmtId="0" xfId="0" applyAlignment="1" applyBorder="1" applyFont="1">
      <alignment horizontal="left" shrinkToFit="0" vertical="center" wrapText="0"/>
    </xf>
    <xf borderId="16" fillId="19" fontId="23" numFmtId="0" xfId="0" applyAlignment="1" applyBorder="1" applyFont="1">
      <alignment horizontal="left" vertical="center"/>
    </xf>
    <xf borderId="0" fillId="18" fontId="23" numFmtId="0" xfId="0" applyAlignment="1" applyFont="1">
      <alignment readingOrder="0" vertical="center"/>
    </xf>
    <xf borderId="16" fillId="19" fontId="23" numFmtId="0" xfId="0" applyAlignment="1" applyBorder="1" applyFont="1">
      <alignment horizontal="right" readingOrder="0" vertical="center"/>
    </xf>
    <xf borderId="16" fillId="19" fontId="23" numFmtId="0" xfId="0" applyAlignment="1" applyBorder="1" applyFont="1">
      <alignment horizontal="center" readingOrder="0" vertical="center"/>
    </xf>
    <xf borderId="16" fillId="19" fontId="23" numFmtId="0" xfId="0" applyAlignment="1" applyBorder="1" applyFont="1">
      <alignment readingOrder="0" shrinkToFit="0" vertical="center" wrapText="0"/>
    </xf>
    <xf borderId="16" fillId="19" fontId="23" numFmtId="0" xfId="0" applyAlignment="1" applyBorder="1" applyFont="1">
      <alignment horizontal="left" readingOrder="0" shrinkToFit="0" vertical="center" wrapText="0"/>
    </xf>
    <xf borderId="16" fillId="19" fontId="23" numFmtId="0" xfId="0" applyAlignment="1" applyBorder="1" applyFont="1">
      <alignment vertical="center"/>
    </xf>
    <xf borderId="16" fillId="19" fontId="23" numFmtId="0" xfId="0" applyAlignment="1" applyBorder="1" applyFont="1">
      <alignment horizontal="left" vertical="center"/>
    </xf>
    <xf borderId="16" fillId="19" fontId="23" numFmtId="0" xfId="0" applyAlignment="1" applyBorder="1" applyFont="1">
      <alignment vertical="center"/>
    </xf>
    <xf borderId="16" fillId="19" fontId="23" numFmtId="0" xfId="0" applyAlignment="1" applyBorder="1" applyFont="1">
      <alignment vertical="center"/>
    </xf>
    <xf borderId="16" fillId="19" fontId="23" numFmtId="0" xfId="0" applyAlignment="1" applyBorder="1" applyFont="1">
      <alignment horizontal="right" vertical="center"/>
    </xf>
    <xf borderId="16" fillId="19" fontId="23" numFmtId="0" xfId="0" applyAlignment="1" applyBorder="1" applyFont="1">
      <alignment horizontal="center" vertical="center"/>
    </xf>
    <xf borderId="16" fillId="19" fontId="23" numFmtId="0" xfId="0" applyAlignment="1" applyBorder="1" applyFont="1">
      <alignment shrinkToFit="0" vertical="center" wrapText="0"/>
    </xf>
    <xf borderId="16" fillId="19" fontId="23" numFmtId="0" xfId="0" applyAlignment="1" applyBorder="1" applyFont="1">
      <alignment horizontal="left" shrinkToFit="0" vertical="center" wrapText="0"/>
    </xf>
    <xf borderId="0" fillId="0" fontId="3" numFmtId="0" xfId="0" applyAlignment="1" applyFont="1">
      <alignment horizontal="center" readingOrder="0" shrinkToFit="0" vertical="center" wrapText="1"/>
    </xf>
    <xf borderId="0" fillId="0" fontId="11" numFmtId="0" xfId="0" applyAlignment="1" applyFont="1">
      <alignment horizontal="center" readingOrder="0" shrinkToFit="0" vertical="center" wrapText="1"/>
    </xf>
    <xf borderId="0" fillId="0" fontId="3" numFmtId="0" xfId="0" applyAlignment="1" applyFont="1">
      <alignment horizontal="left" shrinkToFit="0" vertical="center" wrapText="1"/>
    </xf>
    <xf borderId="21" fillId="0" fontId="11" numFmtId="0" xfId="0" applyAlignment="1" applyBorder="1" applyFont="1">
      <alignment horizontal="left" readingOrder="0" shrinkToFit="0" vertical="center" wrapText="1"/>
    </xf>
    <xf borderId="22" fillId="0" fontId="3" numFmtId="0" xfId="0" applyBorder="1" applyFont="1"/>
    <xf borderId="23" fillId="0" fontId="3" numFmtId="0" xfId="0" applyBorder="1" applyFont="1"/>
    <xf borderId="8" fillId="0" fontId="11" numFmtId="0" xfId="0" applyAlignment="1" applyBorder="1" applyFont="1">
      <alignment readingOrder="0" shrinkToFit="0" vertical="top" wrapText="1"/>
    </xf>
    <xf borderId="24" fillId="0" fontId="3" numFmtId="0" xfId="0" applyAlignment="1" applyBorder="1" applyFont="1">
      <alignment horizontal="center" readingOrder="0" vertical="center"/>
    </xf>
    <xf borderId="24" fillId="0" fontId="3" numFmtId="179" xfId="0" applyAlignment="1" applyBorder="1" applyFont="1" applyNumberFormat="1">
      <alignment horizontal="center" readingOrder="0" shrinkToFit="0" vertical="center" wrapText="1"/>
    </xf>
    <xf borderId="21" fillId="0" fontId="3" numFmtId="0" xfId="0" applyAlignment="1" applyBorder="1" applyFont="1">
      <alignment horizontal="center" readingOrder="0" shrinkToFit="0" vertical="center" wrapText="1"/>
    </xf>
    <xf borderId="24" fillId="0" fontId="3" numFmtId="9" xfId="0" applyAlignment="1" applyBorder="1" applyFont="1" applyNumberFormat="1">
      <alignment horizontal="center" vertical="center"/>
    </xf>
    <xf borderId="24" fillId="0" fontId="3" numFmtId="3" xfId="0" applyAlignment="1" applyBorder="1" applyFont="1" applyNumberFormat="1">
      <alignment horizontal="center" shrinkToFit="0" vertical="center" wrapText="1"/>
    </xf>
    <xf borderId="24" fillId="0" fontId="3" numFmtId="0" xfId="0" applyAlignment="1" applyBorder="1" applyFont="1">
      <alignment horizontal="center" vertical="center"/>
    </xf>
    <xf borderId="0" fillId="9" fontId="3" numFmtId="0" xfId="0" applyFont="1"/>
    <xf borderId="24" fillId="0" fontId="3" numFmtId="10" xfId="0" applyAlignment="1" applyBorder="1" applyFont="1" applyNumberFormat="1">
      <alignment horizontal="center" shrinkToFit="0" vertical="center" wrapText="1"/>
    </xf>
    <xf borderId="0" fillId="9" fontId="23" numFmtId="0" xfId="0" applyFont="1"/>
    <xf borderId="0" fillId="9" fontId="23" numFmtId="0" xfId="0" applyAlignment="1" applyFont="1">
      <alignment readingOrder="0" vertical="center"/>
    </xf>
    <xf borderId="0" fillId="9" fontId="23" numFmtId="0" xfId="0" applyAlignment="1" applyFont="1">
      <alignment readingOrder="0"/>
    </xf>
    <xf borderId="0" fillId="9" fontId="29" numFmtId="0" xfId="0" applyAlignment="1" applyFont="1">
      <alignment readingOrder="0" vertical="center"/>
    </xf>
    <xf borderId="21" fillId="0" fontId="3" numFmtId="0" xfId="0" applyAlignment="1" applyBorder="1" applyFont="1">
      <alignment vertical="bottom"/>
    </xf>
    <xf borderId="15" fillId="9" fontId="23" numFmtId="0" xfId="0" applyAlignment="1" applyBorder="1" applyFont="1">
      <alignment readingOrder="0" shrinkToFit="0" vertical="center" wrapText="1"/>
    </xf>
    <xf borderId="0" fillId="9" fontId="23" numFmtId="0" xfId="0" applyAlignment="1" applyFont="1">
      <alignment readingOrder="0" shrinkToFit="0" wrapText="1"/>
    </xf>
    <xf borderId="3" fillId="9" fontId="23" numFmtId="0" xfId="0" applyAlignment="1" applyBorder="1" applyFont="1">
      <alignment readingOrder="0" shrinkToFit="0" vertical="center" wrapText="1"/>
    </xf>
    <xf borderId="14" fillId="9" fontId="23" numFmtId="0" xfId="0" applyAlignment="1" applyBorder="1" applyFont="1">
      <alignment readingOrder="0" shrinkToFit="0" vertical="center" wrapText="1"/>
    </xf>
    <xf borderId="0" fillId="18" fontId="3" numFmtId="0" xfId="0" applyAlignment="1" applyFont="1">
      <alignment horizontal="left"/>
    </xf>
    <xf borderId="0" fillId="18" fontId="3" numFmtId="0" xfId="0" applyAlignment="1" applyFont="1">
      <alignment horizontal="right"/>
    </xf>
    <xf borderId="0" fillId="18" fontId="3" numFmtId="0" xfId="0" applyAlignment="1" applyFont="1">
      <alignment horizontal="center"/>
    </xf>
    <xf borderId="0" fillId="9" fontId="23" numFmtId="0" xfId="0" applyAlignment="1" applyFont="1">
      <alignment readingOrder="0" shrinkToFit="0" vertical="center" wrapText="1"/>
    </xf>
    <xf borderId="0" fillId="9" fontId="30" numFmtId="0" xfId="0" applyAlignment="1" applyFont="1">
      <alignment vertical="center"/>
    </xf>
    <xf borderId="15" fillId="9" fontId="23" numFmtId="0" xfId="0" applyAlignment="1" applyBorder="1" applyFont="1">
      <alignment readingOrder="0" shrinkToFit="0" vertical="center" wrapText="0"/>
    </xf>
    <xf borderId="24" fillId="0" fontId="3" numFmtId="9" xfId="0" applyAlignment="1" applyBorder="1" applyFont="1" applyNumberFormat="1">
      <alignment horizontal="center" readingOrder="0" shrinkToFit="0" vertical="center" wrapText="1"/>
    </xf>
    <xf borderId="15" fillId="9" fontId="31" numFmtId="0" xfId="0" applyAlignment="1" applyBorder="1" applyFont="1">
      <alignment readingOrder="0" vertical="center"/>
    </xf>
    <xf borderId="24" fillId="0" fontId="3" numFmtId="9" xfId="0" applyAlignment="1" applyBorder="1" applyFont="1" applyNumberFormat="1">
      <alignment horizontal="center" shrinkToFit="0" vertical="center" wrapText="1"/>
    </xf>
    <xf borderId="0" fillId="9" fontId="29" numFmtId="0" xfId="0" applyAlignment="1" applyFont="1">
      <alignment horizontal="left" readingOrder="0" shrinkToFit="0" vertical="bottom" wrapText="1"/>
    </xf>
    <xf borderId="0" fillId="9" fontId="23" numFmtId="0" xfId="0" applyAlignment="1" applyFont="1">
      <alignment readingOrder="0" shrinkToFit="0" vertical="center" wrapText="1"/>
    </xf>
    <xf borderId="24" fillId="0" fontId="3" numFmtId="0" xfId="0" applyAlignment="1" applyBorder="1" applyFont="1">
      <alignment horizontal="center" readingOrder="0" shrinkToFit="0" vertical="center" wrapText="1"/>
    </xf>
    <xf borderId="0" fillId="9" fontId="32" numFmtId="0" xfId="0" applyAlignment="1" applyFont="1">
      <alignment readingOrder="0" shrinkToFit="0" vertical="center" wrapText="1"/>
    </xf>
    <xf borderId="24" fillId="0" fontId="3" numFmtId="180" xfId="0" applyAlignment="1" applyBorder="1" applyFont="1" applyNumberFormat="1">
      <alignment horizontal="center" shrinkToFit="0" vertical="center" wrapText="1"/>
    </xf>
    <xf borderId="0" fillId="9" fontId="23" numFmtId="0" xfId="0" applyAlignment="1" applyFont="1">
      <alignment readingOrder="0" shrinkToFit="0" vertical="top" wrapText="1"/>
    </xf>
    <xf borderId="21" fillId="4" fontId="3" numFmtId="0" xfId="0" applyAlignment="1" applyBorder="1" applyFont="1">
      <alignment horizontal="left" readingOrder="0" shrinkToFit="0" vertical="center" wrapText="1"/>
    </xf>
    <xf borderId="0" fillId="0" fontId="3" numFmtId="0" xfId="0" applyAlignment="1" applyFont="1">
      <alignment readingOrder="0" shrinkToFit="0" wrapText="1"/>
    </xf>
    <xf borderId="24" fillId="0" fontId="3" numFmtId="0" xfId="0" applyAlignment="1" applyBorder="1" applyFont="1">
      <alignment horizontal="left" readingOrder="0" shrinkToFit="0" vertical="center" wrapText="1"/>
    </xf>
    <xf borderId="24" fillId="0" fontId="3" numFmtId="0" xfId="0" applyAlignment="1" applyBorder="1" applyFont="1">
      <alignment horizontal="left" vertical="center"/>
    </xf>
    <xf borderId="15" fillId="9" fontId="23" numFmtId="0" xfId="0" applyAlignment="1" applyBorder="1" applyFont="1">
      <alignment readingOrder="0" shrinkToFit="0" vertical="top" wrapText="1"/>
    </xf>
    <xf borderId="0" fillId="9" fontId="23" numFmtId="0" xfId="0" applyAlignment="1" applyFont="1">
      <alignment shrinkToFit="0" vertical="top" wrapText="1"/>
    </xf>
    <xf borderId="24" fillId="0" fontId="3" numFmtId="0" xfId="0" applyAlignment="1" applyBorder="1" applyFont="1">
      <alignment horizontal="left" shrinkToFit="0" vertical="center" wrapText="1"/>
    </xf>
    <xf borderId="7" fillId="0" fontId="23" numFmtId="0" xfId="0" applyAlignment="1" applyBorder="1" applyFont="1">
      <alignment horizontal="left" readingOrder="0" shrinkToFit="0" vertical="center" wrapText="1"/>
    </xf>
    <xf borderId="7" fillId="22" fontId="23" numFmtId="0" xfId="0" applyAlignment="1" applyBorder="1" applyFill="1" applyFont="1">
      <alignment horizontal="left" readingOrder="0" shrinkToFit="0" vertical="center" wrapText="0"/>
    </xf>
    <xf borderId="7" fillId="23" fontId="23" numFmtId="0" xfId="0" applyAlignment="1" applyBorder="1" applyFill="1" applyFont="1">
      <alignment horizontal="right" readingOrder="0" shrinkToFit="0" vertical="center" wrapText="1"/>
    </xf>
    <xf borderId="7" fillId="24" fontId="23" numFmtId="0" xfId="0" applyAlignment="1" applyBorder="1" applyFill="1" applyFont="1">
      <alignment horizontal="right" readingOrder="0" shrinkToFit="0" vertical="center" wrapText="1"/>
    </xf>
    <xf borderId="0" fillId="0" fontId="3" numFmtId="0" xfId="0" applyAlignment="1" applyFont="1">
      <alignment horizontal="left" readingOrder="0" shrinkToFit="0" vertical="center" wrapText="1"/>
    </xf>
    <xf borderId="7" fillId="24" fontId="23" numFmtId="0" xfId="0" applyAlignment="1" applyBorder="1" applyFont="1">
      <alignment horizontal="right" readingOrder="0" shrinkToFit="0" vertical="center" wrapText="0"/>
    </xf>
    <xf borderId="7" fillId="22" fontId="23" numFmtId="174" xfId="0" applyAlignment="1" applyBorder="1" applyFont="1" applyNumberFormat="1">
      <alignment horizontal="right" readingOrder="0" vertical="center"/>
    </xf>
    <xf borderId="7" fillId="24" fontId="23" numFmtId="176" xfId="0" applyAlignment="1" applyBorder="1" applyFont="1" applyNumberFormat="1">
      <alignment horizontal="right" vertical="center"/>
    </xf>
    <xf borderId="7" fillId="11" fontId="23" numFmtId="0" xfId="0" applyAlignment="1" applyBorder="1" applyFont="1">
      <alignment horizontal="right" readingOrder="0" vertical="center"/>
    </xf>
    <xf borderId="7" fillId="11" fontId="23" numFmtId="173" xfId="0" applyAlignment="1" applyBorder="1" applyFont="1" applyNumberFormat="1">
      <alignment horizontal="right" readingOrder="0" vertical="center"/>
    </xf>
    <xf borderId="1" fillId="0" fontId="3" numFmtId="0" xfId="0" applyAlignment="1" applyBorder="1" applyFont="1">
      <alignment readingOrder="0" shrinkToFit="0" wrapText="0"/>
    </xf>
    <xf borderId="24" fillId="0" fontId="3" numFmtId="181" xfId="0" applyAlignment="1" applyBorder="1" applyFont="1" applyNumberFormat="1">
      <alignment horizontal="center" vertical="center"/>
    </xf>
    <xf borderId="24" fillId="0" fontId="3" numFmtId="1" xfId="0" applyAlignment="1" applyBorder="1" applyFont="1" applyNumberFormat="1">
      <alignment horizontal="center" vertical="center"/>
    </xf>
    <xf borderId="1" fillId="2" fontId="3" numFmtId="0" xfId="0" applyAlignment="1" applyBorder="1" applyFont="1">
      <alignment horizontal="center"/>
    </xf>
    <xf borderId="24" fillId="0" fontId="3" numFmtId="175" xfId="0" applyAlignment="1" applyBorder="1" applyFont="1" applyNumberFormat="1">
      <alignment horizontal="left" readingOrder="0" shrinkToFit="0" vertical="center" wrapText="1"/>
    </xf>
    <xf borderId="24" fillId="0" fontId="3" numFmtId="182" xfId="0" applyAlignment="1" applyBorder="1" applyFont="1" applyNumberFormat="1">
      <alignment horizontal="center" readingOrder="0" shrinkToFit="0" vertical="center" wrapText="1"/>
    </xf>
    <xf borderId="0" fillId="0" fontId="3" numFmtId="0" xfId="0" applyFont="1"/>
    <xf borderId="6" fillId="3" fontId="23" numFmtId="0" xfId="0" applyAlignment="1" applyBorder="1" applyFont="1">
      <alignment horizontal="left" readingOrder="0" shrinkToFit="0" vertical="top" wrapText="1"/>
    </xf>
    <xf borderId="24" fillId="0" fontId="3" numFmtId="182" xfId="0" applyAlignment="1" applyBorder="1" applyFont="1" applyNumberFormat="1">
      <alignment horizontal="center" readingOrder="0" vertical="center"/>
    </xf>
    <xf borderId="25" fillId="0" fontId="3" numFmtId="180" xfId="0" applyAlignment="1" applyBorder="1" applyFont="1" applyNumberFormat="1">
      <alignment horizontal="center" shrinkToFit="0" vertical="center" wrapText="1"/>
    </xf>
    <xf borderId="25" fillId="0" fontId="3" numFmtId="0" xfId="0" applyBorder="1" applyFont="1"/>
    <xf borderId="25" fillId="0" fontId="3" numFmtId="0" xfId="0" applyAlignment="1" applyBorder="1" applyFont="1">
      <alignment horizontal="center" shrinkToFit="0" vertical="center" wrapText="1"/>
    </xf>
    <xf borderId="26" fillId="0" fontId="3" numFmtId="0" xfId="0" applyAlignment="1" applyBorder="1" applyFont="1">
      <alignment horizontal="left" readingOrder="0" shrinkToFit="0" vertical="center" wrapText="1"/>
    </xf>
    <xf borderId="21" fillId="4" fontId="11" numFmtId="182" xfId="0" applyAlignment="1" applyBorder="1" applyFont="1" applyNumberFormat="1">
      <alignment horizontal="center" readingOrder="0" shrinkToFit="0" vertical="center" wrapText="1"/>
    </xf>
    <xf borderId="1" fillId="25" fontId="23" numFmtId="0" xfId="0" applyAlignment="1" applyBorder="1" applyFill="1" applyFont="1">
      <alignment horizontal="right" readingOrder="0" vertical="center"/>
    </xf>
    <xf borderId="27" fillId="0" fontId="3" numFmtId="0" xfId="0" applyBorder="1" applyFont="1"/>
    <xf borderId="1" fillId="10" fontId="23" numFmtId="3" xfId="0" applyAlignment="1" applyBorder="1" applyFont="1" applyNumberFormat="1">
      <alignment horizontal="right" readingOrder="0" vertical="center"/>
    </xf>
    <xf borderId="1" fillId="10" fontId="23" numFmtId="10" xfId="0" applyAlignment="1" applyBorder="1" applyFont="1" applyNumberFormat="1">
      <alignment horizontal="right" readingOrder="0" vertical="center"/>
    </xf>
    <xf borderId="1" fillId="10" fontId="23" numFmtId="2" xfId="0" applyAlignment="1" applyBorder="1" applyFont="1" applyNumberFormat="1">
      <alignment horizontal="right" readingOrder="0" vertical="center"/>
    </xf>
    <xf borderId="21" fillId="0" fontId="3" numFmtId="0" xfId="0" applyAlignment="1" applyBorder="1" applyFont="1">
      <alignment horizontal="center" vertical="center"/>
    </xf>
    <xf borderId="1" fillId="10" fontId="23" numFmtId="174" xfId="0" applyAlignment="1" applyBorder="1" applyFont="1" applyNumberFormat="1">
      <alignment horizontal="right" readingOrder="0" vertical="center"/>
    </xf>
    <xf borderId="1" fillId="10" fontId="23" numFmtId="10" xfId="0" applyAlignment="1" applyBorder="1" applyFont="1" applyNumberFormat="1">
      <alignment horizontal="right" vertical="center"/>
    </xf>
    <xf borderId="0" fillId="0" fontId="3" numFmtId="183" xfId="0" applyAlignment="1" applyFont="1" applyNumberFormat="1">
      <alignment horizontal="left" shrinkToFit="0" vertical="center" wrapText="1"/>
    </xf>
    <xf borderId="1" fillId="10" fontId="23" numFmtId="0" xfId="0" applyAlignment="1" applyBorder="1" applyFont="1">
      <alignment horizontal="right" vertical="center"/>
    </xf>
    <xf borderId="1" fillId="25" fontId="3" numFmtId="173" xfId="0" applyBorder="1" applyFont="1" applyNumberFormat="1"/>
    <xf borderId="1" fillId="25" fontId="3" numFmtId="174" xfId="0" applyAlignment="1" applyBorder="1" applyFont="1" applyNumberFormat="1">
      <alignment horizontal="right" vertical="bottom"/>
    </xf>
    <xf borderId="1" fillId="25" fontId="23" numFmtId="0" xfId="0" applyBorder="1" applyFont="1"/>
    <xf borderId="1" fillId="10" fontId="23" numFmtId="174" xfId="0" applyAlignment="1" applyBorder="1" applyFont="1" applyNumberFormat="1">
      <alignment horizontal="right" vertical="center"/>
    </xf>
    <xf borderId="1" fillId="10" fontId="3" numFmtId="173" xfId="0" applyBorder="1" applyFont="1" applyNumberFormat="1"/>
    <xf borderId="1" fillId="19" fontId="3" numFmtId="174" xfId="0" applyAlignment="1" applyBorder="1" applyFont="1" applyNumberFormat="1">
      <alignment horizontal="right" vertical="bottom"/>
    </xf>
    <xf borderId="1" fillId="17" fontId="23" numFmtId="0" xfId="0" applyBorder="1" applyFont="1"/>
    <xf borderId="1" fillId="17" fontId="23" numFmtId="0" xfId="0" applyAlignment="1" applyBorder="1" applyFont="1">
      <alignment horizontal="left" vertical="top"/>
    </xf>
    <xf borderId="1" fillId="10" fontId="23" numFmtId="3" xfId="0" applyAlignment="1" applyBorder="1" applyFont="1" applyNumberFormat="1">
      <alignment horizontal="right" vertical="center"/>
    </xf>
    <xf borderId="1" fillId="10" fontId="23" numFmtId="2" xfId="0" applyAlignment="1" applyBorder="1" applyFont="1" applyNumberFormat="1">
      <alignment horizontal="right" vertical="center"/>
    </xf>
    <xf borderId="1" fillId="17" fontId="23" numFmtId="0" xfId="0" applyAlignment="1" applyBorder="1" applyFont="1">
      <alignment vertical="center"/>
    </xf>
    <xf borderId="21" fillId="0" fontId="33" numFmtId="0" xfId="0" applyAlignment="1" applyBorder="1" applyFont="1">
      <alignment horizontal="left" readingOrder="0" shrinkToFit="0" vertical="center" wrapText="1"/>
    </xf>
    <xf borderId="0" fillId="0" fontId="5" numFmtId="0" xfId="0" applyAlignment="1" applyFont="1">
      <alignment readingOrder="0" shrinkToFit="0" vertical="center" wrapText="0"/>
    </xf>
    <xf borderId="24" fillId="0" fontId="3" numFmtId="49" xfId="0" applyAlignment="1" applyBorder="1" applyFont="1" applyNumberFormat="1">
      <alignment horizontal="left" shrinkToFit="0" vertical="center" wrapText="1"/>
    </xf>
    <xf borderId="24" fillId="0" fontId="3" numFmtId="0" xfId="0" applyAlignment="1" applyBorder="1" applyFont="1">
      <alignment horizontal="center" shrinkToFit="0" vertical="center" wrapText="1"/>
    </xf>
    <xf borderId="0" fillId="0" fontId="3" numFmtId="0" xfId="0" applyAlignment="1" applyFont="1">
      <alignment horizontal="center" shrinkToFit="0" vertical="center" wrapText="1"/>
    </xf>
    <xf borderId="0" fillId="0" fontId="3" numFmtId="180" xfId="0" applyAlignment="1" applyFont="1" applyNumberFormat="1">
      <alignment horizontal="center" shrinkToFit="0" vertical="center" wrapText="1"/>
    </xf>
    <xf borderId="24" fillId="0" fontId="3" numFmtId="0" xfId="0" applyAlignment="1" applyBorder="1" applyFont="1">
      <alignment readingOrder="0" vertical="center"/>
    </xf>
    <xf borderId="24" fillId="0" fontId="3" numFmtId="0" xfId="0" applyAlignment="1" applyBorder="1" applyFont="1">
      <alignment vertical="center"/>
    </xf>
    <xf borderId="24" fillId="0" fontId="3" numFmtId="184" xfId="0" applyAlignment="1" applyBorder="1" applyFont="1" applyNumberFormat="1">
      <alignment horizontal="center" shrinkToFit="0" vertical="center" wrapText="1"/>
    </xf>
    <xf borderId="24" fillId="0" fontId="3" numFmtId="0" xfId="0" applyAlignment="1" applyBorder="1" applyFont="1">
      <alignment horizontal="center" shrinkToFit="0" vertical="center" wrapText="1"/>
    </xf>
    <xf borderId="1" fillId="0" fontId="6" numFmtId="164" xfId="0" applyAlignment="1" applyBorder="1" applyFont="1" applyNumberFormat="1">
      <alignment horizontal="right" shrinkToFit="0" vertical="center" wrapText="0"/>
    </xf>
    <xf borderId="6" fillId="0" fontId="5" numFmtId="164" xfId="0" applyAlignment="1" applyBorder="1" applyFont="1" applyNumberFormat="1">
      <alignment horizontal="right" shrinkToFit="0" vertical="center" wrapText="0"/>
    </xf>
    <xf borderId="24" fillId="0" fontId="34" numFmtId="0" xfId="0" applyAlignment="1" applyBorder="1" applyFont="1">
      <alignment horizontal="center" shrinkToFit="0" vertical="center" wrapText="1"/>
    </xf>
    <xf borderId="28" fillId="0" fontId="11" numFmtId="0" xfId="0" applyAlignment="1" applyBorder="1" applyFont="1">
      <alignment horizontal="left" readingOrder="0" shrinkToFit="0" vertical="center" wrapText="1"/>
    </xf>
    <xf borderId="29" fillId="0" fontId="3" numFmtId="0" xfId="0" applyBorder="1" applyFont="1"/>
    <xf borderId="30" fillId="0" fontId="3" numFmtId="0" xfId="0" applyBorder="1" applyFont="1"/>
    <xf borderId="31" fillId="0" fontId="3" numFmtId="0" xfId="0" applyAlignment="1" applyBorder="1" applyFont="1">
      <alignment horizontal="left" readingOrder="0" shrinkToFit="0" vertical="center" wrapText="1"/>
    </xf>
    <xf borderId="32" fillId="0" fontId="3" numFmtId="0" xfId="0" applyBorder="1" applyFont="1"/>
    <xf borderId="33" fillId="0" fontId="3" numFmtId="0" xfId="0" applyBorder="1" applyFont="1"/>
    <xf borderId="34" fillId="0" fontId="3" numFmtId="175" xfId="0" applyAlignment="1" applyBorder="1" applyFont="1" applyNumberFormat="1">
      <alignment horizontal="left" readingOrder="0" shrinkToFit="0" vertical="center" wrapText="1"/>
    </xf>
    <xf borderId="35" fillId="0" fontId="3" numFmtId="10" xfId="0" applyAlignment="1" applyBorder="1" applyFont="1" applyNumberFormat="1">
      <alignment horizontal="center" readingOrder="0" shrinkToFit="0" vertical="center" wrapText="1"/>
    </xf>
    <xf borderId="6" fillId="0" fontId="5" numFmtId="164" xfId="0" applyAlignment="1" applyBorder="1" applyFont="1" applyNumberFormat="1">
      <alignment horizontal="right" readingOrder="0" shrinkToFit="0" vertical="center" wrapText="0"/>
    </xf>
    <xf borderId="24" fillId="0" fontId="3" numFmtId="185" xfId="0" applyAlignment="1" applyBorder="1" applyFont="1" applyNumberFormat="1">
      <alignment horizontal="center" shrinkToFit="0" vertical="center" wrapText="1"/>
    </xf>
    <xf borderId="36" fillId="0" fontId="3" numFmtId="175" xfId="0" applyAlignment="1" applyBorder="1" applyFont="1" applyNumberFormat="1">
      <alignment horizontal="left" readingOrder="0" shrinkToFit="0" vertical="center" wrapText="1"/>
    </xf>
    <xf borderId="37" fillId="0" fontId="3" numFmtId="10" xfId="0" applyAlignment="1" applyBorder="1" applyFont="1" applyNumberFormat="1">
      <alignment horizontal="center" readingOrder="0" vertical="center"/>
    </xf>
    <xf borderId="37" fillId="0" fontId="3" numFmtId="10" xfId="0" applyAlignment="1" applyBorder="1" applyFont="1" applyNumberFormat="1">
      <alignment horizontal="center" readingOrder="0" shrinkToFit="0" vertical="center" wrapText="1"/>
    </xf>
    <xf borderId="38" fillId="0" fontId="3" numFmtId="175" xfId="0" applyAlignment="1" applyBorder="1" applyFont="1" applyNumberFormat="1">
      <alignment horizontal="left" readingOrder="0" shrinkToFit="0" vertical="center" wrapText="1"/>
    </xf>
    <xf borderId="39" fillId="0" fontId="3" numFmtId="10" xfId="0" applyAlignment="1" applyBorder="1" applyFont="1" applyNumberFormat="1">
      <alignment horizontal="center" readingOrder="0" shrinkToFit="0" vertical="center" wrapText="1"/>
    </xf>
    <xf borderId="0" fillId="26" fontId="4" numFmtId="1" xfId="0" applyAlignment="1" applyFill="1" applyFont="1" applyNumberFormat="1">
      <alignment horizontal="right" readingOrder="0" vertical="center"/>
    </xf>
    <xf borderId="0" fillId="26" fontId="4" numFmtId="0" xfId="0" applyAlignment="1" applyFont="1">
      <alignment horizontal="left" shrinkToFit="0" wrapText="0"/>
    </xf>
    <xf borderId="0" fillId="0" fontId="28" numFmtId="0" xfId="0" applyAlignment="1" applyFont="1">
      <alignment horizontal="left" readingOrder="0" vertical="center"/>
    </xf>
    <xf borderId="0" fillId="2" fontId="28" numFmtId="0" xfId="0" applyAlignment="1" applyFont="1">
      <alignment horizontal="left" readingOrder="0" vertical="center"/>
    </xf>
    <xf borderId="0" fillId="0" fontId="23" numFmtId="0" xfId="0" applyAlignment="1" applyFont="1">
      <alignment readingOrder="0" vertical="center"/>
    </xf>
    <xf borderId="1" fillId="0" fontId="23" numFmtId="0" xfId="0" applyAlignment="1" applyBorder="1" applyFont="1">
      <alignment readingOrder="0" vertical="center"/>
    </xf>
    <xf borderId="1" fillId="6" fontId="23" numFmtId="49" xfId="0" applyAlignment="1" applyBorder="1" applyFont="1" applyNumberFormat="1">
      <alignment horizontal="center" readingOrder="0" vertical="center"/>
    </xf>
    <xf borderId="1" fillId="6" fontId="23" numFmtId="0" xfId="0" applyAlignment="1" applyBorder="1" applyFont="1">
      <alignment horizontal="center" readingOrder="0" vertical="center"/>
    </xf>
    <xf borderId="1" fillId="6" fontId="23" numFmtId="0" xfId="0" applyAlignment="1" applyBorder="1" applyFont="1">
      <alignment horizontal="left" readingOrder="0" shrinkToFit="0" vertical="center" wrapText="0"/>
    </xf>
    <xf borderId="0" fillId="0" fontId="23" numFmtId="0" xfId="0" applyAlignment="1" applyFont="1">
      <alignment horizontal="left" readingOrder="0" shrinkToFit="0" vertical="center" wrapText="0"/>
    </xf>
    <xf borderId="2" fillId="0" fontId="23" numFmtId="0" xfId="0" applyAlignment="1" applyBorder="1" applyFont="1">
      <alignment horizontal="left" readingOrder="0" shrinkToFit="0" vertical="center" wrapText="0"/>
    </xf>
    <xf borderId="9" fillId="0" fontId="23" numFmtId="0" xfId="0" applyAlignment="1" applyBorder="1" applyFont="1">
      <alignment horizontal="left" readingOrder="0" vertical="center"/>
    </xf>
    <xf borderId="7" fillId="0" fontId="23" numFmtId="0" xfId="0" applyAlignment="1" applyBorder="1" applyFont="1">
      <alignment horizontal="center" readingOrder="0" shrinkToFit="0" vertical="center" wrapText="1"/>
    </xf>
    <xf borderId="1" fillId="10" fontId="23" numFmtId="1" xfId="0" applyAlignment="1" applyBorder="1" applyFont="1" applyNumberFormat="1">
      <alignment horizontal="right" vertical="center"/>
    </xf>
    <xf borderId="7" fillId="0" fontId="23" numFmtId="0" xfId="0" applyAlignment="1" applyBorder="1" applyFont="1">
      <alignment horizontal="center" readingOrder="0" shrinkToFit="0" vertical="center" wrapText="1"/>
    </xf>
    <xf borderId="8" fillId="0" fontId="5" numFmtId="0" xfId="0" applyAlignment="1" applyBorder="1" applyFont="1">
      <alignment horizontal="left" readingOrder="0" shrinkToFit="0" vertical="center" wrapText="1"/>
    </xf>
    <xf borderId="8" fillId="0" fontId="23" numFmtId="0" xfId="0" applyAlignment="1" applyBorder="1" applyFont="1">
      <alignment horizontal="center" readingOrder="0" shrinkToFit="0" vertical="center" wrapText="1"/>
    </xf>
    <xf borderId="8" fillId="0" fontId="23" numFmtId="0" xfId="0" applyAlignment="1" applyBorder="1" applyFont="1">
      <alignment horizontal="left" readingOrder="0" shrinkToFit="0" vertical="center" wrapText="1"/>
    </xf>
    <xf borderId="7" fillId="0" fontId="23" numFmtId="0" xfId="0" applyAlignment="1" applyBorder="1" applyFont="1">
      <alignment readingOrder="0" shrinkToFit="0" vertical="center" wrapText="0"/>
    </xf>
    <xf borderId="2" fillId="0" fontId="4" numFmtId="0" xfId="0" applyAlignment="1" applyBorder="1" applyFont="1">
      <alignment horizontal="left" shrinkToFit="0" vertical="bottom" wrapText="0"/>
    </xf>
    <xf borderId="1" fillId="0" fontId="35" numFmtId="0" xfId="0" applyAlignment="1" applyBorder="1" applyFont="1">
      <alignment vertical="bottom"/>
    </xf>
    <xf borderId="4" fillId="27" fontId="35" numFmtId="0" xfId="0" applyAlignment="1" applyBorder="1" applyFill="1" applyFont="1">
      <alignment horizontal="right" vertical="bottom"/>
    </xf>
    <xf borderId="4" fillId="28" fontId="35" numFmtId="0" xfId="0" applyAlignment="1" applyBorder="1" applyFill="1" applyFont="1">
      <alignment horizontal="center" shrinkToFit="0" vertical="top" wrapText="1"/>
    </xf>
    <xf borderId="1" fillId="28" fontId="35" numFmtId="0" xfId="0" applyAlignment="1" applyBorder="1" applyFont="1">
      <alignment horizontal="center" shrinkToFit="0" vertical="top" wrapText="1"/>
    </xf>
    <xf borderId="4" fillId="27" fontId="35" numFmtId="0" xfId="0" applyAlignment="1" applyBorder="1" applyFont="1">
      <alignment horizontal="center" shrinkToFit="0" vertical="top" wrapText="1"/>
    </xf>
    <xf borderId="0" fillId="0" fontId="4" numFmtId="0" xfId="0" applyAlignment="1" applyFont="1">
      <alignment vertical="bottom"/>
    </xf>
    <xf borderId="15" fillId="0" fontId="4" numFmtId="0" xfId="0" applyAlignment="1" applyBorder="1" applyFont="1">
      <alignment vertical="bottom"/>
    </xf>
    <xf borderId="0" fillId="24" fontId="4" numFmtId="0" xfId="0" applyAlignment="1" applyFont="1">
      <alignment horizontal="right" readingOrder="0" vertical="bottom"/>
    </xf>
    <xf borderId="0" fillId="24" fontId="4" numFmtId="0" xfId="0" applyAlignment="1" applyFont="1">
      <alignment horizontal="left" shrinkToFit="0" vertical="bottom" wrapText="0"/>
    </xf>
    <xf borderId="0" fillId="17" fontId="28" numFmtId="0" xfId="0" applyAlignment="1" applyFont="1">
      <alignment horizontal="left" readingOrder="0" vertical="center"/>
    </xf>
    <xf borderId="1" fillId="10" fontId="23" numFmtId="49" xfId="0" applyAlignment="1" applyBorder="1" applyFont="1" applyNumberFormat="1">
      <alignment horizontal="center" readingOrder="0" vertical="center"/>
    </xf>
    <xf borderId="1" fillId="10" fontId="23" numFmtId="0" xfId="0" applyAlignment="1" applyBorder="1" applyFont="1">
      <alignment horizontal="center" readingOrder="0" vertical="center"/>
    </xf>
    <xf borderId="1" fillId="0" fontId="23" numFmtId="0" xfId="0" applyAlignment="1" applyBorder="1" applyFont="1">
      <alignment horizontal="center" readingOrder="0" shrinkToFit="0" vertical="center" wrapText="1"/>
    </xf>
    <xf borderId="0" fillId="0" fontId="23" numFmtId="0" xfId="0" applyAlignment="1" applyFont="1">
      <alignment horizontal="center" readingOrder="0" shrinkToFit="0" vertical="center" wrapText="1"/>
    </xf>
    <xf borderId="1" fillId="7" fontId="23" numFmtId="0" xfId="0" applyAlignment="1" applyBorder="1" applyFont="1">
      <alignment horizontal="center" readingOrder="0" shrinkToFit="0" vertical="center" wrapText="0"/>
    </xf>
    <xf borderId="0" fillId="0" fontId="23" numFmtId="0" xfId="0" applyAlignment="1" applyFont="1">
      <alignment horizontal="center" readingOrder="0" shrinkToFit="0" vertical="center" wrapText="0"/>
    </xf>
    <xf borderId="1" fillId="10" fontId="4" numFmtId="174" xfId="0" applyAlignment="1" applyBorder="1" applyFont="1" applyNumberFormat="1">
      <alignment horizontal="right" readingOrder="0" vertical="bottom"/>
    </xf>
    <xf borderId="1" fillId="0" fontId="5" numFmtId="0" xfId="0" applyAlignment="1" applyBorder="1" applyFont="1">
      <alignment horizontal="left" shrinkToFit="0" vertical="center" wrapText="0"/>
    </xf>
    <xf borderId="1" fillId="0" fontId="5" numFmtId="9" xfId="0" applyAlignment="1" applyBorder="1" applyFont="1" applyNumberFormat="1">
      <alignment horizontal="center" shrinkToFit="0" vertical="center" wrapText="0"/>
    </xf>
    <xf borderId="5" fillId="25" fontId="4" numFmtId="10" xfId="0" applyAlignment="1" applyBorder="1" applyFont="1" applyNumberFormat="1">
      <alignment horizontal="right" readingOrder="0" vertical="bottom"/>
    </xf>
    <xf borderId="1" fillId="0" fontId="5" numFmtId="0" xfId="0" applyAlignment="1" applyBorder="1" applyFont="1">
      <alignment horizontal="center" shrinkToFit="0" vertical="center" wrapText="0"/>
    </xf>
    <xf borderId="5" fillId="0" fontId="4" numFmtId="10" xfId="0" applyAlignment="1" applyBorder="1" applyFont="1" applyNumberFormat="1">
      <alignment horizontal="right" readingOrder="0" vertical="bottom"/>
    </xf>
    <xf borderId="5" fillId="10" fontId="4" numFmtId="10" xfId="0" applyAlignment="1" applyBorder="1" applyFont="1" applyNumberFormat="1">
      <alignment vertical="bottom"/>
    </xf>
    <xf borderId="6" fillId="29" fontId="35" numFmtId="0" xfId="0" applyAlignment="1" applyBorder="1" applyFill="1" applyFont="1">
      <alignment horizontal="right"/>
    </xf>
    <xf borderId="16" fillId="0" fontId="5" numFmtId="164" xfId="0" applyAlignment="1" applyBorder="1" applyFont="1" applyNumberFormat="1">
      <alignment horizontal="right" readingOrder="0" shrinkToFit="0" vertical="center" wrapText="0"/>
    </xf>
    <xf borderId="5" fillId="0" fontId="4" numFmtId="0" xfId="0" applyAlignment="1" applyBorder="1" applyFont="1">
      <alignment horizontal="right" vertical="bottom"/>
    </xf>
    <xf borderId="6" fillId="0" fontId="4" numFmtId="0" xfId="0" applyAlignment="1" applyBorder="1" applyFont="1">
      <alignment horizontal="right" vertical="bottom"/>
    </xf>
    <xf borderId="6" fillId="0" fontId="4" numFmtId="186" xfId="0" applyAlignment="1" applyBorder="1" applyFont="1" applyNumberFormat="1">
      <alignment horizontal="left" shrinkToFit="0" vertical="top" wrapText="0"/>
    </xf>
    <xf borderId="5" fillId="0" fontId="4" numFmtId="186" xfId="0" applyAlignment="1" applyBorder="1" applyFont="1" applyNumberFormat="1">
      <alignment horizontal="left" shrinkToFit="0" vertical="top" wrapText="0"/>
    </xf>
    <xf borderId="12" fillId="0" fontId="4" numFmtId="0" xfId="0" applyAlignment="1" applyBorder="1" applyFont="1">
      <alignment vertical="bottom"/>
    </xf>
    <xf borderId="1" fillId="0" fontId="0" numFmtId="164" xfId="0" applyAlignment="1" applyBorder="1" applyFont="1" applyNumberFormat="1">
      <alignment shrinkToFit="0" vertical="center" wrapText="0"/>
    </xf>
    <xf borderId="13" fillId="0" fontId="4" numFmtId="0" xfId="0" applyAlignment="1" applyBorder="1" applyFont="1">
      <alignment horizontal="center" vertical="bottom"/>
    </xf>
    <xf borderId="0" fillId="18" fontId="4" numFmtId="0" xfId="0" applyAlignment="1" applyFont="1">
      <alignment vertical="bottom"/>
    </xf>
    <xf borderId="0" fillId="10" fontId="28" numFmtId="0" xfId="0" applyAlignment="1" applyFont="1">
      <alignment horizontal="left" readingOrder="0" vertical="center"/>
    </xf>
    <xf borderId="1" fillId="0" fontId="23" numFmtId="0" xfId="0" applyAlignment="1" applyBorder="1" applyFont="1">
      <alignment horizontal="center" readingOrder="0" vertical="center"/>
    </xf>
    <xf borderId="0" fillId="0" fontId="23" numFmtId="0" xfId="0" applyAlignment="1" applyFont="1">
      <alignment horizontal="center" readingOrder="0" vertical="center"/>
    </xf>
    <xf borderId="2" fillId="0" fontId="3" numFmtId="0" xfId="0" applyAlignment="1" applyBorder="1" applyFont="1">
      <alignment shrinkToFit="0" wrapText="0"/>
    </xf>
    <xf borderId="8" fillId="0" fontId="3" numFmtId="0" xfId="0" applyAlignment="1" applyBorder="1" applyFont="1">
      <alignment horizontal="left" shrinkToFit="0" wrapText="0"/>
    </xf>
    <xf borderId="1" fillId="30" fontId="4" numFmtId="174" xfId="0" applyAlignment="1" applyBorder="1" applyFill="1" applyFont="1" applyNumberFormat="1">
      <alignment horizontal="right" readingOrder="0" vertical="bottom"/>
    </xf>
    <xf borderId="5" fillId="10" fontId="4" numFmtId="10" xfId="0" applyAlignment="1" applyBorder="1" applyFont="1" applyNumberFormat="1">
      <alignment horizontal="right" vertical="bottom"/>
    </xf>
    <xf borderId="5" fillId="7" fontId="4" numFmtId="10" xfId="0" applyAlignment="1" applyBorder="1" applyFont="1" applyNumberFormat="1">
      <alignment horizontal="right" vertical="bottom"/>
    </xf>
    <xf borderId="6" fillId="29" fontId="35" numFmtId="0" xfId="0" applyAlignment="1" applyBorder="1" applyFont="1">
      <alignment horizontal="right" vertical="bottom"/>
    </xf>
    <xf borderId="5" fillId="25" fontId="4" numFmtId="10" xfId="0" applyAlignment="1" applyBorder="1" applyFont="1" applyNumberFormat="1">
      <alignment horizontal="right" vertical="bottom"/>
    </xf>
    <xf borderId="5" fillId="5" fontId="4" numFmtId="174" xfId="0" applyAlignment="1" applyBorder="1" applyFont="1" applyNumberFormat="1">
      <alignment horizontal="right" vertical="bottom"/>
    </xf>
    <xf borderId="6" fillId="25" fontId="4" numFmtId="186" xfId="0" applyAlignment="1" applyBorder="1" applyFont="1" applyNumberFormat="1">
      <alignment horizontal="right" vertical="bottom"/>
    </xf>
    <xf borderId="5" fillId="25" fontId="4" numFmtId="10" xfId="0" applyAlignment="1" applyBorder="1" applyFont="1" applyNumberFormat="1">
      <alignment horizontal="right" vertical="bottom"/>
    </xf>
    <xf borderId="5" fillId="25" fontId="4" numFmtId="174" xfId="0" applyAlignment="1" applyBorder="1" applyFont="1" applyNumberFormat="1">
      <alignment horizontal="right" vertical="bottom"/>
    </xf>
    <xf borderId="5" fillId="25" fontId="4" numFmtId="186" xfId="0" applyAlignment="1" applyBorder="1" applyFont="1" applyNumberFormat="1">
      <alignment horizontal="right" vertical="bottom"/>
    </xf>
    <xf borderId="11" fillId="0" fontId="4" numFmtId="0" xfId="0" applyAlignment="1" applyBorder="1" applyFont="1">
      <alignment horizontal="center" readingOrder="0"/>
    </xf>
    <xf borderId="0" fillId="0" fontId="4" numFmtId="10" xfId="0" applyAlignment="1" applyFont="1" applyNumberFormat="1">
      <alignment vertical="bottom"/>
    </xf>
    <xf borderId="0" fillId="6" fontId="28" numFmtId="0" xfId="0" applyAlignment="1" applyFont="1">
      <alignment horizontal="left" readingOrder="0" vertical="center"/>
    </xf>
    <xf borderId="1" fillId="10" fontId="23" numFmtId="0" xfId="0" applyAlignment="1" applyBorder="1" applyFont="1">
      <alignment readingOrder="0" vertical="center"/>
    </xf>
    <xf borderId="1" fillId="7" fontId="23" numFmtId="0" xfId="0" applyAlignment="1" applyBorder="1" applyFont="1">
      <alignment horizontal="center" readingOrder="0" vertical="center"/>
    </xf>
    <xf borderId="1" fillId="17" fontId="23" numFmtId="0" xfId="0" applyAlignment="1" applyBorder="1" applyFont="1">
      <alignment horizontal="center" readingOrder="0" shrinkToFit="0" vertical="center" wrapText="1"/>
    </xf>
    <xf borderId="2" fillId="0" fontId="3" numFmtId="164" xfId="0" applyAlignment="1" applyBorder="1" applyFont="1" applyNumberFormat="1">
      <alignment horizontal="center" readingOrder="0" shrinkToFit="0" wrapText="0"/>
    </xf>
    <xf borderId="0" fillId="0" fontId="3" numFmtId="164" xfId="0" applyAlignment="1" applyFont="1" applyNumberFormat="1">
      <alignment horizontal="left" readingOrder="0"/>
    </xf>
    <xf borderId="3" fillId="2" fontId="23" numFmtId="0" xfId="0" applyAlignment="1" applyBorder="1" applyFont="1">
      <alignment horizontal="center" readingOrder="0" vertical="center"/>
    </xf>
    <xf borderId="5" fillId="5" fontId="4" numFmtId="10" xfId="0" applyAlignment="1" applyBorder="1" applyFont="1" applyNumberFormat="1">
      <alignment horizontal="right" vertical="bottom"/>
    </xf>
    <xf borderId="6" fillId="10" fontId="4" numFmtId="186" xfId="0" applyAlignment="1" applyBorder="1" applyFont="1" applyNumberFormat="1">
      <alignment horizontal="right" vertical="bottom"/>
    </xf>
    <xf borderId="5" fillId="17" fontId="4" numFmtId="10" xfId="0" applyAlignment="1" applyBorder="1" applyFont="1" applyNumberFormat="1">
      <alignment horizontal="right" vertical="bottom"/>
    </xf>
    <xf borderId="6" fillId="31" fontId="4" numFmtId="186" xfId="0" applyAlignment="1" applyBorder="1" applyFill="1" applyFont="1" applyNumberFormat="1">
      <alignment horizontal="right" vertical="bottom"/>
    </xf>
    <xf borderId="5" fillId="2" fontId="4" numFmtId="186" xfId="0" applyAlignment="1" applyBorder="1" applyFont="1" applyNumberFormat="1">
      <alignment horizontal="right" vertical="bottom"/>
    </xf>
    <xf borderId="0" fillId="25" fontId="28" numFmtId="0" xfId="0" applyAlignment="1" applyFont="1">
      <alignment horizontal="left" readingOrder="0" vertical="center"/>
    </xf>
    <xf borderId="0" fillId="25" fontId="3" numFmtId="0" xfId="0" applyFont="1"/>
    <xf borderId="1" fillId="6" fontId="23" numFmtId="0" xfId="0" applyAlignment="1" applyBorder="1" applyFont="1">
      <alignment readingOrder="0" vertical="center"/>
    </xf>
    <xf borderId="1" fillId="22" fontId="23" numFmtId="0" xfId="0" applyAlignment="1" applyBorder="1" applyFont="1">
      <alignment horizontal="center" readingOrder="0" vertical="center"/>
    </xf>
    <xf borderId="1" fillId="17" fontId="23" numFmtId="0" xfId="0" applyAlignment="1" applyBorder="1" applyFont="1">
      <alignment horizontal="center" readingOrder="0" vertical="center"/>
    </xf>
    <xf borderId="2" fillId="10" fontId="5" numFmtId="0" xfId="0" applyAlignment="1" applyBorder="1" applyFont="1">
      <alignment horizontal="left" readingOrder="0" shrinkToFit="0" vertical="center" wrapText="0"/>
    </xf>
    <xf borderId="4" fillId="17" fontId="23" numFmtId="0" xfId="0" applyAlignment="1" applyBorder="1" applyFont="1">
      <alignment horizontal="left" readingOrder="0" vertical="center"/>
    </xf>
    <xf borderId="1" fillId="10" fontId="23" numFmtId="1" xfId="0" applyAlignment="1" applyBorder="1" applyFont="1" applyNumberFormat="1">
      <alignment horizontal="center" readingOrder="0" vertical="center"/>
    </xf>
    <xf borderId="1" fillId="17" fontId="23" numFmtId="9" xfId="0" applyAlignment="1" applyBorder="1" applyFont="1" applyNumberFormat="1">
      <alignment horizontal="center" readingOrder="0" vertical="center"/>
    </xf>
    <xf borderId="1" fillId="10" fontId="23" numFmtId="186" xfId="0" applyAlignment="1" applyBorder="1" applyFont="1" applyNumberFormat="1">
      <alignment horizontal="center" readingOrder="0" vertical="center"/>
    </xf>
    <xf borderId="4" fillId="0" fontId="5" numFmtId="0" xfId="0" applyAlignment="1" applyBorder="1" applyFont="1">
      <alignment horizontal="left" shrinkToFit="0" vertical="center" wrapText="0"/>
    </xf>
    <xf borderId="0" fillId="0" fontId="28" numFmtId="0" xfId="0" applyAlignment="1" applyFont="1">
      <alignment readingOrder="0" shrinkToFit="0" vertical="top" wrapText="1"/>
    </xf>
    <xf borderId="4" fillId="0" fontId="5" numFmtId="0" xfId="0" applyAlignment="1" applyBorder="1" applyFont="1">
      <alignment horizontal="center" shrinkToFit="0" vertical="center" wrapText="0"/>
    </xf>
    <xf borderId="0" fillId="5" fontId="28" numFmtId="0" xfId="0" applyAlignment="1" applyFont="1">
      <alignment readingOrder="0" shrinkToFit="0" vertical="top" wrapText="1"/>
    </xf>
    <xf borderId="1" fillId="0" fontId="3" numFmtId="0" xfId="0" applyAlignment="1" applyBorder="1" applyFont="1">
      <alignment horizontal="left" shrinkToFit="0" wrapText="0"/>
    </xf>
    <xf borderId="1" fillId="0" fontId="23" numFmtId="0" xfId="0" applyAlignment="1" applyBorder="1" applyFont="1">
      <alignment horizontal="left" readingOrder="0" shrinkToFit="0" vertical="center" wrapText="0"/>
    </xf>
    <xf quotePrefix="1" borderId="5" fillId="0" fontId="4" numFmtId="0" xfId="0" applyAlignment="1" applyBorder="1" applyFont="1">
      <alignment horizontal="right" vertical="bottom"/>
    </xf>
    <xf borderId="5" fillId="0" fontId="4" numFmtId="0" xfId="0" applyAlignment="1" applyBorder="1" applyFont="1">
      <alignment horizontal="right" vertical="bottom"/>
    </xf>
    <xf borderId="5" fillId="0" fontId="4" numFmtId="0" xfId="0" applyAlignment="1" applyBorder="1" applyFont="1">
      <alignment horizontal="left" vertical="bottom"/>
    </xf>
    <xf borderId="6" fillId="10" fontId="4" numFmtId="0" xfId="0" applyAlignment="1" applyBorder="1" applyFont="1">
      <alignment vertical="bottom"/>
    </xf>
    <xf borderId="12" fillId="10" fontId="4" numFmtId="0" xfId="0" applyAlignment="1" applyBorder="1" applyFont="1">
      <alignment horizontal="right" shrinkToFit="0" wrapText="1"/>
    </xf>
    <xf borderId="12" fillId="10" fontId="4" numFmtId="0" xfId="0" applyAlignment="1" applyBorder="1" applyFont="1">
      <alignment horizontal="center"/>
    </xf>
    <xf borderId="12" fillId="10" fontId="4" numFmtId="0" xfId="0" applyAlignment="1" applyBorder="1" applyFont="1">
      <alignment horizontal="right"/>
    </xf>
    <xf borderId="12" fillId="10" fontId="4" numFmtId="0" xfId="0" applyAlignment="1" applyBorder="1" applyFont="1">
      <alignment horizontal="center"/>
    </xf>
    <xf borderId="12" fillId="0" fontId="4" numFmtId="3" xfId="0" applyAlignment="1" applyBorder="1" applyFont="1" applyNumberFormat="1">
      <alignment vertical="bottom"/>
    </xf>
    <xf borderId="6" fillId="23" fontId="4" numFmtId="3" xfId="0" applyAlignment="1" applyBorder="1" applyFont="1" applyNumberFormat="1">
      <alignment horizontal="right" vertical="bottom"/>
    </xf>
    <xf borderId="5" fillId="0" fontId="4" numFmtId="0" xfId="0" applyAlignment="1" applyBorder="1" applyFont="1">
      <alignment vertical="bottom"/>
    </xf>
    <xf borderId="1" fillId="25" fontId="23" numFmtId="0" xfId="0" applyAlignment="1" applyBorder="1" applyFont="1">
      <alignment horizontal="left" readingOrder="0" shrinkToFit="0" vertical="center" wrapText="0"/>
    </xf>
    <xf borderId="2" fillId="0" fontId="23" numFmtId="0" xfId="0" applyAlignment="1" applyBorder="1" applyFont="1">
      <alignment horizontal="center" readingOrder="0" shrinkToFit="0" vertical="center" wrapText="0"/>
    </xf>
    <xf borderId="1" fillId="0" fontId="3" numFmtId="0" xfId="0" applyAlignment="1" applyBorder="1" applyFont="1">
      <alignment horizontal="center" shrinkToFit="0" wrapText="0"/>
    </xf>
    <xf borderId="0" fillId="0" fontId="23" numFmtId="0" xfId="0" applyAlignment="1" applyFont="1">
      <alignment vertical="center"/>
    </xf>
    <xf borderId="0" fillId="0" fontId="23" numFmtId="0" xfId="0" applyAlignment="1" applyFont="1">
      <alignment readingOrder="0" shrinkToFit="0" vertical="center" wrapText="1"/>
    </xf>
    <xf borderId="5" fillId="32" fontId="4" numFmtId="181" xfId="0" applyAlignment="1" applyBorder="1" applyFill="1" applyFont="1" applyNumberFormat="1">
      <alignment horizontal="right" vertical="bottom"/>
    </xf>
    <xf borderId="5" fillId="32" fontId="4" numFmtId="181" xfId="0" applyAlignment="1" applyBorder="1" applyFont="1" applyNumberFormat="1">
      <alignment horizontal="left" vertical="bottom"/>
    </xf>
    <xf borderId="12" fillId="0" fontId="4" numFmtId="10" xfId="0" applyAlignment="1" applyBorder="1" applyFont="1" applyNumberFormat="1">
      <alignment vertical="bottom"/>
    </xf>
    <xf borderId="1" fillId="0" fontId="23" numFmtId="0" xfId="0" applyAlignment="1" applyBorder="1" applyFont="1">
      <alignment horizontal="center" readingOrder="0" shrinkToFit="0" vertical="center" wrapText="0"/>
    </xf>
    <xf borderId="6" fillId="0" fontId="23" numFmtId="0" xfId="0" applyAlignment="1" applyBorder="1" applyFont="1">
      <alignment horizontal="left" readingOrder="0" shrinkToFit="0" vertical="center" wrapText="0"/>
    </xf>
    <xf borderId="6" fillId="0" fontId="23" numFmtId="0" xfId="0" applyAlignment="1" applyBorder="1" applyFont="1">
      <alignment horizontal="center" readingOrder="0" shrinkToFit="0" vertical="center" wrapText="0"/>
    </xf>
    <xf borderId="5" fillId="23" fontId="4" numFmtId="3" xfId="0" applyAlignment="1" applyBorder="1" applyFont="1" applyNumberFormat="1">
      <alignment horizontal="right" vertical="bottom"/>
    </xf>
    <xf borderId="5" fillId="23" fontId="4" numFmtId="181" xfId="0" applyAlignment="1" applyBorder="1" applyFont="1" applyNumberFormat="1">
      <alignment horizontal="right" vertical="bottom"/>
    </xf>
    <xf borderId="5" fillId="23" fontId="4" numFmtId="181" xfId="0" applyAlignment="1" applyBorder="1" applyFont="1" applyNumberFormat="1">
      <alignment horizontal="left" vertical="bottom"/>
    </xf>
    <xf borderId="6" fillId="18" fontId="4" numFmtId="3" xfId="0" applyAlignment="1" applyBorder="1" applyFont="1" applyNumberFormat="1">
      <alignment horizontal="right" vertical="bottom"/>
    </xf>
    <xf borderId="5" fillId="10" fontId="4" numFmtId="1" xfId="0" applyAlignment="1" applyBorder="1" applyFont="1" applyNumberFormat="1">
      <alignment horizontal="right" vertical="bottom"/>
    </xf>
    <xf borderId="5" fillId="0" fontId="4" numFmtId="0" xfId="0" applyAlignment="1" applyBorder="1" applyFont="1">
      <alignment horizontal="left" shrinkToFit="0" wrapText="0"/>
    </xf>
    <xf borderId="5" fillId="25" fontId="4" numFmtId="0" xfId="0" applyAlignment="1" applyBorder="1" applyFont="1">
      <alignment horizontal="right" vertical="bottom"/>
    </xf>
    <xf borderId="5" fillId="10" fontId="4" numFmtId="0" xfId="0" applyAlignment="1" applyBorder="1" applyFont="1">
      <alignment horizontal="right" vertical="bottom"/>
    </xf>
    <xf borderId="5" fillId="10" fontId="4" numFmtId="0" xfId="0" applyAlignment="1" applyBorder="1" applyFont="1">
      <alignment vertical="bottom"/>
    </xf>
    <xf quotePrefix="1" borderId="5" fillId="0" fontId="4" numFmtId="0" xfId="0" applyAlignment="1" applyBorder="1" applyFont="1">
      <alignment vertical="bottom"/>
    </xf>
    <xf borderId="1" fillId="17" fontId="23" numFmtId="0" xfId="0" applyAlignment="1" applyBorder="1" applyFont="1">
      <alignment horizontal="center" vertical="center"/>
    </xf>
    <xf borderId="5" fillId="10" fontId="4" numFmtId="0" xfId="0" applyAlignment="1" applyBorder="1" applyFont="1">
      <alignment horizontal="center" vertical="bottom"/>
    </xf>
    <xf borderId="5" fillId="0" fontId="4" numFmtId="0" xfId="0" applyAlignment="1" applyBorder="1" applyFont="1">
      <alignment vertical="bottom"/>
    </xf>
    <xf borderId="6" fillId="32" fontId="4" numFmtId="3" xfId="0" applyAlignment="1" applyBorder="1" applyFont="1" applyNumberFormat="1">
      <alignment horizontal="right" vertical="bottom"/>
    </xf>
    <xf borderId="6" fillId="10" fontId="4" numFmtId="0" xfId="0" applyAlignment="1" applyBorder="1" applyFont="1">
      <alignment horizontal="right" vertical="bottom"/>
    </xf>
    <xf borderId="4" fillId="17" fontId="23" numFmtId="0" xfId="0" applyAlignment="1" applyBorder="1" applyFont="1">
      <alignment horizontal="left" vertical="center"/>
    </xf>
    <xf borderId="1" fillId="10" fontId="23" numFmtId="1" xfId="0" applyAlignment="1" applyBorder="1" applyFont="1" applyNumberFormat="1">
      <alignment horizontal="center" vertical="center"/>
    </xf>
    <xf borderId="0" fillId="0" fontId="23" numFmtId="0" xfId="0" applyAlignment="1" applyFont="1">
      <alignment horizontal="center" vertical="center"/>
    </xf>
    <xf borderId="0" fillId="0" fontId="4" numFmtId="187" xfId="0" applyAlignment="1" applyFont="1" applyNumberFormat="1">
      <alignment vertical="bottom"/>
    </xf>
    <xf borderId="1" fillId="22" fontId="36" numFmtId="0" xfId="0" applyAlignment="1" applyBorder="1" applyFont="1">
      <alignment horizontal="center" readingOrder="0" vertical="center"/>
    </xf>
    <xf borderId="13" fillId="0" fontId="4" numFmtId="0" xfId="0" applyAlignment="1" applyBorder="1" applyFont="1">
      <alignment horizontal="center" readingOrder="0" vertical="bottom"/>
    </xf>
    <xf borderId="1" fillId="6" fontId="23" numFmtId="0" xfId="0" applyAlignment="1" applyBorder="1" applyFont="1">
      <alignment readingOrder="0" vertical="center"/>
    </xf>
    <xf borderId="0" fillId="0" fontId="23" numFmtId="0" xfId="0" applyFont="1"/>
    <xf borderId="1" fillId="33" fontId="4" numFmtId="174" xfId="0" applyAlignment="1" applyBorder="1" applyFill="1" applyFont="1" applyNumberFormat="1">
      <alignment horizontal="right" readingOrder="0" vertical="bottom"/>
    </xf>
    <xf borderId="6" fillId="31" fontId="4" numFmtId="0" xfId="0" applyAlignment="1" applyBorder="1" applyFont="1">
      <alignment vertical="bottom"/>
    </xf>
    <xf borderId="12" fillId="31" fontId="4" numFmtId="0" xfId="0" applyAlignment="1" applyBorder="1" applyFont="1">
      <alignment horizontal="right" shrinkToFit="0" wrapText="1"/>
    </xf>
    <xf borderId="12" fillId="31" fontId="4" numFmtId="0" xfId="0" applyAlignment="1" applyBorder="1" applyFont="1">
      <alignment horizontal="center"/>
    </xf>
    <xf borderId="12" fillId="31" fontId="4" numFmtId="0" xfId="0" applyAlignment="1" applyBorder="1" applyFont="1">
      <alignment horizontal="right"/>
    </xf>
    <xf borderId="12" fillId="31" fontId="4" numFmtId="0" xfId="0" applyAlignment="1" applyBorder="1" applyFont="1">
      <alignment horizontal="center"/>
    </xf>
    <xf borderId="1" fillId="0" fontId="23" numFmtId="0" xfId="0" applyAlignment="1" applyBorder="1" applyFont="1">
      <alignment horizontal="left" shrinkToFit="0" vertical="center" wrapText="0"/>
    </xf>
    <xf borderId="1" fillId="0" fontId="23" numFmtId="0" xfId="0" applyAlignment="1" applyBorder="1" applyFont="1">
      <alignment horizontal="center" shrinkToFit="0" vertical="center" wrapText="0"/>
    </xf>
    <xf borderId="0" fillId="0" fontId="23" numFmtId="0" xfId="0" applyAlignment="1" applyFont="1">
      <alignment horizontal="left" vertical="center"/>
    </xf>
    <xf borderId="0" fillId="0" fontId="3" numFmtId="0" xfId="0" applyAlignment="1" applyFont="1">
      <alignment horizontal="center" readingOrder="0"/>
    </xf>
    <xf borderId="2" fillId="4" fontId="3" numFmtId="0" xfId="0" applyAlignment="1" applyBorder="1" applyFont="1">
      <alignment horizontal="center" readingOrder="0"/>
    </xf>
    <xf borderId="0" fillId="0" fontId="3" numFmtId="0" xfId="0" applyAlignment="1" applyFont="1">
      <alignment readingOrder="0" vertical="center"/>
    </xf>
    <xf borderId="7" fillId="32" fontId="3" numFmtId="0" xfId="0" applyAlignment="1" applyBorder="1" applyFont="1">
      <alignment readingOrder="0" vertical="center"/>
    </xf>
    <xf borderId="7" fillId="32" fontId="3" numFmtId="0" xfId="0" applyAlignment="1" applyBorder="1" applyFont="1">
      <alignment readingOrder="0" shrinkToFit="0" vertical="center" wrapText="0"/>
    </xf>
    <xf borderId="2" fillId="32" fontId="3" numFmtId="0" xfId="0" applyAlignment="1" applyBorder="1" applyFont="1">
      <alignment horizontal="center" readingOrder="0"/>
    </xf>
    <xf borderId="1" fillId="6" fontId="23" numFmtId="0" xfId="0" applyAlignment="1" applyBorder="1" applyFont="1">
      <alignment vertical="center"/>
    </xf>
    <xf borderId="1" fillId="0" fontId="23" numFmtId="0" xfId="0" applyAlignment="1" applyBorder="1" applyFont="1">
      <alignment horizontal="center" vertical="center"/>
    </xf>
    <xf borderId="1" fillId="4" fontId="3" numFmtId="0" xfId="0" applyAlignment="1" applyBorder="1" applyFont="1">
      <alignment readingOrder="0"/>
    </xf>
    <xf borderId="1" fillId="4" fontId="3" numFmtId="0" xfId="0" applyAlignment="1" applyBorder="1" applyFont="1">
      <alignment horizontal="left" readingOrder="0"/>
    </xf>
    <xf borderId="5" fillId="31" fontId="4" numFmtId="1" xfId="0" applyAlignment="1" applyBorder="1" applyFont="1" applyNumberFormat="1">
      <alignment horizontal="right" vertical="bottom"/>
    </xf>
    <xf borderId="5" fillId="31" fontId="4" numFmtId="0" xfId="0" applyAlignment="1" applyBorder="1" applyFont="1">
      <alignment horizontal="right" vertical="bottom"/>
    </xf>
    <xf borderId="5" fillId="31" fontId="4" numFmtId="0" xfId="0" applyAlignment="1" applyBorder="1" applyFont="1">
      <alignment vertical="bottom"/>
    </xf>
    <xf borderId="0" fillId="0" fontId="3" numFmtId="188" xfId="0" applyAlignment="1" applyFont="1" applyNumberFormat="1">
      <alignment horizontal="right" readingOrder="0"/>
    </xf>
    <xf borderId="1" fillId="0" fontId="3" numFmtId="188" xfId="0" applyAlignment="1" applyBorder="1" applyFont="1" applyNumberFormat="1">
      <alignment horizontal="right" readingOrder="0"/>
    </xf>
    <xf borderId="1" fillId="0" fontId="3" numFmtId="189" xfId="0" applyAlignment="1" applyBorder="1" applyFont="1" applyNumberFormat="1">
      <alignment horizontal="left" readingOrder="0"/>
    </xf>
    <xf borderId="1" fillId="0" fontId="3" numFmtId="0" xfId="0" applyAlignment="1" applyBorder="1" applyFont="1">
      <alignment readingOrder="0"/>
    </xf>
    <xf borderId="1" fillId="0" fontId="3" numFmtId="0" xfId="0" applyAlignment="1" applyBorder="1" applyFont="1">
      <alignment horizontal="center" readingOrder="0"/>
    </xf>
    <xf borderId="1" fillId="0" fontId="5" numFmtId="0" xfId="0" applyAlignment="1" applyBorder="1" applyFont="1">
      <alignment readingOrder="0" shrinkToFit="0" vertical="center" wrapText="0"/>
    </xf>
    <xf borderId="1" fillId="0" fontId="3" numFmtId="0" xfId="0" applyAlignment="1" applyBorder="1" applyFont="1">
      <alignment horizontal="left" readingOrder="0"/>
    </xf>
    <xf borderId="1" fillId="0" fontId="3" numFmtId="14" xfId="0" applyAlignment="1" applyBorder="1" applyFont="1" applyNumberFormat="1">
      <alignment horizontal="left" readingOrder="0"/>
    </xf>
    <xf borderId="6" fillId="31" fontId="4" numFmtId="0" xfId="0" applyAlignment="1" applyBorder="1" applyFont="1">
      <alignment horizontal="right" vertical="bottom"/>
    </xf>
    <xf borderId="1" fillId="0" fontId="5" numFmtId="0" xfId="0" applyAlignment="1" applyBorder="1" applyFont="1">
      <alignment shrinkToFit="0" vertical="center" wrapText="0"/>
    </xf>
    <xf borderId="1" fillId="0" fontId="5" numFmtId="0" xfId="0" applyAlignment="1" applyBorder="1" applyFont="1">
      <alignment horizontal="left" readingOrder="0" shrinkToFit="0" vertical="center" wrapText="0"/>
    </xf>
    <xf borderId="1" fillId="0" fontId="5" numFmtId="0" xfId="0" applyAlignment="1" applyBorder="1" applyFont="1">
      <alignment horizontal="left" readingOrder="0" shrinkToFit="0" vertical="center" wrapText="0"/>
    </xf>
    <xf borderId="0" fillId="0" fontId="3" numFmtId="188" xfId="0" applyAlignment="1" applyFont="1" applyNumberFormat="1">
      <alignment horizontal="right"/>
    </xf>
    <xf borderId="1" fillId="0" fontId="3" numFmtId="0" xfId="0" applyAlignment="1" applyBorder="1" applyFont="1">
      <alignment horizontal="left" readingOrder="0" shrinkToFit="0" wrapText="0"/>
    </xf>
    <xf borderId="1" fillId="17" fontId="23" numFmtId="0" xfId="0" applyAlignment="1" applyBorder="1" applyFont="1">
      <alignment readingOrder="0" vertical="center"/>
    </xf>
    <xf borderId="1" fillId="0" fontId="3" numFmtId="188" xfId="0" applyAlignment="1" applyBorder="1" applyFont="1" applyNumberFormat="1">
      <alignment horizontal="right"/>
    </xf>
    <xf borderId="1" fillId="6" fontId="23" numFmtId="0" xfId="0" applyBorder="1" applyFont="1"/>
    <xf borderId="1" fillId="0" fontId="23" numFmtId="0" xfId="0" applyAlignment="1" applyBorder="1" applyFont="1">
      <alignment horizontal="center"/>
    </xf>
    <xf borderId="1" fillId="0" fontId="23" numFmtId="0" xfId="0" applyBorder="1" applyFont="1"/>
    <xf borderId="6" fillId="2" fontId="4" numFmtId="0" xfId="0" applyAlignment="1" applyBorder="1" applyFont="1">
      <alignment vertical="bottom"/>
    </xf>
    <xf borderId="12" fillId="2" fontId="4" numFmtId="0" xfId="0" applyAlignment="1" applyBorder="1" applyFont="1">
      <alignment horizontal="right" shrinkToFit="0" wrapText="1"/>
    </xf>
    <xf borderId="12" fillId="2" fontId="4" numFmtId="0" xfId="0" applyAlignment="1" applyBorder="1" applyFont="1">
      <alignment horizontal="center"/>
    </xf>
    <xf borderId="12" fillId="2" fontId="4" numFmtId="0" xfId="0" applyAlignment="1" applyBorder="1" applyFont="1">
      <alignment horizontal="right"/>
    </xf>
    <xf borderId="12" fillId="2" fontId="4" numFmtId="0" xfId="0" applyAlignment="1" applyBorder="1" applyFont="1">
      <alignment horizontal="center"/>
    </xf>
    <xf borderId="0" fillId="0" fontId="23" numFmtId="0" xfId="0" applyAlignment="1" applyFont="1">
      <alignment horizontal="center"/>
    </xf>
    <xf borderId="1" fillId="0" fontId="23" numFmtId="0" xfId="0" applyAlignment="1" applyBorder="1" applyFont="1">
      <alignment horizontal="left" shrinkToFit="0" wrapText="0"/>
    </xf>
    <xf borderId="1" fillId="0" fontId="23" numFmtId="0" xfId="0" applyAlignment="1" applyBorder="1" applyFont="1">
      <alignment horizontal="center" shrinkToFit="0" wrapText="0"/>
    </xf>
    <xf borderId="0" fillId="0" fontId="28" numFmtId="0" xfId="0" applyAlignment="1" applyFont="1">
      <alignment readingOrder="0" shrinkToFit="0" vertical="center" wrapText="0"/>
    </xf>
    <xf borderId="0" fillId="0" fontId="28" numFmtId="0" xfId="0" applyAlignment="1" applyFont="1">
      <alignment readingOrder="0" shrinkToFit="0" vertical="center" wrapText="1"/>
    </xf>
    <xf borderId="5" fillId="2" fontId="4" numFmtId="1" xfId="0" applyAlignment="1" applyBorder="1" applyFont="1" applyNumberFormat="1">
      <alignment horizontal="right" vertical="bottom"/>
    </xf>
    <xf borderId="5" fillId="2" fontId="4" numFmtId="0" xfId="0" applyAlignment="1" applyBorder="1" applyFont="1">
      <alignment horizontal="right" vertical="bottom"/>
    </xf>
    <xf borderId="5" fillId="2" fontId="4" numFmtId="0" xfId="0" applyAlignment="1" applyBorder="1" applyFont="1">
      <alignment vertical="bottom"/>
    </xf>
    <xf borderId="0" fillId="0" fontId="23" numFmtId="0" xfId="0" applyAlignment="1" applyFont="1">
      <alignment shrinkToFit="0" wrapText="1"/>
    </xf>
    <xf borderId="0" fillId="0" fontId="23" numFmtId="0" xfId="0" applyAlignment="1" applyFont="1">
      <alignment readingOrder="0" shrinkToFit="0" wrapText="0"/>
    </xf>
    <xf borderId="6" fillId="2" fontId="4" numFmtId="0" xfId="0" applyAlignment="1" applyBorder="1" applyFont="1">
      <alignment horizontal="right" vertical="bottom"/>
    </xf>
    <xf borderId="1" fillId="34" fontId="4" numFmtId="174" xfId="0" applyAlignment="1" applyBorder="1" applyFill="1" applyFont="1" applyNumberFormat="1">
      <alignment horizontal="right" readingOrder="0" vertical="bottom"/>
    </xf>
    <xf borderId="0" fillId="0" fontId="23" numFmtId="0" xfId="0" applyAlignment="1" applyFont="1">
      <alignment readingOrder="0"/>
    </xf>
    <xf borderId="1" fillId="0" fontId="4" numFmtId="0" xfId="0" applyAlignment="1" applyBorder="1" applyFont="1">
      <alignment shrinkToFit="0" vertical="center" wrapText="0"/>
    </xf>
    <xf borderId="1" fillId="6" fontId="23" numFmtId="0" xfId="0" applyAlignment="1" applyBorder="1" applyFont="1">
      <alignment readingOrder="0"/>
    </xf>
    <xf borderId="0" fillId="0" fontId="23" numFmtId="0" xfId="0" applyAlignment="1" applyFont="1">
      <alignment horizontal="left" vertical="top"/>
    </xf>
    <xf borderId="1" fillId="6" fontId="23" numFmtId="0" xfId="0" applyAlignment="1" applyBorder="1" applyFont="1">
      <alignment horizontal="left" vertical="top"/>
    </xf>
    <xf borderId="1" fillId="0" fontId="23" numFmtId="0" xfId="0" applyAlignment="1" applyBorder="1" applyFont="1">
      <alignment horizontal="center" readingOrder="0" vertical="top"/>
    </xf>
    <xf borderId="1" fillId="0" fontId="23" numFmtId="0" xfId="0" applyAlignment="1" applyBorder="1" applyFont="1">
      <alignment horizontal="left" vertical="top"/>
    </xf>
    <xf borderId="0" fillId="0" fontId="23" numFmtId="0" xfId="0" applyAlignment="1" applyFont="1">
      <alignment horizontal="center" vertical="top"/>
    </xf>
    <xf borderId="1" fillId="0" fontId="23" numFmtId="0" xfId="0" applyAlignment="1" applyBorder="1" applyFont="1">
      <alignment horizontal="left" shrinkToFit="0" vertical="top" wrapText="0"/>
    </xf>
    <xf borderId="1" fillId="0" fontId="23" numFmtId="0" xfId="0" applyAlignment="1" applyBorder="1" applyFont="1">
      <alignment horizontal="center" shrinkToFit="0" vertical="top" wrapText="0"/>
    </xf>
    <xf borderId="15" fillId="0" fontId="4" numFmtId="0" xfId="0" applyAlignment="1" applyBorder="1" applyFont="1">
      <alignment vertical="bottom"/>
    </xf>
    <xf borderId="0" fillId="0" fontId="28" numFmtId="0" xfId="0" applyAlignment="1" applyFont="1">
      <alignment horizontal="left" readingOrder="0" shrinkToFit="0" vertical="center" wrapText="1"/>
    </xf>
    <xf borderId="6" fillId="0" fontId="4" numFmtId="0" xfId="0" applyAlignment="1" applyBorder="1" applyFont="1">
      <alignment horizontal="right" vertical="bottom"/>
    </xf>
    <xf borderId="5" fillId="0" fontId="4" numFmtId="0" xfId="0" applyAlignment="1" applyBorder="1" applyFont="1">
      <alignment shrinkToFit="0" vertical="bottom" wrapText="0"/>
    </xf>
    <xf borderId="0" fillId="0" fontId="23" numFmtId="0" xfId="0" applyAlignment="1" applyFont="1">
      <alignment horizontal="left" readingOrder="0" shrinkToFit="0" vertical="bottom" wrapText="1"/>
    </xf>
    <xf borderId="6" fillId="5" fontId="4" numFmtId="174" xfId="0" applyAlignment="1" applyBorder="1" applyFont="1" applyNumberFormat="1">
      <alignment horizontal="right" vertical="bottom"/>
    </xf>
    <xf borderId="5" fillId="25" fontId="4" numFmtId="10" xfId="0" applyAlignment="1" applyBorder="1" applyFont="1" applyNumberFormat="1">
      <alignment horizontal="center" vertical="bottom"/>
    </xf>
    <xf borderId="0" fillId="0" fontId="23" numFmtId="0" xfId="0" applyAlignment="1" applyFont="1">
      <alignment horizontal="left" readingOrder="0"/>
    </xf>
    <xf borderId="0" fillId="0" fontId="37" numFmtId="0" xfId="0" applyAlignment="1" applyFont="1">
      <alignment readingOrder="0"/>
    </xf>
    <xf borderId="0" fillId="0" fontId="23" numFmtId="0" xfId="0" applyAlignment="1" applyFont="1">
      <alignment horizontal="left" shrinkToFit="0" wrapText="0"/>
    </xf>
    <xf borderId="0" fillId="0" fontId="23" numFmtId="0" xfId="0" applyAlignment="1" applyFont="1">
      <alignment horizontal="center" shrinkToFit="0" wrapText="0"/>
    </xf>
    <xf borderId="0" fillId="17" fontId="23" numFmtId="0" xfId="0" applyAlignment="1" applyFont="1">
      <alignment readingOrder="0"/>
    </xf>
    <xf borderId="0" fillId="17" fontId="23" numFmtId="0" xfId="0" applyFont="1"/>
    <xf borderId="0" fillId="23" fontId="23" numFmtId="0" xfId="0" applyAlignment="1" applyFont="1">
      <alignment readingOrder="0"/>
    </xf>
    <xf borderId="0" fillId="23" fontId="23" numFmtId="0" xfId="0" applyFont="1"/>
    <xf borderId="0" fillId="7" fontId="23" numFmtId="0" xfId="0" applyAlignment="1" applyFont="1">
      <alignment horizontal="left" readingOrder="0"/>
    </xf>
    <xf borderId="0" fillId="7" fontId="23" numFmtId="0" xfId="0" applyFont="1"/>
    <xf borderId="0" fillId="0" fontId="23" numFmtId="0" xfId="0" applyAlignment="1" applyFont="1">
      <alignment readingOrder="0"/>
    </xf>
    <xf borderId="1" fillId="9" fontId="0" numFmtId="0" xfId="0" applyAlignment="1" applyBorder="1" applyFont="1">
      <alignment readingOrder="0" shrinkToFit="0" vertical="center" wrapText="0"/>
    </xf>
    <xf borderId="1" fillId="5" fontId="38" numFmtId="3" xfId="0" applyAlignment="1" applyBorder="1" applyFont="1" applyNumberFormat="1">
      <alignment horizontal="center" shrinkToFit="0" vertical="center" wrapText="0"/>
    </xf>
    <xf borderId="0" fillId="0" fontId="23" numFmtId="0" xfId="0" applyAlignment="1" applyFont="1">
      <alignment vertical="center"/>
    </xf>
    <xf borderId="0" fillId="0" fontId="4" numFmtId="0" xfId="0" applyAlignment="1" applyFont="1">
      <alignment horizontal="center" readingOrder="0" vertical="center"/>
    </xf>
    <xf borderId="1" fillId="17" fontId="11" numFmtId="0" xfId="0" applyAlignment="1" applyBorder="1" applyFont="1">
      <alignment horizontal="right" readingOrder="0" shrinkToFit="0" vertical="center" wrapText="1"/>
    </xf>
    <xf borderId="2" fillId="17" fontId="11" numFmtId="0" xfId="0" applyAlignment="1" applyBorder="1" applyFont="1">
      <alignment horizontal="left" readingOrder="0" shrinkToFit="0" vertical="center" wrapText="0"/>
    </xf>
    <xf borderId="7" fillId="0" fontId="3" numFmtId="14" xfId="0" applyAlignment="1" applyBorder="1" applyFont="1" applyNumberFormat="1">
      <alignment horizontal="right" readingOrder="0" vertical="center"/>
    </xf>
    <xf borderId="7" fillId="0" fontId="3" numFmtId="0" xfId="0" applyAlignment="1" applyBorder="1" applyFont="1">
      <alignment horizontal="right" readingOrder="0" vertical="center"/>
    </xf>
    <xf borderId="2" fillId="0" fontId="3" numFmtId="0" xfId="0" applyAlignment="1" applyBorder="1" applyFont="1">
      <alignment horizontal="left" readingOrder="0" shrinkToFit="0" vertical="center" wrapText="0"/>
    </xf>
    <xf borderId="2" fillId="0" fontId="39" numFmtId="0" xfId="0" applyAlignment="1" applyBorder="1" applyFont="1">
      <alignment horizontal="left" readingOrder="0" shrinkToFit="0" vertical="center" wrapText="0"/>
    </xf>
    <xf borderId="0" fillId="0" fontId="11" numFmtId="0" xfId="0" applyAlignment="1" applyFont="1">
      <alignment horizontal="right" readingOrder="0" shrinkToFit="0" vertical="center" wrapText="1"/>
    </xf>
    <xf borderId="0" fillId="0" fontId="11" numFmtId="0" xfId="0" applyAlignment="1" applyFont="1">
      <alignment horizontal="left" readingOrder="0" shrinkToFit="0" vertical="center" wrapText="0"/>
    </xf>
    <xf borderId="0" fillId="9" fontId="0" numFmtId="0" xfId="0" applyAlignment="1" applyFont="1">
      <alignment readingOrder="0" shrinkToFit="0" vertical="center" wrapText="0"/>
    </xf>
    <xf borderId="1" fillId="0" fontId="3" numFmtId="0" xfId="0" applyAlignment="1" applyBorder="1" applyFont="1">
      <alignment horizontal="right" readingOrder="0" shrinkToFit="0" vertical="center" wrapText="1"/>
    </xf>
    <xf borderId="1" fillId="0" fontId="3" numFmtId="14" xfId="0" applyAlignment="1" applyBorder="1" applyFont="1" applyNumberFormat="1">
      <alignment horizontal="right" readingOrder="0" vertical="center"/>
    </xf>
    <xf borderId="2" fillId="0" fontId="3" numFmtId="0" xfId="0" applyAlignment="1" applyBorder="1" applyFont="1">
      <alignment readingOrder="0" shrinkToFit="0" wrapText="1"/>
    </xf>
    <xf borderId="2" fillId="0" fontId="3" numFmtId="0" xfId="0" applyAlignment="1" applyBorder="1" applyFont="1">
      <alignment readingOrder="0" shrinkToFit="0" vertical="top" wrapText="1"/>
    </xf>
    <xf borderId="0" fillId="0" fontId="3" numFmtId="0" xfId="0" applyAlignment="1" applyFont="1">
      <alignment horizontal="right" readingOrder="0" vertical="center"/>
    </xf>
    <xf borderId="0" fillId="35" fontId="11" numFmtId="0" xfId="0" applyAlignment="1" applyFill="1" applyFont="1">
      <alignment horizontal="right" readingOrder="0" shrinkToFit="0" vertical="center" wrapText="1"/>
    </xf>
    <xf borderId="0" fillId="35" fontId="11" numFmtId="0" xfId="0" applyAlignment="1" applyFont="1">
      <alignment horizontal="left" readingOrder="0" shrinkToFit="0" vertical="center" wrapText="0"/>
    </xf>
    <xf borderId="0" fillId="35" fontId="11" numFmtId="0" xfId="0" applyAlignment="1" applyFont="1">
      <alignment horizontal="center" readingOrder="0" shrinkToFit="0" vertical="center" wrapText="1"/>
    </xf>
    <xf borderId="0" fillId="0" fontId="3" numFmtId="0" xfId="0" applyAlignment="1" applyFont="1">
      <alignment readingOrder="0" shrinkToFit="0" vertical="center" wrapText="0"/>
    </xf>
    <xf borderId="0" fillId="0" fontId="3" numFmtId="0" xfId="0" applyAlignment="1" applyFont="1">
      <alignment horizontal="right" vertical="center"/>
    </xf>
    <xf borderId="1" fillId="0" fontId="40" numFmtId="0" xfId="0" applyAlignment="1" applyBorder="1" applyFont="1">
      <alignment horizontal="right" readingOrder="0" shrinkToFit="0" vertical="center" wrapText="1"/>
    </xf>
    <xf borderId="1" fillId="0" fontId="40" numFmtId="0" xfId="0" applyAlignment="1" applyBorder="1" applyFont="1">
      <alignment horizontal="left" readingOrder="0" shrinkToFit="0" vertical="center" wrapText="1"/>
    </xf>
    <xf borderId="0" fillId="0" fontId="3" numFmtId="0" xfId="0" applyAlignment="1" applyFont="1">
      <alignment horizontal="left"/>
    </xf>
    <xf borderId="1" fillId="6" fontId="5" numFmtId="0" xfId="0" applyAlignment="1" applyBorder="1" applyFont="1">
      <alignment horizontal="left" readingOrder="0" shrinkToFit="0" vertical="center" wrapText="0"/>
    </xf>
    <xf borderId="1" fillId="7" fontId="5" numFmtId="0" xfId="0" applyAlignment="1" applyBorder="1" applyFont="1">
      <alignment horizontal="left" readingOrder="0" shrinkToFit="0" vertical="center" wrapText="0"/>
    </xf>
    <xf borderId="1" fillId="7" fontId="5" numFmtId="0" xfId="0" applyAlignment="1" applyBorder="1" applyFont="1">
      <alignment horizontal="right" readingOrder="0" shrinkToFit="0" vertical="center" wrapText="1"/>
    </xf>
    <xf borderId="1" fillId="7" fontId="3" numFmtId="0" xfId="0" applyAlignment="1" applyBorder="1" applyFont="1">
      <alignment horizontal="center" readingOrder="0" shrinkToFit="0" vertical="center" wrapText="1"/>
    </xf>
    <xf borderId="1" fillId="2" fontId="3" numFmtId="0" xfId="0" applyAlignment="1" applyBorder="1" applyFont="1">
      <alignment horizontal="center" readingOrder="0" shrinkToFit="0" vertical="center" wrapText="1"/>
    </xf>
    <xf borderId="0" fillId="0" fontId="3" numFmtId="0" xfId="0" applyAlignment="1" applyFont="1">
      <alignment shrinkToFit="0" wrapText="1"/>
    </xf>
    <xf borderId="0" fillId="0" fontId="3" numFmtId="0" xfId="0" applyAlignment="1" applyFont="1">
      <alignment readingOrder="0" shrinkToFit="0" wrapText="0"/>
    </xf>
    <xf borderId="2" fillId="5" fontId="3" numFmtId="0" xfId="0" applyAlignment="1" applyBorder="1" applyFont="1">
      <alignment horizontal="center" readingOrder="0" shrinkToFit="0" wrapText="1"/>
    </xf>
    <xf borderId="2" fillId="11" fontId="3" numFmtId="0" xfId="0" applyAlignment="1" applyBorder="1" applyFont="1">
      <alignment horizontal="center" readingOrder="0" shrinkToFit="0" wrapText="1"/>
    </xf>
    <xf borderId="7" fillId="0" fontId="3" numFmtId="0" xfId="0" applyAlignment="1" applyBorder="1" applyFont="1">
      <alignment horizontal="right" readingOrder="0" shrinkToFit="0" wrapText="1"/>
    </xf>
    <xf borderId="1" fillId="5" fontId="3" numFmtId="0" xfId="0" applyAlignment="1" applyBorder="1" applyFont="1">
      <alignment readingOrder="0"/>
    </xf>
    <xf borderId="1" fillId="11" fontId="3" numFmtId="0" xfId="0" applyAlignment="1" applyBorder="1" applyFont="1">
      <alignment readingOrder="0"/>
    </xf>
    <xf borderId="1" fillId="0" fontId="3" numFmtId="0" xfId="0" applyAlignment="1" applyBorder="1" applyFont="1">
      <alignment horizontal="right" readingOrder="0"/>
    </xf>
    <xf borderId="1" fillId="2" fontId="3" numFmtId="0" xfId="0" applyAlignment="1" applyBorder="1" applyFont="1">
      <alignment horizontal="center" readingOrder="0"/>
    </xf>
    <xf quotePrefix="1" borderId="1" fillId="0" fontId="3" numFmtId="0" xfId="0" applyAlignment="1" applyBorder="1" applyFont="1">
      <alignment horizontal="right" readingOrder="0"/>
    </xf>
    <xf borderId="1" fillId="6" fontId="5" numFmtId="0" xfId="0" applyAlignment="1" applyBorder="1" applyFont="1">
      <alignment horizontal="left" readingOrder="0" shrinkToFit="0" vertical="center" wrapText="0"/>
    </xf>
    <xf borderId="1" fillId="7" fontId="5" numFmtId="0" xfId="0" applyAlignment="1" applyBorder="1" applyFont="1">
      <alignment horizontal="left" readingOrder="0" shrinkToFit="0" vertical="center" wrapText="0"/>
    </xf>
    <xf borderId="1" fillId="0" fontId="5" numFmtId="9" xfId="0" applyAlignment="1" applyBorder="1" applyFont="1" applyNumberFormat="1">
      <alignment horizontal="left" readingOrder="0" shrinkToFit="0" vertical="center" wrapText="0"/>
    </xf>
    <xf borderId="0" fillId="4" fontId="41" numFmtId="0" xfId="0" applyAlignment="1" applyFont="1">
      <alignment horizontal="left" readingOrder="0" vertical="center"/>
    </xf>
    <xf borderId="0" fillId="4" fontId="3" numFmtId="0" xfId="0" applyAlignment="1" applyFont="1">
      <alignment horizontal="right" vertical="center"/>
    </xf>
    <xf borderId="0" fillId="4" fontId="3" numFmtId="0" xfId="0" applyAlignment="1" applyFont="1">
      <alignment shrinkToFit="0" wrapText="1"/>
    </xf>
    <xf borderId="0" fillId="4" fontId="3" numFmtId="0" xfId="0" applyFont="1"/>
    <xf borderId="1" fillId="5" fontId="12" numFmtId="0" xfId="0" applyAlignment="1" applyBorder="1" applyFont="1">
      <alignment horizontal="right" vertical="center"/>
    </xf>
    <xf borderId="1" fillId="36" fontId="3" numFmtId="0" xfId="0" applyAlignment="1" applyBorder="1" applyFill="1" applyFont="1">
      <alignment readingOrder="0"/>
    </xf>
    <xf borderId="1" fillId="0" fontId="3" numFmtId="10" xfId="0" applyAlignment="1" applyBorder="1" applyFont="1" applyNumberFormat="1">
      <alignment horizontal="right" readingOrder="0" vertical="center"/>
    </xf>
    <xf borderId="1" fillId="5" fontId="3" numFmtId="10" xfId="0" applyAlignment="1" applyBorder="1" applyFont="1" applyNumberFormat="1">
      <alignment horizontal="right" vertical="center"/>
    </xf>
    <xf borderId="0" fillId="0" fontId="3" numFmtId="0" xfId="0" applyAlignment="1" applyFont="1">
      <alignment horizontal="left" readingOrder="0" shrinkToFit="0" wrapText="1"/>
    </xf>
    <xf borderId="0" fillId="0" fontId="3" numFmtId="0" xfId="0" applyAlignment="1" applyFont="1">
      <alignment horizontal="right" readingOrder="0" shrinkToFit="0" wrapText="1"/>
    </xf>
    <xf borderId="2" fillId="0" fontId="3" numFmtId="0" xfId="0" applyAlignment="1" applyBorder="1" applyFont="1">
      <alignment horizontal="center" readingOrder="0" shrinkToFit="0" vertical="center" wrapText="1"/>
    </xf>
    <xf borderId="1" fillId="0" fontId="3" numFmtId="0" xfId="0" applyAlignment="1" applyBorder="1" applyFont="1">
      <alignment horizontal="center" readingOrder="0" shrinkToFit="0" wrapText="1"/>
    </xf>
    <xf borderId="1" fillId="0" fontId="3" numFmtId="0" xfId="0" applyAlignment="1" applyBorder="1" applyFont="1">
      <alignment horizontal="center" readingOrder="0" shrinkToFit="0" vertical="center" wrapText="1"/>
    </xf>
    <xf borderId="1" fillId="0" fontId="3" numFmtId="0" xfId="0" applyAlignment="1" applyBorder="1" applyFont="1">
      <alignment horizontal="center" shrinkToFit="0" wrapText="1"/>
    </xf>
    <xf borderId="0" fillId="0" fontId="3" numFmtId="0" xfId="0" applyAlignment="1" applyFont="1">
      <alignment horizontal="left" readingOrder="0" vertical="center"/>
    </xf>
    <xf borderId="1" fillId="36" fontId="3" numFmtId="0" xfId="0" applyAlignment="1" applyBorder="1" applyFont="1">
      <alignment horizontal="center" vertical="center"/>
    </xf>
    <xf borderId="1" fillId="36" fontId="3" numFmtId="0" xfId="0" applyAlignment="1" applyBorder="1" applyFont="1">
      <alignment horizontal="center" shrinkToFit="0" wrapText="1"/>
    </xf>
    <xf borderId="1" fillId="36" fontId="3" numFmtId="0" xfId="0" applyAlignment="1" applyBorder="1" applyFont="1">
      <alignment horizontal="center"/>
    </xf>
    <xf borderId="2" fillId="0" fontId="3" numFmtId="0" xfId="0" applyAlignment="1" applyBorder="1" applyFont="1">
      <alignment horizontal="center" readingOrder="0"/>
    </xf>
    <xf borderId="2" fillId="0" fontId="3" numFmtId="0" xfId="0" applyAlignment="1" applyBorder="1" applyFont="1">
      <alignment readingOrder="0"/>
    </xf>
    <xf borderId="0" fillId="0" fontId="3" numFmtId="0" xfId="0" applyAlignment="1" applyFont="1">
      <alignment horizontal="center" vertical="bottom"/>
    </xf>
    <xf borderId="1" fillId="17" fontId="3" numFmtId="0" xfId="0" applyAlignment="1" applyBorder="1" applyFont="1">
      <alignment vertical="bottom"/>
    </xf>
    <xf borderId="1" fillId="17" fontId="3" numFmtId="0" xfId="0" applyAlignment="1" applyBorder="1" applyFont="1">
      <alignment horizontal="right" vertical="bottom"/>
    </xf>
    <xf borderId="1" fillId="0" fontId="3" numFmtId="0" xfId="0" applyAlignment="1" applyBorder="1" applyFont="1">
      <alignment vertical="bottom"/>
    </xf>
    <xf borderId="1" fillId="0" fontId="3" numFmtId="0" xfId="0" applyAlignment="1" applyBorder="1" applyFont="1">
      <alignment horizontal="right" vertical="bottom"/>
    </xf>
    <xf borderId="1" fillId="0" fontId="3" numFmtId="0" xfId="0" applyAlignment="1" applyBorder="1" applyFont="1">
      <alignment horizontal="center" vertical="bottom"/>
    </xf>
    <xf borderId="1" fillId="14" fontId="3" numFmtId="0" xfId="0" applyAlignment="1" applyBorder="1" applyFont="1">
      <alignment vertical="bottom"/>
    </xf>
    <xf borderId="4" fillId="14" fontId="3" numFmtId="0" xfId="0" applyAlignment="1" applyBorder="1" applyFont="1">
      <alignment horizontal="right" vertical="bottom"/>
    </xf>
    <xf borderId="6" fillId="0" fontId="3" numFmtId="0" xfId="0" applyAlignment="1" applyBorder="1" applyFont="1">
      <alignment vertical="bottom"/>
    </xf>
    <xf borderId="5" fillId="0" fontId="3" numFmtId="0" xfId="0" applyAlignment="1" applyBorder="1" applyFont="1">
      <alignment horizontal="right" vertical="bottom"/>
    </xf>
    <xf borderId="5" fillId="0" fontId="3" numFmtId="0" xfId="0" applyAlignment="1" applyBorder="1" applyFont="1">
      <alignment vertical="bottom"/>
    </xf>
    <xf borderId="0" fillId="0" fontId="24" numFmtId="0" xfId="0" applyAlignment="1" applyFont="1">
      <alignment vertical="center"/>
    </xf>
    <xf borderId="1" fillId="0" fontId="24" numFmtId="0" xfId="0" applyAlignment="1" applyBorder="1" applyFont="1">
      <alignment horizontal="center" readingOrder="0" vertical="center"/>
    </xf>
    <xf borderId="2" fillId="17" fontId="3" numFmtId="0" xfId="0" applyAlignment="1" applyBorder="1" applyFont="1">
      <alignment horizontal="center" readingOrder="0" vertical="center"/>
    </xf>
    <xf quotePrefix="1" borderId="1" fillId="17" fontId="3" numFmtId="0" xfId="0" applyAlignment="1" applyBorder="1" applyFont="1">
      <alignment horizontal="right" readingOrder="0" shrinkToFit="0" vertical="center" wrapText="0"/>
    </xf>
    <xf borderId="1" fillId="17" fontId="3" numFmtId="0" xfId="0" applyAlignment="1" applyBorder="1" applyFont="1">
      <alignment horizontal="center" readingOrder="0" vertical="center"/>
    </xf>
    <xf quotePrefix="1" borderId="1" fillId="36" fontId="3" numFmtId="0" xfId="0" applyAlignment="1" applyBorder="1" applyFont="1">
      <alignment readingOrder="0"/>
    </xf>
    <xf borderId="1" fillId="0" fontId="3" numFmtId="0" xfId="0" applyAlignment="1" applyBorder="1" applyFont="1">
      <alignment readingOrder="0" vertical="center"/>
    </xf>
    <xf borderId="1" fillId="0" fontId="23" numFmtId="0" xfId="0" applyAlignment="1" applyBorder="1" applyFont="1">
      <alignment horizontal="center" vertical="bottom"/>
    </xf>
    <xf borderId="12" fillId="0" fontId="23" numFmtId="0" xfId="0" applyAlignment="1" applyBorder="1" applyFont="1">
      <alignment vertical="bottom"/>
    </xf>
    <xf borderId="4" fillId="4" fontId="23" numFmtId="0" xfId="0" applyAlignment="1" applyBorder="1" applyFont="1">
      <alignment horizontal="center" vertical="bottom"/>
    </xf>
    <xf borderId="6" fillId="0" fontId="23" numFmtId="0" xfId="0" applyAlignment="1" applyBorder="1" applyFont="1">
      <alignment horizontal="center" vertical="bottom"/>
    </xf>
    <xf borderId="15" fillId="0" fontId="23" numFmtId="0" xfId="0" applyAlignment="1" applyBorder="1" applyFont="1">
      <alignment vertical="bottom"/>
    </xf>
    <xf borderId="0" fillId="0" fontId="23" numFmtId="0" xfId="0" applyAlignment="1" applyFont="1">
      <alignment vertical="bottom"/>
    </xf>
    <xf borderId="5" fillId="0" fontId="23" numFmtId="0" xfId="0" applyAlignment="1" applyBorder="1" applyFont="1">
      <alignment horizontal="center" readingOrder="0" vertical="bottom"/>
    </xf>
    <xf borderId="15" fillId="0" fontId="23" numFmtId="0" xfId="0" applyAlignment="1" applyBorder="1" applyFont="1">
      <alignment vertical="bottom"/>
    </xf>
    <xf borderId="5" fillId="37" fontId="23" numFmtId="0" xfId="0" applyAlignment="1" applyBorder="1" applyFill="1" applyFont="1">
      <alignment horizontal="center" vertical="bottom"/>
    </xf>
    <xf borderId="5" fillId="37" fontId="23" numFmtId="0" xfId="0" applyAlignment="1" applyBorder="1" applyFont="1">
      <alignment horizontal="center" vertical="bottom"/>
    </xf>
    <xf borderId="1" fillId="0" fontId="23" numFmtId="0" xfId="0" applyAlignment="1" applyBorder="1" applyFont="1">
      <alignment horizontal="right" readingOrder="0" vertical="center"/>
    </xf>
    <xf borderId="1" fillId="17" fontId="23" numFmtId="0" xfId="0" applyAlignment="1" applyBorder="1" applyFont="1">
      <alignment horizontal="right" readingOrder="0" vertical="center"/>
    </xf>
    <xf borderId="0" fillId="38" fontId="3" numFmtId="0" xfId="0" applyAlignment="1" applyFill="1" applyFont="1">
      <alignment readingOrder="0"/>
    </xf>
    <xf borderId="0" fillId="38" fontId="3" numFmtId="0" xfId="0" applyFont="1"/>
    <xf borderId="0" fillId="38" fontId="23" numFmtId="0" xfId="0" applyAlignment="1" applyFont="1">
      <alignment vertical="center"/>
    </xf>
    <xf borderId="0" fillId="38" fontId="23" numFmtId="0" xfId="0" applyAlignment="1" applyFont="1">
      <alignment readingOrder="0" vertical="center"/>
    </xf>
    <xf borderId="0" fillId="17" fontId="23" numFmtId="0" xfId="0" applyAlignment="1" applyFont="1">
      <alignment horizontal="center" readingOrder="0" vertical="center"/>
    </xf>
    <xf borderId="0" fillId="14" fontId="3" numFmtId="0" xfId="0" applyAlignment="1" applyFont="1">
      <alignment readingOrder="0"/>
    </xf>
    <xf borderId="0" fillId="14" fontId="23" numFmtId="0" xfId="0" applyAlignment="1" applyFont="1">
      <alignment vertical="center"/>
    </xf>
    <xf borderId="0" fillId="14" fontId="23" numFmtId="0" xfId="0" applyAlignment="1" applyFont="1">
      <alignment readingOrder="0" vertical="center"/>
    </xf>
    <xf borderId="0" fillId="0" fontId="3" numFmtId="190" xfId="0" applyFont="1" applyNumberFormat="1"/>
    <xf borderId="0" fillId="0" fontId="3" numFmtId="191" xfId="0" applyFont="1" applyNumberFormat="1"/>
    <xf borderId="0" fillId="0" fontId="3" numFmtId="46" xfId="0" applyFont="1" applyNumberFormat="1"/>
    <xf borderId="24" fillId="0" fontId="3" numFmtId="10" xfId="0" applyAlignment="1" applyBorder="1" applyFont="1" applyNumberFormat="1">
      <alignment horizontal="right" readingOrder="0" vertical="bottom"/>
    </xf>
    <xf borderId="24" fillId="0" fontId="3" numFmtId="10" xfId="0" applyAlignment="1" applyBorder="1" applyFont="1" applyNumberFormat="1">
      <alignment horizontal="right" vertical="bottom"/>
    </xf>
    <xf borderId="24" fillId="0" fontId="3" numFmtId="0" xfId="0" applyAlignment="1" applyBorder="1" applyFont="1">
      <alignment vertical="bottom"/>
    </xf>
    <xf borderId="7" fillId="14" fontId="23" numFmtId="0" xfId="0" applyAlignment="1" applyBorder="1" applyFont="1">
      <alignment horizontal="left" readingOrder="0" shrinkToFit="0" vertical="center" wrapText="0"/>
    </xf>
    <xf borderId="7" fillId="14" fontId="23" numFmtId="164" xfId="0" applyAlignment="1" applyBorder="1" applyFont="1" applyNumberFormat="1">
      <alignment horizontal="left" readingOrder="0" shrinkToFit="0" vertical="center" wrapText="0"/>
    </xf>
    <xf borderId="7" fillId="14" fontId="23" numFmtId="0" xfId="0" applyAlignment="1" applyBorder="1" applyFont="1">
      <alignment horizontal="right" readingOrder="0" shrinkToFit="0" vertical="center" wrapText="0"/>
    </xf>
    <xf borderId="7" fillId="14" fontId="23" numFmtId="0" xfId="0" applyAlignment="1" applyBorder="1" applyFont="1">
      <alignment horizontal="right" readingOrder="0" shrinkToFit="0" vertical="center" wrapText="1"/>
    </xf>
    <xf borderId="7" fillId="14" fontId="23" numFmtId="0" xfId="0" applyAlignment="1" applyBorder="1" applyFont="1">
      <alignment horizontal="right" readingOrder="0" vertical="center"/>
    </xf>
    <xf borderId="7" fillId="14" fontId="23" numFmtId="0" xfId="0" applyAlignment="1" applyBorder="1" applyFont="1">
      <alignment horizontal="right" readingOrder="0" shrinkToFit="0" vertical="center" wrapText="1"/>
    </xf>
    <xf borderId="7" fillId="14" fontId="3" numFmtId="0" xfId="0" applyAlignment="1" applyBorder="1" applyFont="1">
      <alignment horizontal="center" readingOrder="0" shrinkToFit="0" vertical="center" wrapText="1"/>
    </xf>
    <xf borderId="1" fillId="10" fontId="23" numFmtId="3" xfId="0" applyAlignment="1" applyBorder="1" applyFont="1" applyNumberFormat="1">
      <alignment horizontal="left" readingOrder="0" shrinkToFit="0" vertical="center" wrapText="0"/>
    </xf>
    <xf borderId="1" fillId="10" fontId="23" numFmtId="164" xfId="0" applyAlignment="1" applyBorder="1" applyFont="1" applyNumberFormat="1">
      <alignment horizontal="right" readingOrder="0" vertical="center"/>
    </xf>
    <xf borderId="1" fillId="10" fontId="23" numFmtId="0" xfId="0" applyAlignment="1" applyBorder="1" applyFont="1">
      <alignment horizontal="right" readingOrder="0" vertical="center"/>
    </xf>
    <xf borderId="1" fillId="10" fontId="23" numFmtId="3" xfId="0" applyAlignment="1" applyBorder="1" applyFont="1" applyNumberFormat="1">
      <alignment horizontal="right" readingOrder="0" vertical="center"/>
    </xf>
    <xf borderId="1" fillId="10" fontId="23" numFmtId="9" xfId="0" applyAlignment="1" applyBorder="1" applyFont="1" applyNumberFormat="1">
      <alignment horizontal="right" readingOrder="0" vertical="center"/>
    </xf>
    <xf borderId="1" fillId="10" fontId="23" numFmtId="3" xfId="0" applyAlignment="1" applyBorder="1" applyFont="1" applyNumberFormat="1">
      <alignment horizontal="right" vertical="center"/>
    </xf>
    <xf borderId="1" fillId="10" fontId="23" numFmtId="10" xfId="0" applyAlignment="1" applyBorder="1" applyFont="1" applyNumberFormat="1">
      <alignment horizontal="center" vertical="center"/>
    </xf>
    <xf borderId="1" fillId="20" fontId="23" numFmtId="0" xfId="0" applyAlignment="1" applyBorder="1" applyFont="1">
      <alignment horizontal="center" vertical="center"/>
    </xf>
    <xf borderId="1" fillId="10" fontId="23" numFmtId="0" xfId="0" applyAlignment="1" applyBorder="1" applyFont="1">
      <alignment horizontal="right" vertical="center"/>
    </xf>
    <xf borderId="1" fillId="10" fontId="23" numFmtId="3" xfId="0" applyAlignment="1" applyBorder="1" applyFont="1" applyNumberFormat="1">
      <alignment horizontal="left" shrinkToFit="0" vertical="center" wrapText="0"/>
    </xf>
    <xf borderId="1" fillId="10" fontId="23" numFmtId="164" xfId="0" applyAlignment="1" applyBorder="1" applyFont="1" applyNumberFormat="1">
      <alignment horizontal="right" vertical="center"/>
    </xf>
    <xf borderId="1" fillId="10" fontId="23" numFmtId="0" xfId="0" applyAlignment="1" applyBorder="1" applyFont="1">
      <alignment horizontal="right" vertical="center"/>
    </xf>
    <xf borderId="1" fillId="10" fontId="23" numFmtId="9" xfId="0" applyAlignment="1" applyBorder="1" applyFont="1" applyNumberFormat="1">
      <alignment horizontal="right" vertical="center"/>
    </xf>
    <xf borderId="0" fillId="9" fontId="8" numFmtId="164" xfId="0" applyAlignment="1" applyFont="1" applyNumberFormat="1">
      <alignment readingOrder="0" vertical="center"/>
    </xf>
    <xf borderId="0" fillId="0" fontId="8" numFmtId="0" xfId="0" applyAlignment="1" applyFont="1">
      <alignment horizontal="left" readingOrder="0" vertical="center"/>
    </xf>
    <xf borderId="1" fillId="10" fontId="23" numFmtId="172" xfId="0" applyAlignment="1" applyBorder="1" applyFont="1" applyNumberFormat="1">
      <alignment horizontal="right" vertical="center"/>
    </xf>
    <xf borderId="5" fillId="17" fontId="4" numFmtId="0" xfId="0" applyAlignment="1" applyBorder="1" applyFont="1">
      <alignment horizontal="right" vertical="bottom"/>
    </xf>
    <xf borderId="6" fillId="29" fontId="35" numFmtId="0" xfId="0" applyAlignment="1" applyBorder="1" applyFont="1">
      <alignment vertical="bottom"/>
    </xf>
    <xf borderId="5" fillId="5" fontId="4" numFmtId="10" xfId="0" applyAlignment="1" applyBorder="1" applyFont="1" applyNumberFormat="1">
      <alignment vertical="bottom"/>
    </xf>
    <xf borderId="5" fillId="5" fontId="4" numFmtId="174" xfId="0" applyAlignment="1" applyBorder="1" applyFont="1" applyNumberFormat="1">
      <alignment vertical="bottom"/>
    </xf>
    <xf borderId="6" fillId="10" fontId="4" numFmtId="186" xfId="0" applyAlignment="1" applyBorder="1" applyFont="1" applyNumberFormat="1">
      <alignment vertical="bottom"/>
    </xf>
    <xf borderId="5" fillId="17" fontId="4" numFmtId="0" xfId="0" applyAlignment="1" applyBorder="1" applyFont="1">
      <alignment vertical="bottom"/>
    </xf>
    <xf borderId="6" fillId="31" fontId="4" numFmtId="186" xfId="0" applyAlignment="1" applyBorder="1" applyFont="1" applyNumberFormat="1">
      <alignment vertical="bottom"/>
    </xf>
    <xf borderId="5" fillId="2" fontId="4" numFmtId="186" xfId="0" applyAlignment="1" applyBorder="1" applyFont="1" applyNumberFormat="1">
      <alignment vertical="bottom"/>
    </xf>
    <xf borderId="1" fillId="10" fontId="23" numFmtId="192" xfId="0" applyAlignment="1" applyBorder="1" applyFont="1" applyNumberFormat="1">
      <alignment horizontal="right" vertical="center"/>
    </xf>
    <xf borderId="0" fillId="9" fontId="8" numFmtId="193" xfId="0" applyAlignment="1" applyFont="1" applyNumberFormat="1">
      <alignment readingOrder="0" vertical="center"/>
    </xf>
    <xf borderId="1" fillId="10" fontId="23" numFmtId="193" xfId="0" applyAlignment="1" applyBorder="1" applyFont="1" applyNumberFormat="1">
      <alignment horizontal="right" vertical="center"/>
    </xf>
    <xf borderId="1" fillId="0" fontId="42" numFmtId="0" xfId="0" applyAlignment="1" applyBorder="1" applyFont="1">
      <alignment horizontal="left" readingOrder="0" shrinkToFit="0" vertical="center" wrapText="0"/>
    </xf>
    <xf borderId="1" fillId="0" fontId="4" numFmtId="0" xfId="0" applyAlignment="1" applyBorder="1" applyFont="1">
      <alignment shrinkToFit="0" vertical="center" wrapText="0"/>
    </xf>
    <xf borderId="4" fillId="0" fontId="4" numFmtId="3" xfId="0" applyAlignment="1" applyBorder="1" applyFont="1" applyNumberFormat="1">
      <alignment shrinkToFit="0" vertical="center" wrapText="0"/>
    </xf>
    <xf borderId="4" fillId="0" fontId="4" numFmtId="164" xfId="0" applyAlignment="1" applyBorder="1" applyFont="1" applyNumberFormat="1">
      <alignment horizontal="right" shrinkToFit="0" vertical="center" wrapText="0"/>
    </xf>
    <xf borderId="4" fillId="0" fontId="4" numFmtId="164" xfId="0" applyAlignment="1" applyBorder="1" applyFont="1" applyNumberFormat="1">
      <alignment horizontal="right" readingOrder="0" shrinkToFit="0" vertical="center" wrapText="0"/>
    </xf>
    <xf borderId="4" fillId="0" fontId="4" numFmtId="0" xfId="0" applyAlignment="1" applyBorder="1" applyFont="1">
      <alignment shrinkToFit="0" vertical="center" wrapText="0"/>
    </xf>
    <xf borderId="4" fillId="0" fontId="4" numFmtId="3" xfId="0" applyAlignment="1" applyBorder="1" applyFont="1" applyNumberFormat="1">
      <alignment horizontal="right" readingOrder="0" shrinkToFit="0" vertical="center" wrapText="0"/>
    </xf>
    <xf borderId="1" fillId="0" fontId="5" numFmtId="194" xfId="0" applyAlignment="1" applyBorder="1" applyFont="1" applyNumberFormat="1">
      <alignment horizontal="right" readingOrder="0" shrinkToFit="0" vertical="center" wrapText="0"/>
    </xf>
    <xf borderId="1" fillId="0" fontId="5" numFmtId="192" xfId="0" applyAlignment="1" applyBorder="1" applyFont="1" applyNumberFormat="1">
      <alignment horizontal="right" readingOrder="0" shrinkToFit="0" vertical="center" wrapText="0"/>
    </xf>
    <xf borderId="1" fillId="0" fontId="5" numFmtId="195" xfId="0" applyAlignment="1" applyBorder="1" applyFont="1" applyNumberFormat="1">
      <alignment horizontal="right" readingOrder="0" shrinkToFit="0" vertical="center" wrapText="0"/>
    </xf>
    <xf borderId="1" fillId="0" fontId="4" numFmtId="0" xfId="0" applyAlignment="1" applyBorder="1" applyFont="1">
      <alignment readingOrder="0" shrinkToFit="0" vertical="center" wrapText="0"/>
    </xf>
    <xf borderId="1" fillId="2" fontId="5" numFmtId="0" xfId="0" applyAlignment="1" applyBorder="1" applyFont="1">
      <alignment horizontal="center" readingOrder="0" shrinkToFit="0" vertical="center" wrapText="0"/>
    </xf>
    <xf borderId="0" fillId="9" fontId="43" numFmtId="3" xfId="0" applyAlignment="1" applyFont="1" applyNumberFormat="1">
      <alignment horizontal="center" readingOrder="0"/>
    </xf>
    <xf borderId="1" fillId="0" fontId="4" numFmtId="0" xfId="0" applyAlignment="1" applyBorder="1" applyFont="1">
      <alignment readingOrder="0" shrinkToFit="0" wrapText="0"/>
    </xf>
    <xf borderId="0" fillId="29" fontId="35" numFmtId="0" xfId="0" applyAlignment="1" applyFont="1">
      <alignment vertical="bottom"/>
    </xf>
    <xf borderId="0" fillId="5" fontId="4" numFmtId="10" xfId="0" applyAlignment="1" applyFont="1" applyNumberFormat="1">
      <alignment vertical="bottom"/>
    </xf>
    <xf borderId="0" fillId="5" fontId="4" numFmtId="174" xfId="0" applyAlignment="1" applyFont="1" applyNumberFormat="1">
      <alignment vertical="bottom"/>
    </xf>
    <xf borderId="0" fillId="10" fontId="4" numFmtId="186" xfId="0" applyAlignment="1" applyFont="1" applyNumberFormat="1">
      <alignment vertical="bottom"/>
    </xf>
    <xf borderId="0" fillId="17" fontId="4" numFmtId="0" xfId="0" applyAlignment="1" applyFont="1">
      <alignment vertical="bottom"/>
    </xf>
    <xf borderId="0" fillId="31" fontId="4" numFmtId="186" xfId="0" applyAlignment="1" applyFont="1" applyNumberFormat="1">
      <alignment vertical="bottom"/>
    </xf>
    <xf borderId="0" fillId="2" fontId="4" numFmtId="186" xfId="0" applyAlignment="1" applyFont="1" applyNumberFormat="1">
      <alignment vertical="bottom"/>
    </xf>
    <xf borderId="0" fillId="0" fontId="3" numFmtId="0" xfId="0" applyAlignment="1" applyFont="1">
      <alignment readingOrder="0"/>
    </xf>
    <xf borderId="0" fillId="0" fontId="23" numFmtId="164" xfId="0" applyAlignment="1" applyFont="1" applyNumberFormat="1">
      <alignment horizontal="left" readingOrder="0" shrinkToFit="0" vertical="center" wrapText="0"/>
    </xf>
    <xf borderId="0" fillId="0" fontId="23" numFmtId="3" xfId="0" applyAlignment="1" applyFont="1" applyNumberFormat="1">
      <alignment horizontal="left" readingOrder="0" shrinkToFit="0" vertical="center" wrapText="0"/>
    </xf>
    <xf borderId="0" fillId="0" fontId="23" numFmtId="196" xfId="0" applyAlignment="1" applyFont="1" applyNumberFormat="1">
      <alignment horizontal="left" readingOrder="0" shrinkToFit="0" vertical="center" wrapText="0"/>
    </xf>
    <xf borderId="0" fillId="0" fontId="23" numFmtId="0" xfId="0" applyAlignment="1" applyFont="1">
      <alignment horizontal="right" readingOrder="0" shrinkToFit="0" vertical="center" wrapText="1"/>
    </xf>
    <xf borderId="0" fillId="0" fontId="23" numFmtId="3" xfId="0" applyAlignment="1" applyFont="1" applyNumberFormat="1">
      <alignment horizontal="right" readingOrder="0" shrinkToFit="0" vertical="center" wrapText="0"/>
    </xf>
    <xf borderId="0" fillId="0" fontId="3" numFmtId="0" xfId="0" applyAlignment="1" applyFont="1">
      <alignment horizontal="right" readingOrder="0" shrinkToFit="0" wrapText="1"/>
    </xf>
    <xf borderId="0" fillId="0" fontId="23" numFmtId="3" xfId="0" applyAlignment="1" applyFont="1" applyNumberFormat="1">
      <alignment horizontal="right" readingOrder="0" shrinkToFit="0" vertical="bottom" wrapText="0"/>
    </xf>
    <xf borderId="0" fillId="0" fontId="3" numFmtId="0" xfId="0" applyAlignment="1" applyFont="1">
      <alignment horizontal="right" readingOrder="0"/>
    </xf>
    <xf borderId="0" fillId="0" fontId="3" numFmtId="0" xfId="0" applyAlignment="1" applyFont="1">
      <alignment horizontal="right" readingOrder="0" shrinkToFit="0" vertical="bottom" wrapText="1"/>
    </xf>
    <xf borderId="0" fillId="0" fontId="3" numFmtId="9" xfId="0" applyAlignment="1" applyFont="1" applyNumberFormat="1">
      <alignment horizontal="right" readingOrder="0"/>
    </xf>
    <xf borderId="0" fillId="0" fontId="3" numFmtId="9" xfId="0" applyAlignment="1" applyFont="1" applyNumberFormat="1">
      <alignment horizontal="right" readingOrder="0" shrinkToFit="0" vertical="bottom" wrapText="1"/>
    </xf>
    <xf borderId="0" fillId="0" fontId="23" numFmtId="164" xfId="0" applyAlignment="1" applyFont="1" applyNumberFormat="1">
      <alignment horizontal="right" vertical="center"/>
    </xf>
    <xf borderId="0" fillId="0" fontId="23" numFmtId="3" xfId="0" applyAlignment="1" applyFont="1" applyNumberFormat="1">
      <alignment horizontal="right" vertical="center"/>
    </xf>
    <xf borderId="0" fillId="0" fontId="23" numFmtId="196" xfId="0" applyAlignment="1" applyFont="1" applyNumberFormat="1">
      <alignment horizontal="right" vertical="center"/>
    </xf>
    <xf borderId="0" fillId="0" fontId="23" numFmtId="3" xfId="0" applyAlignment="1" applyFont="1" applyNumberFormat="1">
      <alignment horizontal="center" vertical="center"/>
    </xf>
    <xf borderId="0" fillId="0" fontId="23" numFmtId="10" xfId="0" applyAlignment="1" applyFont="1" applyNumberFormat="1">
      <alignment horizontal="center" vertical="center"/>
    </xf>
    <xf borderId="0" fillId="25" fontId="3" numFmtId="3" xfId="0" applyFont="1" applyNumberFormat="1"/>
    <xf borderId="0" fillId="0" fontId="3" numFmtId="184" xfId="0" applyFont="1" applyNumberFormat="1"/>
    <xf borderId="0" fillId="0" fontId="3" numFmtId="10" xfId="0" applyFont="1" applyNumberFormat="1"/>
    <xf borderId="0" fillId="0" fontId="3" numFmtId="9" xfId="0" applyFont="1" applyNumberFormat="1"/>
    <xf borderId="0" fillId="0" fontId="3" numFmtId="3" xfId="0" applyFont="1" applyNumberFormat="1"/>
    <xf borderId="0" fillId="0" fontId="23" numFmtId="172" xfId="0" applyAlignment="1" applyFont="1" applyNumberFormat="1">
      <alignment horizontal="right" vertical="center"/>
    </xf>
    <xf borderId="0" fillId="10" fontId="23" numFmtId="0" xfId="0" applyAlignment="1" applyFont="1">
      <alignment horizontal="right" vertical="center"/>
    </xf>
    <xf borderId="0" fillId="10" fontId="23" numFmtId="3" xfId="0" applyAlignment="1" applyFont="1" applyNumberFormat="1">
      <alignment horizontal="left" shrinkToFit="0" vertical="center" wrapText="0"/>
    </xf>
    <xf borderId="0" fillId="10" fontId="23" numFmtId="164" xfId="0" applyAlignment="1" applyFont="1" applyNumberFormat="1">
      <alignment horizontal="right" vertical="center"/>
    </xf>
    <xf borderId="0" fillId="10" fontId="23" numFmtId="0" xfId="0" applyAlignment="1" applyFont="1">
      <alignment horizontal="right" vertical="center"/>
    </xf>
    <xf borderId="0" fillId="10" fontId="23" numFmtId="3" xfId="0" applyAlignment="1" applyFont="1" applyNumberFormat="1">
      <alignment horizontal="right" vertical="center"/>
    </xf>
    <xf borderId="0" fillId="10" fontId="23" numFmtId="9" xfId="0" applyAlignment="1" applyFont="1" applyNumberFormat="1">
      <alignment horizontal="right" vertical="center"/>
    </xf>
    <xf borderId="0" fillId="10" fontId="23" numFmtId="10" xfId="0" applyAlignment="1" applyFont="1" applyNumberFormat="1">
      <alignment horizontal="center" vertical="center"/>
    </xf>
    <xf borderId="0" fillId="20" fontId="23" numFmtId="0" xfId="0" applyAlignment="1" applyFont="1">
      <alignment horizontal="center" vertical="center"/>
    </xf>
    <xf borderId="0" fillId="10" fontId="23" numFmtId="172" xfId="0" applyAlignment="1" applyFont="1" applyNumberFormat="1">
      <alignment horizontal="right" vertical="center"/>
    </xf>
    <xf borderId="0" fillId="0" fontId="23" numFmtId="193" xfId="0" applyAlignment="1" applyFont="1" applyNumberFormat="1">
      <alignment horizontal="right" vertical="center"/>
    </xf>
    <xf borderId="0" fillId="0" fontId="23" numFmtId="0" xfId="0" applyAlignment="1" applyFont="1">
      <alignment horizontal="left" readingOrder="0" shrinkToFit="0" vertical="center" wrapText="1"/>
    </xf>
    <xf borderId="0" fillId="0" fontId="41" numFmtId="0" xfId="0" applyAlignment="1" applyFont="1">
      <alignment horizontal="left" readingOrder="0" shrinkToFit="0" vertical="center" wrapText="1"/>
    </xf>
    <xf borderId="0" fillId="0" fontId="41" numFmtId="0" xfId="0" applyAlignment="1" applyFont="1">
      <alignment horizontal="left" vertical="center"/>
    </xf>
    <xf borderId="1" fillId="0" fontId="3" numFmtId="0" xfId="0" applyAlignment="1" applyBorder="1" applyFont="1">
      <alignment horizontal="left" shrinkToFit="0" vertical="top" wrapText="0"/>
    </xf>
    <xf borderId="2" fillId="0" fontId="44" numFmtId="49" xfId="0" applyAlignment="1" applyBorder="1" applyFont="1" applyNumberFormat="1">
      <alignment horizontal="right" shrinkToFit="0" vertical="top" wrapText="0"/>
    </xf>
    <xf borderId="0" fillId="10" fontId="23" numFmtId="0" xfId="0" applyAlignment="1" applyFont="1">
      <alignment horizontal="left" shrinkToFit="0" vertical="center" wrapText="0"/>
    </xf>
    <xf borderId="1" fillId="0" fontId="3" numFmtId="3" xfId="0" applyAlignment="1" applyBorder="1" applyFont="1" applyNumberFormat="1">
      <alignment horizontal="left" shrinkToFit="0" vertical="top" wrapText="0"/>
    </xf>
    <xf borderId="0" fillId="10" fontId="23" numFmtId="0" xfId="0" applyAlignment="1" applyFont="1">
      <alignment horizontal="center" vertical="center"/>
    </xf>
    <xf borderId="1" fillId="0" fontId="3" numFmtId="4" xfId="0" applyAlignment="1" applyBorder="1" applyFont="1" applyNumberFormat="1">
      <alignment horizontal="left" shrinkToFit="0" vertical="top" wrapText="0"/>
    </xf>
    <xf borderId="2" fillId="0" fontId="3" numFmtId="0" xfId="0" applyAlignment="1" applyBorder="1" applyFont="1">
      <alignment horizontal="left" shrinkToFit="0" vertical="top" wrapText="0"/>
    </xf>
    <xf borderId="1" fillId="0" fontId="3" numFmtId="1" xfId="0" applyAlignment="1" applyBorder="1" applyFont="1" applyNumberFormat="1">
      <alignment horizontal="left" shrinkToFit="0" vertical="top" wrapText="0"/>
    </xf>
    <xf borderId="1" fillId="0" fontId="3" numFmtId="49" xfId="0" applyAlignment="1" applyBorder="1" applyFont="1" applyNumberFormat="1">
      <alignment horizontal="right" shrinkToFit="0" vertical="top" wrapText="0"/>
    </xf>
    <xf borderId="1" fillId="0" fontId="3" numFmtId="164" xfId="0" applyAlignment="1" applyBorder="1" applyFont="1" applyNumberFormat="1">
      <alignment horizontal="left" shrinkToFit="0" vertical="top" wrapText="0"/>
    </xf>
    <xf borderId="1" fillId="0" fontId="3" numFmtId="165" xfId="0" applyAlignment="1" applyBorder="1" applyFont="1" applyNumberFormat="1">
      <alignment horizontal="left" shrinkToFit="0" vertical="top" wrapText="0"/>
    </xf>
    <xf borderId="1" fillId="0" fontId="3" numFmtId="168" xfId="0" applyAlignment="1" applyBorder="1" applyFont="1" applyNumberFormat="1">
      <alignment horizontal="left" shrinkToFit="0" vertical="top" wrapText="0"/>
    </xf>
    <xf borderId="1" fillId="0" fontId="3" numFmtId="10" xfId="0" applyAlignment="1" applyBorder="1" applyFont="1" applyNumberFormat="1">
      <alignment horizontal="left" shrinkToFit="0" vertical="top" wrapText="0"/>
    </xf>
    <xf borderId="1" fillId="0" fontId="3" numFmtId="2" xfId="0" applyAlignment="1" applyBorder="1" applyFont="1" applyNumberFormat="1">
      <alignment horizontal="left" shrinkToFit="0" vertical="top" wrapText="0"/>
    </xf>
    <xf borderId="1" fillId="0" fontId="3" numFmtId="166" xfId="0" applyAlignment="1" applyBorder="1" applyFont="1" applyNumberFormat="1">
      <alignment horizontal="left" shrinkToFit="0" vertical="top" wrapText="0"/>
    </xf>
    <xf borderId="1" fillId="0" fontId="3" numFmtId="165" xfId="0" applyAlignment="1" applyBorder="1" applyFont="1" applyNumberFormat="1">
      <alignment horizontal="left" shrinkToFit="0" vertical="top" wrapText="0"/>
    </xf>
    <xf borderId="1" fillId="0" fontId="3" numFmtId="167" xfId="0" applyAlignment="1" applyBorder="1" applyFont="1" applyNumberFormat="1">
      <alignment horizontal="left" shrinkToFit="0" vertical="top" wrapText="0"/>
    </xf>
    <xf borderId="0" fillId="0" fontId="23" numFmtId="192" xfId="0" applyAlignment="1" applyFont="1" applyNumberFormat="1">
      <alignment horizontal="right" vertical="center"/>
    </xf>
    <xf borderId="0" fillId="0" fontId="23" numFmtId="164" xfId="0" applyAlignment="1" applyFont="1" applyNumberFormat="1">
      <alignment horizontal="right" readingOrder="0" vertical="center"/>
    </xf>
    <xf borderId="0" fillId="0" fontId="23" numFmtId="0" xfId="0" applyAlignment="1" applyFont="1">
      <alignment horizontal="right" vertical="center"/>
    </xf>
  </cellXfs>
  <cellStyles count="1">
    <cellStyle xfId="0" name="Normal" builtinId="0"/>
  </cellStyles>
  <dxfs count="26">
    <dxf>
      <font/>
      <fill>
        <patternFill patternType="solid">
          <fgColor rgb="FFFF0000"/>
          <bgColor rgb="FFFF0000"/>
        </patternFill>
      </fill>
      <border/>
    </dxf>
    <dxf>
      <font/>
      <fill>
        <patternFill patternType="solid">
          <fgColor rgb="FFFFFF00"/>
          <bgColor rgb="FFFFFF00"/>
        </patternFill>
      </fill>
      <border/>
    </dxf>
    <dxf>
      <font>
        <b/>
        <color rgb="FFFF0000"/>
      </font>
      <fill>
        <patternFill patternType="solid">
          <fgColor rgb="FFFFFFFF"/>
          <bgColor rgb="FFFFFFFF"/>
        </patternFill>
      </fill>
      <border/>
    </dxf>
    <dxf>
      <font/>
      <fill>
        <patternFill patternType="solid">
          <fgColor rgb="FF434343"/>
          <bgColor rgb="FF434343"/>
        </patternFill>
      </fill>
      <border/>
    </dxf>
    <dxf>
      <font>
        <color rgb="FF000000"/>
      </font>
      <fill>
        <patternFill patternType="solid">
          <fgColor rgb="FF434343"/>
          <bgColor rgb="FF434343"/>
        </patternFill>
      </fill>
      <border/>
    </dxf>
    <dxf>
      <font/>
      <fill>
        <patternFill patternType="solid">
          <fgColor rgb="FFF3F3F3"/>
          <bgColor rgb="FFF3F3F3"/>
        </patternFill>
      </fill>
      <border/>
    </dxf>
    <dxf>
      <font/>
      <fill>
        <patternFill patternType="solid">
          <fgColor rgb="FFFFEF32"/>
          <bgColor rgb="FFFFEF32"/>
        </patternFill>
      </fill>
      <border/>
    </dxf>
    <dxf>
      <font/>
      <fill>
        <patternFill patternType="solid">
          <fgColor rgb="FF666666"/>
          <bgColor rgb="FF666666"/>
        </patternFill>
      </fill>
      <border/>
    </dxf>
    <dxf>
      <font/>
      <fill>
        <patternFill patternType="solid">
          <fgColor rgb="FF12E504"/>
          <bgColor rgb="FF12E504"/>
        </patternFill>
      </fill>
      <border/>
    </dxf>
    <dxf>
      <font/>
      <fill>
        <patternFill patternType="solid">
          <fgColor rgb="FF8E7CC3"/>
          <bgColor rgb="FF8E7CC3"/>
        </patternFill>
      </fill>
      <border/>
    </dxf>
    <dxf>
      <font/>
      <fill>
        <patternFill patternType="solid">
          <fgColor rgb="FFC27BA0"/>
          <bgColor rgb="FFC27BA0"/>
        </patternFill>
      </fill>
      <border/>
    </dxf>
    <dxf>
      <font/>
      <fill>
        <patternFill patternType="solid">
          <fgColor rgb="FFB4A7D6"/>
          <bgColor rgb="FFB4A7D6"/>
        </patternFill>
      </fill>
      <border/>
    </dxf>
    <dxf>
      <font/>
      <fill>
        <patternFill patternType="solid">
          <fgColor rgb="FFFFD966"/>
          <bgColor rgb="FFFFD966"/>
        </patternFill>
      </fill>
      <border/>
    </dxf>
    <dxf>
      <font/>
      <fill>
        <patternFill patternType="solid">
          <fgColor rgb="FFEA9999"/>
          <bgColor rgb="FFEA9999"/>
        </patternFill>
      </fill>
      <border/>
    </dxf>
    <dxf>
      <font/>
      <fill>
        <patternFill patternType="solid">
          <fgColor rgb="FF8FF235"/>
          <bgColor rgb="FF8FF235"/>
        </patternFill>
      </fill>
      <border/>
    </dxf>
    <dxf>
      <font/>
      <fill>
        <patternFill patternType="solid">
          <fgColor rgb="FF3C78D8"/>
          <bgColor rgb="FF3C78D8"/>
        </patternFill>
      </fill>
      <border/>
    </dxf>
    <dxf>
      <font/>
      <fill>
        <patternFill patternType="solid">
          <fgColor rgb="FF57BB8A"/>
          <bgColor rgb="FF57BB8A"/>
        </patternFill>
      </fill>
      <border/>
    </dxf>
    <dxf>
      <font/>
      <fill>
        <patternFill patternType="solid">
          <fgColor rgb="FF6D9EEB"/>
          <bgColor rgb="FF6D9EEB"/>
        </patternFill>
      </fill>
      <border/>
    </dxf>
    <dxf>
      <font/>
      <fill>
        <patternFill patternType="solid">
          <fgColor rgb="FFFFD333"/>
          <bgColor rgb="FFFFD333"/>
        </patternFill>
      </fill>
      <border/>
    </dxf>
    <dxf>
      <font/>
      <fill>
        <patternFill patternType="solid">
          <fgColor rgb="FF93C47D"/>
          <bgColor rgb="FF93C47D"/>
        </patternFill>
      </fill>
      <border/>
    </dxf>
    <dxf>
      <font/>
      <fill>
        <patternFill patternType="solid">
          <fgColor rgb="FF8BF08E"/>
          <bgColor rgb="FF8BF08E"/>
        </patternFill>
      </fill>
      <border/>
    </dxf>
    <dxf>
      <font/>
      <fill>
        <patternFill patternType="solid">
          <fgColor rgb="FFD9D9D9"/>
          <bgColor rgb="FFD9D9D9"/>
        </patternFill>
      </fill>
      <border/>
    </dxf>
    <dxf>
      <font/>
      <fill>
        <patternFill patternType="solid">
          <fgColor rgb="FFF089E8"/>
          <bgColor rgb="FFF089E8"/>
        </patternFill>
      </fill>
      <border/>
    </dxf>
    <dxf>
      <font/>
      <fill>
        <patternFill patternType="solid">
          <fgColor rgb="FFFF00FF"/>
          <bgColor rgb="FFFF00FF"/>
        </patternFill>
      </fill>
      <border/>
    </dxf>
    <dxf>
      <font/>
      <fill>
        <patternFill patternType="solid">
          <fgColor rgb="FF00FFFF"/>
          <bgColor rgb="FF00FFFF"/>
        </patternFill>
      </fill>
      <border/>
    </dxf>
    <dxf>
      <font/>
      <fill>
        <patternFill patternType="solid">
          <fgColor rgb="FFFF7070"/>
          <bgColor rgb="FFFF7070"/>
        </patternFill>
      </fill>
      <border/>
    </dxf>
  </dxfs>
</styleSheet>
</file>

<file path=xl/_rels/workbook.xml.rels><?xml version="1.0" encoding="UTF-8" standalone="yes"?><Relationships xmlns="http://schemas.openxmlformats.org/package/2006/relationships"><Relationship Id="rId11" Type="http://schemas.openxmlformats.org/officeDocument/2006/relationships/worksheet" Target="worksheets/sheet9.xml"/><Relationship Id="rId10" Type="http://schemas.openxmlformats.org/officeDocument/2006/relationships/worksheet" Target="worksheets/sheet8.xml"/><Relationship Id="rId13" Type="http://schemas.openxmlformats.org/officeDocument/2006/relationships/worksheet" Target="worksheets/sheet11.xml"/><Relationship Id="rId12" Type="http://schemas.openxmlformats.org/officeDocument/2006/relationships/worksheet" Target="worksheets/sheet10.xml"/><Relationship Id="rId1" Type="http://schemas.openxmlformats.org/officeDocument/2006/relationships/styles" Target="styles.xml"/><Relationship Id="rId2" Type="http://schemas.openxmlformats.org/officeDocument/2006/relationships/sharedStrings" Target="sharedStrings.xml"/><Relationship Id="rId3" Type="http://schemas.openxmlformats.org/officeDocument/2006/relationships/worksheet" Target="worksheets/sheet1.xml"/><Relationship Id="rId4" Type="http://schemas.openxmlformats.org/officeDocument/2006/relationships/worksheet" Target="worksheets/sheet2.xml"/><Relationship Id="rId9" Type="http://schemas.openxmlformats.org/officeDocument/2006/relationships/worksheet" Target="worksheets/sheet7.xml"/><Relationship Id="rId15" Type="http://schemas.openxmlformats.org/officeDocument/2006/relationships/worksheet" Target="worksheets/sheet13.xml"/><Relationship Id="rId14" Type="http://schemas.openxmlformats.org/officeDocument/2006/relationships/worksheet" Target="worksheets/sheet12.xml"/><Relationship Id="rId16" Type="http://schemas.openxmlformats.org/officeDocument/2006/relationships/worksheet" Target="worksheets/sheet14.xml"/><Relationship Id="rId5" Type="http://schemas.openxmlformats.org/officeDocument/2006/relationships/worksheet" Target="worksheets/sheet3.xml"/><Relationship Id="rId6" Type="http://schemas.openxmlformats.org/officeDocument/2006/relationships/worksheet" Target="worksheets/sheet4.xml"/><Relationship Id="rId7" Type="http://schemas.openxmlformats.org/officeDocument/2006/relationships/worksheet" Target="worksheets/sheet5.xml"/><Relationship Id="rId8" Type="http://schemas.openxmlformats.org/officeDocument/2006/relationships/worksheet" Target="worksheets/sheet6.xml"/></Relationships>
</file>

<file path=xl/charts/chart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Mileage vs Remaining Battery Capacity</a:t>
            </a:r>
          </a:p>
        </c:rich>
      </c:tx>
      <c:overlay val="0"/>
    </c:title>
    <c:plotArea>
      <c:layout>
        <c:manualLayout>
          <c:xMode val="edge"/>
          <c:yMode val="edge"/>
          <c:x val="0.10471"/>
          <c:y val="0.17370000000000002"/>
          <c:w val="0.75504"/>
          <c:h val="0.69643"/>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xVal>
            <c:numRef>
              <c:f>'Charts Data'!$J$2:$J$1761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Data'!$J$2:$J$1761</c:f>
            </c:numRef>
          </c:xVal>
          <c:yVal>
            <c:numRef>
              <c:f>'Charts Data'!$G$2:$G$1761</c:f>
            </c:numRef>
          </c:yVal>
        </c:ser>
        <c:ser>
          <c:idx val="2"/>
          <c:order val="2"/>
          <c:tx>
            <c:strRef>
              <c:f>'Charts Data'!$H$1</c:f>
            </c:strRef>
          </c:tx>
          <c:spPr>
            <a:ln w="47625">
              <a:noFill/>
            </a:ln>
          </c:spPr>
          <c:marker>
            <c:symbol val="circle"/>
            <c:size val="2"/>
            <c:spPr>
              <a:solidFill>
                <a:srgbClr val="FF0000"/>
              </a:solidFill>
              <a:ln cmpd="sng">
                <a:solidFill>
                  <a:srgbClr val="FF0000"/>
                </a:solidFill>
              </a:ln>
            </c:spPr>
          </c:marker>
          <c:xVal>
            <c:numRef>
              <c:f>'Charts Data'!$J$2:$J$1761</c:f>
            </c:numRef>
          </c:xVal>
          <c:yVal>
            <c:numRef>
              <c:f>'Charts Data'!$H$2:$H$1761</c:f>
            </c:numRef>
          </c:yVal>
        </c:ser>
        <c:dLbls>
          <c:showLegendKey val="0"/>
          <c:showVal val="0"/>
          <c:showCatName val="0"/>
          <c:showSerName val="0"/>
          <c:showPercent val="0"/>
          <c:showBubbleSize val="0"/>
        </c:dLbls>
        <c:axId val="1658116609"/>
        <c:axId val="1259649164"/>
      </c:scatterChart>
      <c:valAx>
        <c:axId val="1658116609"/>
        <c:scaling>
          <c:orientation val="minMax"/>
        </c:scaling>
        <c:delete val="0"/>
        <c:axPos val="b"/>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Mileage</a:t>
                </a:r>
              </a:p>
            </c:rich>
          </c:tx>
          <c:overlay val="0"/>
        </c:title>
        <c:numFmt formatCode="General" sourceLinked="1"/>
        <c:tickLblPos val="nextTo"/>
        <c:spPr>
          <a:ln w="47625">
            <a:noFill/>
          </a:ln>
        </c:spPr>
        <c:txPr>
          <a:bodyPr/>
          <a:lstStyle/>
          <a:p>
            <a:pPr lvl="0">
              <a:defRPr b="0" sz="1200">
                <a:solidFill>
                  <a:srgbClr val="222222"/>
                </a:solidFill>
              </a:defRPr>
            </a:pPr>
          </a:p>
        </c:txPr>
        <c:crossAx val="1259649164"/>
      </c:valAx>
      <c:valAx>
        <c:axId val="1259649164"/>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658116609"/>
      </c:valAx>
      <c:spPr>
        <a:solidFill>
          <a:srgbClr val="FFFFFF"/>
        </a:solidFill>
      </c:spPr>
    </c:plotArea>
    <c:legend>
      <c:legendPos val="r"/>
      <c:overlay val="0"/>
      <c:txPr>
        <a:bodyPr/>
        <a:lstStyle/>
        <a:p>
          <a:pPr lvl="0">
            <a:defRPr sz="1200">
              <a:solidFill>
                <a:srgbClr val="222222"/>
              </a:solidFill>
            </a:defRPr>
          </a:pPr>
        </a:p>
      </c:txPr>
    </c:legend>
  </c:chart>
</c:chartSpace>
</file>

<file path=xl/charts/chart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Charge Cycles vs Remaining Battery Capacity (Warning: Tail section of the trendline is not accurate because there are too few high mileage entries)</a:t>
            </a:r>
          </a:p>
        </c:rich>
      </c:tx>
      <c:overlay val="0"/>
    </c:title>
    <c:plotArea>
      <c:layout>
        <c:manualLayout>
          <c:xMode val="edge"/>
          <c:yMode val="edge"/>
          <c:x val="0.10481"/>
          <c:y val="0.17418"/>
          <c:w val="0.75481"/>
          <c:h val="0.66252"/>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exp"/>
            <c:dispRSqr val="0"/>
            <c:dispEq val="0"/>
          </c:trendline>
          <c:xVal>
            <c:numRef>
              <c:f>'Charts Data'!$E$2:$E$1761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Data'!$E$2:$E$1761</c:f>
            </c:numRef>
          </c:xVal>
          <c:yVal>
            <c:numRef>
              <c:f>'Charts Data'!$G$2:$G$1761</c:f>
            </c:numRef>
          </c:yVal>
        </c:ser>
        <c:dLbls>
          <c:showLegendKey val="0"/>
          <c:showVal val="0"/>
          <c:showCatName val="0"/>
          <c:showSerName val="0"/>
          <c:showPercent val="0"/>
          <c:showBubbleSize val="0"/>
        </c:dLbls>
        <c:axId val="1426166815"/>
        <c:axId val="1986780226"/>
      </c:scatterChart>
      <c:valAx>
        <c:axId val="1426166815"/>
        <c:scaling>
          <c:orientation val="minMax"/>
        </c:scaling>
        <c:delete val="0"/>
        <c:axPos val="b"/>
        <c:majorGridlines>
          <c:spPr>
            <a:ln>
              <a:solidFill>
                <a:srgbClr val="B7B7B7"/>
              </a:solidFill>
            </a:ln>
          </c:spPr>
        </c:majorGridlines>
        <c:title>
          <c:tx>
            <c:rich>
              <a:bodyPr/>
              <a:lstStyle/>
              <a:p>
                <a:pPr lvl="0">
                  <a:defRPr b="1" i="0" sz="1400">
                    <a:solidFill>
                      <a:srgbClr val="222222"/>
                    </a:solidFill>
                  </a:defRPr>
                </a:pPr>
                <a:r>
                  <a:t>Cycles = ((Mileage * Average energy consumption) + (Vampire loss in Wh/day * battery life in days)) / Average battery capacity</a:t>
                </a:r>
              </a:p>
            </c:rich>
          </c:tx>
          <c:overlay val="0"/>
        </c:title>
        <c:numFmt formatCode="General" sourceLinked="1"/>
        <c:tickLblPos val="nextTo"/>
        <c:spPr>
          <a:ln w="47625">
            <a:noFill/>
          </a:ln>
        </c:spPr>
        <c:txPr>
          <a:bodyPr/>
          <a:lstStyle/>
          <a:p>
            <a:pPr lvl="0">
              <a:defRPr b="0" sz="1200">
                <a:solidFill>
                  <a:srgbClr val="222222"/>
                </a:solidFill>
              </a:defRPr>
            </a:pPr>
          </a:p>
        </c:txPr>
        <c:crossAx val="1986780226"/>
      </c:valAx>
      <c:valAx>
        <c:axId val="1986780226"/>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426166815"/>
      </c:valAx>
    </c:plotArea>
    <c:legend>
      <c:legendPos val="r"/>
      <c:overlay val="0"/>
      <c:txPr>
        <a:bodyPr/>
        <a:lstStyle/>
        <a:p>
          <a:pPr lvl="0">
            <a:defRPr sz="1200">
              <a:solidFill>
                <a:srgbClr val="222222"/>
              </a:solidFill>
            </a:defRPr>
          </a:pPr>
        </a:p>
      </c:txPr>
    </c:legend>
  </c:chart>
</c:chartSpace>
</file>

<file path=xl/charts/chart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Battery Age vs Remaining Battery Capacity</a:t>
            </a:r>
          </a:p>
        </c:rich>
      </c:tx>
      <c:overlay val="0"/>
    </c:title>
    <c:plotArea>
      <c:layout>
        <c:manualLayout>
          <c:xMode val="edge"/>
          <c:yMode val="edge"/>
          <c:x val="0.10481"/>
          <c:y val="0.17418"/>
          <c:w val="0.75481"/>
          <c:h val="0.66252"/>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exp"/>
            <c:dispRSqr val="0"/>
            <c:dispEq val="0"/>
          </c:trendline>
          <c:xVal>
            <c:numRef>
              <c:f>'Charts Data'!$C$2:$C$1761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Data'!$C$2:$C$1761</c:f>
            </c:numRef>
          </c:xVal>
          <c:yVal>
            <c:numRef>
              <c:f>'Charts Data'!$G$2:$G$1761</c:f>
            </c:numRef>
          </c:yVal>
        </c:ser>
        <c:dLbls>
          <c:showLegendKey val="0"/>
          <c:showVal val="0"/>
          <c:showCatName val="0"/>
          <c:showSerName val="0"/>
          <c:showPercent val="0"/>
          <c:showBubbleSize val="0"/>
        </c:dLbls>
        <c:axId val="1137330592"/>
        <c:axId val="216805252"/>
      </c:scatterChart>
      <c:valAx>
        <c:axId val="1137330592"/>
        <c:scaling>
          <c:orientation val="minMax"/>
        </c:scaling>
        <c:delete val="0"/>
        <c:axPos val="b"/>
        <c:majorGridlines>
          <c:spPr>
            <a:ln>
              <a:solidFill>
                <a:srgbClr val="B7B7B7"/>
              </a:solidFill>
            </a:ln>
          </c:spPr>
        </c:majorGridlines>
        <c:title>
          <c:tx>
            <c:rich>
              <a:bodyPr/>
              <a:lstStyle/>
              <a:p>
                <a:pPr lvl="0">
                  <a:defRPr b="1" i="0" sz="1400">
                    <a:solidFill>
                      <a:srgbClr val="222222"/>
                    </a:solidFill>
                  </a:defRPr>
                </a:pPr>
                <a:r>
                  <a:t/>
                </a:r>
              </a:p>
            </c:rich>
          </c:tx>
          <c:overlay val="0"/>
        </c:title>
        <c:numFmt formatCode="General" sourceLinked="1"/>
        <c:tickLblPos val="nextTo"/>
        <c:spPr>
          <a:ln w="47625">
            <a:noFill/>
          </a:ln>
        </c:spPr>
        <c:txPr>
          <a:bodyPr/>
          <a:lstStyle/>
          <a:p>
            <a:pPr lvl="0">
              <a:defRPr b="0" sz="1200">
                <a:solidFill>
                  <a:srgbClr val="222222"/>
                </a:solidFill>
              </a:defRPr>
            </a:pPr>
          </a:p>
        </c:txPr>
        <c:crossAx val="216805252"/>
      </c:valAx>
      <c:valAx>
        <c:axId val="216805252"/>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137330592"/>
      </c:valAx>
    </c:plotArea>
    <c:legend>
      <c:legendPos val="r"/>
      <c:overlay val="0"/>
      <c:txPr>
        <a:bodyPr/>
        <a:lstStyle/>
        <a:p>
          <a:pPr lvl="0">
            <a:defRPr sz="1200">
              <a:solidFill>
                <a:srgbClr val="222222"/>
              </a:solidFill>
            </a:defRPr>
          </a:pPr>
        </a:p>
      </c:txPr>
    </c:legend>
  </c:chart>
</c:chartSpace>
</file>

<file path=xl/charts/chart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400">
                <a:solidFill>
                  <a:srgbClr val="000000"/>
                </a:solidFill>
              </a:defRPr>
            </a:pPr>
            <a:r>
              <a:t>Tesla Model S/X Mileage vs Remaining Battery Capacity (Same chart as above but at full scale for better perspective)</a:t>
            </a:r>
          </a:p>
        </c:rich>
      </c:tx>
      <c:overlay val="0"/>
    </c:title>
    <c:plotArea>
      <c:layout>
        <c:manualLayout>
          <c:xMode val="edge"/>
          <c:yMode val="edge"/>
          <c:x val="0.10471"/>
          <c:y val="0.17370000000000002"/>
          <c:w val="0.75504"/>
          <c:h val="0.69643"/>
        </c:manualLayout>
      </c:layout>
      <c:scatterChart>
        <c:scatterStyle val="lineMarker"/>
        <c:ser>
          <c:idx val="0"/>
          <c:order val="0"/>
          <c:tx>
            <c:strRef>
              <c:f>'Charts Data'!$D$1</c:f>
            </c:strRef>
          </c:tx>
          <c:spPr>
            <a:ln w="47625">
              <a:noFill/>
            </a:ln>
          </c:spPr>
          <c:marker>
            <c:symbol val="circle"/>
            <c:size val="4"/>
            <c:spPr>
              <a:solidFill>
                <a:srgbClr val="3366CC"/>
              </a:solidFill>
              <a:ln cmpd="sng">
                <a:solidFill>
                  <a:srgbClr val="3366CC"/>
                </a:solidFill>
              </a:ln>
            </c:spPr>
          </c:marker>
          <c:xVal>
            <c:numRef>
              <c:f>'Charts Data'!$J$2:$J$1761</c:f>
            </c:numRef>
          </c:xVal>
          <c:yVal>
            <c:numRef>
              <c:f>'Charts Data'!$D$2:$D$1761</c:f>
            </c:numRef>
          </c:yVal>
        </c:ser>
        <c:ser>
          <c:idx val="1"/>
          <c:order val="1"/>
          <c:tx>
            <c:strRef>
              <c:f>'Charts Data'!$G$1</c:f>
            </c:strRef>
          </c:tx>
          <c:spPr>
            <a:ln w="47625">
              <a:noFill/>
            </a:ln>
          </c:spPr>
          <c:marker>
            <c:symbol val="circle"/>
            <c:size val="7"/>
            <c:spPr>
              <a:solidFill>
                <a:srgbClr val="FF00FF"/>
              </a:solidFill>
              <a:ln cmpd="sng">
                <a:solidFill>
                  <a:srgbClr val="FF00FF"/>
                </a:solidFill>
              </a:ln>
            </c:spPr>
          </c:marker>
          <c:xVal>
            <c:numRef>
              <c:f>'Charts Data'!$J$2:$J$1761</c:f>
            </c:numRef>
          </c:xVal>
          <c:yVal>
            <c:numRef>
              <c:f>'Charts Data'!$G$2:$G$1761</c:f>
            </c:numRef>
          </c:yVal>
        </c:ser>
        <c:ser>
          <c:idx val="2"/>
          <c:order val="2"/>
          <c:tx>
            <c:strRef>
              <c:f>'Charts Data'!$H$1</c:f>
            </c:strRef>
          </c:tx>
          <c:spPr>
            <a:ln w="47625">
              <a:noFill/>
            </a:ln>
          </c:spPr>
          <c:marker>
            <c:symbol val="circle"/>
            <c:size val="2"/>
            <c:spPr>
              <a:solidFill>
                <a:srgbClr val="FF0000"/>
              </a:solidFill>
              <a:ln cmpd="sng">
                <a:solidFill>
                  <a:srgbClr val="FF0000"/>
                </a:solidFill>
              </a:ln>
            </c:spPr>
          </c:marker>
          <c:xVal>
            <c:numRef>
              <c:f>'Charts Data'!$J$2:$J$1761</c:f>
            </c:numRef>
          </c:xVal>
          <c:yVal>
            <c:numRef>
              <c:f>'Charts Data'!$H$2:$H$1761</c:f>
            </c:numRef>
          </c:yVal>
        </c:ser>
        <c:dLbls>
          <c:showLegendKey val="0"/>
          <c:showVal val="0"/>
          <c:showCatName val="0"/>
          <c:showSerName val="0"/>
          <c:showPercent val="0"/>
          <c:showBubbleSize val="0"/>
        </c:dLbls>
        <c:axId val="1483086840"/>
        <c:axId val="939351314"/>
      </c:scatterChart>
      <c:valAx>
        <c:axId val="1483086840"/>
        <c:scaling>
          <c:orientation val="minMax"/>
        </c:scaling>
        <c:delete val="0"/>
        <c:axPos val="b"/>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Mileage</a:t>
                </a:r>
              </a:p>
            </c:rich>
          </c:tx>
          <c:overlay val="0"/>
        </c:title>
        <c:numFmt formatCode="General" sourceLinked="1"/>
        <c:tickLblPos val="nextTo"/>
        <c:spPr>
          <a:ln w="47625">
            <a:noFill/>
          </a:ln>
        </c:spPr>
        <c:txPr>
          <a:bodyPr/>
          <a:lstStyle/>
          <a:p>
            <a:pPr lvl="0">
              <a:defRPr b="0" sz="1200">
                <a:solidFill>
                  <a:srgbClr val="222222"/>
                </a:solidFill>
              </a:defRPr>
            </a:pPr>
          </a:p>
        </c:txPr>
        <c:crossAx val="939351314"/>
      </c:valAx>
      <c:valAx>
        <c:axId val="939351314"/>
        <c:scaling>
          <c:orientation val="minMax"/>
        </c:scaling>
        <c:delete val="0"/>
        <c:axPos val="l"/>
        <c:majorGridlines>
          <c:spPr>
            <a:ln>
              <a:solidFill>
                <a:srgbClr val="B7B7B7"/>
              </a:solidFill>
            </a:ln>
          </c:spPr>
        </c:majorGridlines>
        <c:minorGridlines>
          <c:spPr>
            <a:ln>
              <a:solidFill>
                <a:srgbClr val="CCCCCC"/>
              </a:solidFill>
            </a:ln>
          </c:spPr>
        </c:minorGridlines>
        <c:title>
          <c:tx>
            <c:rich>
              <a:bodyPr/>
              <a:lstStyle/>
              <a:p>
                <a:pPr lvl="0">
                  <a:defRPr b="1" i="0" sz="1400">
                    <a:solidFill>
                      <a:srgbClr val="222222"/>
                    </a:solidFill>
                  </a:defRPr>
                </a:pPr>
                <a:r>
                  <a:t>Remaining Range</a:t>
                </a:r>
              </a:p>
            </c:rich>
          </c:tx>
          <c:overlay val="0"/>
        </c:title>
        <c:numFmt formatCode="General" sourceLinked="1"/>
        <c:tickLblPos val="nextTo"/>
        <c:spPr>
          <a:ln w="47625">
            <a:noFill/>
          </a:ln>
        </c:spPr>
        <c:txPr>
          <a:bodyPr/>
          <a:lstStyle/>
          <a:p>
            <a:pPr lvl="0">
              <a:defRPr b="0" sz="1200">
                <a:solidFill>
                  <a:srgbClr val="222222"/>
                </a:solidFill>
              </a:defRPr>
            </a:pPr>
          </a:p>
        </c:txPr>
        <c:crossAx val="1483086840"/>
      </c:valAx>
    </c:plotArea>
    <c:legend>
      <c:legendPos val="r"/>
      <c:overlay val="0"/>
      <c:txPr>
        <a:bodyPr/>
        <a:lstStyle/>
        <a:p>
          <a:pPr lvl="0">
            <a:defRPr sz="1200">
              <a:solidFill>
                <a:srgbClr val="222222"/>
              </a:solidFill>
            </a:defRPr>
          </a:pPr>
        </a:p>
      </c:txPr>
    </c:legend>
  </c:chart>
</c:chartSpace>
</file>

<file path=xl/charts/chart5.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Battery Replacement</a:t>
            </a:r>
          </a:p>
        </c:rich>
      </c:tx>
      <c:overlay val="0"/>
    </c:title>
    <c:plotArea>
      <c:layout/>
      <c:pieChart>
        <c:varyColors val="1"/>
        <c:ser>
          <c:idx val="0"/>
          <c:order val="0"/>
          <c:dPt>
            <c:idx val="0"/>
            <c:spPr>
              <a:solidFill>
                <a:srgbClr val="FF0000"/>
              </a:solidFill>
            </c:spPr>
          </c:dPt>
          <c:dPt>
            <c:idx val="1"/>
            <c:spPr>
              <a:solidFill>
                <a:srgbClr val="3366CC"/>
              </a:solidFill>
            </c:spPr>
          </c:dPt>
          <c:dLbls>
            <c:showLegendKey val="0"/>
            <c:showVal val="0"/>
            <c:showCatName val="0"/>
            <c:showSerName val="0"/>
            <c:showPercent val="1"/>
            <c:showBubbleSize val="0"/>
            <c:showLeaderLines val="1"/>
          </c:dLbls>
          <c:cat>
            <c:strRef>
              <c:f>Stats!$B$105:$B$106</c:f>
            </c:strRef>
          </c:cat>
          <c:val>
            <c:numRef>
              <c:f>Stats!$C$105:$C$106</c:f>
            </c:numRef>
          </c:val>
        </c:ser>
        <c:dLbls>
          <c:showLegendKey val="0"/>
          <c:showVal val="0"/>
          <c:showCatName val="0"/>
          <c:showSerName val="0"/>
          <c:showPercent val="0"/>
          <c:showBubbleSize val="0"/>
        </c:dLbls>
        <c:firstSliceAng val="0"/>
      </c:pieChart>
    </c:plotArea>
    <c:legend>
      <c:legendPos val="r"/>
      <c:overlay val="0"/>
      <c:txPr>
        <a:bodyPr/>
        <a:lstStyle/>
        <a:p>
          <a:pPr lvl="0">
            <a:defRPr sz="1200">
              <a:solidFill>
                <a:srgbClr val="222222"/>
              </a:solidFill>
            </a:defRPr>
          </a:pPr>
        </a:p>
      </c:txPr>
    </c:legend>
  </c:chart>
</c:chartSpace>
</file>

<file path=xl/charts/chart6.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Users by location</a:t>
            </a:r>
          </a:p>
        </c:rich>
      </c:tx>
      <c:overlay val="0"/>
    </c:title>
    <c:plotArea>
      <c:layout/>
      <c:pieChart>
        <c:varyColors val="1"/>
        <c:ser>
          <c:idx val="0"/>
          <c:order val="0"/>
          <c:dPt>
            <c:idx val="0"/>
            <c:spPr>
              <a:solidFill>
                <a:srgbClr val="3366CC"/>
              </a:solidFill>
            </c:spPr>
          </c:dPt>
          <c:dPt>
            <c:idx val="1"/>
            <c:spPr>
              <a:solidFill>
                <a:srgbClr val="DC3912"/>
              </a:solidFill>
            </c:spPr>
          </c:dPt>
          <c:dPt>
            <c:idx val="2"/>
            <c:spPr>
              <a:solidFill>
                <a:srgbClr val="FF9900"/>
              </a:solidFill>
            </c:spPr>
          </c:dPt>
          <c:dPt>
            <c:idx val="3"/>
            <c:spPr>
              <a:solidFill>
                <a:srgbClr val="109618"/>
              </a:solidFill>
            </c:spPr>
          </c:dPt>
          <c:dLbls>
            <c:showLegendKey val="0"/>
            <c:showVal val="0"/>
            <c:showCatName val="0"/>
            <c:showSerName val="0"/>
            <c:showPercent val="1"/>
            <c:showBubbleSize val="0"/>
            <c:showLeaderLines val="1"/>
          </c:dLbls>
          <c:cat>
            <c:strRef>
              <c:f>Stats!$B$69:$B$72</c:f>
            </c:strRef>
          </c:cat>
          <c:val>
            <c:numRef>
              <c:f>Stats!$C$69:$C$72</c:f>
            </c:numRef>
          </c:val>
        </c:ser>
        <c:dLbls>
          <c:showLegendKey val="0"/>
          <c:showVal val="0"/>
          <c:showCatName val="0"/>
          <c:showSerName val="0"/>
          <c:showPercent val="0"/>
          <c:showBubbleSize val="0"/>
        </c:dLbls>
        <c:firstSliceAng val="0"/>
      </c:pieChart>
    </c:plotArea>
    <c:legend>
      <c:legendPos val="r"/>
      <c:overlay val="0"/>
      <c:txPr>
        <a:bodyPr/>
        <a:lstStyle/>
        <a:p>
          <a:pPr lvl="0">
            <a:defRPr sz="1200">
              <a:solidFill>
                <a:srgbClr val="222222"/>
              </a:solidFill>
            </a:defRPr>
          </a:pPr>
        </a:p>
      </c:txPr>
    </c:legend>
  </c:chart>
</c:chartSpace>
</file>

<file path=xl/charts/chart7.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Average energy consumption (Wh/mi)</a:t>
            </a:r>
          </a:p>
        </c:rich>
      </c:tx>
      <c:overlay val="0"/>
    </c:title>
    <c:plotArea>
      <c:layout>
        <c:manualLayout>
          <c:xMode val="edge"/>
          <c:yMode val="edge"/>
          <c:x val="0.3103864734299517"/>
          <c:y val="0.10831062670299729"/>
          <c:w val="0.603383526570048"/>
          <c:h val="0.8126893732970027"/>
        </c:manualLayout>
      </c:layout>
      <c:barChart>
        <c:barDir val="bar"/>
        <c:grouping val="stacked"/>
        <c:ser>
          <c:idx val="0"/>
          <c:order val="0"/>
          <c:spPr>
            <a:solidFill>
              <a:srgbClr val="3366CC"/>
            </a:solidFill>
          </c:spPr>
          <c:cat>
            <c:strRef>
              <c:f>Stats!$B$80:$B$99</c:f>
            </c:strRef>
          </c:cat>
          <c:val>
            <c:numRef>
              <c:f>Stats!$E$80:$E$99</c:f>
            </c:numRef>
          </c:val>
        </c:ser>
        <c:overlap val="100"/>
        <c:axId val="1520774616"/>
        <c:axId val="1394112347"/>
      </c:barChart>
      <c:catAx>
        <c:axId val="1520774616"/>
        <c:scaling>
          <c:orientation val="maxMin"/>
        </c:scaling>
        <c:delete val="0"/>
        <c:axPos val="l"/>
        <c:txPr>
          <a:bodyPr/>
          <a:lstStyle/>
          <a:p>
            <a:pPr lvl="0">
              <a:defRPr b="0" sz="1200"/>
            </a:pPr>
          </a:p>
        </c:txPr>
        <c:crossAx val="1394112347"/>
      </c:catAx>
      <c:valAx>
        <c:axId val="1394112347"/>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520774616"/>
        <c:crosses val="max"/>
      </c:valAx>
    </c:plotArea>
  </c:chart>
</c:chartSpace>
</file>

<file path=xl/charts/chart8.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title>
      <c:tx>
        <c:rich>
          <a:bodyPr/>
          <a:lstStyle/>
          <a:p>
            <a:pPr lvl="0">
              <a:defRPr b="1" sz="1300">
                <a:solidFill>
                  <a:srgbClr val="000000"/>
                </a:solidFill>
              </a:defRPr>
            </a:pPr>
            <a:r>
              <a:t>Average energy consumption (Wh/km)</a:t>
            </a:r>
          </a:p>
        </c:rich>
      </c:tx>
      <c:overlay val="0"/>
    </c:title>
    <c:plotArea>
      <c:layout>
        <c:manualLayout>
          <c:xMode val="edge"/>
          <c:yMode val="edge"/>
          <c:x val="0.322463768115942"/>
          <c:y val="0.10297927461139905"/>
          <c:w val="0.5546462318840586"/>
          <c:h val="0.8217195205693238"/>
        </c:manualLayout>
      </c:layout>
      <c:barChart>
        <c:barDir val="bar"/>
        <c:grouping val="stacked"/>
        <c:ser>
          <c:idx val="0"/>
          <c:order val="0"/>
          <c:spPr>
            <a:solidFill>
              <a:srgbClr val="3366CC"/>
            </a:solidFill>
          </c:spPr>
          <c:cat>
            <c:strRef>
              <c:f>Stats!$B$80:$B$99</c:f>
            </c:strRef>
          </c:cat>
          <c:val>
            <c:numRef>
              <c:f>Stats!$D$80:$D$99</c:f>
            </c:numRef>
          </c:val>
        </c:ser>
        <c:overlap val="100"/>
        <c:axId val="943496936"/>
        <c:axId val="618250601"/>
      </c:barChart>
      <c:catAx>
        <c:axId val="943496936"/>
        <c:scaling>
          <c:orientation val="maxMin"/>
        </c:scaling>
        <c:delete val="0"/>
        <c:axPos val="l"/>
        <c:txPr>
          <a:bodyPr/>
          <a:lstStyle/>
          <a:p>
            <a:pPr lvl="0">
              <a:defRPr b="0" sz="1200"/>
            </a:pPr>
          </a:p>
        </c:txPr>
        <c:crossAx val="618250601"/>
      </c:catAx>
      <c:valAx>
        <c:axId val="618250601"/>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943496936"/>
        <c:crosses val="max"/>
      </c:valAx>
    </c:plotArea>
  </c:chart>
</c:chartSpace>
</file>

<file path=xl/charts/chart9.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379999999999998"/>
          <c:y val="0.06393"/>
          <c:w val="0.56423"/>
          <c:h val="0.7990900000000001"/>
        </c:manualLayout>
      </c:layout>
      <c:scatterChart>
        <c:scatterStyle val="lineMarker"/>
        <c:ser>
          <c:idx val="0"/>
          <c:order val="0"/>
          <c:tx>
            <c:strRef>
              <c:f>'Editor Comments'!$D$94</c:f>
            </c:strRef>
          </c:tx>
          <c:spPr>
            <a:ln w="47625">
              <a:noFill/>
            </a:ln>
          </c:spPr>
          <c:marker>
            <c:symbol val="circle"/>
            <c:size val="7"/>
            <c:spPr>
              <a:solidFill>
                <a:srgbClr val="3366CC"/>
              </a:solidFill>
              <a:ln cmpd="sng">
                <a:solidFill>
                  <a:srgbClr val="3366CC"/>
                </a:solidFill>
              </a:ln>
            </c:spPr>
          </c:marker>
          <c:xVal>
            <c:numRef>
              <c:f>'Editor Comments'!$C$95:$C$97</c:f>
            </c:numRef>
          </c:xVal>
          <c:yVal>
            <c:numRef>
              <c:f>'Editor Comments'!$D$95:$D$97</c:f>
            </c:numRef>
          </c:yVal>
        </c:ser>
        <c:ser>
          <c:idx val="1"/>
          <c:order val="1"/>
          <c:tx>
            <c:strRef>
              <c:f>'Editor Comments'!$E$94</c:f>
            </c:strRef>
          </c:tx>
          <c:spPr>
            <a:ln w="47625">
              <a:noFill/>
            </a:ln>
          </c:spPr>
          <c:marker>
            <c:symbol val="circle"/>
            <c:size val="7"/>
            <c:spPr>
              <a:solidFill>
                <a:srgbClr val="DC3912"/>
              </a:solidFill>
              <a:ln cmpd="sng">
                <a:solidFill>
                  <a:srgbClr val="DC3912"/>
                </a:solidFill>
              </a:ln>
            </c:spPr>
          </c:marker>
          <c:xVal>
            <c:numRef>
              <c:f>'Editor Comments'!$C$95:$C$97</c:f>
            </c:numRef>
          </c:xVal>
          <c:yVal>
            <c:numRef>
              <c:f>'Editor Comments'!$E$95:$E$97</c:f>
            </c:numRef>
          </c:yVal>
        </c:ser>
        <c:dLbls>
          <c:showLegendKey val="0"/>
          <c:showVal val="0"/>
          <c:showCatName val="0"/>
          <c:showSerName val="0"/>
          <c:showPercent val="0"/>
          <c:showBubbleSize val="0"/>
        </c:dLbls>
        <c:axId val="213868385"/>
        <c:axId val="224917791"/>
      </c:scatterChart>
      <c:valAx>
        <c:axId val="213868385"/>
        <c:scaling>
          <c:orientation val="minMax"/>
        </c:scaling>
        <c:delete val="0"/>
        <c:axPos val="b"/>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224917791"/>
      </c:valAx>
      <c:valAx>
        <c:axId val="224917791"/>
        <c:scaling>
          <c:orientation val="minMax"/>
          <c:min val="0.97"/>
        </c:scaling>
        <c:delete val="0"/>
        <c:axPos val="l"/>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213868385"/>
      </c:valAx>
    </c:plotArea>
    <c:legend>
      <c:legendPos val="r"/>
      <c:overlay val="0"/>
    </c:legend>
  </c:chart>
</c:chartSpace>
</file>

<file path=xl/charts/chart10.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57"/>
          <c:y val="0.08"/>
          <c:w val="0.718"/>
          <c:h val="0.652"/>
        </c:manualLayout>
      </c:layout>
      <c:scatterChart>
        <c:scatterStyle val="lineMarker"/>
        <c:ser>
          <c:idx val="0"/>
          <c:order val="0"/>
          <c:tx>
            <c:strRef>
              <c:f>'Editor Comments'!$B$109</c:f>
            </c:strRef>
          </c:tx>
          <c:spPr>
            <a:ln w="47625">
              <a:noFill/>
            </a:ln>
          </c:spPr>
          <c:marker>
            <c:symbol val="circle"/>
            <c:size val="7"/>
            <c:spPr>
              <a:solidFill>
                <a:srgbClr val="3366CC"/>
              </a:solidFill>
              <a:ln cmpd="sng">
                <a:solidFill>
                  <a:srgbClr val="3366CC"/>
                </a:solidFill>
              </a:ln>
            </c:spPr>
          </c:marker>
          <c:trendline>
            <c:name/>
            <c:spPr>
              <a:ln w="19050">
                <a:solidFill>
                  <a:srgbClr val="FF0000"/>
                </a:solidFill>
              </a:ln>
            </c:spPr>
            <c:trendlineType val="exp"/>
            <c:dispRSqr val="0"/>
            <c:dispEq val="1"/>
          </c:trendline>
          <c:xVal>
            <c:numRef>
              <c:f>'Editor Comments'!$A$110:$A$113</c:f>
            </c:numRef>
          </c:xVal>
          <c:yVal>
            <c:numRef>
              <c:f>'Editor Comments'!$B$110:$B$113</c:f>
            </c:numRef>
          </c:yVal>
        </c:ser>
        <c:ser>
          <c:idx val="1"/>
          <c:order val="1"/>
          <c:tx>
            <c:strRef>
              <c:f>'Editor Comments'!$C$109</c:f>
            </c:strRef>
          </c:tx>
          <c:spPr>
            <a:ln w="47625">
              <a:noFill/>
            </a:ln>
          </c:spPr>
          <c:marker>
            <c:symbol val="circle"/>
            <c:size val="7"/>
            <c:spPr>
              <a:solidFill>
                <a:srgbClr val="DC3912"/>
              </a:solidFill>
              <a:ln cmpd="sng">
                <a:solidFill>
                  <a:srgbClr val="DC3912"/>
                </a:solidFill>
              </a:ln>
            </c:spPr>
          </c:marker>
          <c:xVal>
            <c:numRef>
              <c:f>'Editor Comments'!$A$110:$A$113</c:f>
            </c:numRef>
          </c:xVal>
          <c:yVal>
            <c:numRef>
              <c:f>'Editor Comments'!$C$110:$C$113</c:f>
            </c:numRef>
          </c:yVal>
        </c:ser>
        <c:dLbls>
          <c:showLegendKey val="0"/>
          <c:showVal val="0"/>
          <c:showCatName val="0"/>
          <c:showSerName val="0"/>
          <c:showPercent val="0"/>
          <c:showBubbleSize val="0"/>
        </c:dLbls>
        <c:axId val="1298742795"/>
        <c:axId val="1209170086"/>
      </c:scatterChart>
      <c:valAx>
        <c:axId val="1298742795"/>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209170086"/>
      </c:valAx>
      <c:valAx>
        <c:axId val="1209170086"/>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298742795"/>
      </c:valAx>
    </c:plotArea>
    <c:legend>
      <c:legendPos val="b"/>
      <c:overlay val="0"/>
    </c:legend>
  </c:chart>
</c:chartSpace>
</file>

<file path=xl/charts/chart11.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manualLayout>
          <c:xMode val="edge"/>
          <c:yMode val="edge"/>
          <c:x val="0.1757"/>
          <c:y val="0.08"/>
          <c:w val="0.718"/>
          <c:h val="0.652"/>
        </c:manualLayout>
      </c:layout>
      <c:scatterChart>
        <c:scatterStyle val="lineMarker"/>
        <c:varyColors val="0"/>
        <c:ser>
          <c:idx val="0"/>
          <c:order val="0"/>
          <c:tx>
            <c:strRef>
              <c:f>'Editor Comments'!$B$122</c:f>
            </c:strRef>
          </c:tx>
          <c:spPr>
            <a:ln w="47625">
              <a:noFill/>
            </a:ln>
          </c:spPr>
          <c:marker>
            <c:symbol val="circle"/>
            <c:size val="7"/>
            <c:spPr>
              <a:solidFill>
                <a:srgbClr val="3366CC"/>
              </a:solidFill>
              <a:ln cmpd="sng">
                <a:solidFill>
                  <a:srgbClr val="3366CC"/>
                </a:solidFill>
              </a:ln>
            </c:spPr>
          </c:marker>
          <c:trendline>
            <c:name/>
            <c:spPr>
              <a:ln w="19050">
                <a:solidFill>
                  <a:srgbClr val="FF0000"/>
                </a:solidFill>
              </a:ln>
            </c:spPr>
            <c:trendlineType val="exp"/>
            <c:dispRSqr val="0"/>
            <c:dispEq val="1"/>
          </c:trendline>
          <c:xVal>
            <c:numRef>
              <c:f>'Editor Comments'!$A$123:$A$126</c:f>
            </c:numRef>
          </c:xVal>
          <c:yVal>
            <c:numRef>
              <c:f>'Editor Comments'!$B$123:$B$126</c:f>
            </c:numRef>
          </c:yVal>
        </c:ser>
        <c:dLbls>
          <c:showLegendKey val="0"/>
          <c:showVal val="0"/>
          <c:showCatName val="0"/>
          <c:showSerName val="0"/>
          <c:showPercent val="0"/>
          <c:showBubbleSize val="0"/>
        </c:dLbls>
        <c:axId val="1742947819"/>
        <c:axId val="1652774227"/>
      </c:scatterChart>
      <c:valAx>
        <c:axId val="1742947819"/>
        <c:scaling>
          <c:orientation val="minMax"/>
        </c:scaling>
        <c:delete val="0"/>
        <c:axPos val="b"/>
        <c:majorGridlines>
          <c:spPr>
            <a:ln>
              <a:solidFill>
                <a:srgbClr val="B7B7B7"/>
              </a:solidFill>
            </a:ln>
          </c:spPr>
        </c:majorGridlines>
        <c:numFmt formatCode="General" sourceLinked="1"/>
        <c:tickLblPos val="nextTo"/>
        <c:spPr>
          <a:ln w="47625">
            <a:noFill/>
          </a:ln>
        </c:spPr>
        <c:txPr>
          <a:bodyPr/>
          <a:lstStyle/>
          <a:p>
            <a:pPr lvl="0">
              <a:defRPr b="0"/>
            </a:pPr>
          </a:p>
        </c:txPr>
        <c:crossAx val="1652774227"/>
      </c:valAx>
      <c:valAx>
        <c:axId val="1652774227"/>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742947819"/>
      </c:valAx>
    </c:plotArea>
    <c:legend>
      <c:legendPos val="b"/>
      <c:overlay val="0"/>
    </c:legend>
  </c:chart>
</c:chartSpace>
</file>

<file path=xl/charts/chart12.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000000"/>
            </a:solidFill>
          </c:spPr>
          <c:val>
            <c:numRef>
              <c:f>'Temperature effect'!$R$1:$R$13</c:f>
            </c:numRef>
          </c:val>
        </c:ser>
        <c:ser>
          <c:idx val="1"/>
          <c:order val="1"/>
          <c:spPr>
            <a:solidFill>
              <a:srgbClr val="6D9EEB"/>
            </a:solidFill>
          </c:spPr>
          <c:val>
            <c:numRef>
              <c:f>'Temperature effect'!$P$1:$P$13</c:f>
            </c:numRef>
          </c:val>
        </c:ser>
        <c:ser>
          <c:idx val="2"/>
          <c:order val="2"/>
          <c:spPr>
            <a:solidFill>
              <a:srgbClr val="FF0000"/>
            </a:solidFill>
          </c:spPr>
          <c:val>
            <c:numRef>
              <c:f>'Temperature effect'!$Q$1:$Q$13</c:f>
            </c:numRef>
          </c:val>
        </c:ser>
        <c:axId val="1751514595"/>
        <c:axId val="2026928219"/>
      </c:barChart>
      <c:catAx>
        <c:axId val="1751514595"/>
        <c:scaling>
          <c:orientation val="minMax"/>
        </c:scaling>
        <c:delete val="0"/>
        <c:axPos val="b"/>
        <c:txPr>
          <a:bodyPr/>
          <a:lstStyle/>
          <a:p>
            <a:pPr lvl="0">
              <a:defRPr b="0"/>
            </a:pPr>
          </a:p>
        </c:txPr>
        <c:crossAx val="2026928219"/>
      </c:catAx>
      <c:valAx>
        <c:axId val="2026928219"/>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751514595"/>
      </c:valAx>
    </c:plotArea>
  </c:chart>
</c:chartSpace>
</file>

<file path=xl/charts/chart13.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scatterChart>
        <c:scatterStyle val="lineMarker"/>
        <c:varyColors val="0"/>
        <c:ser>
          <c:idx val="0"/>
          <c:order val="0"/>
          <c:tx>
            <c:strRef>
              <c:f>'Temperature effect'!$G$2</c:f>
            </c:strRef>
          </c:tx>
          <c:spPr>
            <a:ln w="47625">
              <a:noFill/>
            </a:ln>
          </c:spPr>
          <c:marker>
            <c:symbol val="circle"/>
            <c:size val="4"/>
            <c:spPr>
              <a:solidFill>
                <a:srgbClr val="3366CC"/>
              </a:solidFill>
              <a:ln cmpd="sng">
                <a:solidFill>
                  <a:srgbClr val="3366CC"/>
                </a:solidFill>
              </a:ln>
            </c:spPr>
          </c:marker>
          <c:trendline>
            <c:name/>
            <c:spPr>
              <a:ln w="19050">
                <a:solidFill>
                  <a:srgbClr val="FF0000"/>
                </a:solidFill>
              </a:ln>
            </c:spPr>
            <c:trendlineType val="linear"/>
            <c:dispRSqr val="0"/>
            <c:dispEq val="0"/>
          </c:trendline>
          <c:xVal>
            <c:numRef>
              <c:f>'Temperature effect'!$D$3:$D$1527</c:f>
            </c:numRef>
          </c:xVal>
          <c:yVal>
            <c:numRef>
              <c:f>'Temperature effect'!$G$3:$G$1527</c:f>
            </c:numRef>
          </c:yVal>
        </c:ser>
        <c:dLbls>
          <c:showLegendKey val="0"/>
          <c:showVal val="0"/>
          <c:showCatName val="0"/>
          <c:showSerName val="0"/>
          <c:showPercent val="0"/>
          <c:showBubbleSize val="0"/>
        </c:dLbls>
        <c:axId val="325620209"/>
        <c:axId val="1299175797"/>
      </c:scatterChart>
      <c:valAx>
        <c:axId val="325620209"/>
        <c:scaling>
          <c:orientation val="minMax"/>
        </c:scaling>
        <c:delete val="0"/>
        <c:axPos val="b"/>
        <c:majorGridlines>
          <c:spPr>
            <a:ln>
              <a:solidFill>
                <a:srgbClr val="B7B7B7"/>
              </a:solidFill>
            </a:ln>
          </c:spPr>
        </c:majorGridlines>
        <c:title>
          <c:tx>
            <c:rich>
              <a:bodyPr/>
              <a:lstStyle/>
              <a:p>
                <a:pPr lvl="0">
                  <a:defRPr b="0"/>
                </a:pPr>
                <a:r>
                  <a:t>Date of range reading
(double click empty cell)</a:t>
                </a:r>
              </a:p>
            </c:rich>
          </c:tx>
          <c:overlay val="0"/>
        </c:title>
        <c:numFmt formatCode="General" sourceLinked="1"/>
        <c:tickLblPos val="nextTo"/>
        <c:spPr>
          <a:ln w="47625">
            <a:noFill/>
          </a:ln>
        </c:spPr>
        <c:txPr>
          <a:bodyPr/>
          <a:lstStyle/>
          <a:p>
            <a:pPr lvl="0">
              <a:defRPr b="0"/>
            </a:pPr>
          </a:p>
        </c:txPr>
        <c:crossAx val="1299175797"/>
      </c:valAx>
      <c:valAx>
        <c:axId val="1299175797"/>
        <c:scaling>
          <c:orientation val="minMax"/>
        </c:scaling>
        <c:delete val="0"/>
        <c:axPos val="l"/>
        <c:majorGridlines>
          <c:spPr>
            <a:ln>
              <a:solidFill>
                <a:srgbClr val="B7B7B7"/>
              </a:solidFill>
            </a:ln>
          </c:spPr>
        </c:majorGridlines>
        <c:title>
          <c:tx>
            <c:rich>
              <a:bodyPr/>
              <a:lstStyle/>
              <a:p>
                <a:pPr lvl="0">
                  <a:defRPr b="0"/>
                </a:pPr>
                <a:r>
                  <a:t/>
                </a:r>
              </a:p>
            </c:rich>
          </c:tx>
          <c:overlay val="0"/>
        </c:title>
        <c:numFmt formatCode="General" sourceLinked="1"/>
        <c:tickLblPos val="nextTo"/>
        <c:spPr>
          <a:ln w="47625">
            <a:noFill/>
          </a:ln>
        </c:spPr>
        <c:txPr>
          <a:bodyPr/>
          <a:lstStyle/>
          <a:p>
            <a:pPr lvl="0">
              <a:defRPr b="0"/>
            </a:pPr>
          </a:p>
        </c:txPr>
        <c:crossAx val="325620209"/>
      </c:valAx>
    </c:plotArea>
  </c:chart>
</c:chartSpace>
</file>

<file path=xl/charts/chart14.xml><?xml version="1.0" encoding="utf-8"?>
<c:chartSpace xmlns:a="http://schemas.openxmlformats.org/drawingml/2006/main" xmlns:c="http://schemas.openxmlformats.org/drawingml/2006/chart" xmlns:r="http://schemas.openxmlformats.org/officeDocument/2006/relationships" xmlns:mc="http://schemas.openxmlformats.org/markup-compatibility/2006" xmlns:mv="urn:schemas-microsoft-com:mac:vml" xmlns:c14="http://schemas.microsoft.com/office/drawing/2007/8/2/chart">
  <c:chart>
    <c:plotArea>
      <c:layout/>
      <c:barChart>
        <c:barDir val="col"/>
        <c:ser>
          <c:idx val="0"/>
          <c:order val="0"/>
          <c:spPr>
            <a:solidFill>
              <a:srgbClr val="000000"/>
            </a:solidFill>
          </c:spPr>
          <c:val>
            <c:numRef>
              <c:f>'Temperature effect'!$O$1:$O$13</c:f>
            </c:numRef>
          </c:val>
        </c:ser>
        <c:ser>
          <c:idx val="1"/>
          <c:order val="1"/>
          <c:spPr>
            <a:solidFill>
              <a:srgbClr val="6D9EEB"/>
            </a:solidFill>
          </c:spPr>
          <c:val>
            <c:numRef>
              <c:f>'Temperature effect'!$M$1:$M$13</c:f>
            </c:numRef>
          </c:val>
        </c:ser>
        <c:ser>
          <c:idx val="2"/>
          <c:order val="2"/>
          <c:spPr>
            <a:solidFill>
              <a:srgbClr val="FF0000"/>
            </a:solidFill>
          </c:spPr>
          <c:val>
            <c:numRef>
              <c:f>'Temperature effect'!$N$1:$N$13</c:f>
            </c:numRef>
          </c:val>
        </c:ser>
        <c:axId val="1604949436"/>
        <c:axId val="320994116"/>
      </c:barChart>
      <c:catAx>
        <c:axId val="1604949436"/>
        <c:scaling>
          <c:orientation val="minMax"/>
        </c:scaling>
        <c:delete val="0"/>
        <c:axPos val="b"/>
        <c:txPr>
          <a:bodyPr/>
          <a:lstStyle/>
          <a:p>
            <a:pPr lvl="0">
              <a:defRPr b="0"/>
            </a:pPr>
          </a:p>
        </c:txPr>
        <c:crossAx val="320994116"/>
      </c:catAx>
      <c:valAx>
        <c:axId val="320994116"/>
        <c:scaling>
          <c:orientation val="minMax"/>
        </c:scaling>
        <c:delete val="0"/>
        <c:axPos val="l"/>
        <c:majorGridlines>
          <c:spPr>
            <a:ln>
              <a:solidFill>
                <a:srgbClr val="B7B7B7"/>
              </a:solidFill>
            </a:ln>
          </c:spPr>
        </c:majorGridlines>
        <c:numFmt formatCode="General" sourceLinked="1"/>
        <c:tickLblPos val="nextTo"/>
        <c:spPr>
          <a:ln w="47625">
            <a:noFill/>
          </a:ln>
        </c:spPr>
        <c:txPr>
          <a:bodyPr/>
          <a:lstStyle/>
          <a:p>
            <a:pPr lvl="0">
              <a:defRPr b="0"/>
            </a:pPr>
          </a:p>
        </c:txPr>
        <c:crossAx val="1604949436"/>
      </c:valAx>
    </c:plotArea>
  </c:chart>
</c:chartSpace>
</file>

<file path=xl/drawings/_rels/drawing7.xml.rels><?xml version="1.0" encoding="UTF-8" standalone="yes"?><Relationships xmlns="http://schemas.openxmlformats.org/package/2006/relationships"><Relationship Id="rId1" Type="http://schemas.openxmlformats.org/officeDocument/2006/relationships/chart" Target="../charts/chart1.xml"/><Relationship Id="rId2" Type="http://schemas.openxmlformats.org/officeDocument/2006/relationships/chart" Target="../charts/chart2.xml"/><Relationship Id="rId3" Type="http://schemas.openxmlformats.org/officeDocument/2006/relationships/chart" Target="../charts/chart3.xml"/><Relationship Id="rId4" Type="http://schemas.openxmlformats.org/officeDocument/2006/relationships/chart" Target="../charts/chart4.xml"/></Relationships>
</file>

<file path=xl/drawings/_rels/drawing8.xml.rels><?xml version="1.0" encoding="UTF-8" standalone="yes"?><Relationships xmlns="http://schemas.openxmlformats.org/package/2006/relationships"><Relationship Id="rId1" Type="http://schemas.openxmlformats.org/officeDocument/2006/relationships/chart" Target="../charts/chart5.xml"/><Relationship Id="rId2" Type="http://schemas.openxmlformats.org/officeDocument/2006/relationships/chart" Target="../charts/chart6.xml"/><Relationship Id="rId3" Type="http://schemas.openxmlformats.org/officeDocument/2006/relationships/chart" Target="../charts/chart7.xml"/><Relationship Id="rId4" Type="http://schemas.openxmlformats.org/officeDocument/2006/relationships/chart" Target="../charts/chart8.xml"/></Relationships>
</file>

<file path=xl/drawings/_rels/drawing11.xml.rels><?xml version="1.0" encoding="UTF-8" standalone="yes"?><Relationships xmlns="http://schemas.openxmlformats.org/package/2006/relationships"><Relationship Id="rId1" Type="http://schemas.openxmlformats.org/officeDocument/2006/relationships/chart" Target="../charts/chart9.xml"/><Relationship Id="rId2" Type="http://schemas.openxmlformats.org/officeDocument/2006/relationships/chart" Target="../charts/chart10.xml"/><Relationship Id="rId3" Type="http://schemas.openxmlformats.org/officeDocument/2006/relationships/chart" Target="../charts/chart11.xml"/></Relationships>
</file>

<file path=xl/drawings/_rels/drawing13.xml.rels><?xml version="1.0" encoding="UTF-8" standalone="yes"?><Relationships xmlns="http://schemas.openxmlformats.org/package/2006/relationships"><Relationship Id="rId1" Type="http://schemas.openxmlformats.org/officeDocument/2006/relationships/chart" Target="../charts/chart12.xml"/><Relationship Id="rId2" Type="http://schemas.openxmlformats.org/officeDocument/2006/relationships/chart" Target="../charts/chart13.xml"/><Relationship Id="rId3" Type="http://schemas.openxmlformats.org/officeDocument/2006/relationships/chart" Target="../charts/chart14.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0</xdr:colOff>
      <xdr:row>1</xdr:row>
      <xdr:rowOff>0</xdr:rowOff>
    </xdr:from>
    <xdr:to>
      <xdr:col>8</xdr:col>
      <xdr:colOff>619125</xdr:colOff>
      <xdr:row>22</xdr:row>
      <xdr:rowOff>180975</xdr:rowOff>
    </xdr:to>
    <xdr:graphicFrame>
      <xdr:nvGraphicFramePr>
        <xdr:cNvPr id="1" name="Chart 1"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0</xdr:col>
      <xdr:colOff>0</xdr:colOff>
      <xdr:row>52</xdr:row>
      <xdr:rowOff>38100</xdr:rowOff>
    </xdr:from>
    <xdr:to>
      <xdr:col>8</xdr:col>
      <xdr:colOff>619125</xdr:colOff>
      <xdr:row>75</xdr:row>
      <xdr:rowOff>19050</xdr:rowOff>
    </xdr:to>
    <xdr:graphicFrame>
      <xdr:nvGraphicFramePr>
        <xdr:cNvPr id="2" name="Chart 2"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0</xdr:col>
      <xdr:colOff>0</xdr:colOff>
      <xdr:row>78</xdr:row>
      <xdr:rowOff>95250</xdr:rowOff>
    </xdr:from>
    <xdr:to>
      <xdr:col>8</xdr:col>
      <xdr:colOff>619125</xdr:colOff>
      <xdr:row>101</xdr:row>
      <xdr:rowOff>76200</xdr:rowOff>
    </xdr:to>
    <xdr:graphicFrame>
      <xdr:nvGraphicFramePr>
        <xdr:cNvPr id="3" name="Chart 3"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0</xdr:col>
      <xdr:colOff>0</xdr:colOff>
      <xdr:row>26</xdr:row>
      <xdr:rowOff>38100</xdr:rowOff>
    </xdr:from>
    <xdr:to>
      <xdr:col>8</xdr:col>
      <xdr:colOff>619125</xdr:colOff>
      <xdr:row>47</xdr:row>
      <xdr:rowOff>219075</xdr:rowOff>
    </xdr:to>
    <xdr:graphicFrame>
      <xdr:nvGraphicFramePr>
        <xdr:cNvPr id="4" name="Chart 4" title="Chart"/>
        <xdr:cNvGraphicFramePr/>
      </xdr:nvGraphicFramePr>
      <xdr:xfrm>
        <a:off x="0" y="0"/>
        <a:ext cx="0" cy="0"/>
      </xdr:xfrm>
      <a:graphic>
        <a:graphicData uri="http://schemas.openxmlformats.org/drawingml/2006/chart">
          <c:chart r:id="rId4"/>
        </a:graphicData>
      </a:graphic>
    </xdr:graphicFrame>
    <xdr:clientData fLocksWithSheet="0"/>
  </xdr:twoCellAnchor>
</xdr:wsD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0</xdr:col>
      <xdr:colOff>276225</xdr:colOff>
      <xdr:row>107</xdr:row>
      <xdr:rowOff>66675</xdr:rowOff>
    </xdr:from>
    <xdr:to>
      <xdr:col>3</xdr:col>
      <xdr:colOff>800100</xdr:colOff>
      <xdr:row>113</xdr:row>
      <xdr:rowOff>266700</xdr:rowOff>
    </xdr:to>
    <xdr:graphicFrame>
      <xdr:nvGraphicFramePr>
        <xdr:cNvPr id="5" name="Chart 5"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3</xdr:col>
      <xdr:colOff>180975</xdr:colOff>
      <xdr:row>66</xdr:row>
      <xdr:rowOff>276225</xdr:rowOff>
    </xdr:from>
    <xdr:to>
      <xdr:col>6</xdr:col>
      <xdr:colOff>819150</xdr:colOff>
      <xdr:row>74</xdr:row>
      <xdr:rowOff>180975</xdr:rowOff>
    </xdr:to>
    <xdr:graphicFrame>
      <xdr:nvGraphicFramePr>
        <xdr:cNvPr id="6" name="Chart 6"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18</xdr:col>
      <xdr:colOff>428625</xdr:colOff>
      <xdr:row>76</xdr:row>
      <xdr:rowOff>266700</xdr:rowOff>
    </xdr:from>
    <xdr:to>
      <xdr:col>22</xdr:col>
      <xdr:colOff>561975</xdr:colOff>
      <xdr:row>91</xdr:row>
      <xdr:rowOff>114300</xdr:rowOff>
    </xdr:to>
    <xdr:graphicFrame>
      <xdr:nvGraphicFramePr>
        <xdr:cNvPr id="7" name="Chart 7" title="Chart"/>
        <xdr:cNvGraphicFramePr/>
      </xdr:nvGraphicFramePr>
      <xdr:xfrm>
        <a:off x="0" y="0"/>
        <a:ext cx="0" cy="0"/>
      </xdr:xfrm>
      <a:graphic>
        <a:graphicData uri="http://schemas.openxmlformats.org/drawingml/2006/chart">
          <c:chart r:id="rId3"/>
        </a:graphicData>
      </a:graphic>
    </xdr:graphicFrame>
    <xdr:clientData fLocksWithSheet="0"/>
  </xdr:twoCellAnchor>
  <xdr:twoCellAnchor>
    <xdr:from>
      <xdr:col>13</xdr:col>
      <xdr:colOff>638175</xdr:colOff>
      <xdr:row>76</xdr:row>
      <xdr:rowOff>247650</xdr:rowOff>
    </xdr:from>
    <xdr:to>
      <xdr:col>17</xdr:col>
      <xdr:colOff>771525</xdr:colOff>
      <xdr:row>91</xdr:row>
      <xdr:rowOff>104775</xdr:rowOff>
    </xdr:to>
    <xdr:graphicFrame>
      <xdr:nvGraphicFramePr>
        <xdr:cNvPr id="8" name="Chart 8" title="Chart"/>
        <xdr:cNvGraphicFramePr/>
      </xdr:nvGraphicFramePr>
      <xdr:xfrm>
        <a:off x="0" y="0"/>
        <a:ext cx="0" cy="0"/>
      </xdr:xfrm>
      <a:graphic>
        <a:graphicData uri="http://schemas.openxmlformats.org/drawingml/2006/chart">
          <c:chart r:id="rId4"/>
        </a:graphicData>
      </a:graphic>
    </xdr:graphicFrame>
    <xdr:clientData fLocksWithSheet="0"/>
  </xdr:twoCellAnchor>
</xdr:wsD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5</xdr:col>
      <xdr:colOff>590550</xdr:colOff>
      <xdr:row>96</xdr:row>
      <xdr:rowOff>0</xdr:rowOff>
    </xdr:from>
    <xdr:to>
      <xdr:col>9</xdr:col>
      <xdr:colOff>866775</xdr:colOff>
      <xdr:row>106</xdr:row>
      <xdr:rowOff>85725</xdr:rowOff>
    </xdr:to>
    <xdr:graphicFrame>
      <xdr:nvGraphicFramePr>
        <xdr:cNvPr id="9" name="Chart 9"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7</xdr:col>
      <xdr:colOff>361950</xdr:colOff>
      <xdr:row>107</xdr:row>
      <xdr:rowOff>428625</xdr:rowOff>
    </xdr:from>
    <xdr:to>
      <xdr:col>11</xdr:col>
      <xdr:colOff>447675</xdr:colOff>
      <xdr:row>121</xdr:row>
      <xdr:rowOff>171450</xdr:rowOff>
    </xdr:to>
    <xdr:graphicFrame>
      <xdr:nvGraphicFramePr>
        <xdr:cNvPr id="10" name="Chart 10"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7</xdr:col>
      <xdr:colOff>323850</xdr:colOff>
      <xdr:row>121</xdr:row>
      <xdr:rowOff>428625</xdr:rowOff>
    </xdr:from>
    <xdr:to>
      <xdr:col>11</xdr:col>
      <xdr:colOff>409575</xdr:colOff>
      <xdr:row>135</xdr:row>
      <xdr:rowOff>171450</xdr:rowOff>
    </xdr:to>
    <xdr:graphicFrame>
      <xdr:nvGraphicFramePr>
        <xdr:cNvPr id="11" name="Chart 11" title="Chart"/>
        <xdr:cNvGraphicFramePr/>
      </xdr:nvGraphicFramePr>
      <xdr:xfrm>
        <a:off x="0" y="0"/>
        <a:ext cx="0" cy="0"/>
      </xdr:xfrm>
      <a:graphic>
        <a:graphicData uri="http://schemas.openxmlformats.org/drawingml/2006/chart">
          <c:chart r:id="rId3"/>
        </a:graphicData>
      </a:graphic>
    </xdr:graphicFrame>
    <xdr:clientData fLocksWithSheet="0"/>
  </xdr:twoCellAnchor>
</xdr:wsD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xdr:twoCellAnchor>
    <xdr:from>
      <xdr:col>11</xdr:col>
      <xdr:colOff>9525</xdr:colOff>
      <xdr:row>28</xdr:row>
      <xdr:rowOff>95250</xdr:rowOff>
    </xdr:from>
    <xdr:to>
      <xdr:col>18</xdr:col>
      <xdr:colOff>104775</xdr:colOff>
      <xdr:row>49</xdr:row>
      <xdr:rowOff>66675</xdr:rowOff>
    </xdr:to>
    <xdr:graphicFrame>
      <xdr:nvGraphicFramePr>
        <xdr:cNvPr id="12" name="Chart 12" title="Chart"/>
        <xdr:cNvGraphicFramePr/>
      </xdr:nvGraphicFramePr>
      <xdr:xfrm>
        <a:off x="0" y="0"/>
        <a:ext cx="0" cy="0"/>
      </xdr:xfrm>
      <a:graphic>
        <a:graphicData uri="http://schemas.openxmlformats.org/drawingml/2006/chart">
          <c:chart r:id="rId1"/>
        </a:graphicData>
      </a:graphic>
    </xdr:graphicFrame>
    <xdr:clientData fLocksWithSheet="0"/>
  </xdr:twoCellAnchor>
  <xdr:twoCellAnchor>
    <xdr:from>
      <xdr:col>2</xdr:col>
      <xdr:colOff>714375</xdr:colOff>
      <xdr:row>23</xdr:row>
      <xdr:rowOff>161925</xdr:rowOff>
    </xdr:from>
    <xdr:to>
      <xdr:col>9</xdr:col>
      <xdr:colOff>533400</xdr:colOff>
      <xdr:row>51</xdr:row>
      <xdr:rowOff>190500</xdr:rowOff>
    </xdr:to>
    <xdr:graphicFrame>
      <xdr:nvGraphicFramePr>
        <xdr:cNvPr id="13" name="Chart 13" title="Chart"/>
        <xdr:cNvGraphicFramePr/>
      </xdr:nvGraphicFramePr>
      <xdr:xfrm>
        <a:off x="0" y="0"/>
        <a:ext cx="0" cy="0"/>
      </xdr:xfrm>
      <a:graphic>
        <a:graphicData uri="http://schemas.openxmlformats.org/drawingml/2006/chart">
          <c:chart r:id="rId2"/>
        </a:graphicData>
      </a:graphic>
    </xdr:graphicFrame>
    <xdr:clientData fLocksWithSheet="0"/>
  </xdr:twoCellAnchor>
  <xdr:twoCellAnchor>
    <xdr:from>
      <xdr:col>11</xdr:col>
      <xdr:colOff>9525</xdr:colOff>
      <xdr:row>7</xdr:row>
      <xdr:rowOff>38100</xdr:rowOff>
    </xdr:from>
    <xdr:to>
      <xdr:col>18</xdr:col>
      <xdr:colOff>104775</xdr:colOff>
      <xdr:row>28</xdr:row>
      <xdr:rowOff>9525</xdr:rowOff>
    </xdr:to>
    <xdr:graphicFrame>
      <xdr:nvGraphicFramePr>
        <xdr:cNvPr id="14" name="Chart 14" title="Chart"/>
        <xdr:cNvGraphicFramePr/>
      </xdr:nvGraphicFramePr>
      <xdr:xfrm>
        <a:off x="0" y="0"/>
        <a:ext cx="0" cy="0"/>
      </xdr:xfrm>
      <a:graphic>
        <a:graphicData uri="http://schemas.openxmlformats.org/drawingml/2006/chart">
          <c:chart r:id="rId3"/>
        </a:graphicData>
      </a:graphic>
    </xdr:graphicFrame>
    <xdr:clientData fLocksWithSheet="0"/>
  </xdr:twoCellAnchor>
</xdr:wsD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mc="http://schemas.openxmlformats.org/markup-compatibility/2006" xmlns:dgm="http://schemas.openxmlformats.org/drawingml/2006/diagram"/>
</file>

<file path=xl/worksheets/_rels/sheet1.xml.rels><?xml version="1.0" encoding="UTF-8" standalone="yes"?><Relationships xmlns="http://schemas.openxmlformats.org/package/2006/relationships"><Relationship Id="rId1" Type="http://schemas.openxmlformats.org/officeDocument/2006/relationships/hyperlink" Target="https://youtu.be/Ij6NTait0F0?t=144" TargetMode="External"/><Relationship Id="rId2" Type="http://schemas.openxmlformats.org/officeDocument/2006/relationships/drawing" Target="../drawings/drawing1.xml"/></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1" Type="http://schemas.openxmlformats.org/officeDocument/2006/relationships/drawing" Target="../drawings/drawing5.xml"/></Relationships>
</file>

<file path=xl/worksheets/_rels/sheet6.xml.rels><?xml version="1.0" encoding="UTF-8" standalone="yes"?><Relationships xmlns="http://schemas.openxmlformats.org/package/2006/relationships"><Relationship Id="rId1" Type="http://schemas.openxmlformats.org/officeDocument/2006/relationships/hyperlink" Target="http://www.teslamotorsclub.com/showthread.php/35978-MaxRange" TargetMode="External"/><Relationship Id="rId2" Type="http://schemas.openxmlformats.org/officeDocument/2006/relationships/drawing" Target="../drawings/drawing6.xml"/></Relationships>
</file>

<file path=xl/worksheets/_rels/sheet7.xml.rels><?xml version="1.0" encoding="UTF-8" standalone="yes"?><Relationships xmlns="http://schemas.openxmlformats.org/package/2006/relationships"><Relationship Id="rId1"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8.xml"/></Relationships>
</file>

<file path=xl/worksheets/_rels/sheet9.xml.rels><?xml version="1.0" encoding="UTF-8" standalone="yes"?><Relationships xmlns="http://schemas.openxmlformats.org/package/2006/relationships"><Relationship Id="rId1"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1" Type="http://schemas.openxmlformats.org/officeDocument/2006/relationships/drawing" Target="../drawings/drawing10.xml"/></Relationships>
</file>

<file path=xl/worksheets/_rels/sheet11.xml.rels><?xml version="1.0" encoding="UTF-8" standalone="yes"?><Relationships xmlns="http://schemas.openxmlformats.org/package/2006/relationships"><Relationship Id="rId1" Type="http://schemas.openxmlformats.org/officeDocument/2006/relationships/hyperlink" Target="http://thejournal.com/articles/2014/12/11/google-apps-applying-conditional-formatting-across-sheets.aspx" TargetMode="External"/><Relationship Id="rId2" Type="http://schemas.openxmlformats.org/officeDocument/2006/relationships/hyperlink" Target="http://spreadsheetpro.net/how-to-make-a-dynamic-reference-to-a-worksheet-in-excel-and-google-spreadsheets/" TargetMode="External"/><Relationship Id="rId3" Type="http://schemas.openxmlformats.org/officeDocument/2006/relationships/drawing" Target="../drawings/drawing1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EF32"/>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6.14"/>
    <col customWidth="1" min="2" max="2" width="18.57"/>
    <col customWidth="1" min="3" max="3" width="21.0"/>
    <col customWidth="1" min="4" max="4" width="18.0"/>
    <col customWidth="1" min="5" max="5" width="19.43"/>
    <col customWidth="1" min="6" max="6" width="16.57"/>
    <col customWidth="1" min="7" max="7" width="9.29"/>
    <col customWidth="1" min="8" max="8" width="21.29"/>
    <col customWidth="1" min="9" max="9" width="15.71"/>
    <col customWidth="1" min="10" max="10" width="12.14"/>
    <col customWidth="1" min="11" max="11" width="17.0"/>
    <col customWidth="1" min="12" max="12" width="14.43"/>
    <col customWidth="1" min="13" max="13" width="17.14"/>
    <col customWidth="1" min="14" max="14" width="15.71"/>
    <col customWidth="1" min="15" max="15" width="17.14"/>
    <col customWidth="1" min="16" max="16" width="18.43"/>
    <col customWidth="1" min="17" max="17" width="22.43"/>
    <col customWidth="1" min="18" max="18" width="15.14"/>
    <col customWidth="1" min="19" max="20" width="18.0"/>
    <col customWidth="1" min="21" max="21" width="16.0"/>
    <col customWidth="1" min="22" max="22" width="19.14"/>
    <col customWidth="1" min="23" max="23" width="19.71"/>
    <col customWidth="1" min="24" max="24" width="19.43"/>
    <col customWidth="1" min="25" max="25" width="14.86"/>
    <col customWidth="1" min="26" max="26" width="16.0"/>
    <col customWidth="1" min="27" max="27" width="19.71"/>
    <col customWidth="1" min="28" max="28" width="19.14"/>
    <col customWidth="1" min="29" max="29" width="18.0"/>
    <col customWidth="1" min="30" max="30" width="17.14"/>
    <col customWidth="1" min="31" max="31" width="19.43"/>
    <col customWidth="1" min="32" max="32" width="18.29"/>
    <col customWidth="1" min="33" max="33" width="70.0"/>
    <col customWidth="1" min="34" max="34" width="21.43"/>
    <col customWidth="1" min="35" max="35" width="19.43"/>
    <col customWidth="1" min="36" max="36" width="23.43"/>
    <col customWidth="1" min="37" max="37" width="14.86"/>
    <col customWidth="1" min="38" max="38" width="34.0"/>
    <col customWidth="1" min="39" max="39" width="21.29"/>
    <col customWidth="1" min="40" max="40" width="17.71"/>
    <col customWidth="1" min="41" max="41" width="14.14"/>
    <col customWidth="1" min="42" max="43" width="14.57"/>
    <col customWidth="1" min="44" max="44" width="13.43"/>
    <col customWidth="1" min="45" max="45" width="23.57"/>
    <col customWidth="1" min="46" max="46" width="19.29"/>
    <col customWidth="1" min="47" max="48" width="16.0"/>
    <col customWidth="1" min="49" max="58" width="15.0"/>
  </cols>
  <sheetData>
    <row r="1" ht="19.5" customHeight="1">
      <c r="A1" s="4" t="s">
        <v>0</v>
      </c>
      <c r="B1" s="6" t="str">
        <f>Administrative!$P$1</f>
        <v>Asia Pacific &amp; Europe (excl UK)</v>
      </c>
      <c r="C1" s="8"/>
      <c r="D1" s="10" t="str">
        <f>IF(COUNTIF(AX:AX, "new data")=1,COUNTIF(AX:AX, "new data") &amp; " new entry",IF(COUNTIF(AX:AX, "new data")&gt;1,COUNTIF(AX:AX, "new data") &amp; " new entries",""))</f>
        <v/>
      </c>
      <c r="E1" s="10" t="str">
        <f>IF(COUNTIF(AX:AX, "data changed")=1,COUNTIF(AX:AX, "data changed") &amp; " entry has changed",IF(COUNTIF(AX:AX, "data changed")&gt;1,COUNTIF(AX:AX, "data changed") &amp; " entries have changed",""))</f>
        <v/>
      </c>
      <c r="F1" s="13" t="str">
        <f>IF(COUNTA(Feedback!M4:M175)&gt;0,"New feedback message: "&amp;COUNTA(Feedback!M4:M175),"")</f>
        <v/>
      </c>
      <c r="G1" s="12"/>
      <c r="H1" s="13" t="s">
        <v>1</v>
      </c>
      <c r="I1" s="14"/>
      <c r="J1" s="15"/>
      <c r="K1" s="16"/>
      <c r="L1" s="11"/>
      <c r="M1" s="11"/>
      <c r="N1" s="18"/>
      <c r="O1" s="18"/>
      <c r="P1" s="18"/>
      <c r="Q1" s="17" t="str">
        <f>"Average: " &amp; ROUND(AVERAGE(Q4:Q955),0) &amp;char(10)&amp;"Enter average if you don't know"</f>
        <v>Average: 218
Enter average if you don't know</v>
      </c>
      <c r="R1" s="13"/>
      <c r="S1" s="13"/>
      <c r="T1" s="12"/>
      <c r="U1" s="25"/>
      <c r="V1" s="11"/>
      <c r="W1" s="11"/>
      <c r="X1" s="11"/>
      <c r="Y1" s="13"/>
      <c r="Z1" s="13"/>
      <c r="AA1" s="23" t="s">
        <v>2</v>
      </c>
      <c r="AB1" s="24"/>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4"/>
      <c r="AG1" s="29"/>
      <c r="AH1" s="33" t="s">
        <v>3</v>
      </c>
      <c r="AI1" s="33" t="s">
        <v>3</v>
      </c>
      <c r="AJ1" s="33" t="s">
        <v>3</v>
      </c>
      <c r="AK1" s="33" t="s">
        <v>3</v>
      </c>
      <c r="AL1" s="33" t="s">
        <v>3</v>
      </c>
      <c r="AM1" s="38"/>
      <c r="AN1" s="7"/>
      <c r="AO1" s="35" t="s">
        <v>4</v>
      </c>
      <c r="AP1" s="40" t="s">
        <v>5</v>
      </c>
      <c r="AQ1" s="24"/>
      <c r="AR1" s="42" t="s">
        <v>6</v>
      </c>
      <c r="AS1" s="39"/>
      <c r="AT1" s="35" t="s">
        <v>7</v>
      </c>
      <c r="AU1" s="40" t="s">
        <v>8</v>
      </c>
      <c r="AV1" s="28"/>
      <c r="AW1" s="28"/>
      <c r="AX1" s="28"/>
      <c r="AY1" s="28"/>
      <c r="AZ1" s="28"/>
      <c r="BA1" s="24"/>
      <c r="BB1" s="44"/>
      <c r="BC1" s="45"/>
      <c r="BD1" s="45"/>
      <c r="BE1" s="45"/>
      <c r="BF1" s="45"/>
    </row>
    <row r="2" ht="15.75" customHeight="1">
      <c r="A2" s="47" t="s">
        <v>9</v>
      </c>
      <c r="B2" s="48" t="s">
        <v>10</v>
      </c>
      <c r="C2" s="48" t="s">
        <v>10</v>
      </c>
      <c r="D2" s="50" t="s">
        <v>10</v>
      </c>
      <c r="E2" s="50" t="s">
        <v>10</v>
      </c>
      <c r="F2" s="48" t="s">
        <v>10</v>
      </c>
      <c r="G2" s="52" t="s">
        <v>10</v>
      </c>
      <c r="H2" s="54" t="s">
        <v>9</v>
      </c>
      <c r="I2" s="55" t="s">
        <v>10</v>
      </c>
      <c r="J2" s="56" t="s">
        <v>10</v>
      </c>
      <c r="K2" s="54" t="s">
        <v>9</v>
      </c>
      <c r="L2" s="56" t="s">
        <v>10</v>
      </c>
      <c r="M2" s="57" t="s">
        <v>11</v>
      </c>
      <c r="N2" s="57" t="s">
        <v>11</v>
      </c>
      <c r="O2" s="54" t="s">
        <v>9</v>
      </c>
      <c r="P2" s="54" t="s">
        <v>9</v>
      </c>
      <c r="Q2" s="56" t="s">
        <v>10</v>
      </c>
      <c r="R2" s="58" t="s">
        <v>9</v>
      </c>
      <c r="S2" s="58" t="s">
        <v>9</v>
      </c>
      <c r="T2" s="58" t="s">
        <v>9</v>
      </c>
      <c r="U2" s="58" t="s">
        <v>9</v>
      </c>
      <c r="V2" s="61" t="s">
        <v>12</v>
      </c>
      <c r="W2" s="61" t="s">
        <v>12</v>
      </c>
      <c r="X2" s="61" t="s">
        <v>12</v>
      </c>
      <c r="Y2" s="64" t="s">
        <v>12</v>
      </c>
      <c r="Z2" s="65" t="s">
        <v>12</v>
      </c>
      <c r="AA2" s="64" t="s">
        <v>12</v>
      </c>
      <c r="AB2" s="64" t="s">
        <v>12</v>
      </c>
      <c r="AC2" s="64" t="s">
        <v>12</v>
      </c>
      <c r="AD2" s="64" t="s">
        <v>12</v>
      </c>
      <c r="AE2" s="64" t="s">
        <v>12</v>
      </c>
      <c r="AF2" s="64" t="s">
        <v>12</v>
      </c>
      <c r="AG2" s="66" t="s">
        <v>12</v>
      </c>
      <c r="AH2" s="73" t="s">
        <v>9</v>
      </c>
      <c r="AI2" s="54" t="s">
        <v>9</v>
      </c>
      <c r="AJ2" s="78" t="s">
        <v>9</v>
      </c>
      <c r="AK2" s="54" t="s">
        <v>9</v>
      </c>
      <c r="AL2" s="54" t="s">
        <v>9</v>
      </c>
      <c r="AM2" s="54" t="s">
        <v>9</v>
      </c>
      <c r="AN2" s="58" t="s">
        <v>9</v>
      </c>
      <c r="AO2" s="69" t="s">
        <v>9</v>
      </c>
      <c r="AP2" s="69" t="s">
        <v>9</v>
      </c>
      <c r="AQ2" s="69" t="s">
        <v>9</v>
      </c>
      <c r="AR2" s="80" t="s">
        <v>9</v>
      </c>
      <c r="AS2" s="74" t="s">
        <v>9</v>
      </c>
      <c r="AT2" s="75" t="s">
        <v>9</v>
      </c>
      <c r="AU2" s="75" t="s">
        <v>9</v>
      </c>
      <c r="AV2" s="75" t="s">
        <v>9</v>
      </c>
      <c r="AW2" s="75" t="s">
        <v>9</v>
      </c>
      <c r="AX2" s="75" t="s">
        <v>9</v>
      </c>
      <c r="AY2" s="76" t="s">
        <v>9</v>
      </c>
      <c r="AZ2" s="76" t="s">
        <v>9</v>
      </c>
      <c r="BA2" s="76" t="s">
        <v>9</v>
      </c>
      <c r="BB2" s="76" t="s">
        <v>9</v>
      </c>
      <c r="BC2" s="45"/>
      <c r="BD2" s="45"/>
      <c r="BE2" s="45"/>
      <c r="BF2" s="45"/>
    </row>
    <row r="3" ht="14.25" customHeight="1">
      <c r="A3" s="82" t="s">
        <v>13</v>
      </c>
      <c r="B3" s="84" t="s">
        <v>14</v>
      </c>
      <c r="C3" s="83" t="s">
        <v>15</v>
      </c>
      <c r="D3" s="85" t="s">
        <v>16</v>
      </c>
      <c r="E3" s="85" t="s">
        <v>17</v>
      </c>
      <c r="F3" s="83" t="s">
        <v>18</v>
      </c>
      <c r="G3" s="86" t="s">
        <v>19</v>
      </c>
      <c r="H3" s="87" t="str">
        <f t="array" ref="H3:H955">{"Mileage per day";IF(C4:C955="",,IF(C4:C955&lt;&gt;$B$1,"Wrong location. Select correct page below",IF(isblank(G4:G955),,IF(isblank(AN4:AN955),,Round(G4:G955/AN4:AN955,1)))))}</f>
        <v>Mileage per day</v>
      </c>
      <c r="I3" s="86" t="s">
        <v>25</v>
      </c>
      <c r="J3" s="82" t="s">
        <v>23</v>
      </c>
      <c r="K3" s="89" t="str">
        <f t="array" ref="K3:K955">{"Typical range after correction if range mode was off";IF(isblank(J4:J955),,IF(isblank(I4:I955),,IF(J4:J955="On",I4:I955,Round(IF(J4:J955="Off",I4:I955*Administrative!$AD$5,IF(J4:J955="Unknown",I4:I955*Administrative!$AD$6)),2))))}</f>
        <v>Typical range after correction if range mode was off</v>
      </c>
      <c r="L3" s="82" t="s">
        <v>26</v>
      </c>
      <c r="M3" s="82" t="s">
        <v>29</v>
      </c>
      <c r="N3" s="82" t="s">
        <v>28</v>
      </c>
      <c r="O3" s="87" t="str">
        <f t="array" ref="O3:O955">{"Mileage in km after correction if battery was replaced";if((R4:R955="")+(K4:K955="")+(G4:G955="")+(L4:L955=""),,if(L4:L955="No",G4:G955,if((M4:M955="")+(N4:N955=""),,if((R4:R955-K4:K955)*G4:G955/(R4:R955-(K4:K955-vlookup(M4:M955,Administrative!$AA$5:$AB$64,2,0)))&lt;G4:G955-N4:N955,G4:G955-N4:N955,Round((R4:R955-K4:K955)*G4:G955/(R4:R955-(K4:K955-vlookup(M4:M955,Administrative!$AA$5:$AB$64,2,0))))))))}</f>
        <v>Mileage in km after correction if battery was replaced</v>
      </c>
      <c r="P3" s="90" t="str">
        <f t="array" ref="P3:P955">{"Battery age (days) after correction if battery was replaced";if((R4:R955="")+(K4:K955="")+(AN4:AN955="")+(L4:L955=""),,if(L4:L955="No",AN4:AN955,if((M4:M955="")+(N4:N955=""),,round(if((R4:R955-K4:K955)*AN4:AN955/(R4:R955-(K4:K955-vlookup(M4:M955,Administrative!$AA$5:$AB$64,2,0)))&lt;AN4:AN955*(G4:G955-N4:N955)/G4:G955,AN4:AN955*(G4:G955-N4:N955)/G4:G955,(R4:R955-K4:K955)*AN4:AN955/(R4:R955-(K4:K955-vlookup(M4:M955,Administrative!$AA$5:$AB$64,2,0))))))))}</f>
        <v>Battery age (days) after correction if battery was replaced</v>
      </c>
      <c r="Q3" s="82" t="s">
        <v>31</v>
      </c>
      <c r="R3" s="87" t="str">
        <f>IFERROR(__xludf.DUMMYFUNCTION("{""Typical range of this model when new"";arrayformula(if((F4:F955="""")+(C4:C955=""""),,vlookup(F4:F955,{Administrative!$L$1:$L$73,filter(Administrative!$M$1:$P$73,Administrative!$M$1:$P$1=$B$1)},2,0)))}"),"Typical range of this model when new")</f>
        <v>Typical range of this model when new</v>
      </c>
      <c r="S3" s="87" t="str">
        <f t="array" ref="S3:S955">{"Remaining original range";if((K4:K955="")+(R4:R955="")+(R4:R955="unknown"),,round(K4:K955/R4:R955,4))}</f>
        <v>Remaining original range</v>
      </c>
      <c r="T3" s="87" t="str">
        <f t="array" ref="T3:T955">{"Remaining usable capacity until typical range shows zero";if((S4:S955="")+(F4:F955=""),,S4:S955*vlookup(F4:F955,{Administrative!$L$4:$L$73,Administrative!$Q$4:$Q$73},2,0))}</f>
        <v>Remaining usable capacity until typical range shows zero</v>
      </c>
      <c r="U3" s="93" t="s">
        <v>33</v>
      </c>
      <c r="V3" s="83" t="s">
        <v>34</v>
      </c>
      <c r="W3" s="83" t="s">
        <v>35</v>
      </c>
      <c r="X3" s="83" t="s">
        <v>36</v>
      </c>
      <c r="Y3" s="82" t="s">
        <v>37</v>
      </c>
      <c r="Z3" s="82" t="s">
        <v>38</v>
      </c>
      <c r="AA3" s="42" t="s">
        <v>47</v>
      </c>
      <c r="AB3" s="82" t="s">
        <v>40</v>
      </c>
      <c r="AC3" s="83" t="s">
        <v>48</v>
      </c>
      <c r="AD3" s="83" t="s">
        <v>49</v>
      </c>
      <c r="AE3" s="82" t="s">
        <v>43</v>
      </c>
      <c r="AF3" s="83" t="s">
        <v>44</v>
      </c>
      <c r="AG3" s="79" t="s">
        <v>45</v>
      </c>
      <c r="AH3" s="94" t="str">
        <f t="array" ref="AH3:AH955">{"Typical range consumption for trip";if((AC4:AC955&lt;&gt;"")*(AD4:AD955&lt;&gt;"")*(AE4:AE955&lt;&gt;"")*(AF4:AF955&lt;&gt;""),AC4:AC955-AD4:AD955,if((AC4:AC955="")*(AD4:AD955="")*(AE4:AE955="")*(AF4:AF955=""),,"Answer all trip questions"))}</f>
        <v>Typical range consumption for trip</v>
      </c>
      <c r="AI3" s="95" t="str">
        <f t="array" ref="AI3:AI955">{"Typical range after correction if range mode was off";if((AC4:AC955="")+(AD4:AD955="")+(AE4:AE955="")+(AF4:AF955=""),,if(AF4:AF955="On",AH4:AH955,if(AF4:AF955="Off",AH4:AH955*Administrative!$AD$5,"error")))}</f>
        <v>Typical range after correction if range mode was off</v>
      </c>
      <c r="AJ3" s="96" t="str">
        <f t="array" ref="AJ3:AJ955">{"Remaining usable capacity until typical range shows zero according to trip data";if((K4:K955="")+(AI4:AI955="")+(AC4:AC955="")+(AD4:AD955="")+(AE4:AE955="")+(AF4:AF955=""),,K4:K955*SUBSTITUTE(AE4:AE955,",",".")/AI4:AI955)}</f>
        <v>Remaining usable capacity until typical range shows zero according to trip data</v>
      </c>
      <c r="AK3" s="87" t="str">
        <f t="array" ref="AK3:AK955">{"Remaining original capacity";if((AJ4:AJ955="")+(F4:F955="")+(AC4:AC955="")+(AD4:AD955="")+(AE4:AE955="")+(AF4:AF955=""),,AJ4:AJ955*1000/vlookup(F4:F955,{Administrative!$L$4:$L$73,Administrative!$Q$4:$Q$73},2,0))}</f>
        <v>Remaining original capacity</v>
      </c>
      <c r="AL3" s="87" t="str">
        <f t="array" ref="AL3:AL955">{"trip based battery capacity calculation explained";if((F4:F955="")+(K4:K955="")+(AC4:AC955="")+(AD4:AD955="")+(AE4:AE955="")+(AF4:AF955="")+(AI4:AI955="")+(AK4:AK955=""),,"("&amp;round(K4:K955,2)&amp;" * "&amp;AE4:AE955&amp;" / "&amp;Round(AI4:AI955,2)&amp;") / "&amp;vlookup(F4:F955,{Administrative!$L$4:$L$73,Administrative!$Q$4:$Q$73},2,0)/1000&amp;" = "&amp;Round(AK4:AK955,4))}</f>
        <v>trip based battery capacity calculation explained</v>
      </c>
      <c r="AM3" s="95" t="str">
        <f t="array" ref="AM3:AM955">{"100% range when the car was new after range mode adjustment";if(AA4:AA955="","",round(AA4:AA955*if(AB4:AB955="off",Administrative!$AD$5,1)))}</f>
        <v>100% range when the car was new after range mode adjustment</v>
      </c>
      <c r="AN3" s="97" t="str">
        <f t="array" ref="AN3:AN955">{"Vehicle age (days)";if((E4:E955="")+(D4:D955=""),,E4:E955-D4:D955+1)}</f>
        <v>Vehicle age (days)</v>
      </c>
      <c r="AO3" s="98" t="str">
        <f t="array" ref="AO3:AO955">{"Cycles";if((O4:O955="")+(Q4:Q955=""),,round(((O4:O955*Q4:Q955)+(Administrative!$AE$5*P4:P955))/((1+S4:S955)/2*vlookup(F4:F955,{Administrative!$L$4:$L$73,Administrative!$Q$4:$Q$73},2,0)),2))}</f>
        <v>Cycles</v>
      </c>
      <c r="AP3" s="87" t="str">
        <f t="array" ref="AP3:AP955">{"Mileage in km";O4:O955}</f>
        <v>Mileage in km</v>
      </c>
      <c r="AQ3" s="87" t="str">
        <f t="array" ref="AQ3:AQ955">{"wh/km";Q4:Q955}</f>
        <v>wh/km</v>
      </c>
      <c r="AR3" s="99" t="str">
        <f t="array" ref="AR3:AR955">{Charts!$E$1;if(S4:S955="",,if(Charts!$E$1=B4:B955,S4:S955,))}</f>
        <v/>
      </c>
      <c r="AS3" s="101" t="str">
        <f t="array" ref="AS3:AS955">{"Average capacity of all cars at this mileage according to chart trendline";IF(ISBLANK(AP4:AP955),,Administrative!$AU$27-AP4:AP955/(Administrative!$AU$28*100)+Administrative!$AU$29*exp(-AP4:AP955/Administrative!$AU$30))}</f>
        <v>Average capacity of all cars at this mileage according to chart trendline</v>
      </c>
      <c r="AT3" s="102" t="str">
        <f t="array" ref="AT3:AT955">{"Your capacity minus chart trendline at this mileage";if((S4:S955="")+(AS4:AS955=""),,S4:S955-AS4:AS955)}</f>
        <v>Your capacity minus chart trendline at this mileage</v>
      </c>
      <c r="AU3" s="103" t="str">
        <f t="array" ref="AU3:AU955">{"Dynamic data (copy from here)";if(B4:B955="",,B4:B955&amp;"|"&amp;C4:C955&amp;"|"&amp;TEXT(D4:D955,"dd-mmm-YYYY")&amp;"|"&amp;TEXT(E4:E955,"dd-mmm-YYYY")&amp;"|"&amp;F4:F955&amp;"|"&amp;G4:G955&amp;"|"&amp;I4:I955&amp;"|"&amp;J4:J955&amp;"|"&amp;L4:L955&amp;"|"&amp;M4:M955&amp;"|"&amp;N4:N955&amp;"|"&amp;Q4:Q955&amp;"|"&amp;V4:V955&amp;"|"&amp;W4:W955&amp;"|"&amp;X4:X955&amp;"|"&amp;Y4:Y955&amp;"|"&amp;Z4:Z955&amp;"|"&amp;AA4:AA955&amp;"|"&amp;AB4:AB955&amp;"|"&amp;AC4:AC955&amp;"|"&amp;AD4:AD955&amp;"|"&amp;AE4:AE955&amp;"|"&amp;AF4:AF955&amp;"|"&amp;AG4:AG955)}</f>
        <v>Dynamic data (copy from here)</v>
      </c>
      <c r="AV3" s="104" t="s">
        <v>50</v>
      </c>
      <c r="AW3" s="103" t="str">
        <f t="array" ref="AW3:AW955">{"Mixed data";if(AX4:AX955="New data",AU4:AU955,AV4:AV955)}</f>
        <v>Mixed data</v>
      </c>
      <c r="AX3" s="95" t="str">
        <f t="array" ref="AX3:AX955">{"Data changed or new data?";if(AU4:AU955=AV4:AV955,,if((AU4&lt;&gt;"")*(AV4:AV955=""),"New data","Data changed"))}</f>
        <v>Data changed or new data?</v>
      </c>
      <c r="AY3" s="105" t="s">
        <v>51</v>
      </c>
      <c r="AZ3" s="103" t="str">
        <f>IFERROR(__xludf.DUMMYFUNCTION("{""Dynamic data changes for selected entry"";IFERROR(TRANSPOSE(SPLIT(INDEX(AU4:AY955,MATCH(""Yes"",AY4:AY955,0),1),""|"",True)))}"),"Dynamic data changes for selected entry")</f>
        <v>Dynamic data changes for selected entry</v>
      </c>
      <c r="BA3" s="103" t="str">
        <f>IFERROR(__xludf.DUMMYFUNCTION("{""Static data changes for selected entry"";IFERROR(TRANSPOSE(SPLIT(INDEX(AU4:AY955,MATCH(""Yes"",AY4:AY955,0),2),""|"",True)))}"),"Static data changes for selected entry")</f>
        <v>Static data changes for selected entry</v>
      </c>
      <c r="BB3" s="106" t="s">
        <v>52</v>
      </c>
      <c r="BC3" s="45"/>
      <c r="BD3" s="45"/>
      <c r="BE3" s="45"/>
      <c r="BF3" s="45"/>
    </row>
    <row r="4" ht="16.5" customHeight="1">
      <c r="A4" s="111">
        <v>1.0</v>
      </c>
      <c r="B4" s="112" t="s">
        <v>58</v>
      </c>
      <c r="C4" s="115" t="s">
        <v>60</v>
      </c>
      <c r="D4" s="116">
        <v>41598.0</v>
      </c>
      <c r="E4" s="117">
        <v>41900.0</v>
      </c>
      <c r="F4" s="79" t="s">
        <v>59</v>
      </c>
      <c r="G4" s="118">
        <v>33366.0</v>
      </c>
      <c r="H4" s="114">
        <v>110.1</v>
      </c>
      <c r="I4" s="120">
        <v>393.0</v>
      </c>
      <c r="J4" s="111" t="s">
        <v>62</v>
      </c>
      <c r="K4" s="121">
        <v>393.0</v>
      </c>
      <c r="L4" s="120" t="s">
        <v>63</v>
      </c>
      <c r="M4" s="120"/>
      <c r="N4" s="123"/>
      <c r="O4" s="124">
        <v>33366.0</v>
      </c>
      <c r="P4" s="124">
        <v>303.0</v>
      </c>
      <c r="Q4" s="111">
        <v>212.0</v>
      </c>
      <c r="R4" s="125">
        <v>399.0</v>
      </c>
      <c r="S4" s="126">
        <v>0.985</v>
      </c>
      <c r="T4" s="127">
        <v>76337.5</v>
      </c>
      <c r="U4" s="128">
        <f t="shared" ref="U4:U185" si="1">IF(isblank(B4),,COUNTBLANK(B4:E4,F4:G4,I4:J4,L4:N4,Q4)-If(L4="No",2,0))
</f>
        <v>0</v>
      </c>
      <c r="V4" s="79" t="s">
        <v>65</v>
      </c>
      <c r="W4" s="79" t="s">
        <v>67</v>
      </c>
      <c r="X4" s="79" t="s">
        <v>66</v>
      </c>
      <c r="Y4" s="130">
        <v>0.8</v>
      </c>
      <c r="Z4" s="111"/>
      <c r="AA4" s="133"/>
      <c r="AB4" s="133"/>
      <c r="AC4" s="133"/>
      <c r="AD4" s="111"/>
      <c r="AE4" s="111"/>
      <c r="AF4" s="111"/>
      <c r="AG4" s="134" t="s">
        <v>70</v>
      </c>
      <c r="AH4" s="73"/>
      <c r="AI4" s="135"/>
      <c r="AJ4" s="136"/>
      <c r="AK4" s="76"/>
      <c r="AL4" s="137"/>
      <c r="AM4" s="139" t="s">
        <v>71</v>
      </c>
      <c r="AN4" s="139">
        <v>303.0</v>
      </c>
      <c r="AO4" s="140">
        <v>91.97</v>
      </c>
      <c r="AP4" s="142">
        <v>33366.0</v>
      </c>
      <c r="AQ4" s="142">
        <v>212.0</v>
      </c>
      <c r="AR4" s="143"/>
      <c r="AS4" s="144">
        <v>0.963262773807289</v>
      </c>
      <c r="AT4" s="144">
        <v>0.021737226192711012</v>
      </c>
      <c r="AU4" s="146" t="s">
        <v>72</v>
      </c>
      <c r="AV4" s="146" t="s">
        <v>72</v>
      </c>
      <c r="AW4" s="148" t="s">
        <v>72</v>
      </c>
      <c r="AX4" s="151"/>
      <c r="AY4" s="105"/>
      <c r="AZ4" s="153"/>
      <c r="BA4" s="153"/>
      <c r="BB4" s="146"/>
      <c r="BC4" s="155"/>
      <c r="BD4" s="155"/>
      <c r="BE4" s="155"/>
      <c r="BF4" s="45"/>
    </row>
    <row r="5" ht="16.5" customHeight="1">
      <c r="A5" s="111">
        <v>2.0</v>
      </c>
      <c r="B5" s="112" t="s">
        <v>76</v>
      </c>
      <c r="C5" s="115" t="s">
        <v>60</v>
      </c>
      <c r="D5" s="157">
        <v>41727.0</v>
      </c>
      <c r="E5" s="157">
        <v>41900.0</v>
      </c>
      <c r="F5" s="79" t="s">
        <v>59</v>
      </c>
      <c r="G5" s="118">
        <v>32000.0</v>
      </c>
      <c r="H5" s="114">
        <v>183.9</v>
      </c>
      <c r="I5" s="120">
        <v>392.0</v>
      </c>
      <c r="J5" s="111" t="s">
        <v>62</v>
      </c>
      <c r="K5" s="121">
        <v>392.0</v>
      </c>
      <c r="L5" s="120" t="s">
        <v>63</v>
      </c>
      <c r="M5" s="120"/>
      <c r="N5" s="123"/>
      <c r="O5" s="124">
        <v>32000.0</v>
      </c>
      <c r="P5" s="124">
        <v>174.0</v>
      </c>
      <c r="Q5" s="159">
        <v>218.0</v>
      </c>
      <c r="R5" s="125">
        <v>399.0</v>
      </c>
      <c r="S5" s="126">
        <v>0.9825</v>
      </c>
      <c r="T5" s="127">
        <v>76143.75</v>
      </c>
      <c r="U5" s="128">
        <f t="shared" si="1"/>
        <v>0</v>
      </c>
      <c r="V5" s="79" t="s">
        <v>80</v>
      </c>
      <c r="W5" s="79" t="s">
        <v>65</v>
      </c>
      <c r="X5" s="79" t="s">
        <v>68</v>
      </c>
      <c r="Y5" s="130"/>
      <c r="Z5" s="111"/>
      <c r="AA5" s="133"/>
      <c r="AB5" s="133"/>
      <c r="AC5" s="133"/>
      <c r="AD5" s="133"/>
      <c r="AE5" s="133"/>
      <c r="AF5" s="111"/>
      <c r="AG5" s="162"/>
      <c r="AH5" s="73"/>
      <c r="AI5" s="135"/>
      <c r="AJ5" s="136"/>
      <c r="AK5" s="76"/>
      <c r="AL5" s="137"/>
      <c r="AM5" s="139" t="s">
        <v>71</v>
      </c>
      <c r="AN5" s="139">
        <v>174.0</v>
      </c>
      <c r="AO5" s="140">
        <v>90.81</v>
      </c>
      <c r="AP5" s="142">
        <v>32000.0</v>
      </c>
      <c r="AQ5" s="142">
        <v>218.0</v>
      </c>
      <c r="AR5" s="143"/>
      <c r="AS5" s="144">
        <v>0.9640247387479491</v>
      </c>
      <c r="AT5" s="144">
        <v>0.0184752612520509</v>
      </c>
      <c r="AU5" s="146" t="s">
        <v>83</v>
      </c>
      <c r="AV5" s="146" t="s">
        <v>83</v>
      </c>
      <c r="AW5" s="148" t="s">
        <v>83</v>
      </c>
      <c r="AX5" s="151"/>
      <c r="AY5" s="105"/>
      <c r="AZ5" s="153"/>
      <c r="BA5" s="153"/>
      <c r="BB5" s="146"/>
      <c r="BC5" s="155"/>
      <c r="BD5" s="155"/>
      <c r="BE5" s="155"/>
      <c r="BF5" s="45"/>
    </row>
    <row r="6" ht="16.5" customHeight="1">
      <c r="A6" s="111">
        <v>3.0</v>
      </c>
      <c r="B6" s="165" t="s">
        <v>84</v>
      </c>
      <c r="C6" s="115" t="s">
        <v>60</v>
      </c>
      <c r="D6" s="157">
        <v>41814.0</v>
      </c>
      <c r="E6" s="157">
        <v>41900.0</v>
      </c>
      <c r="F6" s="79" t="s">
        <v>59</v>
      </c>
      <c r="G6" s="167">
        <v>7100.0</v>
      </c>
      <c r="H6" s="114">
        <v>81.6</v>
      </c>
      <c r="I6" s="120">
        <v>391.0</v>
      </c>
      <c r="J6" s="111" t="s">
        <v>62</v>
      </c>
      <c r="K6" s="121">
        <v>391.0</v>
      </c>
      <c r="L6" s="120" t="s">
        <v>63</v>
      </c>
      <c r="M6" s="120"/>
      <c r="N6" s="123"/>
      <c r="O6" s="124">
        <v>7100.0</v>
      </c>
      <c r="P6" s="124">
        <v>87.0</v>
      </c>
      <c r="Q6" s="133">
        <v>215.0</v>
      </c>
      <c r="R6" s="125">
        <v>399.0</v>
      </c>
      <c r="S6" s="126">
        <v>0.9799</v>
      </c>
      <c r="T6" s="127">
        <v>75942.25</v>
      </c>
      <c r="U6" s="128">
        <f t="shared" si="1"/>
        <v>0</v>
      </c>
      <c r="V6" s="79" t="s">
        <v>68</v>
      </c>
      <c r="W6" s="79" t="s">
        <v>68</v>
      </c>
      <c r="X6" s="79" t="s">
        <v>68</v>
      </c>
      <c r="Y6" s="130"/>
      <c r="Z6" s="111"/>
      <c r="AA6" s="133"/>
      <c r="AB6" s="133"/>
      <c r="AC6" s="133"/>
      <c r="AD6" s="133"/>
      <c r="AE6" s="133"/>
      <c r="AF6" s="111"/>
      <c r="AG6" s="147"/>
      <c r="AH6" s="73"/>
      <c r="AI6" s="135"/>
      <c r="AJ6" s="136"/>
      <c r="AK6" s="76"/>
      <c r="AL6" s="137"/>
      <c r="AM6" s="139" t="s">
        <v>71</v>
      </c>
      <c r="AN6" s="139">
        <v>87.0</v>
      </c>
      <c r="AO6" s="140">
        <v>19.9</v>
      </c>
      <c r="AP6" s="142">
        <v>7100.0</v>
      </c>
      <c r="AQ6" s="142">
        <v>215.0</v>
      </c>
      <c r="AR6" s="143"/>
      <c r="AS6" s="144">
        <v>0.9875741332604936</v>
      </c>
      <c r="AT6" s="144">
        <v>-0.0076741332604935986</v>
      </c>
      <c r="AU6" s="146" t="s">
        <v>95</v>
      </c>
      <c r="AV6" s="146" t="s">
        <v>95</v>
      </c>
      <c r="AW6" s="148" t="s">
        <v>95</v>
      </c>
      <c r="AX6" s="151"/>
      <c r="AY6" s="105"/>
      <c r="AZ6" s="164"/>
      <c r="BA6" s="164"/>
      <c r="BB6" s="146"/>
      <c r="BC6" s="155"/>
      <c r="BD6" s="155"/>
      <c r="BE6" s="155"/>
      <c r="BF6" s="45"/>
    </row>
    <row r="7" ht="16.5" customHeight="1">
      <c r="A7" s="111">
        <v>4.0</v>
      </c>
      <c r="B7" s="165" t="s">
        <v>96</v>
      </c>
      <c r="C7" s="115" t="s">
        <v>60</v>
      </c>
      <c r="D7" s="157">
        <v>41596.0</v>
      </c>
      <c r="E7" s="157">
        <v>41900.0</v>
      </c>
      <c r="F7" s="79" t="s">
        <v>59</v>
      </c>
      <c r="G7" s="118">
        <v>35000.0</v>
      </c>
      <c r="H7" s="114">
        <v>114.8</v>
      </c>
      <c r="I7" s="123">
        <v>381.0</v>
      </c>
      <c r="J7" s="159" t="s">
        <v>61</v>
      </c>
      <c r="K7" s="121">
        <v>385.82</v>
      </c>
      <c r="L7" s="120" t="s">
        <v>63</v>
      </c>
      <c r="M7" s="120"/>
      <c r="N7" s="123"/>
      <c r="O7" s="124">
        <v>35000.0</v>
      </c>
      <c r="P7" s="124">
        <v>305.0</v>
      </c>
      <c r="Q7" s="133">
        <v>224.0</v>
      </c>
      <c r="R7" s="125">
        <v>399.0</v>
      </c>
      <c r="S7" s="126">
        <v>0.967</v>
      </c>
      <c r="T7" s="127">
        <v>74942.5</v>
      </c>
      <c r="U7" s="128">
        <f t="shared" si="1"/>
        <v>0</v>
      </c>
      <c r="V7" s="79" t="s">
        <v>68</v>
      </c>
      <c r="W7" s="79" t="s">
        <v>68</v>
      </c>
      <c r="X7" s="79" t="s">
        <v>68</v>
      </c>
      <c r="Y7" s="130"/>
      <c r="Z7" s="111"/>
      <c r="AA7" s="133"/>
      <c r="AB7" s="133"/>
      <c r="AC7" s="133"/>
      <c r="AD7" s="133"/>
      <c r="AE7" s="133"/>
      <c r="AF7" s="111"/>
      <c r="AG7" s="147"/>
      <c r="AH7" s="73"/>
      <c r="AI7" s="135"/>
      <c r="AJ7" s="136"/>
      <c r="AK7" s="76"/>
      <c r="AL7" s="137"/>
      <c r="AM7" s="139" t="s">
        <v>71</v>
      </c>
      <c r="AN7" s="139">
        <v>305.0</v>
      </c>
      <c r="AO7" s="140">
        <v>102.87</v>
      </c>
      <c r="AP7" s="142">
        <v>35000.0</v>
      </c>
      <c r="AQ7" s="142">
        <v>224.0</v>
      </c>
      <c r="AR7" s="143"/>
      <c r="AS7" s="144">
        <v>0.9623960845403441</v>
      </c>
      <c r="AT7" s="144">
        <v>0.004603915459655883</v>
      </c>
      <c r="AU7" s="146" t="s">
        <v>99</v>
      </c>
      <c r="AV7" s="146" t="s">
        <v>99</v>
      </c>
      <c r="AW7" s="148" t="s">
        <v>99</v>
      </c>
      <c r="AX7" s="151"/>
      <c r="AY7" s="105"/>
      <c r="AZ7" s="164"/>
      <c r="BA7" s="164"/>
      <c r="BB7" s="146"/>
      <c r="BC7" s="155"/>
      <c r="BD7" s="155"/>
      <c r="BE7" s="155"/>
      <c r="BF7" s="45"/>
    </row>
    <row r="8" ht="16.5" customHeight="1">
      <c r="A8" s="111">
        <v>5.0</v>
      </c>
      <c r="B8" s="165" t="s">
        <v>101</v>
      </c>
      <c r="C8" s="115" t="s">
        <v>60</v>
      </c>
      <c r="D8" s="157">
        <v>41599.0</v>
      </c>
      <c r="E8" s="157">
        <v>41900.0</v>
      </c>
      <c r="F8" s="174" t="s">
        <v>103</v>
      </c>
      <c r="G8" s="167">
        <v>27000.0</v>
      </c>
      <c r="H8" s="114">
        <v>89.4</v>
      </c>
      <c r="I8" s="123">
        <v>381.0</v>
      </c>
      <c r="J8" s="159" t="s">
        <v>104</v>
      </c>
      <c r="K8" s="121">
        <v>384.85</v>
      </c>
      <c r="L8" s="120" t="s">
        <v>63</v>
      </c>
      <c r="M8" s="120"/>
      <c r="N8" s="123"/>
      <c r="O8" s="124">
        <v>27000.0</v>
      </c>
      <c r="P8" s="124">
        <v>302.0</v>
      </c>
      <c r="Q8" s="177">
        <v>229.0</v>
      </c>
      <c r="R8" s="125">
        <v>400.0</v>
      </c>
      <c r="S8" s="126">
        <v>0.9621</v>
      </c>
      <c r="T8" s="127">
        <v>74562.75</v>
      </c>
      <c r="U8" s="128">
        <f t="shared" si="1"/>
        <v>0</v>
      </c>
      <c r="V8" s="79" t="s">
        <v>65</v>
      </c>
      <c r="W8" s="79" t="s">
        <v>65</v>
      </c>
      <c r="X8" s="79" t="s">
        <v>66</v>
      </c>
      <c r="Y8" s="130"/>
      <c r="Z8" s="111"/>
      <c r="AA8" s="133"/>
      <c r="AB8" s="133"/>
      <c r="AC8" s="133"/>
      <c r="AD8" s="133"/>
      <c r="AE8" s="133"/>
      <c r="AF8" s="111"/>
      <c r="AG8" s="147" t="s">
        <v>111</v>
      </c>
      <c r="AH8" s="73"/>
      <c r="AI8" s="135"/>
      <c r="AJ8" s="136"/>
      <c r="AK8" s="76"/>
      <c r="AL8" s="137"/>
      <c r="AM8" s="139" t="s">
        <v>71</v>
      </c>
      <c r="AN8" s="139">
        <v>302.0</v>
      </c>
      <c r="AO8" s="140">
        <v>81.33</v>
      </c>
      <c r="AP8" s="142">
        <v>27000.0</v>
      </c>
      <c r="AQ8" s="142">
        <v>229.0</v>
      </c>
      <c r="AR8" s="143"/>
      <c r="AS8" s="144">
        <v>0.9671439869277211</v>
      </c>
      <c r="AT8" s="144">
        <v>-0.0050439869277211224</v>
      </c>
      <c r="AU8" s="146" t="s">
        <v>113</v>
      </c>
      <c r="AV8" s="146" t="s">
        <v>113</v>
      </c>
      <c r="AW8" s="148" t="s">
        <v>113</v>
      </c>
      <c r="AX8" s="151"/>
      <c r="AY8" s="105"/>
      <c r="AZ8" s="153"/>
      <c r="BA8" s="153"/>
      <c r="BB8" s="146"/>
      <c r="BC8" s="155"/>
      <c r="BD8" s="155"/>
      <c r="BE8" s="155"/>
      <c r="BF8" s="45"/>
    </row>
    <row r="9" ht="16.5" customHeight="1">
      <c r="A9" s="111">
        <v>6.0</v>
      </c>
      <c r="B9" s="165" t="s">
        <v>114</v>
      </c>
      <c r="C9" s="115" t="s">
        <v>60</v>
      </c>
      <c r="D9" s="179">
        <v>41604.0</v>
      </c>
      <c r="E9" s="157">
        <v>41900.0</v>
      </c>
      <c r="F9" s="79" t="s">
        <v>79</v>
      </c>
      <c r="G9" s="167">
        <v>47352.0</v>
      </c>
      <c r="H9" s="114">
        <v>159.4</v>
      </c>
      <c r="I9" s="123">
        <v>377.0</v>
      </c>
      <c r="J9" s="111" t="s">
        <v>61</v>
      </c>
      <c r="K9" s="121">
        <v>381.77</v>
      </c>
      <c r="L9" s="120" t="s">
        <v>63</v>
      </c>
      <c r="M9" s="120"/>
      <c r="N9" s="123"/>
      <c r="O9" s="124">
        <v>47352.0</v>
      </c>
      <c r="P9" s="124">
        <v>297.0</v>
      </c>
      <c r="Q9" s="133">
        <v>218.0</v>
      </c>
      <c r="R9" s="125">
        <v>399.0</v>
      </c>
      <c r="S9" s="126">
        <v>0.9568</v>
      </c>
      <c r="T9" s="127">
        <v>74152.0</v>
      </c>
      <c r="U9" s="128">
        <f t="shared" si="1"/>
        <v>0</v>
      </c>
      <c r="V9" s="79" t="s">
        <v>65</v>
      </c>
      <c r="W9" s="79" t="s">
        <v>65</v>
      </c>
      <c r="X9" s="79" t="s">
        <v>66</v>
      </c>
      <c r="Y9" s="130">
        <v>0.9</v>
      </c>
      <c r="Z9" s="111">
        <v>22.0</v>
      </c>
      <c r="AA9" s="111">
        <v>399.0</v>
      </c>
      <c r="AB9" s="111" t="s">
        <v>61</v>
      </c>
      <c r="AC9" s="133"/>
      <c r="AD9" s="133"/>
      <c r="AE9" s="133"/>
      <c r="AF9" s="111"/>
      <c r="AG9" s="147" t="s">
        <v>111</v>
      </c>
      <c r="AH9" s="73"/>
      <c r="AI9" s="135"/>
      <c r="AJ9" s="136"/>
      <c r="AK9" s="76"/>
      <c r="AL9" s="137"/>
      <c r="AM9" s="139">
        <v>404.0</v>
      </c>
      <c r="AN9" s="139">
        <v>297.0</v>
      </c>
      <c r="AO9" s="140">
        <v>136.15</v>
      </c>
      <c r="AP9" s="142">
        <v>47352.0</v>
      </c>
      <c r="AQ9" s="142">
        <v>218.0</v>
      </c>
      <c r="AR9" s="143"/>
      <c r="AS9" s="144">
        <v>0.9570964321571782</v>
      </c>
      <c r="AT9" s="144">
        <v>-2.96432157178228E-4</v>
      </c>
      <c r="AU9" s="146" t="s">
        <v>124</v>
      </c>
      <c r="AV9" s="146" t="s">
        <v>124</v>
      </c>
      <c r="AW9" s="148" t="s">
        <v>124</v>
      </c>
      <c r="AX9" s="151"/>
      <c r="AY9" s="105"/>
      <c r="AZ9" s="153"/>
      <c r="BA9" s="153"/>
      <c r="BB9" s="146"/>
      <c r="BC9" s="155"/>
      <c r="BD9" s="155"/>
      <c r="BE9" s="155"/>
      <c r="BF9" s="45"/>
    </row>
    <row r="10" ht="16.5" customHeight="1">
      <c r="A10" s="111">
        <v>7.0</v>
      </c>
      <c r="B10" s="112" t="s">
        <v>126</v>
      </c>
      <c r="C10" s="115" t="s">
        <v>60</v>
      </c>
      <c r="D10" s="157">
        <v>41527.0</v>
      </c>
      <c r="E10" s="157">
        <v>41901.0</v>
      </c>
      <c r="F10" s="79" t="s">
        <v>79</v>
      </c>
      <c r="G10" s="167">
        <v>67000.0</v>
      </c>
      <c r="H10" s="114">
        <v>178.7</v>
      </c>
      <c r="I10" s="123">
        <v>385.0</v>
      </c>
      <c r="J10" s="111" t="s">
        <v>62</v>
      </c>
      <c r="K10" s="121">
        <v>385.0</v>
      </c>
      <c r="L10" s="120" t="s">
        <v>63</v>
      </c>
      <c r="M10" s="120"/>
      <c r="N10" s="123"/>
      <c r="O10" s="124">
        <v>67000.0</v>
      </c>
      <c r="P10" s="124">
        <v>375.0</v>
      </c>
      <c r="Q10" s="133">
        <v>220.0</v>
      </c>
      <c r="R10" s="125">
        <v>399.0</v>
      </c>
      <c r="S10" s="126">
        <v>0.9649</v>
      </c>
      <c r="T10" s="127">
        <v>74779.75</v>
      </c>
      <c r="U10" s="128">
        <f t="shared" si="1"/>
        <v>0</v>
      </c>
      <c r="V10" s="79" t="s">
        <v>65</v>
      </c>
      <c r="W10" s="79" t="s">
        <v>127</v>
      </c>
      <c r="X10" s="79" t="s">
        <v>66</v>
      </c>
      <c r="Y10" s="130">
        <v>1.0</v>
      </c>
      <c r="Z10" s="111"/>
      <c r="AA10" s="133"/>
      <c r="AB10" s="133"/>
      <c r="AC10" s="133"/>
      <c r="AD10" s="133"/>
      <c r="AE10" s="133"/>
      <c r="AF10" s="111"/>
      <c r="AG10" s="147" t="s">
        <v>128</v>
      </c>
      <c r="AH10" s="73"/>
      <c r="AI10" s="135"/>
      <c r="AJ10" s="136"/>
      <c r="AK10" s="76"/>
      <c r="AL10" s="137"/>
      <c r="AM10" s="139" t="s">
        <v>71</v>
      </c>
      <c r="AN10" s="139">
        <v>375.0</v>
      </c>
      <c r="AO10" s="140">
        <v>193.61</v>
      </c>
      <c r="AP10" s="142">
        <v>67000.0</v>
      </c>
      <c r="AQ10" s="142">
        <v>220.0</v>
      </c>
      <c r="AR10" s="143"/>
      <c r="AS10" s="144">
        <v>0.9514511889166395</v>
      </c>
      <c r="AT10" s="144">
        <v>0.01344881108336049</v>
      </c>
      <c r="AU10" s="146" t="s">
        <v>130</v>
      </c>
      <c r="AV10" s="146" t="s">
        <v>130</v>
      </c>
      <c r="AW10" s="148" t="s">
        <v>130</v>
      </c>
      <c r="AX10" s="151"/>
      <c r="AY10" s="105"/>
      <c r="AZ10" s="153"/>
      <c r="BA10" s="153"/>
      <c r="BB10" s="146"/>
      <c r="BC10" s="155"/>
      <c r="BD10" s="155"/>
      <c r="BE10" s="155"/>
      <c r="BF10" s="45"/>
    </row>
    <row r="11" ht="16.5" customHeight="1">
      <c r="A11" s="111">
        <v>8.0</v>
      </c>
      <c r="B11" s="165" t="s">
        <v>132</v>
      </c>
      <c r="C11" s="115" t="s">
        <v>60</v>
      </c>
      <c r="D11" s="157">
        <v>41711.0</v>
      </c>
      <c r="E11" s="157">
        <v>41901.0</v>
      </c>
      <c r="F11" s="79" t="s">
        <v>57</v>
      </c>
      <c r="G11" s="167">
        <v>14977.0</v>
      </c>
      <c r="H11" s="114">
        <v>78.4</v>
      </c>
      <c r="I11" s="123">
        <v>395.0</v>
      </c>
      <c r="J11" s="159" t="s">
        <v>104</v>
      </c>
      <c r="K11" s="121">
        <v>398.99</v>
      </c>
      <c r="L11" s="120" t="s">
        <v>63</v>
      </c>
      <c r="M11" s="120"/>
      <c r="N11" s="123"/>
      <c r="O11" s="124">
        <v>14977.0</v>
      </c>
      <c r="P11" s="124">
        <v>191.0</v>
      </c>
      <c r="Q11" s="133">
        <v>245.0</v>
      </c>
      <c r="R11" s="125">
        <v>399.0</v>
      </c>
      <c r="S11" s="126">
        <v>1.0</v>
      </c>
      <c r="T11" s="127">
        <v>77500.0</v>
      </c>
      <c r="U11" s="128">
        <f t="shared" si="1"/>
        <v>0</v>
      </c>
      <c r="V11" s="79" t="s">
        <v>65</v>
      </c>
      <c r="W11" s="79" t="s">
        <v>65</v>
      </c>
      <c r="X11" s="79" t="s">
        <v>69</v>
      </c>
      <c r="Y11" s="130"/>
      <c r="Z11" s="111"/>
      <c r="AA11" s="133"/>
      <c r="AB11" s="133"/>
      <c r="AC11" s="133"/>
      <c r="AD11" s="133"/>
      <c r="AE11" s="133"/>
      <c r="AF11" s="111"/>
      <c r="AG11" s="181" t="s">
        <v>135</v>
      </c>
      <c r="AH11" s="73"/>
      <c r="AI11" s="135"/>
      <c r="AJ11" s="136"/>
      <c r="AK11" s="76"/>
      <c r="AL11" s="137"/>
      <c r="AM11" s="139" t="s">
        <v>71</v>
      </c>
      <c r="AN11" s="139">
        <v>191.0</v>
      </c>
      <c r="AO11" s="140">
        <v>47.35</v>
      </c>
      <c r="AP11" s="142">
        <v>14977.0</v>
      </c>
      <c r="AQ11" s="142">
        <v>245.0</v>
      </c>
      <c r="AR11" s="143"/>
      <c r="AS11" s="144">
        <v>0.9775149288076759</v>
      </c>
      <c r="AT11" s="144">
        <v>0.022485071192324124</v>
      </c>
      <c r="AU11" s="146" t="s">
        <v>139</v>
      </c>
      <c r="AV11" s="146" t="s">
        <v>139</v>
      </c>
      <c r="AW11" s="148" t="s">
        <v>139</v>
      </c>
      <c r="AX11" s="151"/>
      <c r="AY11" s="105"/>
      <c r="AZ11" s="153"/>
      <c r="BA11" s="153"/>
      <c r="BB11" s="146"/>
      <c r="BC11" s="155"/>
      <c r="BD11" s="155"/>
      <c r="BE11" s="155"/>
      <c r="BF11" s="45"/>
    </row>
    <row r="12" ht="16.5" customHeight="1">
      <c r="A12" s="111">
        <v>9.0</v>
      </c>
      <c r="B12" s="165" t="s">
        <v>140</v>
      </c>
      <c r="C12" s="115" t="s">
        <v>60</v>
      </c>
      <c r="D12" s="157">
        <v>41867.0</v>
      </c>
      <c r="E12" s="157">
        <v>41902.0</v>
      </c>
      <c r="F12" s="79" t="s">
        <v>79</v>
      </c>
      <c r="G12" s="167">
        <v>3434.0</v>
      </c>
      <c r="H12" s="114">
        <v>95.4</v>
      </c>
      <c r="I12" s="120">
        <v>394.0</v>
      </c>
      <c r="J12" s="159" t="s">
        <v>104</v>
      </c>
      <c r="K12" s="121">
        <v>397.98</v>
      </c>
      <c r="L12" s="120" t="s">
        <v>63</v>
      </c>
      <c r="M12" s="120"/>
      <c r="N12" s="123"/>
      <c r="O12" s="124">
        <v>3434.0</v>
      </c>
      <c r="P12" s="124">
        <v>36.0</v>
      </c>
      <c r="Q12" s="133">
        <v>224.0</v>
      </c>
      <c r="R12" s="125">
        <v>399.0</v>
      </c>
      <c r="S12" s="126">
        <v>0.9974</v>
      </c>
      <c r="T12" s="127">
        <v>77298.5</v>
      </c>
      <c r="U12" s="128">
        <f t="shared" si="1"/>
        <v>0</v>
      </c>
      <c r="V12" s="79" t="s">
        <v>68</v>
      </c>
      <c r="W12" s="79" t="s">
        <v>67</v>
      </c>
      <c r="X12" s="79" t="s">
        <v>68</v>
      </c>
      <c r="Y12" s="130"/>
      <c r="Z12" s="111"/>
      <c r="AA12" s="133"/>
      <c r="AB12" s="133"/>
      <c r="AC12" s="133"/>
      <c r="AD12" s="133"/>
      <c r="AE12" s="133"/>
      <c r="AF12" s="111"/>
      <c r="AG12" s="147"/>
      <c r="AH12" s="73"/>
      <c r="AI12" s="135"/>
      <c r="AJ12" s="136"/>
      <c r="AK12" s="76"/>
      <c r="AL12" s="137"/>
      <c r="AM12" s="139" t="s">
        <v>71</v>
      </c>
      <c r="AN12" s="139">
        <v>36.0</v>
      </c>
      <c r="AO12" s="140">
        <v>9.94</v>
      </c>
      <c r="AP12" s="142">
        <v>3434.0</v>
      </c>
      <c r="AQ12" s="142">
        <v>224.0</v>
      </c>
      <c r="AR12" s="143"/>
      <c r="AS12" s="144">
        <v>0.9935171028136123</v>
      </c>
      <c r="AT12" s="144">
        <v>0.0038828971863876793</v>
      </c>
      <c r="AU12" s="146" t="s">
        <v>146</v>
      </c>
      <c r="AV12" s="146" t="s">
        <v>146</v>
      </c>
      <c r="AW12" s="148" t="s">
        <v>146</v>
      </c>
      <c r="AX12" s="151"/>
      <c r="AY12" s="105"/>
      <c r="AZ12" s="153"/>
      <c r="BA12" s="153"/>
      <c r="BB12" s="146"/>
      <c r="BC12" s="155"/>
      <c r="BD12" s="155"/>
      <c r="BE12" s="155"/>
      <c r="BF12" s="45"/>
    </row>
    <row r="13" ht="16.5" customHeight="1">
      <c r="A13" s="111">
        <v>10.0</v>
      </c>
      <c r="B13" s="165" t="s">
        <v>147</v>
      </c>
      <c r="C13" s="115" t="s">
        <v>60</v>
      </c>
      <c r="D13" s="157">
        <v>41639.0</v>
      </c>
      <c r="E13" s="157">
        <v>41903.0</v>
      </c>
      <c r="F13" s="79" t="s">
        <v>79</v>
      </c>
      <c r="G13" s="118">
        <v>46000.0</v>
      </c>
      <c r="H13" s="114">
        <v>173.6</v>
      </c>
      <c r="I13" s="123">
        <v>381.0</v>
      </c>
      <c r="J13" s="159" t="s">
        <v>104</v>
      </c>
      <c r="K13" s="121">
        <v>384.85</v>
      </c>
      <c r="L13" s="120" t="s">
        <v>63</v>
      </c>
      <c r="M13" s="120"/>
      <c r="N13" s="123"/>
      <c r="O13" s="124">
        <v>46000.0</v>
      </c>
      <c r="P13" s="124">
        <v>265.0</v>
      </c>
      <c r="Q13" s="133">
        <v>227.0</v>
      </c>
      <c r="R13" s="125">
        <v>399.0</v>
      </c>
      <c r="S13" s="126">
        <v>0.9645</v>
      </c>
      <c r="T13" s="127">
        <v>74748.75</v>
      </c>
      <c r="U13" s="128">
        <f t="shared" si="1"/>
        <v>0</v>
      </c>
      <c r="V13" s="79" t="s">
        <v>67</v>
      </c>
      <c r="W13" s="79" t="s">
        <v>67</v>
      </c>
      <c r="X13" s="79" t="s">
        <v>66</v>
      </c>
      <c r="Y13" s="130"/>
      <c r="Z13" s="111"/>
      <c r="AA13" s="133"/>
      <c r="AB13" s="133"/>
      <c r="AC13" s="133"/>
      <c r="AD13" s="133"/>
      <c r="AE13" s="133"/>
      <c r="AF13" s="111"/>
      <c r="AG13" s="147" t="s">
        <v>151</v>
      </c>
      <c r="AH13" s="73"/>
      <c r="AI13" s="135"/>
      <c r="AJ13" s="136"/>
      <c r="AK13" s="76"/>
      <c r="AL13" s="137"/>
      <c r="AM13" s="139" t="s">
        <v>71</v>
      </c>
      <c r="AN13" s="139">
        <v>265.0</v>
      </c>
      <c r="AO13" s="140">
        <v>137.18</v>
      </c>
      <c r="AP13" s="142">
        <v>46000.0</v>
      </c>
      <c r="AQ13" s="142">
        <v>227.0</v>
      </c>
      <c r="AR13" s="143"/>
      <c r="AS13" s="144">
        <v>0.9575883126044556</v>
      </c>
      <c r="AT13" s="144">
        <v>0.006911687395544375</v>
      </c>
      <c r="AU13" s="146" t="s">
        <v>153</v>
      </c>
      <c r="AV13" s="146" t="s">
        <v>153</v>
      </c>
      <c r="AW13" s="148" t="s">
        <v>153</v>
      </c>
      <c r="AX13" s="151"/>
      <c r="AY13" s="105"/>
      <c r="AZ13" s="153"/>
      <c r="BA13" s="153"/>
      <c r="BB13" s="146"/>
      <c r="BC13" s="155"/>
      <c r="BD13" s="155"/>
      <c r="BE13" s="155"/>
      <c r="BF13" s="45"/>
    </row>
    <row r="14" ht="16.5" customHeight="1">
      <c r="A14" s="111">
        <v>11.0</v>
      </c>
      <c r="B14" s="165" t="s">
        <v>155</v>
      </c>
      <c r="C14" s="115" t="s">
        <v>60</v>
      </c>
      <c r="D14" s="157">
        <v>41601.0</v>
      </c>
      <c r="E14" s="157">
        <v>41903.0</v>
      </c>
      <c r="F14" s="79" t="s">
        <v>109</v>
      </c>
      <c r="G14" s="167">
        <v>14995.0</v>
      </c>
      <c r="H14" s="114">
        <v>49.5</v>
      </c>
      <c r="I14" s="123">
        <v>284.0</v>
      </c>
      <c r="J14" s="159" t="s">
        <v>104</v>
      </c>
      <c r="K14" s="121">
        <v>286.87</v>
      </c>
      <c r="L14" s="120" t="s">
        <v>63</v>
      </c>
      <c r="M14" s="120"/>
      <c r="N14" s="123"/>
      <c r="O14" s="124">
        <v>14995.0</v>
      </c>
      <c r="P14" s="124">
        <v>303.0</v>
      </c>
      <c r="Q14" s="133">
        <v>207.0</v>
      </c>
      <c r="R14" s="125">
        <v>289.0</v>
      </c>
      <c r="S14" s="126">
        <v>0.9926</v>
      </c>
      <c r="T14" s="127">
        <v>58067.100000000006</v>
      </c>
      <c r="U14" s="128">
        <f t="shared" si="1"/>
        <v>0</v>
      </c>
      <c r="V14" s="79" t="s">
        <v>69</v>
      </c>
      <c r="W14" s="79" t="s">
        <v>69</v>
      </c>
      <c r="X14" s="79" t="s">
        <v>66</v>
      </c>
      <c r="Y14" s="130"/>
      <c r="Z14" s="111"/>
      <c r="AA14" s="183"/>
      <c r="AB14" s="133"/>
      <c r="AC14" s="133"/>
      <c r="AD14" s="133"/>
      <c r="AE14" s="133"/>
      <c r="AF14" s="111"/>
      <c r="AG14" s="134"/>
      <c r="AH14" s="73"/>
      <c r="AI14" s="135"/>
      <c r="AJ14" s="136"/>
      <c r="AK14" s="76"/>
      <c r="AL14" s="137"/>
      <c r="AM14" s="139" t="s">
        <v>71</v>
      </c>
      <c r="AN14" s="139">
        <v>303.0</v>
      </c>
      <c r="AO14" s="140">
        <v>53.27</v>
      </c>
      <c r="AP14" s="142">
        <v>14995.0</v>
      </c>
      <c r="AQ14" s="142">
        <v>207.0</v>
      </c>
      <c r="AR14" s="143"/>
      <c r="AS14" s="144">
        <v>0.9774954653941692</v>
      </c>
      <c r="AT14" s="144">
        <v>0.015104534605830833</v>
      </c>
      <c r="AU14" s="146" t="s">
        <v>162</v>
      </c>
      <c r="AV14" s="146" t="s">
        <v>162</v>
      </c>
      <c r="AW14" s="148" t="s">
        <v>162</v>
      </c>
      <c r="AX14" s="151"/>
      <c r="AY14" s="105"/>
      <c r="AZ14" s="153"/>
      <c r="BA14" s="153"/>
      <c r="BB14" s="146"/>
      <c r="BC14" s="155"/>
      <c r="BD14" s="155"/>
      <c r="BE14" s="155"/>
      <c r="BF14" s="45"/>
    </row>
    <row r="15" ht="16.5" customHeight="1">
      <c r="A15" s="111">
        <v>12.0</v>
      </c>
      <c r="B15" s="112" t="s">
        <v>163</v>
      </c>
      <c r="C15" s="115" t="s">
        <v>60</v>
      </c>
      <c r="D15" s="157">
        <v>41591.0</v>
      </c>
      <c r="E15" s="157">
        <v>41904.0</v>
      </c>
      <c r="F15" s="79" t="s">
        <v>79</v>
      </c>
      <c r="G15" s="167">
        <v>16045.0</v>
      </c>
      <c r="H15" s="114">
        <v>51.1</v>
      </c>
      <c r="I15" s="123">
        <v>383.0</v>
      </c>
      <c r="J15" s="111" t="s">
        <v>62</v>
      </c>
      <c r="K15" s="121">
        <v>383.0</v>
      </c>
      <c r="L15" s="120" t="s">
        <v>63</v>
      </c>
      <c r="M15" s="120"/>
      <c r="N15" s="123"/>
      <c r="O15" s="124">
        <v>16045.0</v>
      </c>
      <c r="P15" s="124">
        <v>314.0</v>
      </c>
      <c r="Q15" s="133">
        <v>200.0</v>
      </c>
      <c r="R15" s="125">
        <v>399.0</v>
      </c>
      <c r="S15" s="126">
        <v>0.9599</v>
      </c>
      <c r="T15" s="127">
        <v>74392.25</v>
      </c>
      <c r="U15" s="128">
        <f t="shared" si="1"/>
        <v>0</v>
      </c>
      <c r="V15" s="79" t="s">
        <v>68</v>
      </c>
      <c r="W15" s="79" t="s">
        <v>68</v>
      </c>
      <c r="X15" s="79" t="s">
        <v>68</v>
      </c>
      <c r="Y15" s="130"/>
      <c r="Z15" s="111"/>
      <c r="AA15" s="133"/>
      <c r="AB15" s="133"/>
      <c r="AC15" s="133"/>
      <c r="AD15" s="133"/>
      <c r="AE15" s="133"/>
      <c r="AF15" s="111"/>
      <c r="AG15" s="134"/>
      <c r="AH15" s="73"/>
      <c r="AI15" s="135"/>
      <c r="AJ15" s="136"/>
      <c r="AK15" s="76"/>
      <c r="AL15" s="137"/>
      <c r="AM15" s="139" t="s">
        <v>71</v>
      </c>
      <c r="AN15" s="139">
        <v>314.0</v>
      </c>
      <c r="AO15" s="140">
        <v>42.27</v>
      </c>
      <c r="AP15" s="142">
        <v>16045.0</v>
      </c>
      <c r="AQ15" s="142">
        <v>200.0</v>
      </c>
      <c r="AR15" s="143"/>
      <c r="AS15" s="144">
        <v>0.9763841613914234</v>
      </c>
      <c r="AT15" s="144">
        <v>-0.01648416139142339</v>
      </c>
      <c r="AU15" s="146" t="s">
        <v>170</v>
      </c>
      <c r="AV15" s="146" t="s">
        <v>170</v>
      </c>
      <c r="AW15" s="148" t="s">
        <v>170</v>
      </c>
      <c r="AX15" s="151"/>
      <c r="AY15" s="105"/>
      <c r="AZ15" s="153"/>
      <c r="BA15" s="153"/>
      <c r="BB15" s="146"/>
      <c r="BC15" s="155"/>
      <c r="BD15" s="155"/>
      <c r="BE15" s="155"/>
      <c r="BF15" s="45"/>
    </row>
    <row r="16" ht="16.5" customHeight="1">
      <c r="A16" s="111">
        <v>13.0</v>
      </c>
      <c r="B16" s="165" t="s">
        <v>171</v>
      </c>
      <c r="C16" s="115" t="s">
        <v>60</v>
      </c>
      <c r="D16" s="117">
        <v>41584.0</v>
      </c>
      <c r="E16" s="157">
        <v>41904.0</v>
      </c>
      <c r="F16" s="79" t="s">
        <v>59</v>
      </c>
      <c r="G16" s="167">
        <v>30650.0</v>
      </c>
      <c r="H16" s="114">
        <v>95.5</v>
      </c>
      <c r="I16" s="123">
        <v>383.0</v>
      </c>
      <c r="J16" s="159" t="s">
        <v>104</v>
      </c>
      <c r="K16" s="121">
        <v>386.87</v>
      </c>
      <c r="L16" s="120" t="s">
        <v>63</v>
      </c>
      <c r="M16" s="120"/>
      <c r="N16" s="123"/>
      <c r="O16" s="124">
        <v>30650.0</v>
      </c>
      <c r="P16" s="124">
        <v>321.0</v>
      </c>
      <c r="Q16" s="133">
        <v>207.0</v>
      </c>
      <c r="R16" s="125">
        <v>399.0</v>
      </c>
      <c r="S16" s="126">
        <v>0.9696</v>
      </c>
      <c r="T16" s="127">
        <v>75144.0</v>
      </c>
      <c r="U16" s="128">
        <f t="shared" si="1"/>
        <v>0</v>
      </c>
      <c r="V16" s="79" t="s">
        <v>66</v>
      </c>
      <c r="W16" s="79" t="s">
        <v>64</v>
      </c>
      <c r="X16" s="79" t="s">
        <v>68</v>
      </c>
      <c r="Y16" s="130"/>
      <c r="Z16" s="111"/>
      <c r="AA16" s="133"/>
      <c r="AB16" s="133"/>
      <c r="AC16" s="133"/>
      <c r="AD16" s="133"/>
      <c r="AE16" s="133"/>
      <c r="AF16" s="111"/>
      <c r="AG16" s="147"/>
      <c r="AH16" s="73"/>
      <c r="AI16" s="135"/>
      <c r="AJ16" s="136"/>
      <c r="AK16" s="76"/>
      <c r="AL16" s="137"/>
      <c r="AM16" s="139" t="s">
        <v>71</v>
      </c>
      <c r="AN16" s="139">
        <v>321.0</v>
      </c>
      <c r="AO16" s="140">
        <v>83.14</v>
      </c>
      <c r="AP16" s="142">
        <v>30650.0</v>
      </c>
      <c r="AQ16" s="142">
        <v>207.0</v>
      </c>
      <c r="AR16" s="143"/>
      <c r="AS16" s="144">
        <v>0.9648136321102444</v>
      </c>
      <c r="AT16" s="144">
        <v>0.004786367889755616</v>
      </c>
      <c r="AU16" s="146" t="s">
        <v>175</v>
      </c>
      <c r="AV16" s="146" t="s">
        <v>175</v>
      </c>
      <c r="AW16" s="148" t="s">
        <v>175</v>
      </c>
      <c r="AX16" s="151"/>
      <c r="AY16" s="105"/>
      <c r="AZ16" s="153"/>
      <c r="BA16" s="153"/>
      <c r="BB16" s="146"/>
      <c r="BC16" s="155"/>
      <c r="BD16" s="155"/>
      <c r="BE16" s="155"/>
      <c r="BF16" s="45"/>
    </row>
    <row r="17" ht="16.5" customHeight="1">
      <c r="A17" s="111">
        <v>14.0</v>
      </c>
      <c r="B17" s="165" t="s">
        <v>177</v>
      </c>
      <c r="C17" s="115" t="s">
        <v>60</v>
      </c>
      <c r="D17" s="157">
        <v>41620.0</v>
      </c>
      <c r="E17" s="157">
        <v>41905.0</v>
      </c>
      <c r="F17" s="174" t="s">
        <v>103</v>
      </c>
      <c r="G17" s="167">
        <v>22850.0</v>
      </c>
      <c r="H17" s="114">
        <v>79.9</v>
      </c>
      <c r="I17" s="123">
        <v>385.0</v>
      </c>
      <c r="J17" s="159" t="s">
        <v>104</v>
      </c>
      <c r="K17" s="121">
        <v>388.89</v>
      </c>
      <c r="L17" s="120" t="s">
        <v>63</v>
      </c>
      <c r="M17" s="120"/>
      <c r="N17" s="123"/>
      <c r="O17" s="124">
        <v>22850.0</v>
      </c>
      <c r="P17" s="124">
        <v>286.0</v>
      </c>
      <c r="Q17" s="133">
        <v>249.0</v>
      </c>
      <c r="R17" s="125">
        <v>400.0</v>
      </c>
      <c r="S17" s="126">
        <v>0.9722</v>
      </c>
      <c r="T17" s="127">
        <v>75345.5</v>
      </c>
      <c r="U17" s="128">
        <f t="shared" si="1"/>
        <v>0</v>
      </c>
      <c r="V17" s="79" t="s">
        <v>64</v>
      </c>
      <c r="W17" s="79" t="s">
        <v>65</v>
      </c>
      <c r="X17" s="79" t="s">
        <v>68</v>
      </c>
      <c r="Y17" s="130"/>
      <c r="Z17" s="111"/>
      <c r="AA17" s="133"/>
      <c r="AB17" s="133"/>
      <c r="AC17" s="133"/>
      <c r="AD17" s="133"/>
      <c r="AE17" s="133"/>
      <c r="AF17" s="111"/>
      <c r="AG17" s="147"/>
      <c r="AH17" s="73"/>
      <c r="AI17" s="135"/>
      <c r="AJ17" s="136"/>
      <c r="AK17" s="76"/>
      <c r="AL17" s="137"/>
      <c r="AM17" s="139" t="s">
        <v>71</v>
      </c>
      <c r="AN17" s="139">
        <v>286.0</v>
      </c>
      <c r="AO17" s="140">
        <v>74.46</v>
      </c>
      <c r="AP17" s="142">
        <v>22850.0</v>
      </c>
      <c r="AQ17" s="142">
        <v>249.0</v>
      </c>
      <c r="AR17" s="143"/>
      <c r="AS17" s="144">
        <v>0.970198554241331</v>
      </c>
      <c r="AT17" s="144">
        <v>0.002001445758669007</v>
      </c>
      <c r="AU17" s="146" t="s">
        <v>180</v>
      </c>
      <c r="AV17" s="146" t="s">
        <v>180</v>
      </c>
      <c r="AW17" s="148" t="s">
        <v>180</v>
      </c>
      <c r="AX17" s="151"/>
      <c r="AY17" s="105"/>
      <c r="AZ17" s="153"/>
      <c r="BA17" s="153"/>
      <c r="BB17" s="146"/>
      <c r="BC17" s="155"/>
      <c r="BD17" s="155"/>
      <c r="BE17" s="155"/>
      <c r="BF17" s="45"/>
    </row>
    <row r="18" ht="16.5" customHeight="1">
      <c r="A18" s="111">
        <v>15.0</v>
      </c>
      <c r="B18" s="165" t="s">
        <v>181</v>
      </c>
      <c r="C18" s="115" t="s">
        <v>60</v>
      </c>
      <c r="D18" s="117">
        <v>41787.0</v>
      </c>
      <c r="E18" s="157">
        <v>41906.0</v>
      </c>
      <c r="F18" s="79" t="s">
        <v>59</v>
      </c>
      <c r="G18" s="167">
        <v>6053.0</v>
      </c>
      <c r="H18" s="114">
        <v>50.4</v>
      </c>
      <c r="I18" s="123">
        <v>392.0</v>
      </c>
      <c r="J18" s="111" t="s">
        <v>61</v>
      </c>
      <c r="K18" s="121">
        <v>396.96</v>
      </c>
      <c r="L18" s="120" t="s">
        <v>63</v>
      </c>
      <c r="M18" s="120"/>
      <c r="N18" s="123"/>
      <c r="O18" s="124">
        <v>6053.0</v>
      </c>
      <c r="P18" s="124">
        <v>120.0</v>
      </c>
      <c r="Q18" s="133">
        <v>216.0</v>
      </c>
      <c r="R18" s="125">
        <v>399.0</v>
      </c>
      <c r="S18" s="126">
        <v>0.9949</v>
      </c>
      <c r="T18" s="127">
        <v>77104.75</v>
      </c>
      <c r="U18" s="128">
        <f t="shared" si="1"/>
        <v>0</v>
      </c>
      <c r="V18" s="79" t="s">
        <v>66</v>
      </c>
      <c r="W18" s="79" t="s">
        <v>64</v>
      </c>
      <c r="X18" s="79" t="s">
        <v>66</v>
      </c>
      <c r="Y18" s="130"/>
      <c r="Z18" s="111"/>
      <c r="AA18" s="133"/>
      <c r="AB18" s="133"/>
      <c r="AC18" s="133"/>
      <c r="AD18" s="133"/>
      <c r="AE18" s="133"/>
      <c r="AF18" s="111"/>
      <c r="AG18" s="155"/>
      <c r="AH18" s="73"/>
      <c r="AI18" s="135"/>
      <c r="AJ18" s="136"/>
      <c r="AK18" s="76"/>
      <c r="AL18" s="137"/>
      <c r="AM18" s="139" t="s">
        <v>71</v>
      </c>
      <c r="AN18" s="139">
        <v>120.0</v>
      </c>
      <c r="AO18" s="140">
        <v>16.92</v>
      </c>
      <c r="AP18" s="142">
        <v>6053.0</v>
      </c>
      <c r="AQ18" s="142">
        <v>216.0</v>
      </c>
      <c r="AR18" s="143"/>
      <c r="AS18" s="144">
        <v>0.9891779169108378</v>
      </c>
      <c r="AT18" s="144">
        <v>0.005722083089162222</v>
      </c>
      <c r="AU18" s="146" t="s">
        <v>185</v>
      </c>
      <c r="AV18" s="146" t="s">
        <v>185</v>
      </c>
      <c r="AW18" s="148" t="s">
        <v>185</v>
      </c>
      <c r="AX18" s="151"/>
      <c r="AY18" s="105"/>
      <c r="AZ18" s="153"/>
      <c r="BA18" s="153"/>
      <c r="BB18" s="146"/>
      <c r="BC18" s="155"/>
      <c r="BD18" s="155"/>
      <c r="BE18" s="155"/>
      <c r="BF18" s="45"/>
    </row>
    <row r="19" ht="16.5" customHeight="1">
      <c r="A19" s="111">
        <v>16.0</v>
      </c>
      <c r="B19" s="165" t="s">
        <v>186</v>
      </c>
      <c r="C19" s="115" t="s">
        <v>60</v>
      </c>
      <c r="D19" s="157">
        <v>41618.0</v>
      </c>
      <c r="E19" s="157">
        <v>41906.0</v>
      </c>
      <c r="F19" s="79" t="s">
        <v>79</v>
      </c>
      <c r="G19" s="167">
        <v>73353.0</v>
      </c>
      <c r="H19" s="114">
        <v>253.8</v>
      </c>
      <c r="I19" s="123">
        <v>380.0</v>
      </c>
      <c r="J19" s="159" t="s">
        <v>104</v>
      </c>
      <c r="K19" s="121">
        <v>383.84</v>
      </c>
      <c r="L19" s="120" t="s">
        <v>63</v>
      </c>
      <c r="M19" s="120"/>
      <c r="N19" s="123"/>
      <c r="O19" s="124">
        <v>73353.0</v>
      </c>
      <c r="P19" s="124">
        <v>289.0</v>
      </c>
      <c r="Q19" s="159">
        <v>218.0</v>
      </c>
      <c r="R19" s="125">
        <v>399.0</v>
      </c>
      <c r="S19" s="126">
        <v>0.962</v>
      </c>
      <c r="T19" s="127">
        <v>74555.0</v>
      </c>
      <c r="U19" s="128">
        <f t="shared" si="1"/>
        <v>0</v>
      </c>
      <c r="V19" s="79" t="s">
        <v>67</v>
      </c>
      <c r="W19" s="79" t="s">
        <v>68</v>
      </c>
      <c r="X19" s="79" t="s">
        <v>66</v>
      </c>
      <c r="Y19" s="130"/>
      <c r="Z19" s="111"/>
      <c r="AA19" s="133"/>
      <c r="AB19" s="133"/>
      <c r="AC19" s="133"/>
      <c r="AD19" s="133"/>
      <c r="AE19" s="133"/>
      <c r="AF19" s="111"/>
      <c r="AG19" s="185"/>
      <c r="AH19" s="73"/>
      <c r="AI19" s="135"/>
      <c r="AJ19" s="136"/>
      <c r="AK19" s="76"/>
      <c r="AL19" s="137"/>
      <c r="AM19" s="139" t="s">
        <v>71</v>
      </c>
      <c r="AN19" s="139">
        <v>289.0</v>
      </c>
      <c r="AO19" s="140">
        <v>210.34</v>
      </c>
      <c r="AP19" s="142">
        <v>73353.0</v>
      </c>
      <c r="AQ19" s="142">
        <v>218.0</v>
      </c>
      <c r="AR19" s="143"/>
      <c r="AS19" s="144">
        <v>0.9500214690347248</v>
      </c>
      <c r="AT19" s="144">
        <v>0.011978530965275125</v>
      </c>
      <c r="AU19" s="146" t="s">
        <v>191</v>
      </c>
      <c r="AV19" s="146" t="s">
        <v>191</v>
      </c>
      <c r="AW19" s="148" t="s">
        <v>191</v>
      </c>
      <c r="AX19" s="151"/>
      <c r="AY19" s="105"/>
      <c r="AZ19" s="153"/>
      <c r="BA19" s="153"/>
      <c r="BB19" s="146"/>
      <c r="BC19" s="155"/>
      <c r="BD19" s="155"/>
      <c r="BE19" s="155"/>
      <c r="BF19" s="45"/>
    </row>
    <row r="20" ht="16.5" customHeight="1">
      <c r="A20" s="111">
        <v>17.0</v>
      </c>
      <c r="B20" s="165" t="s">
        <v>192</v>
      </c>
      <c r="C20" s="115" t="s">
        <v>60</v>
      </c>
      <c r="D20" s="157">
        <v>41607.0</v>
      </c>
      <c r="E20" s="157">
        <v>41906.0</v>
      </c>
      <c r="F20" s="79" t="s">
        <v>79</v>
      </c>
      <c r="G20" s="167">
        <v>18200.0</v>
      </c>
      <c r="H20" s="114">
        <v>60.7</v>
      </c>
      <c r="I20" s="123">
        <v>381.0</v>
      </c>
      <c r="J20" s="159" t="s">
        <v>104</v>
      </c>
      <c r="K20" s="121">
        <v>384.85</v>
      </c>
      <c r="L20" s="120" t="s">
        <v>195</v>
      </c>
      <c r="M20" s="120" t="s">
        <v>196</v>
      </c>
      <c r="N20" s="123">
        <v>2100.0</v>
      </c>
      <c r="O20" s="124">
        <v>18200.0</v>
      </c>
      <c r="P20" s="124">
        <v>300.0</v>
      </c>
      <c r="Q20" s="133">
        <v>248.0</v>
      </c>
      <c r="R20" s="125">
        <v>399.0</v>
      </c>
      <c r="S20" s="126">
        <v>0.9645</v>
      </c>
      <c r="T20" s="127">
        <v>74748.75</v>
      </c>
      <c r="U20" s="128">
        <f t="shared" si="1"/>
        <v>0</v>
      </c>
      <c r="V20" s="79" t="s">
        <v>64</v>
      </c>
      <c r="W20" s="79" t="s">
        <v>64</v>
      </c>
      <c r="X20" s="79" t="s">
        <v>68</v>
      </c>
      <c r="Y20" s="130"/>
      <c r="Z20" s="111"/>
      <c r="AA20" s="133"/>
      <c r="AB20" s="133"/>
      <c r="AC20" s="133"/>
      <c r="AD20" s="133"/>
      <c r="AE20" s="133"/>
      <c r="AF20" s="111"/>
      <c r="AG20" s="147" t="s">
        <v>198</v>
      </c>
      <c r="AH20" s="73"/>
      <c r="AI20" s="135"/>
      <c r="AJ20" s="136"/>
      <c r="AK20" s="76"/>
      <c r="AL20" s="137"/>
      <c r="AM20" s="139" t="s">
        <v>71</v>
      </c>
      <c r="AN20" s="139">
        <v>300.0</v>
      </c>
      <c r="AO20" s="140">
        <v>59.31</v>
      </c>
      <c r="AP20" s="142">
        <v>18200.0</v>
      </c>
      <c r="AQ20" s="142">
        <v>248.0</v>
      </c>
      <c r="AR20" s="143"/>
      <c r="AS20" s="144">
        <v>0.9742442770977936</v>
      </c>
      <c r="AT20" s="144">
        <v>-0.009744277097793574</v>
      </c>
      <c r="AU20" s="146" t="s">
        <v>200</v>
      </c>
      <c r="AV20" s="146" t="s">
        <v>200</v>
      </c>
      <c r="AW20" s="148" t="s">
        <v>200</v>
      </c>
      <c r="AX20" s="151"/>
      <c r="AY20" s="105"/>
      <c r="AZ20" s="153"/>
      <c r="BA20" s="153"/>
      <c r="BB20" s="146"/>
      <c r="BC20" s="155"/>
      <c r="BD20" s="155"/>
      <c r="BE20" s="155"/>
      <c r="BF20" s="45"/>
    </row>
    <row r="21" ht="16.5" customHeight="1">
      <c r="A21" s="111">
        <v>18.0</v>
      </c>
      <c r="B21" s="165" t="s">
        <v>201</v>
      </c>
      <c r="C21" s="115" t="s">
        <v>60</v>
      </c>
      <c r="D21" s="117">
        <v>41724.0</v>
      </c>
      <c r="E21" s="157">
        <v>41906.0</v>
      </c>
      <c r="F21" s="79" t="s">
        <v>79</v>
      </c>
      <c r="G21" s="167">
        <v>19800.0</v>
      </c>
      <c r="H21" s="114">
        <v>108.2</v>
      </c>
      <c r="I21" s="123">
        <v>385.0</v>
      </c>
      <c r="J21" s="111" t="s">
        <v>62</v>
      </c>
      <c r="K21" s="121">
        <v>385.0</v>
      </c>
      <c r="L21" s="120" t="s">
        <v>63</v>
      </c>
      <c r="M21" s="120"/>
      <c r="N21" s="123"/>
      <c r="O21" s="124">
        <v>19800.0</v>
      </c>
      <c r="P21" s="124">
        <v>183.0</v>
      </c>
      <c r="Q21" s="133">
        <v>163.0</v>
      </c>
      <c r="R21" s="125">
        <v>399.0</v>
      </c>
      <c r="S21" s="126">
        <v>0.9649</v>
      </c>
      <c r="T21" s="127">
        <v>74779.75</v>
      </c>
      <c r="U21" s="128">
        <f t="shared" si="1"/>
        <v>0</v>
      </c>
      <c r="V21" s="79" t="s">
        <v>69</v>
      </c>
      <c r="W21" s="79" t="s">
        <v>66</v>
      </c>
      <c r="X21" s="79" t="s">
        <v>68</v>
      </c>
      <c r="Y21" s="130"/>
      <c r="Z21" s="111"/>
      <c r="AA21" s="133"/>
      <c r="AB21" s="133"/>
      <c r="AC21" s="133"/>
      <c r="AD21" s="133"/>
      <c r="AE21" s="133"/>
      <c r="AF21" s="111"/>
      <c r="AG21" s="147" t="s">
        <v>111</v>
      </c>
      <c r="AH21" s="73"/>
      <c r="AI21" s="135"/>
      <c r="AJ21" s="136"/>
      <c r="AK21" s="76"/>
      <c r="AL21" s="137"/>
      <c r="AM21" s="139" t="s">
        <v>71</v>
      </c>
      <c r="AN21" s="139">
        <v>183.0</v>
      </c>
      <c r="AO21" s="140">
        <v>42.4</v>
      </c>
      <c r="AP21" s="142">
        <v>19800.0</v>
      </c>
      <c r="AQ21" s="142">
        <v>163.0</v>
      </c>
      <c r="AR21" s="143"/>
      <c r="AS21" s="144">
        <v>0.9727691930024832</v>
      </c>
      <c r="AT21" s="144">
        <v>-0.007869193002483232</v>
      </c>
      <c r="AU21" s="146" t="s">
        <v>205</v>
      </c>
      <c r="AV21" s="146" t="s">
        <v>205</v>
      </c>
      <c r="AW21" s="148" t="s">
        <v>205</v>
      </c>
      <c r="AX21" s="151"/>
      <c r="AY21" s="105"/>
      <c r="AZ21" s="153"/>
      <c r="BA21" s="153"/>
      <c r="BB21" s="146"/>
      <c r="BC21" s="155"/>
      <c r="BD21" s="155"/>
      <c r="BE21" s="155"/>
      <c r="BF21" s="45"/>
    </row>
    <row r="22" ht="16.5" customHeight="1">
      <c r="A22" s="111">
        <v>19.0</v>
      </c>
      <c r="B22" s="165" t="s">
        <v>207</v>
      </c>
      <c r="C22" s="115" t="s">
        <v>60</v>
      </c>
      <c r="D22" s="157">
        <v>41619.0</v>
      </c>
      <c r="E22" s="157">
        <v>41906.0</v>
      </c>
      <c r="F22" s="79" t="s">
        <v>79</v>
      </c>
      <c r="G22" s="167">
        <v>33598.0</v>
      </c>
      <c r="H22" s="114">
        <v>116.7</v>
      </c>
      <c r="I22" s="123">
        <v>384.0</v>
      </c>
      <c r="J22" s="111" t="s">
        <v>61</v>
      </c>
      <c r="K22" s="121">
        <v>388.86</v>
      </c>
      <c r="L22" s="120" t="s">
        <v>63</v>
      </c>
      <c r="M22" s="120"/>
      <c r="N22" s="123"/>
      <c r="O22" s="124">
        <v>33598.0</v>
      </c>
      <c r="P22" s="124">
        <v>288.0</v>
      </c>
      <c r="Q22" s="133">
        <v>202.0</v>
      </c>
      <c r="R22" s="125">
        <v>399.0</v>
      </c>
      <c r="S22" s="126">
        <v>0.9746</v>
      </c>
      <c r="T22" s="127">
        <v>75531.5</v>
      </c>
      <c r="U22" s="128">
        <f t="shared" si="1"/>
        <v>0</v>
      </c>
      <c r="V22" s="79" t="s">
        <v>65</v>
      </c>
      <c r="W22" s="79" t="s">
        <v>64</v>
      </c>
      <c r="X22" s="79" t="s">
        <v>66</v>
      </c>
      <c r="Y22" s="130"/>
      <c r="Z22" s="111"/>
      <c r="AA22" s="133"/>
      <c r="AB22" s="133"/>
      <c r="AC22" s="133"/>
      <c r="AD22" s="133"/>
      <c r="AE22" s="133"/>
      <c r="AF22" s="111"/>
      <c r="AG22" s="147"/>
      <c r="AH22" s="73"/>
      <c r="AI22" s="135"/>
      <c r="AJ22" s="136"/>
      <c r="AK22" s="76"/>
      <c r="AL22" s="137"/>
      <c r="AM22" s="139" t="s">
        <v>71</v>
      </c>
      <c r="AN22" s="139">
        <v>288.0</v>
      </c>
      <c r="AO22" s="140">
        <v>88.71</v>
      </c>
      <c r="AP22" s="142">
        <v>33598.0</v>
      </c>
      <c r="AQ22" s="142">
        <v>202.0</v>
      </c>
      <c r="AR22" s="143"/>
      <c r="AS22" s="144">
        <v>0.9631368227715489</v>
      </c>
      <c r="AT22" s="144">
        <v>0.011463177228451138</v>
      </c>
      <c r="AU22" s="146" t="s">
        <v>211</v>
      </c>
      <c r="AV22" s="146" t="s">
        <v>211</v>
      </c>
      <c r="AW22" s="148" t="s">
        <v>211</v>
      </c>
      <c r="AX22" s="151"/>
      <c r="AY22" s="105"/>
      <c r="AZ22" s="153"/>
      <c r="BA22" s="153"/>
      <c r="BB22" s="146"/>
      <c r="BC22" s="155"/>
      <c r="BD22" s="155"/>
      <c r="BE22" s="155"/>
      <c r="BF22" s="45"/>
    </row>
    <row r="23" ht="16.5" customHeight="1">
      <c r="A23" s="111">
        <v>20.0</v>
      </c>
      <c r="B23" s="165" t="s">
        <v>212</v>
      </c>
      <c r="C23" s="115" t="s">
        <v>60</v>
      </c>
      <c r="D23" s="157">
        <v>41543.0</v>
      </c>
      <c r="E23" s="157">
        <v>41906.0</v>
      </c>
      <c r="F23" s="79" t="s">
        <v>59</v>
      </c>
      <c r="G23" s="167">
        <v>49600.0</v>
      </c>
      <c r="H23" s="114">
        <v>136.3</v>
      </c>
      <c r="I23" s="123">
        <v>386.0</v>
      </c>
      <c r="J23" s="159" t="s">
        <v>104</v>
      </c>
      <c r="K23" s="121">
        <v>389.9</v>
      </c>
      <c r="L23" s="120" t="s">
        <v>63</v>
      </c>
      <c r="M23" s="120"/>
      <c r="N23" s="123"/>
      <c r="O23" s="124">
        <v>49600.0</v>
      </c>
      <c r="P23" s="124">
        <v>364.0</v>
      </c>
      <c r="Q23" s="133">
        <v>221.0</v>
      </c>
      <c r="R23" s="125">
        <v>399.0</v>
      </c>
      <c r="S23" s="126">
        <v>0.9772</v>
      </c>
      <c r="T23" s="127">
        <v>75733.0</v>
      </c>
      <c r="U23" s="128">
        <f t="shared" si="1"/>
        <v>0</v>
      </c>
      <c r="V23" s="79" t="s">
        <v>65</v>
      </c>
      <c r="W23" s="79" t="s">
        <v>64</v>
      </c>
      <c r="X23" s="79" t="s">
        <v>68</v>
      </c>
      <c r="Y23" s="130"/>
      <c r="Z23" s="111"/>
      <c r="AA23" s="133"/>
      <c r="AB23" s="133"/>
      <c r="AC23" s="133"/>
      <c r="AD23" s="133"/>
      <c r="AE23" s="133"/>
      <c r="AF23" s="111"/>
      <c r="AG23" s="147"/>
      <c r="AH23" s="73"/>
      <c r="AI23" s="135"/>
      <c r="AJ23" s="136"/>
      <c r="AK23" s="76"/>
      <c r="AL23" s="137"/>
      <c r="AM23" s="139" t="s">
        <v>71</v>
      </c>
      <c r="AN23" s="139">
        <v>364.0</v>
      </c>
      <c r="AO23" s="140">
        <v>143.09</v>
      </c>
      <c r="AP23" s="142">
        <v>49600.0</v>
      </c>
      <c r="AQ23" s="142">
        <v>221.0</v>
      </c>
      <c r="AR23" s="143"/>
      <c r="AS23" s="144">
        <v>0.9563164141173696</v>
      </c>
      <c r="AT23" s="144">
        <v>0.020883585882630396</v>
      </c>
      <c r="AU23" s="146" t="s">
        <v>217</v>
      </c>
      <c r="AV23" s="146" t="s">
        <v>217</v>
      </c>
      <c r="AW23" s="148" t="s">
        <v>217</v>
      </c>
      <c r="AX23" s="151"/>
      <c r="AY23" s="105"/>
      <c r="AZ23" s="153"/>
      <c r="BA23" s="153"/>
      <c r="BB23" s="146"/>
      <c r="BC23" s="155"/>
      <c r="BD23" s="155"/>
      <c r="BE23" s="155"/>
      <c r="BF23" s="45"/>
    </row>
    <row r="24" ht="16.5" customHeight="1">
      <c r="A24" s="111">
        <v>21.0</v>
      </c>
      <c r="B24" s="165" t="s">
        <v>218</v>
      </c>
      <c r="C24" s="115" t="s">
        <v>60</v>
      </c>
      <c r="D24" s="117">
        <v>41601.0</v>
      </c>
      <c r="E24" s="157">
        <v>41906.0</v>
      </c>
      <c r="F24" s="79" t="s">
        <v>59</v>
      </c>
      <c r="G24" s="167">
        <v>17800.0</v>
      </c>
      <c r="H24" s="114">
        <v>58.2</v>
      </c>
      <c r="I24" s="123">
        <v>386.0</v>
      </c>
      <c r="J24" s="159" t="s">
        <v>104</v>
      </c>
      <c r="K24" s="121">
        <v>389.9</v>
      </c>
      <c r="L24" s="120" t="s">
        <v>63</v>
      </c>
      <c r="M24" s="120"/>
      <c r="N24" s="123"/>
      <c r="O24" s="124">
        <v>17800.0</v>
      </c>
      <c r="P24" s="124">
        <v>306.0</v>
      </c>
      <c r="Q24" s="133">
        <v>219.0</v>
      </c>
      <c r="R24" s="125">
        <v>399.0</v>
      </c>
      <c r="S24" s="126">
        <v>0.9772</v>
      </c>
      <c r="T24" s="127">
        <v>75733.0</v>
      </c>
      <c r="U24" s="128">
        <f t="shared" si="1"/>
        <v>0</v>
      </c>
      <c r="V24" s="79" t="s">
        <v>64</v>
      </c>
      <c r="W24" s="79" t="s">
        <v>64</v>
      </c>
      <c r="X24" s="79" t="s">
        <v>68</v>
      </c>
      <c r="Y24" s="130"/>
      <c r="Z24" s="111"/>
      <c r="AA24" s="133"/>
      <c r="AB24" s="133"/>
      <c r="AC24" s="133"/>
      <c r="AD24" s="133"/>
      <c r="AE24" s="133"/>
      <c r="AF24" s="111"/>
      <c r="AG24" s="134" t="s">
        <v>223</v>
      </c>
      <c r="AH24" s="73"/>
      <c r="AI24" s="135"/>
      <c r="AJ24" s="136"/>
      <c r="AK24" s="76"/>
      <c r="AL24" s="137"/>
      <c r="AM24" s="139" t="s">
        <v>71</v>
      </c>
      <c r="AN24" s="139">
        <v>306.0</v>
      </c>
      <c r="AO24" s="140">
        <v>50.89</v>
      </c>
      <c r="AP24" s="142">
        <v>17800.0</v>
      </c>
      <c r="AQ24" s="142">
        <v>219.0</v>
      </c>
      <c r="AR24" s="143"/>
      <c r="AS24" s="144">
        <v>0.9746277683187956</v>
      </c>
      <c r="AT24" s="144">
        <v>0.002572231681204351</v>
      </c>
      <c r="AU24" s="146" t="s">
        <v>224</v>
      </c>
      <c r="AV24" s="146" t="s">
        <v>224</v>
      </c>
      <c r="AW24" s="148" t="s">
        <v>224</v>
      </c>
      <c r="AX24" s="151"/>
      <c r="AY24" s="105"/>
      <c r="AZ24" s="153"/>
      <c r="BA24" s="153"/>
      <c r="BB24" s="146"/>
      <c r="BC24" s="155"/>
      <c r="BD24" s="155"/>
      <c r="BE24" s="155"/>
      <c r="BF24" s="45"/>
    </row>
    <row r="25" ht="16.5" customHeight="1">
      <c r="A25" s="111">
        <v>22.0</v>
      </c>
      <c r="B25" s="165" t="s">
        <v>225</v>
      </c>
      <c r="C25" s="115" t="s">
        <v>60</v>
      </c>
      <c r="D25" s="157">
        <v>41591.0</v>
      </c>
      <c r="E25" s="157">
        <v>41907.0</v>
      </c>
      <c r="F25" s="79" t="s">
        <v>109</v>
      </c>
      <c r="G25" s="167">
        <v>15300.0</v>
      </c>
      <c r="H25" s="114">
        <v>48.3</v>
      </c>
      <c r="I25" s="123">
        <v>285.0</v>
      </c>
      <c r="J25" s="159" t="s">
        <v>104</v>
      </c>
      <c r="K25" s="121">
        <v>287.88</v>
      </c>
      <c r="L25" s="120" t="s">
        <v>63</v>
      </c>
      <c r="M25" s="120"/>
      <c r="N25" s="123"/>
      <c r="O25" s="124">
        <v>15300.0</v>
      </c>
      <c r="P25" s="124">
        <v>317.0</v>
      </c>
      <c r="Q25" s="133">
        <v>231.0</v>
      </c>
      <c r="R25" s="125">
        <v>289.0</v>
      </c>
      <c r="S25" s="126">
        <v>0.9961</v>
      </c>
      <c r="T25" s="127">
        <v>58271.85</v>
      </c>
      <c r="U25" s="128">
        <f t="shared" si="1"/>
        <v>0</v>
      </c>
      <c r="V25" s="79" t="s">
        <v>69</v>
      </c>
      <c r="W25" s="79" t="s">
        <v>66</v>
      </c>
      <c r="X25" s="79" t="s">
        <v>68</v>
      </c>
      <c r="Y25" s="130"/>
      <c r="Z25" s="111"/>
      <c r="AA25" s="183"/>
      <c r="AB25" s="133"/>
      <c r="AC25" s="133"/>
      <c r="AD25" s="133"/>
      <c r="AE25" s="133"/>
      <c r="AF25" s="111"/>
      <c r="AG25" s="147" t="s">
        <v>229</v>
      </c>
      <c r="AH25" s="73"/>
      <c r="AI25" s="135"/>
      <c r="AJ25" s="136"/>
      <c r="AK25" s="76"/>
      <c r="AL25" s="137"/>
      <c r="AM25" s="139" t="s">
        <v>71</v>
      </c>
      <c r="AN25" s="139">
        <v>317.0</v>
      </c>
      <c r="AO25" s="140">
        <v>60.55</v>
      </c>
      <c r="AP25" s="142">
        <v>15300.0</v>
      </c>
      <c r="AQ25" s="142">
        <v>231.0</v>
      </c>
      <c r="AR25" s="143"/>
      <c r="AS25" s="144">
        <v>0.9771678072650881</v>
      </c>
      <c r="AT25" s="144">
        <v>0.018932192734911868</v>
      </c>
      <c r="AU25" s="146" t="s">
        <v>230</v>
      </c>
      <c r="AV25" s="146" t="s">
        <v>230</v>
      </c>
      <c r="AW25" s="148" t="s">
        <v>230</v>
      </c>
      <c r="AX25" s="151"/>
      <c r="AY25" s="105"/>
      <c r="AZ25" s="153"/>
      <c r="BA25" s="153"/>
      <c r="BB25" s="146"/>
      <c r="BC25" s="155"/>
      <c r="BD25" s="155"/>
      <c r="BE25" s="155"/>
      <c r="BF25" s="45"/>
    </row>
    <row r="26" ht="16.5" customHeight="1">
      <c r="A26" s="111">
        <v>23.0</v>
      </c>
      <c r="B26" s="165" t="s">
        <v>231</v>
      </c>
      <c r="C26" s="115" t="s">
        <v>60</v>
      </c>
      <c r="D26" s="157">
        <v>41536.0</v>
      </c>
      <c r="E26" s="157">
        <v>41907.0</v>
      </c>
      <c r="F26" s="79" t="s">
        <v>59</v>
      </c>
      <c r="G26" s="167">
        <v>39200.0</v>
      </c>
      <c r="H26" s="114">
        <v>105.4</v>
      </c>
      <c r="I26" s="123">
        <v>385.0</v>
      </c>
      <c r="J26" s="111" t="s">
        <v>62</v>
      </c>
      <c r="K26" s="121">
        <v>385.0</v>
      </c>
      <c r="L26" s="120" t="s">
        <v>63</v>
      </c>
      <c r="M26" s="120"/>
      <c r="N26" s="123"/>
      <c r="O26" s="124">
        <v>39200.0</v>
      </c>
      <c r="P26" s="124">
        <v>372.0</v>
      </c>
      <c r="Q26" s="133">
        <v>204.0</v>
      </c>
      <c r="R26" s="125">
        <v>399.0</v>
      </c>
      <c r="S26" s="126">
        <v>0.9649</v>
      </c>
      <c r="T26" s="127">
        <v>74779.75</v>
      </c>
      <c r="U26" s="128">
        <f t="shared" si="1"/>
        <v>0</v>
      </c>
      <c r="V26" s="79" t="s">
        <v>65</v>
      </c>
      <c r="W26" s="79" t="s">
        <v>65</v>
      </c>
      <c r="X26" s="79" t="s">
        <v>68</v>
      </c>
      <c r="Y26" s="130"/>
      <c r="Z26" s="111"/>
      <c r="AA26" s="133"/>
      <c r="AB26" s="133"/>
      <c r="AC26" s="133"/>
      <c r="AD26" s="133"/>
      <c r="AE26" s="133"/>
      <c r="AF26" s="111"/>
      <c r="AG26" s="147" t="s">
        <v>128</v>
      </c>
      <c r="AH26" s="73"/>
      <c r="AI26" s="135"/>
      <c r="AJ26" s="136"/>
      <c r="AK26" s="76"/>
      <c r="AL26" s="137"/>
      <c r="AM26" s="139" t="s">
        <v>71</v>
      </c>
      <c r="AN26" s="139">
        <v>372.0</v>
      </c>
      <c r="AO26" s="140">
        <v>105.04</v>
      </c>
      <c r="AP26" s="142">
        <v>39200.0</v>
      </c>
      <c r="AQ26" s="142">
        <v>204.0</v>
      </c>
      <c r="AR26" s="143"/>
      <c r="AS26" s="144">
        <v>0.9603684368780796</v>
      </c>
      <c r="AT26" s="144">
        <v>0.004531563121920379</v>
      </c>
      <c r="AU26" s="146" t="s">
        <v>236</v>
      </c>
      <c r="AV26" s="146" t="s">
        <v>236</v>
      </c>
      <c r="AW26" s="148" t="s">
        <v>236</v>
      </c>
      <c r="AX26" s="151"/>
      <c r="AY26" s="105"/>
      <c r="AZ26" s="153"/>
      <c r="BA26" s="153"/>
      <c r="BB26" s="146"/>
      <c r="BC26" s="155"/>
      <c r="BD26" s="155"/>
      <c r="BE26" s="155"/>
      <c r="BF26" s="45"/>
    </row>
    <row r="27" ht="16.5" customHeight="1">
      <c r="A27" s="111">
        <v>24.0</v>
      </c>
      <c r="B27" s="165" t="s">
        <v>237</v>
      </c>
      <c r="C27" s="115" t="s">
        <v>60</v>
      </c>
      <c r="D27" s="157">
        <v>41591.0</v>
      </c>
      <c r="E27" s="157">
        <v>41907.0</v>
      </c>
      <c r="F27" s="79" t="s">
        <v>57</v>
      </c>
      <c r="G27" s="167">
        <v>21530.0</v>
      </c>
      <c r="H27" s="114">
        <v>67.9</v>
      </c>
      <c r="I27" s="123">
        <v>388.0</v>
      </c>
      <c r="J27" s="111" t="s">
        <v>62</v>
      </c>
      <c r="K27" s="121">
        <v>388.0</v>
      </c>
      <c r="L27" s="120" t="s">
        <v>63</v>
      </c>
      <c r="M27" s="120"/>
      <c r="N27" s="123"/>
      <c r="O27" s="124">
        <v>21530.0</v>
      </c>
      <c r="P27" s="124">
        <v>317.0</v>
      </c>
      <c r="Q27" s="133">
        <v>225.0</v>
      </c>
      <c r="R27" s="125">
        <v>399.0</v>
      </c>
      <c r="S27" s="126">
        <v>0.9724</v>
      </c>
      <c r="T27" s="127">
        <v>75361.0</v>
      </c>
      <c r="U27" s="128">
        <f t="shared" si="1"/>
        <v>0</v>
      </c>
      <c r="V27" s="79" t="s">
        <v>64</v>
      </c>
      <c r="W27" s="79" t="s">
        <v>64</v>
      </c>
      <c r="X27" s="79" t="s">
        <v>69</v>
      </c>
      <c r="Y27" s="130"/>
      <c r="Z27" s="111"/>
      <c r="AA27" s="133"/>
      <c r="AB27" s="133"/>
      <c r="AC27" s="133"/>
      <c r="AD27" s="133"/>
      <c r="AE27" s="133"/>
      <c r="AF27" s="111"/>
      <c r="AG27" s="147" t="s">
        <v>239</v>
      </c>
      <c r="AH27" s="73"/>
      <c r="AI27" s="135"/>
      <c r="AJ27" s="136"/>
      <c r="AK27" s="76"/>
      <c r="AL27" s="137"/>
      <c r="AM27" s="139" t="s">
        <v>71</v>
      </c>
      <c r="AN27" s="139">
        <v>317.0</v>
      </c>
      <c r="AO27" s="140">
        <v>63.39</v>
      </c>
      <c r="AP27" s="142">
        <v>21530.0</v>
      </c>
      <c r="AQ27" s="142">
        <v>225.0</v>
      </c>
      <c r="AR27" s="143"/>
      <c r="AS27" s="144">
        <v>0.9712742530082406</v>
      </c>
      <c r="AT27" s="144">
        <v>0.0011257469917594909</v>
      </c>
      <c r="AU27" s="146" t="s">
        <v>240</v>
      </c>
      <c r="AV27" s="146" t="s">
        <v>240</v>
      </c>
      <c r="AW27" s="148" t="s">
        <v>240</v>
      </c>
      <c r="AX27" s="151"/>
      <c r="AY27" s="105"/>
      <c r="AZ27" s="153"/>
      <c r="BA27" s="153"/>
      <c r="BB27" s="146"/>
      <c r="BC27" s="155"/>
      <c r="BD27" s="155"/>
      <c r="BE27" s="155"/>
      <c r="BF27" s="45"/>
    </row>
    <row r="28" ht="16.5" customHeight="1">
      <c r="A28" s="111">
        <v>25.0</v>
      </c>
      <c r="B28" s="165" t="s">
        <v>241</v>
      </c>
      <c r="C28" s="115" t="s">
        <v>60</v>
      </c>
      <c r="D28" s="157">
        <v>41810.0</v>
      </c>
      <c r="E28" s="157">
        <v>41907.0</v>
      </c>
      <c r="F28" s="79" t="s">
        <v>59</v>
      </c>
      <c r="G28" s="167">
        <v>8598.0</v>
      </c>
      <c r="H28" s="114">
        <v>87.7</v>
      </c>
      <c r="I28" s="123">
        <v>388.0</v>
      </c>
      <c r="J28" s="159" t="s">
        <v>104</v>
      </c>
      <c r="K28" s="121">
        <v>391.92</v>
      </c>
      <c r="L28" s="120" t="s">
        <v>63</v>
      </c>
      <c r="M28" s="120"/>
      <c r="N28" s="123"/>
      <c r="O28" s="124">
        <v>8598.0</v>
      </c>
      <c r="P28" s="124">
        <v>98.0</v>
      </c>
      <c r="Q28" s="133">
        <v>235.0</v>
      </c>
      <c r="R28" s="125">
        <v>399.0</v>
      </c>
      <c r="S28" s="126">
        <v>0.9823</v>
      </c>
      <c r="T28" s="127">
        <v>76128.25</v>
      </c>
      <c r="U28" s="128">
        <f t="shared" si="1"/>
        <v>0</v>
      </c>
      <c r="V28" s="79" t="s">
        <v>69</v>
      </c>
      <c r="W28" s="79" t="s">
        <v>69</v>
      </c>
      <c r="X28" s="79" t="s">
        <v>68</v>
      </c>
      <c r="Y28" s="130"/>
      <c r="Z28" s="111"/>
      <c r="AA28" s="133"/>
      <c r="AB28" s="133"/>
      <c r="AC28" s="133"/>
      <c r="AD28" s="133"/>
      <c r="AE28" s="133"/>
      <c r="AF28" s="111"/>
      <c r="AG28" s="147"/>
      <c r="AH28" s="73"/>
      <c r="AI28" s="135"/>
      <c r="AJ28" s="136"/>
      <c r="AK28" s="76"/>
      <c r="AL28" s="137"/>
      <c r="AM28" s="139" t="s">
        <v>71</v>
      </c>
      <c r="AN28" s="139">
        <v>98.0</v>
      </c>
      <c r="AO28" s="140">
        <v>26.31</v>
      </c>
      <c r="AP28" s="142">
        <v>8598.0</v>
      </c>
      <c r="AQ28" s="142">
        <v>235.0</v>
      </c>
      <c r="AR28" s="143"/>
      <c r="AS28" s="144">
        <v>0.9853993436188393</v>
      </c>
      <c r="AT28" s="144">
        <v>-0.0030993436188393453</v>
      </c>
      <c r="AU28" s="146" t="s">
        <v>245</v>
      </c>
      <c r="AV28" s="146" t="s">
        <v>245</v>
      </c>
      <c r="AW28" s="148" t="s">
        <v>245</v>
      </c>
      <c r="AX28" s="151"/>
      <c r="AY28" s="105"/>
      <c r="AZ28" s="186"/>
      <c r="BA28" s="186"/>
      <c r="BB28" s="146"/>
      <c r="BC28" s="155"/>
      <c r="BD28" s="155"/>
      <c r="BE28" s="155"/>
      <c r="BF28" s="45"/>
    </row>
    <row r="29" ht="16.5" customHeight="1">
      <c r="A29" s="111">
        <v>26.0</v>
      </c>
      <c r="B29" s="165" t="s">
        <v>246</v>
      </c>
      <c r="C29" s="115" t="s">
        <v>60</v>
      </c>
      <c r="D29" s="157">
        <v>41795.0</v>
      </c>
      <c r="E29" s="117">
        <v>41908.0</v>
      </c>
      <c r="F29" s="79" t="s">
        <v>59</v>
      </c>
      <c r="G29" s="118">
        <v>4397.0</v>
      </c>
      <c r="H29" s="114">
        <v>38.6</v>
      </c>
      <c r="I29" s="120">
        <v>392.0</v>
      </c>
      <c r="J29" s="111" t="s">
        <v>61</v>
      </c>
      <c r="K29" s="121">
        <v>396.96</v>
      </c>
      <c r="L29" s="120" t="s">
        <v>63</v>
      </c>
      <c r="M29" s="120"/>
      <c r="N29" s="123"/>
      <c r="O29" s="124">
        <v>4397.0</v>
      </c>
      <c r="P29" s="124">
        <v>114.0</v>
      </c>
      <c r="Q29" s="111">
        <v>215.0</v>
      </c>
      <c r="R29" s="125">
        <v>399.0</v>
      </c>
      <c r="S29" s="126">
        <v>0.9949</v>
      </c>
      <c r="T29" s="127">
        <v>77104.75</v>
      </c>
      <c r="U29" s="128">
        <f t="shared" si="1"/>
        <v>0</v>
      </c>
      <c r="V29" s="79" t="s">
        <v>68</v>
      </c>
      <c r="W29" s="79" t="s">
        <v>64</v>
      </c>
      <c r="X29" s="79" t="s">
        <v>68</v>
      </c>
      <c r="Y29" s="130"/>
      <c r="Z29" s="111"/>
      <c r="AA29" s="111"/>
      <c r="AB29" s="111"/>
      <c r="AC29" s="133"/>
      <c r="AD29" s="133"/>
      <c r="AE29" s="133"/>
      <c r="AF29" s="111"/>
      <c r="AG29" s="147" t="s">
        <v>111</v>
      </c>
      <c r="AH29" s="73"/>
      <c r="AI29" s="135"/>
      <c r="AJ29" s="136"/>
      <c r="AK29" s="76"/>
      <c r="AL29" s="137"/>
      <c r="AM29" s="139" t="s">
        <v>71</v>
      </c>
      <c r="AN29" s="139">
        <v>114.0</v>
      </c>
      <c r="AO29" s="140">
        <v>12.23</v>
      </c>
      <c r="AP29" s="142">
        <v>4397.0</v>
      </c>
      <c r="AQ29" s="142">
        <v>215.0</v>
      </c>
      <c r="AR29" s="143"/>
      <c r="AS29" s="144">
        <v>0.9918648680916388</v>
      </c>
      <c r="AT29" s="144">
        <v>0.003035131908361244</v>
      </c>
      <c r="AU29" s="146" t="s">
        <v>254</v>
      </c>
      <c r="AV29" s="146" t="s">
        <v>254</v>
      </c>
      <c r="AW29" s="148" t="s">
        <v>254</v>
      </c>
      <c r="AX29" s="151"/>
      <c r="AY29" s="105"/>
      <c r="AZ29" s="186"/>
      <c r="BA29" s="186"/>
      <c r="BB29" s="146"/>
      <c r="BC29" s="155"/>
      <c r="BD29" s="155"/>
      <c r="BE29" s="155"/>
      <c r="BF29" s="45"/>
    </row>
    <row r="30" ht="16.5" customHeight="1">
      <c r="A30" s="111">
        <v>27.0</v>
      </c>
      <c r="B30" s="165" t="s">
        <v>255</v>
      </c>
      <c r="C30" s="115" t="s">
        <v>60</v>
      </c>
      <c r="D30" s="157">
        <v>41612.0</v>
      </c>
      <c r="E30" s="157">
        <v>41908.0</v>
      </c>
      <c r="F30" s="174" t="s">
        <v>103</v>
      </c>
      <c r="G30" s="167">
        <v>24000.0</v>
      </c>
      <c r="H30" s="114">
        <v>80.8</v>
      </c>
      <c r="I30" s="123">
        <v>382.0</v>
      </c>
      <c r="J30" s="159" t="s">
        <v>104</v>
      </c>
      <c r="K30" s="121">
        <v>385.86</v>
      </c>
      <c r="L30" s="120" t="s">
        <v>63</v>
      </c>
      <c r="M30" s="120"/>
      <c r="N30" s="123"/>
      <c r="O30" s="124">
        <v>24000.0</v>
      </c>
      <c r="P30" s="124">
        <v>297.0</v>
      </c>
      <c r="Q30" s="133">
        <v>207.0</v>
      </c>
      <c r="R30" s="125">
        <v>400.0</v>
      </c>
      <c r="S30" s="126">
        <v>0.9647</v>
      </c>
      <c r="T30" s="127">
        <v>74764.25</v>
      </c>
      <c r="U30" s="128">
        <f t="shared" si="1"/>
        <v>0</v>
      </c>
      <c r="V30" s="79" t="s">
        <v>64</v>
      </c>
      <c r="W30" s="79" t="s">
        <v>64</v>
      </c>
      <c r="X30" s="79" t="s">
        <v>69</v>
      </c>
      <c r="Y30" s="130"/>
      <c r="Z30" s="111"/>
      <c r="AA30" s="133"/>
      <c r="AB30" s="133"/>
      <c r="AC30" s="133"/>
      <c r="AD30" s="133"/>
      <c r="AE30" s="133"/>
      <c r="AF30" s="111"/>
      <c r="AG30" s="147"/>
      <c r="AH30" s="73"/>
      <c r="AI30" s="135"/>
      <c r="AJ30" s="136"/>
      <c r="AK30" s="76"/>
      <c r="AL30" s="137"/>
      <c r="AM30" s="139" t="s">
        <v>71</v>
      </c>
      <c r="AN30" s="139">
        <v>297.0</v>
      </c>
      <c r="AO30" s="140">
        <v>65.27</v>
      </c>
      <c r="AP30" s="142">
        <v>24000.0</v>
      </c>
      <c r="AQ30" s="142">
        <v>207.0</v>
      </c>
      <c r="AR30" s="143"/>
      <c r="AS30" s="144">
        <v>0.9693042817125319</v>
      </c>
      <c r="AT30" s="144">
        <v>-0.00460428171253191</v>
      </c>
      <c r="AU30" s="146" t="s">
        <v>259</v>
      </c>
      <c r="AV30" s="146" t="s">
        <v>259</v>
      </c>
      <c r="AW30" s="148" t="s">
        <v>259</v>
      </c>
      <c r="AX30" s="151"/>
      <c r="AY30" s="105"/>
      <c r="AZ30" s="186"/>
      <c r="BA30" s="186"/>
      <c r="BB30" s="146"/>
      <c r="BC30" s="155"/>
      <c r="BD30" s="155"/>
      <c r="BE30" s="155"/>
      <c r="BF30" s="45"/>
    </row>
    <row r="31" ht="16.5" customHeight="1">
      <c r="A31" s="111">
        <v>28.0</v>
      </c>
      <c r="B31" s="165" t="s">
        <v>261</v>
      </c>
      <c r="C31" s="115" t="s">
        <v>60</v>
      </c>
      <c r="D31" s="157">
        <v>41542.0</v>
      </c>
      <c r="E31" s="157">
        <v>41908.0</v>
      </c>
      <c r="F31" s="174" t="s">
        <v>103</v>
      </c>
      <c r="G31" s="167">
        <v>29481.0</v>
      </c>
      <c r="H31" s="114">
        <v>80.3</v>
      </c>
      <c r="I31" s="123">
        <v>385.0</v>
      </c>
      <c r="J31" s="159" t="s">
        <v>104</v>
      </c>
      <c r="K31" s="121">
        <v>388.89</v>
      </c>
      <c r="L31" s="120" t="s">
        <v>63</v>
      </c>
      <c r="M31" s="120"/>
      <c r="N31" s="123"/>
      <c r="O31" s="124">
        <v>29481.0</v>
      </c>
      <c r="P31" s="124">
        <v>367.0</v>
      </c>
      <c r="Q31" s="133">
        <v>214.0</v>
      </c>
      <c r="R31" s="125">
        <v>400.0</v>
      </c>
      <c r="S31" s="126">
        <v>0.9722</v>
      </c>
      <c r="T31" s="127">
        <v>75345.5</v>
      </c>
      <c r="U31" s="128">
        <f t="shared" si="1"/>
        <v>0</v>
      </c>
      <c r="V31" s="79" t="s">
        <v>69</v>
      </c>
      <c r="W31" s="79" t="s">
        <v>66</v>
      </c>
      <c r="X31" s="79" t="s">
        <v>68</v>
      </c>
      <c r="Y31" s="130"/>
      <c r="Z31" s="111"/>
      <c r="AA31" s="133"/>
      <c r="AB31" s="133"/>
      <c r="AC31" s="133"/>
      <c r="AD31" s="133"/>
      <c r="AE31" s="133"/>
      <c r="AF31" s="111"/>
      <c r="AG31" s="147"/>
      <c r="AH31" s="73"/>
      <c r="AI31" s="135"/>
      <c r="AJ31" s="136"/>
      <c r="AK31" s="76"/>
      <c r="AL31" s="137"/>
      <c r="AM31" s="139" t="s">
        <v>71</v>
      </c>
      <c r="AN31" s="139">
        <v>367.0</v>
      </c>
      <c r="AO31" s="140">
        <v>82.57</v>
      </c>
      <c r="AP31" s="142">
        <v>29481.0</v>
      </c>
      <c r="AQ31" s="142">
        <v>214.0</v>
      </c>
      <c r="AR31" s="143"/>
      <c r="AS31" s="144">
        <v>0.9655273620601813</v>
      </c>
      <c r="AT31" s="144">
        <v>0.006672637939818649</v>
      </c>
      <c r="AU31" s="146" t="s">
        <v>264</v>
      </c>
      <c r="AV31" s="146" t="s">
        <v>264</v>
      </c>
      <c r="AW31" s="148" t="s">
        <v>264</v>
      </c>
      <c r="AX31" s="151"/>
      <c r="AY31" s="105"/>
      <c r="AZ31" s="186"/>
      <c r="BA31" s="186"/>
      <c r="BB31" s="146"/>
      <c r="BC31" s="155"/>
      <c r="BD31" s="155"/>
      <c r="BE31" s="155"/>
      <c r="BF31" s="45"/>
    </row>
    <row r="32" ht="16.5" customHeight="1">
      <c r="A32" s="111">
        <v>29.0</v>
      </c>
      <c r="B32" s="165" t="s">
        <v>265</v>
      </c>
      <c r="C32" s="115" t="s">
        <v>60</v>
      </c>
      <c r="D32" s="157">
        <v>41794.0</v>
      </c>
      <c r="E32" s="157">
        <v>41908.0</v>
      </c>
      <c r="F32" s="79" t="s">
        <v>79</v>
      </c>
      <c r="G32" s="167">
        <v>6548.0</v>
      </c>
      <c r="H32" s="114">
        <v>56.9</v>
      </c>
      <c r="I32" s="123">
        <v>385.0</v>
      </c>
      <c r="J32" s="159" t="s">
        <v>104</v>
      </c>
      <c r="K32" s="121">
        <v>388.89</v>
      </c>
      <c r="L32" s="120" t="s">
        <v>63</v>
      </c>
      <c r="M32" s="120"/>
      <c r="N32" s="123"/>
      <c r="O32" s="124">
        <v>6548.0</v>
      </c>
      <c r="P32" s="124">
        <v>115.0</v>
      </c>
      <c r="Q32" s="133">
        <v>247.0</v>
      </c>
      <c r="R32" s="125">
        <v>399.0</v>
      </c>
      <c r="S32" s="126">
        <v>0.9747</v>
      </c>
      <c r="T32" s="127">
        <v>75539.25</v>
      </c>
      <c r="U32" s="128">
        <f t="shared" si="1"/>
        <v>0</v>
      </c>
      <c r="V32" s="79" t="s">
        <v>66</v>
      </c>
      <c r="W32" s="79" t="s">
        <v>64</v>
      </c>
      <c r="X32" s="79" t="s">
        <v>66</v>
      </c>
      <c r="Y32" s="130"/>
      <c r="Z32" s="111"/>
      <c r="AA32" s="133"/>
      <c r="AB32" s="133"/>
      <c r="AC32" s="133"/>
      <c r="AD32" s="133"/>
      <c r="AE32" s="133"/>
      <c r="AF32" s="111"/>
      <c r="AG32" s="147" t="s">
        <v>269</v>
      </c>
      <c r="AH32" s="73"/>
      <c r="AI32" s="135"/>
      <c r="AJ32" s="136"/>
      <c r="AK32" s="76"/>
      <c r="AL32" s="137"/>
      <c r="AM32" s="139" t="s">
        <v>71</v>
      </c>
      <c r="AN32" s="139">
        <v>115.0</v>
      </c>
      <c r="AO32" s="140">
        <v>21.14</v>
      </c>
      <c r="AP32" s="142">
        <v>6548.0</v>
      </c>
      <c r="AQ32" s="142">
        <v>247.0</v>
      </c>
      <c r="AR32" s="143"/>
      <c r="AS32" s="144">
        <v>0.9884108135467568</v>
      </c>
      <c r="AT32" s="144">
        <v>-0.01371081354675674</v>
      </c>
      <c r="AU32" s="146" t="s">
        <v>271</v>
      </c>
      <c r="AV32" s="146" t="s">
        <v>271</v>
      </c>
      <c r="AW32" s="148" t="s">
        <v>271</v>
      </c>
      <c r="AX32" s="151"/>
      <c r="AY32" s="105"/>
      <c r="AZ32" s="186"/>
      <c r="BA32" s="186"/>
      <c r="BB32" s="146"/>
      <c r="BC32" s="155"/>
      <c r="BD32" s="155"/>
      <c r="BE32" s="155"/>
      <c r="BF32" s="45"/>
    </row>
    <row r="33" ht="16.5" customHeight="1">
      <c r="A33" s="111">
        <v>30.0</v>
      </c>
      <c r="B33" s="165" t="s">
        <v>273</v>
      </c>
      <c r="C33" s="115" t="s">
        <v>60</v>
      </c>
      <c r="D33" s="157">
        <v>41536.0</v>
      </c>
      <c r="E33" s="157">
        <v>41908.0</v>
      </c>
      <c r="F33" s="174" t="s">
        <v>103</v>
      </c>
      <c r="G33" s="167">
        <v>26000.0</v>
      </c>
      <c r="H33" s="114">
        <v>69.7</v>
      </c>
      <c r="I33" s="123">
        <v>388.0</v>
      </c>
      <c r="J33" s="159" t="s">
        <v>104</v>
      </c>
      <c r="K33" s="121">
        <v>391.92</v>
      </c>
      <c r="L33" s="120" t="s">
        <v>63</v>
      </c>
      <c r="M33" s="120"/>
      <c r="N33" s="123"/>
      <c r="O33" s="124">
        <v>26000.0</v>
      </c>
      <c r="P33" s="124">
        <v>373.0</v>
      </c>
      <c r="Q33" s="159">
        <v>218.0</v>
      </c>
      <c r="R33" s="125">
        <v>400.0</v>
      </c>
      <c r="S33" s="126">
        <v>0.9798</v>
      </c>
      <c r="T33" s="127">
        <v>75934.5</v>
      </c>
      <c r="U33" s="128">
        <f t="shared" si="1"/>
        <v>0</v>
      </c>
      <c r="V33" s="79" t="s">
        <v>64</v>
      </c>
      <c r="W33" s="79" t="s">
        <v>64</v>
      </c>
      <c r="X33" s="79" t="s">
        <v>68</v>
      </c>
      <c r="Y33" s="130"/>
      <c r="Z33" s="111"/>
      <c r="AA33" s="133"/>
      <c r="AB33" s="133"/>
      <c r="AC33" s="133"/>
      <c r="AD33" s="133"/>
      <c r="AE33" s="133"/>
      <c r="AF33" s="111"/>
      <c r="AG33" s="134" t="s">
        <v>277</v>
      </c>
      <c r="AH33" s="73"/>
      <c r="AI33" s="135"/>
      <c r="AJ33" s="136"/>
      <c r="AK33" s="76"/>
      <c r="AL33" s="137"/>
      <c r="AM33" s="139" t="s">
        <v>71</v>
      </c>
      <c r="AN33" s="139">
        <v>373.0</v>
      </c>
      <c r="AO33" s="140">
        <v>73.9</v>
      </c>
      <c r="AP33" s="142">
        <v>26000.0</v>
      </c>
      <c r="AQ33" s="142">
        <v>218.0</v>
      </c>
      <c r="AR33" s="143"/>
      <c r="AS33" s="144">
        <v>0.9678377104995197</v>
      </c>
      <c r="AT33" s="144">
        <v>0.011962289500480283</v>
      </c>
      <c r="AU33" s="146" t="s">
        <v>278</v>
      </c>
      <c r="AV33" s="146" t="s">
        <v>278</v>
      </c>
      <c r="AW33" s="148" t="s">
        <v>278</v>
      </c>
      <c r="AX33" s="151"/>
      <c r="AY33" s="105"/>
      <c r="AZ33" s="186"/>
      <c r="BA33" s="186"/>
      <c r="BB33" s="146"/>
      <c r="BC33" s="155"/>
      <c r="BD33" s="155"/>
      <c r="BE33" s="155"/>
      <c r="BF33" s="45"/>
    </row>
    <row r="34" ht="16.5" customHeight="1">
      <c r="A34" s="111">
        <v>31.0</v>
      </c>
      <c r="B34" s="165" t="s">
        <v>279</v>
      </c>
      <c r="C34" s="115" t="s">
        <v>60</v>
      </c>
      <c r="D34" s="157">
        <v>41592.0</v>
      </c>
      <c r="E34" s="157">
        <v>41909.0</v>
      </c>
      <c r="F34" s="79" t="s">
        <v>59</v>
      </c>
      <c r="G34" s="167">
        <v>22526.0</v>
      </c>
      <c r="H34" s="114">
        <v>70.8</v>
      </c>
      <c r="I34" s="123">
        <v>391.0</v>
      </c>
      <c r="J34" s="159" t="s">
        <v>104</v>
      </c>
      <c r="K34" s="121">
        <v>394.95</v>
      </c>
      <c r="L34" s="120" t="s">
        <v>195</v>
      </c>
      <c r="M34" s="120" t="s">
        <v>281</v>
      </c>
      <c r="N34" s="123">
        <v>12000.0</v>
      </c>
      <c r="O34" s="124">
        <v>10526.0</v>
      </c>
      <c r="P34" s="124">
        <v>149.0</v>
      </c>
      <c r="Q34" s="133">
        <v>235.0</v>
      </c>
      <c r="R34" s="125">
        <v>399.0</v>
      </c>
      <c r="S34" s="126">
        <v>0.9898</v>
      </c>
      <c r="T34" s="127">
        <v>76709.5</v>
      </c>
      <c r="U34" s="128">
        <f t="shared" si="1"/>
        <v>0</v>
      </c>
      <c r="V34" s="79" t="s">
        <v>64</v>
      </c>
      <c r="W34" s="79" t="s">
        <v>69</v>
      </c>
      <c r="X34" s="79" t="s">
        <v>68</v>
      </c>
      <c r="Y34" s="130"/>
      <c r="Z34" s="111"/>
      <c r="AA34" s="133"/>
      <c r="AB34" s="133"/>
      <c r="AC34" s="133"/>
      <c r="AD34" s="133"/>
      <c r="AE34" s="133"/>
      <c r="AF34" s="111"/>
      <c r="AG34" s="147"/>
      <c r="AH34" s="73"/>
      <c r="AI34" s="135"/>
      <c r="AJ34" s="136"/>
      <c r="AK34" s="76"/>
      <c r="AL34" s="137"/>
      <c r="AM34" s="139" t="s">
        <v>71</v>
      </c>
      <c r="AN34" s="139">
        <v>318.0</v>
      </c>
      <c r="AO34" s="140">
        <v>32.09</v>
      </c>
      <c r="AP34" s="142">
        <v>10526.0</v>
      </c>
      <c r="AQ34" s="142">
        <v>235.0</v>
      </c>
      <c r="AR34" s="143"/>
      <c r="AS34" s="144">
        <v>0.9827938465126971</v>
      </c>
      <c r="AT34" s="144">
        <v>0.007006153487302935</v>
      </c>
      <c r="AU34" s="146" t="s">
        <v>282</v>
      </c>
      <c r="AV34" s="146" t="s">
        <v>282</v>
      </c>
      <c r="AW34" s="148" t="s">
        <v>282</v>
      </c>
      <c r="AX34" s="151"/>
      <c r="AY34" s="105"/>
      <c r="AZ34" s="186"/>
      <c r="BA34" s="186"/>
      <c r="BB34" s="146"/>
      <c r="BC34" s="155"/>
      <c r="BD34" s="155"/>
      <c r="BE34" s="155"/>
      <c r="BF34" s="45"/>
    </row>
    <row r="35" ht="16.5" customHeight="1">
      <c r="A35" s="111">
        <v>32.0</v>
      </c>
      <c r="B35" s="165" t="s">
        <v>285</v>
      </c>
      <c r="C35" s="115" t="s">
        <v>60</v>
      </c>
      <c r="D35" s="179">
        <v>41530.0</v>
      </c>
      <c r="E35" s="157">
        <v>41909.0</v>
      </c>
      <c r="F35" s="79" t="s">
        <v>57</v>
      </c>
      <c r="G35" s="167">
        <v>28600.0</v>
      </c>
      <c r="H35" s="114">
        <v>75.3</v>
      </c>
      <c r="I35" s="123">
        <v>394.0</v>
      </c>
      <c r="J35" s="159" t="s">
        <v>104</v>
      </c>
      <c r="K35" s="121">
        <v>397.98</v>
      </c>
      <c r="L35" s="120" t="s">
        <v>195</v>
      </c>
      <c r="M35" s="120" t="s">
        <v>281</v>
      </c>
      <c r="N35" s="123">
        <v>22600.0</v>
      </c>
      <c r="O35" s="124">
        <v>6000.0</v>
      </c>
      <c r="P35" s="124">
        <v>80.0</v>
      </c>
      <c r="Q35" s="133">
        <v>233.0</v>
      </c>
      <c r="R35" s="125">
        <v>399.0</v>
      </c>
      <c r="S35" s="126">
        <v>0.9974</v>
      </c>
      <c r="T35" s="127">
        <v>77298.5</v>
      </c>
      <c r="U35" s="128">
        <f t="shared" si="1"/>
        <v>0</v>
      </c>
      <c r="V35" s="79" t="s">
        <v>64</v>
      </c>
      <c r="W35" s="79" t="s">
        <v>69</v>
      </c>
      <c r="X35" s="79" t="s">
        <v>66</v>
      </c>
      <c r="Y35" s="130"/>
      <c r="Z35" s="111"/>
      <c r="AA35" s="133"/>
      <c r="AB35" s="133"/>
      <c r="AC35" s="133"/>
      <c r="AD35" s="133"/>
      <c r="AE35" s="133"/>
      <c r="AF35" s="111"/>
      <c r="AG35" s="147"/>
      <c r="AH35" s="73"/>
      <c r="AI35" s="135"/>
      <c r="AJ35" s="136"/>
      <c r="AK35" s="76"/>
      <c r="AL35" s="137"/>
      <c r="AM35" s="139" t="s">
        <v>71</v>
      </c>
      <c r="AN35" s="139">
        <v>380.0</v>
      </c>
      <c r="AO35" s="140">
        <v>18.07</v>
      </c>
      <c r="AP35" s="142">
        <v>6000.0</v>
      </c>
      <c r="AQ35" s="142">
        <v>233.0</v>
      </c>
      <c r="AR35" s="143"/>
      <c r="AS35" s="144">
        <v>0.9892610101958249</v>
      </c>
      <c r="AT35" s="144">
        <v>0.008138989804175045</v>
      </c>
      <c r="AU35" s="146" t="s">
        <v>287</v>
      </c>
      <c r="AV35" s="146" t="s">
        <v>287</v>
      </c>
      <c r="AW35" s="148" t="s">
        <v>287</v>
      </c>
      <c r="AX35" s="151"/>
      <c r="AY35" s="105"/>
      <c r="AZ35" s="186"/>
      <c r="BA35" s="186"/>
      <c r="BB35" s="146"/>
      <c r="BC35" s="155"/>
      <c r="BD35" s="155"/>
      <c r="BE35" s="155"/>
      <c r="BF35" s="45"/>
    </row>
    <row r="36" ht="16.5" customHeight="1">
      <c r="A36" s="111">
        <v>33.0</v>
      </c>
      <c r="B36" s="165" t="s">
        <v>288</v>
      </c>
      <c r="C36" s="115" t="s">
        <v>60</v>
      </c>
      <c r="D36" s="157">
        <v>41766.0</v>
      </c>
      <c r="E36" s="157">
        <v>41909.0</v>
      </c>
      <c r="F36" s="79" t="s">
        <v>109</v>
      </c>
      <c r="G36" s="167">
        <v>9161.0</v>
      </c>
      <c r="H36" s="114">
        <v>63.6</v>
      </c>
      <c r="I36" s="123">
        <v>280.0</v>
      </c>
      <c r="J36" s="159" t="s">
        <v>104</v>
      </c>
      <c r="K36" s="121">
        <v>282.83</v>
      </c>
      <c r="L36" s="120" t="s">
        <v>63</v>
      </c>
      <c r="M36" s="120"/>
      <c r="N36" s="123"/>
      <c r="O36" s="124">
        <v>9161.0</v>
      </c>
      <c r="P36" s="124">
        <v>144.0</v>
      </c>
      <c r="Q36" s="133">
        <v>205.0</v>
      </c>
      <c r="R36" s="125">
        <v>289.0</v>
      </c>
      <c r="S36" s="126">
        <v>0.9787</v>
      </c>
      <c r="T36" s="127">
        <v>57253.950000000004</v>
      </c>
      <c r="U36" s="128">
        <f t="shared" si="1"/>
        <v>0</v>
      </c>
      <c r="V36" s="79" t="s">
        <v>68</v>
      </c>
      <c r="W36" s="79" t="s">
        <v>64</v>
      </c>
      <c r="X36" s="79" t="s">
        <v>68</v>
      </c>
      <c r="Y36" s="130"/>
      <c r="Z36" s="111"/>
      <c r="AA36" s="183"/>
      <c r="AB36" s="133"/>
      <c r="AC36" s="133"/>
      <c r="AD36" s="133"/>
      <c r="AE36" s="133"/>
      <c r="AF36" s="111"/>
      <c r="AG36" s="147"/>
      <c r="AH36" s="73"/>
      <c r="AI36" s="135"/>
      <c r="AJ36" s="136"/>
      <c r="AK36" s="76"/>
      <c r="AL36" s="137"/>
      <c r="AM36" s="139" t="s">
        <v>71</v>
      </c>
      <c r="AN36" s="139">
        <v>144.0</v>
      </c>
      <c r="AO36" s="140">
        <v>32.46</v>
      </c>
      <c r="AP36" s="142">
        <v>9161.0</v>
      </c>
      <c r="AQ36" s="142">
        <v>205.0</v>
      </c>
      <c r="AR36" s="143"/>
      <c r="AS36" s="144">
        <v>0.9846167118396567</v>
      </c>
      <c r="AT36" s="144">
        <v>-0.0059167118396566964</v>
      </c>
      <c r="AU36" s="146" t="s">
        <v>293</v>
      </c>
      <c r="AV36" s="146" t="s">
        <v>293</v>
      </c>
      <c r="AW36" s="148" t="s">
        <v>293</v>
      </c>
      <c r="AX36" s="151"/>
      <c r="AY36" s="105"/>
      <c r="AZ36" s="186"/>
      <c r="BA36" s="186"/>
      <c r="BB36" s="146"/>
      <c r="BC36" s="155"/>
      <c r="BD36" s="155"/>
      <c r="BE36" s="155"/>
      <c r="BF36" s="45"/>
    </row>
    <row r="37" ht="16.5" customHeight="1">
      <c r="A37" s="111">
        <v>34.0</v>
      </c>
      <c r="B37" s="165" t="s">
        <v>294</v>
      </c>
      <c r="C37" s="115" t="s">
        <v>60</v>
      </c>
      <c r="D37" s="157">
        <v>41604.0</v>
      </c>
      <c r="E37" s="157">
        <v>41910.0</v>
      </c>
      <c r="F37" s="79" t="s">
        <v>59</v>
      </c>
      <c r="G37" s="167">
        <v>20200.0</v>
      </c>
      <c r="H37" s="114">
        <v>65.8</v>
      </c>
      <c r="I37" s="123">
        <v>384.0</v>
      </c>
      <c r="J37" s="111" t="s">
        <v>62</v>
      </c>
      <c r="K37" s="121">
        <v>384.0</v>
      </c>
      <c r="L37" s="120" t="s">
        <v>63</v>
      </c>
      <c r="M37" s="120"/>
      <c r="N37" s="123"/>
      <c r="O37" s="124">
        <v>20200.0</v>
      </c>
      <c r="P37" s="124">
        <v>307.0</v>
      </c>
      <c r="Q37" s="133">
        <v>196.0</v>
      </c>
      <c r="R37" s="125">
        <v>399.0</v>
      </c>
      <c r="S37" s="126">
        <v>0.9624</v>
      </c>
      <c r="T37" s="127">
        <v>74586.0</v>
      </c>
      <c r="U37" s="128">
        <f t="shared" si="1"/>
        <v>0</v>
      </c>
      <c r="V37" s="79" t="s">
        <v>69</v>
      </c>
      <c r="W37" s="79" t="s">
        <v>69</v>
      </c>
      <c r="X37" s="79" t="s">
        <v>68</v>
      </c>
      <c r="Y37" s="130"/>
      <c r="Z37" s="111"/>
      <c r="AA37" s="133"/>
      <c r="AB37" s="133"/>
      <c r="AC37" s="133"/>
      <c r="AD37" s="133"/>
      <c r="AE37" s="133"/>
      <c r="AF37" s="111"/>
      <c r="AG37" s="134" t="s">
        <v>111</v>
      </c>
      <c r="AH37" s="73"/>
      <c r="AI37" s="135"/>
      <c r="AJ37" s="136"/>
      <c r="AK37" s="76"/>
      <c r="AL37" s="137"/>
      <c r="AM37" s="139" t="s">
        <v>71</v>
      </c>
      <c r="AN37" s="139">
        <v>307.0</v>
      </c>
      <c r="AO37" s="140">
        <v>52.08</v>
      </c>
      <c r="AP37" s="142">
        <v>20200.0</v>
      </c>
      <c r="AQ37" s="142">
        <v>196.0</v>
      </c>
      <c r="AR37" s="143"/>
      <c r="AS37" s="144">
        <v>0.972414597065872</v>
      </c>
      <c r="AT37" s="144">
        <v>-0.010014597065871933</v>
      </c>
      <c r="AU37" s="146" t="s">
        <v>298</v>
      </c>
      <c r="AV37" s="146" t="s">
        <v>298</v>
      </c>
      <c r="AW37" s="148" t="s">
        <v>298</v>
      </c>
      <c r="AX37" s="151"/>
      <c r="AY37" s="105"/>
      <c r="AZ37" s="186"/>
      <c r="BA37" s="186"/>
      <c r="BB37" s="146"/>
      <c r="BC37" s="155"/>
      <c r="BD37" s="155"/>
      <c r="BE37" s="155"/>
      <c r="BF37" s="45"/>
    </row>
    <row r="38" ht="16.5" customHeight="1">
      <c r="A38" s="111">
        <v>35.0</v>
      </c>
      <c r="B38" s="165" t="s">
        <v>300</v>
      </c>
      <c r="C38" s="115" t="s">
        <v>60</v>
      </c>
      <c r="D38" s="157">
        <v>41593.0</v>
      </c>
      <c r="E38" s="157">
        <v>41912.0</v>
      </c>
      <c r="F38" s="79" t="s">
        <v>59</v>
      </c>
      <c r="G38" s="167">
        <v>35244.0</v>
      </c>
      <c r="H38" s="114">
        <v>110.1</v>
      </c>
      <c r="I38" s="123">
        <v>391.0</v>
      </c>
      <c r="J38" s="159" t="s">
        <v>104</v>
      </c>
      <c r="K38" s="121">
        <v>394.95</v>
      </c>
      <c r="L38" s="120" t="s">
        <v>195</v>
      </c>
      <c r="M38" s="120" t="s">
        <v>281</v>
      </c>
      <c r="N38" s="123">
        <v>28000.0</v>
      </c>
      <c r="O38" s="124">
        <v>15772.0</v>
      </c>
      <c r="P38" s="124">
        <v>143.0</v>
      </c>
      <c r="Q38" s="133">
        <v>219.0</v>
      </c>
      <c r="R38" s="125">
        <v>399.0</v>
      </c>
      <c r="S38" s="126">
        <v>0.9898</v>
      </c>
      <c r="T38" s="127">
        <v>76709.5</v>
      </c>
      <c r="U38" s="128">
        <f t="shared" si="1"/>
        <v>0</v>
      </c>
      <c r="V38" s="79" t="s">
        <v>69</v>
      </c>
      <c r="W38" s="79" t="s">
        <v>66</v>
      </c>
      <c r="X38" s="79" t="s">
        <v>68</v>
      </c>
      <c r="Y38" s="130"/>
      <c r="Z38" s="111"/>
      <c r="AA38" s="133"/>
      <c r="AB38" s="133"/>
      <c r="AC38" s="133"/>
      <c r="AD38" s="133"/>
      <c r="AE38" s="133"/>
      <c r="AF38" s="111"/>
      <c r="AG38" s="147" t="s">
        <v>111</v>
      </c>
      <c r="AH38" s="73"/>
      <c r="AI38" s="135"/>
      <c r="AJ38" s="136"/>
      <c r="AK38" s="76"/>
      <c r="AL38" s="137"/>
      <c r="AM38" s="139" t="s">
        <v>71</v>
      </c>
      <c r="AN38" s="139">
        <v>320.0</v>
      </c>
      <c r="AO38" s="140">
        <v>44.8</v>
      </c>
      <c r="AP38" s="142">
        <v>15772.0</v>
      </c>
      <c r="AQ38" s="142">
        <v>219.0</v>
      </c>
      <c r="AR38" s="143"/>
      <c r="AS38" s="144">
        <v>0.9766686055721419</v>
      </c>
      <c r="AT38" s="144">
        <v>0.013131394427858156</v>
      </c>
      <c r="AU38" s="146" t="s">
        <v>307</v>
      </c>
      <c r="AV38" s="146" t="s">
        <v>307</v>
      </c>
      <c r="AW38" s="148" t="s">
        <v>307</v>
      </c>
      <c r="AX38" s="151"/>
      <c r="AY38" s="105"/>
      <c r="AZ38" s="186"/>
      <c r="BA38" s="186"/>
      <c r="BB38" s="146"/>
      <c r="BC38" s="155"/>
      <c r="BD38" s="155"/>
      <c r="BE38" s="155"/>
      <c r="BF38" s="45"/>
    </row>
    <row r="39" ht="16.5" customHeight="1">
      <c r="A39" s="111">
        <v>36.0</v>
      </c>
      <c r="B39" s="165" t="s">
        <v>308</v>
      </c>
      <c r="C39" s="115" t="s">
        <v>60</v>
      </c>
      <c r="D39" s="157">
        <v>41592.0</v>
      </c>
      <c r="E39" s="157">
        <v>41913.0</v>
      </c>
      <c r="F39" s="174" t="s">
        <v>103</v>
      </c>
      <c r="G39" s="167">
        <v>36369.0</v>
      </c>
      <c r="H39" s="114">
        <v>112.9</v>
      </c>
      <c r="I39" s="123">
        <v>377.0</v>
      </c>
      <c r="J39" s="159" t="s">
        <v>104</v>
      </c>
      <c r="K39" s="121">
        <v>380.81</v>
      </c>
      <c r="L39" s="120" t="s">
        <v>63</v>
      </c>
      <c r="M39" s="120"/>
      <c r="N39" s="123"/>
      <c r="O39" s="124">
        <v>36369.0</v>
      </c>
      <c r="P39" s="124">
        <v>322.0</v>
      </c>
      <c r="Q39" s="133">
        <v>255.0</v>
      </c>
      <c r="R39" s="125">
        <v>400.0</v>
      </c>
      <c r="S39" s="126">
        <v>0.952</v>
      </c>
      <c r="T39" s="127">
        <v>73780.0</v>
      </c>
      <c r="U39" s="128">
        <f t="shared" si="1"/>
        <v>0</v>
      </c>
      <c r="V39" s="79" t="s">
        <v>64</v>
      </c>
      <c r="W39" s="79" t="s">
        <v>65</v>
      </c>
      <c r="X39" s="79" t="s">
        <v>66</v>
      </c>
      <c r="Y39" s="130"/>
      <c r="Z39" s="111"/>
      <c r="AA39" s="133"/>
      <c r="AB39" s="133"/>
      <c r="AC39" s="133"/>
      <c r="AD39" s="133"/>
      <c r="AE39" s="133"/>
      <c r="AF39" s="111"/>
      <c r="AG39" s="147" t="s">
        <v>311</v>
      </c>
      <c r="AH39" s="73"/>
      <c r="AI39" s="135"/>
      <c r="AJ39" s="136"/>
      <c r="AK39" s="76"/>
      <c r="AL39" s="137"/>
      <c r="AM39" s="139" t="s">
        <v>71</v>
      </c>
      <c r="AN39" s="139">
        <v>322.0</v>
      </c>
      <c r="AO39" s="140">
        <v>122.62</v>
      </c>
      <c r="AP39" s="142">
        <v>36369.0</v>
      </c>
      <c r="AQ39" s="142">
        <v>255.0</v>
      </c>
      <c r="AR39" s="143"/>
      <c r="AS39" s="144">
        <v>0.9617050064426922</v>
      </c>
      <c r="AT39" s="144">
        <v>-0.009705006442692232</v>
      </c>
      <c r="AU39" s="146" t="s">
        <v>313</v>
      </c>
      <c r="AV39" s="146" t="s">
        <v>313</v>
      </c>
      <c r="AW39" s="148" t="s">
        <v>313</v>
      </c>
      <c r="AX39" s="151"/>
      <c r="AY39" s="105"/>
      <c r="AZ39" s="186"/>
      <c r="BA39" s="186"/>
      <c r="BB39" s="146"/>
      <c r="BC39" s="155"/>
      <c r="BD39" s="155"/>
      <c r="BE39" s="155"/>
      <c r="BF39" s="45"/>
    </row>
    <row r="40" ht="16.5" customHeight="1">
      <c r="A40" s="111">
        <v>37.0</v>
      </c>
      <c r="B40" s="165" t="s">
        <v>315</v>
      </c>
      <c r="C40" s="115" t="s">
        <v>60</v>
      </c>
      <c r="D40" s="157">
        <v>41614.0</v>
      </c>
      <c r="E40" s="157">
        <v>41916.0</v>
      </c>
      <c r="F40" s="174" t="s">
        <v>103</v>
      </c>
      <c r="G40" s="167">
        <v>25050.0</v>
      </c>
      <c r="H40" s="114">
        <v>82.7</v>
      </c>
      <c r="I40" s="187">
        <v>391.0</v>
      </c>
      <c r="J40" s="159" t="s">
        <v>104</v>
      </c>
      <c r="K40" s="121">
        <v>394.95</v>
      </c>
      <c r="L40" s="120" t="s">
        <v>63</v>
      </c>
      <c r="M40" s="120"/>
      <c r="N40" s="123"/>
      <c r="O40" s="124">
        <v>25050.0</v>
      </c>
      <c r="P40" s="124">
        <v>303.0</v>
      </c>
      <c r="Q40" s="133">
        <v>193.0</v>
      </c>
      <c r="R40" s="125">
        <v>400.0</v>
      </c>
      <c r="S40" s="126">
        <v>0.9874</v>
      </c>
      <c r="T40" s="127">
        <v>76523.5</v>
      </c>
      <c r="U40" s="128">
        <f t="shared" si="1"/>
        <v>0</v>
      </c>
      <c r="V40" s="79" t="s">
        <v>64</v>
      </c>
      <c r="W40" s="79" t="s">
        <v>66</v>
      </c>
      <c r="X40" s="79" t="s">
        <v>66</v>
      </c>
      <c r="Y40" s="130"/>
      <c r="Z40" s="111"/>
      <c r="AA40" s="133"/>
      <c r="AB40" s="133"/>
      <c r="AC40" s="133"/>
      <c r="AD40" s="133"/>
      <c r="AE40" s="133"/>
      <c r="AF40" s="111"/>
      <c r="AG40" s="147"/>
      <c r="AH40" s="73"/>
      <c r="AI40" s="135"/>
      <c r="AJ40" s="136"/>
      <c r="AK40" s="76"/>
      <c r="AL40" s="137"/>
      <c r="AM40" s="139" t="s">
        <v>71</v>
      </c>
      <c r="AN40" s="139">
        <v>303.0</v>
      </c>
      <c r="AO40" s="140">
        <v>62.79</v>
      </c>
      <c r="AP40" s="142">
        <v>25050.0</v>
      </c>
      <c r="AQ40" s="142">
        <v>193.0</v>
      </c>
      <c r="AR40" s="143"/>
      <c r="AS40" s="144">
        <v>0.9685207712517448</v>
      </c>
      <c r="AT40" s="144">
        <v>0.018879228748255206</v>
      </c>
      <c r="AU40" s="146" t="s">
        <v>323</v>
      </c>
      <c r="AV40" s="146" t="s">
        <v>323</v>
      </c>
      <c r="AW40" s="148" t="s">
        <v>323</v>
      </c>
      <c r="AX40" s="151"/>
      <c r="AY40" s="105"/>
      <c r="AZ40" s="186"/>
      <c r="BA40" s="186"/>
      <c r="BB40" s="146"/>
      <c r="BC40" s="155"/>
      <c r="BD40" s="155"/>
      <c r="BE40" s="155"/>
      <c r="BF40" s="45"/>
    </row>
    <row r="41" ht="16.5" customHeight="1">
      <c r="A41" s="111">
        <v>38.0</v>
      </c>
      <c r="B41" s="165" t="s">
        <v>324</v>
      </c>
      <c r="C41" s="115" t="s">
        <v>60</v>
      </c>
      <c r="D41" s="157">
        <v>41618.0</v>
      </c>
      <c r="E41" s="157">
        <v>41916.0</v>
      </c>
      <c r="F41" s="79" t="s">
        <v>79</v>
      </c>
      <c r="G41" s="167">
        <v>23945.0</v>
      </c>
      <c r="H41" s="114">
        <v>80.1</v>
      </c>
      <c r="I41" s="123">
        <v>387.0</v>
      </c>
      <c r="J41" s="159" t="s">
        <v>104</v>
      </c>
      <c r="K41" s="121">
        <v>390.91</v>
      </c>
      <c r="L41" s="120" t="s">
        <v>63</v>
      </c>
      <c r="M41" s="120"/>
      <c r="N41" s="123"/>
      <c r="O41" s="124">
        <v>23945.0</v>
      </c>
      <c r="P41" s="124">
        <v>299.0</v>
      </c>
      <c r="Q41" s="133">
        <v>203.0</v>
      </c>
      <c r="R41" s="125">
        <v>399.0</v>
      </c>
      <c r="S41" s="126">
        <v>0.9797</v>
      </c>
      <c r="T41" s="127">
        <v>75926.75</v>
      </c>
      <c r="U41" s="128">
        <f t="shared" si="1"/>
        <v>0</v>
      </c>
      <c r="V41" s="79" t="s">
        <v>65</v>
      </c>
      <c r="W41" s="79" t="s">
        <v>64</v>
      </c>
      <c r="X41" s="79" t="s">
        <v>69</v>
      </c>
      <c r="Y41" s="130"/>
      <c r="Z41" s="111"/>
      <c r="AA41" s="133"/>
      <c r="AB41" s="133"/>
      <c r="AC41" s="133"/>
      <c r="AD41" s="133"/>
      <c r="AE41" s="133"/>
      <c r="AF41" s="111"/>
      <c r="AG41" s="147" t="s">
        <v>111</v>
      </c>
      <c r="AH41" s="73"/>
      <c r="AI41" s="135"/>
      <c r="AJ41" s="136"/>
      <c r="AK41" s="76"/>
      <c r="AL41" s="137"/>
      <c r="AM41" s="139" t="s">
        <v>71</v>
      </c>
      <c r="AN41" s="139">
        <v>299.0</v>
      </c>
      <c r="AO41" s="140">
        <v>63.38</v>
      </c>
      <c r="AP41" s="142">
        <v>23945.0</v>
      </c>
      <c r="AQ41" s="142">
        <v>203.0</v>
      </c>
      <c r="AR41" s="143"/>
      <c r="AS41" s="144">
        <v>0.9693461759807823</v>
      </c>
      <c r="AT41" s="144">
        <v>0.010353824019217694</v>
      </c>
      <c r="AU41" s="146" t="s">
        <v>327</v>
      </c>
      <c r="AV41" s="146" t="s">
        <v>327</v>
      </c>
      <c r="AW41" s="148" t="s">
        <v>327</v>
      </c>
      <c r="AX41" s="151"/>
      <c r="AY41" s="105"/>
      <c r="AZ41" s="186"/>
      <c r="BA41" s="186"/>
      <c r="BB41" s="146"/>
      <c r="BC41" s="155"/>
      <c r="BD41" s="155"/>
      <c r="BE41" s="155"/>
      <c r="BF41" s="45"/>
    </row>
    <row r="42" ht="16.5" customHeight="1">
      <c r="A42" s="111">
        <v>39.0</v>
      </c>
      <c r="B42" s="190" t="s">
        <v>328</v>
      </c>
      <c r="C42" s="192" t="s">
        <v>60</v>
      </c>
      <c r="D42" s="193">
        <v>41598.0</v>
      </c>
      <c r="E42" s="193">
        <v>41917.0</v>
      </c>
      <c r="F42" s="195" t="s">
        <v>59</v>
      </c>
      <c r="G42" s="196">
        <v>27000.0</v>
      </c>
      <c r="H42" s="197">
        <v>84.4</v>
      </c>
      <c r="I42" s="198">
        <v>382.0</v>
      </c>
      <c r="J42" s="199" t="s">
        <v>104</v>
      </c>
      <c r="K42" s="200">
        <v>385.86</v>
      </c>
      <c r="L42" s="201" t="s">
        <v>63</v>
      </c>
      <c r="M42" s="201"/>
      <c r="N42" s="198"/>
      <c r="O42" s="124">
        <v>27000.0</v>
      </c>
      <c r="P42" s="124">
        <v>320.0</v>
      </c>
      <c r="Q42" s="202">
        <v>209.0</v>
      </c>
      <c r="R42" s="203">
        <v>399.0</v>
      </c>
      <c r="S42" s="204">
        <v>0.9671</v>
      </c>
      <c r="T42" s="205">
        <v>74950.25</v>
      </c>
      <c r="U42" s="206">
        <f t="shared" si="1"/>
        <v>0</v>
      </c>
      <c r="V42" s="195" t="s">
        <v>64</v>
      </c>
      <c r="W42" s="195" t="s">
        <v>69</v>
      </c>
      <c r="X42" s="195" t="s">
        <v>69</v>
      </c>
      <c r="Y42" s="207"/>
      <c r="Z42" s="208"/>
      <c r="AA42" s="202"/>
      <c r="AB42" s="202"/>
      <c r="AC42" s="202"/>
      <c r="AD42" s="202"/>
      <c r="AE42" s="202"/>
      <c r="AF42" s="208"/>
      <c r="AG42" s="209" t="s">
        <v>336</v>
      </c>
      <c r="AH42" s="73"/>
      <c r="AI42" s="135"/>
      <c r="AJ42" s="136"/>
      <c r="AK42" s="76"/>
      <c r="AL42" s="137"/>
      <c r="AM42" s="139" t="s">
        <v>71</v>
      </c>
      <c r="AN42" s="139">
        <v>320.0</v>
      </c>
      <c r="AO42" s="140">
        <v>74.04</v>
      </c>
      <c r="AP42" s="142">
        <v>27000.0</v>
      </c>
      <c r="AQ42" s="142">
        <v>209.0</v>
      </c>
      <c r="AR42" s="143"/>
      <c r="AS42" s="144">
        <v>0.9671439869277211</v>
      </c>
      <c r="AT42" s="144">
        <v>-4.398692772111801E-5</v>
      </c>
      <c r="AU42" s="146" t="s">
        <v>338</v>
      </c>
      <c r="AV42" s="146" t="s">
        <v>338</v>
      </c>
      <c r="AW42" s="148" t="s">
        <v>338</v>
      </c>
      <c r="AX42" s="151"/>
      <c r="AY42" s="105"/>
      <c r="AZ42" s="186"/>
      <c r="BA42" s="186"/>
      <c r="BB42" s="146"/>
      <c r="BC42" s="155"/>
      <c r="BD42" s="155"/>
      <c r="BE42" s="155"/>
      <c r="BF42" s="45"/>
    </row>
    <row r="43" ht="16.5" customHeight="1">
      <c r="A43" s="111">
        <v>40.0</v>
      </c>
      <c r="B43" s="210" t="s">
        <v>339</v>
      </c>
      <c r="C43" s="115" t="s">
        <v>60</v>
      </c>
      <c r="D43" s="157">
        <v>41912.0</v>
      </c>
      <c r="E43" s="157">
        <v>41918.0</v>
      </c>
      <c r="F43" s="79" t="s">
        <v>59</v>
      </c>
      <c r="G43" s="167">
        <v>1136.0</v>
      </c>
      <c r="H43" s="114">
        <v>162.3</v>
      </c>
      <c r="I43" s="123">
        <v>399.0</v>
      </c>
      <c r="J43" s="111" t="s">
        <v>61</v>
      </c>
      <c r="K43" s="121">
        <v>404.05</v>
      </c>
      <c r="L43" s="120" t="s">
        <v>63</v>
      </c>
      <c r="M43" s="120"/>
      <c r="N43" s="123"/>
      <c r="O43" s="124">
        <v>1136.0</v>
      </c>
      <c r="P43" s="124">
        <v>7.0</v>
      </c>
      <c r="Q43" s="133">
        <v>244.0</v>
      </c>
      <c r="R43" s="125">
        <v>399.0</v>
      </c>
      <c r="S43" s="126">
        <v>1.0127</v>
      </c>
      <c r="T43" s="127">
        <v>78484.25</v>
      </c>
      <c r="U43" s="128">
        <f t="shared" si="1"/>
        <v>0</v>
      </c>
      <c r="V43" s="79" t="s">
        <v>67</v>
      </c>
      <c r="W43" s="79" t="s">
        <v>65</v>
      </c>
      <c r="X43" s="79" t="s">
        <v>68</v>
      </c>
      <c r="Y43" s="130">
        <v>0.9</v>
      </c>
      <c r="Z43" s="111"/>
      <c r="AA43" s="133"/>
      <c r="AB43" s="133"/>
      <c r="AC43" s="133"/>
      <c r="AD43" s="133"/>
      <c r="AE43" s="133"/>
      <c r="AF43" s="111"/>
      <c r="AG43" s="147"/>
      <c r="AH43" s="73"/>
      <c r="AI43" s="135"/>
      <c r="AJ43" s="136"/>
      <c r="AK43" s="76"/>
      <c r="AL43" s="137"/>
      <c r="AM43" s="139" t="s">
        <v>71</v>
      </c>
      <c r="AN43" s="139">
        <v>7.0</v>
      </c>
      <c r="AO43" s="140">
        <v>3.55</v>
      </c>
      <c r="AP43" s="142">
        <v>1136.0</v>
      </c>
      <c r="AQ43" s="142">
        <v>244.0</v>
      </c>
      <c r="AR43" s="143"/>
      <c r="AS43" s="144">
        <v>0.997747864794673</v>
      </c>
      <c r="AT43" s="144">
        <v>0.0149521352053269</v>
      </c>
      <c r="AU43" s="146" t="s">
        <v>341</v>
      </c>
      <c r="AV43" s="146" t="s">
        <v>341</v>
      </c>
      <c r="AW43" s="148" t="s">
        <v>341</v>
      </c>
      <c r="AX43" s="151"/>
      <c r="AY43" s="105"/>
      <c r="AZ43" s="186"/>
      <c r="BA43" s="186"/>
      <c r="BB43" s="146"/>
      <c r="BC43" s="155"/>
      <c r="BD43" s="155"/>
      <c r="BE43" s="155"/>
      <c r="BF43" s="45"/>
    </row>
    <row r="44" ht="16.5" customHeight="1">
      <c r="A44" s="111">
        <v>41.0</v>
      </c>
      <c r="B44" s="165" t="s">
        <v>342</v>
      </c>
      <c r="C44" s="115" t="s">
        <v>60</v>
      </c>
      <c r="D44" s="157">
        <v>41612.0</v>
      </c>
      <c r="E44" s="157">
        <v>41918.0</v>
      </c>
      <c r="F44" s="79" t="s">
        <v>79</v>
      </c>
      <c r="G44" s="167">
        <v>21500.0</v>
      </c>
      <c r="H44" s="114">
        <v>70.0</v>
      </c>
      <c r="I44" s="123">
        <v>380.0</v>
      </c>
      <c r="J44" s="159" t="s">
        <v>104</v>
      </c>
      <c r="K44" s="121">
        <v>383.84</v>
      </c>
      <c r="L44" s="120" t="s">
        <v>63</v>
      </c>
      <c r="M44" s="120"/>
      <c r="N44" s="123"/>
      <c r="O44" s="124">
        <v>21500.0</v>
      </c>
      <c r="P44" s="124">
        <v>307.0</v>
      </c>
      <c r="Q44" s="133">
        <v>230.0</v>
      </c>
      <c r="R44" s="125">
        <v>399.0</v>
      </c>
      <c r="S44" s="126">
        <v>0.962</v>
      </c>
      <c r="T44" s="127">
        <v>74555.0</v>
      </c>
      <c r="U44" s="128">
        <f t="shared" si="1"/>
        <v>0</v>
      </c>
      <c r="V44" s="79" t="s">
        <v>67</v>
      </c>
      <c r="W44" s="79" t="s">
        <v>65</v>
      </c>
      <c r="X44" s="79" t="s">
        <v>68</v>
      </c>
      <c r="Y44" s="130"/>
      <c r="Z44" s="111"/>
      <c r="AA44" s="133"/>
      <c r="AB44" s="133"/>
      <c r="AC44" s="133"/>
      <c r="AD44" s="133"/>
      <c r="AE44" s="133"/>
      <c r="AF44" s="111"/>
      <c r="AG44" s="147" t="s">
        <v>345</v>
      </c>
      <c r="AH44" s="73"/>
      <c r="AI44" s="135"/>
      <c r="AJ44" s="136"/>
      <c r="AK44" s="76"/>
      <c r="AL44" s="137"/>
      <c r="AM44" s="139" t="s">
        <v>71</v>
      </c>
      <c r="AN44" s="139">
        <v>307.0</v>
      </c>
      <c r="AO44" s="140">
        <v>65.06</v>
      </c>
      <c r="AP44" s="142">
        <v>21500.0</v>
      </c>
      <c r="AQ44" s="142">
        <v>230.0</v>
      </c>
      <c r="AR44" s="143"/>
      <c r="AS44" s="144">
        <v>0.9712993366310446</v>
      </c>
      <c r="AT44" s="144">
        <v>-0.009299336631044652</v>
      </c>
      <c r="AU44" s="146" t="s">
        <v>346</v>
      </c>
      <c r="AV44" s="146" t="s">
        <v>346</v>
      </c>
      <c r="AW44" s="148" t="s">
        <v>346</v>
      </c>
      <c r="AX44" s="151"/>
      <c r="AY44" s="105"/>
      <c r="AZ44" s="186"/>
      <c r="BA44" s="186"/>
      <c r="BB44" s="146"/>
      <c r="BC44" s="155"/>
      <c r="BD44" s="155"/>
      <c r="BE44" s="155"/>
      <c r="BF44" s="45"/>
    </row>
    <row r="45" ht="16.5" customHeight="1">
      <c r="A45" s="111">
        <v>42.0</v>
      </c>
      <c r="B45" s="165" t="s">
        <v>348</v>
      </c>
      <c r="C45" s="115" t="s">
        <v>60</v>
      </c>
      <c r="D45" s="157">
        <v>41607.0</v>
      </c>
      <c r="E45" s="157">
        <v>41918.0</v>
      </c>
      <c r="F45" s="79" t="s">
        <v>59</v>
      </c>
      <c r="G45" s="167">
        <v>29700.0</v>
      </c>
      <c r="H45" s="114">
        <v>95.2</v>
      </c>
      <c r="I45" s="123">
        <v>387.0</v>
      </c>
      <c r="J45" s="159" t="s">
        <v>104</v>
      </c>
      <c r="K45" s="121">
        <v>390.91</v>
      </c>
      <c r="L45" s="120" t="s">
        <v>195</v>
      </c>
      <c r="M45" s="120" t="s">
        <v>281</v>
      </c>
      <c r="N45" s="123">
        <v>26000.0</v>
      </c>
      <c r="O45" s="124">
        <v>18355.0</v>
      </c>
      <c r="P45" s="124">
        <v>193.0</v>
      </c>
      <c r="Q45" s="133">
        <v>263.0</v>
      </c>
      <c r="R45" s="125">
        <v>399.0</v>
      </c>
      <c r="S45" s="126">
        <v>0.9797</v>
      </c>
      <c r="T45" s="127">
        <v>75926.75</v>
      </c>
      <c r="U45" s="128">
        <f t="shared" si="1"/>
        <v>0</v>
      </c>
      <c r="V45" s="79" t="s">
        <v>69</v>
      </c>
      <c r="W45" s="79" t="s">
        <v>66</v>
      </c>
      <c r="X45" s="79" t="s">
        <v>66</v>
      </c>
      <c r="Y45" s="130"/>
      <c r="Z45" s="111"/>
      <c r="AA45" s="133"/>
      <c r="AB45" s="133"/>
      <c r="AC45" s="133"/>
      <c r="AD45" s="133"/>
      <c r="AE45" s="133"/>
      <c r="AF45" s="111"/>
      <c r="AG45" s="147" t="s">
        <v>351</v>
      </c>
      <c r="AH45" s="73"/>
      <c r="AI45" s="135"/>
      <c r="AJ45" s="136"/>
      <c r="AK45" s="76"/>
      <c r="AL45" s="137"/>
      <c r="AM45" s="139" t="s">
        <v>71</v>
      </c>
      <c r="AN45" s="139">
        <v>312.0</v>
      </c>
      <c r="AO45" s="140">
        <v>62.94</v>
      </c>
      <c r="AP45" s="142">
        <v>18355.0</v>
      </c>
      <c r="AQ45" s="142">
        <v>263.0</v>
      </c>
      <c r="AR45" s="143"/>
      <c r="AS45" s="144">
        <v>0.9740972931952737</v>
      </c>
      <c r="AT45" s="144">
        <v>0.0056027068047262985</v>
      </c>
      <c r="AU45" s="146" t="s">
        <v>353</v>
      </c>
      <c r="AV45" s="146" t="s">
        <v>353</v>
      </c>
      <c r="AW45" s="148" t="s">
        <v>353</v>
      </c>
      <c r="AX45" s="151"/>
      <c r="AY45" s="105"/>
      <c r="AZ45" s="186"/>
      <c r="BA45" s="186"/>
      <c r="BB45" s="146"/>
      <c r="BC45" s="155"/>
      <c r="BD45" s="155"/>
      <c r="BE45" s="155"/>
      <c r="BF45" s="45"/>
    </row>
    <row r="46" ht="16.5" customHeight="1">
      <c r="A46" s="111">
        <v>43.0</v>
      </c>
      <c r="B46" s="165" t="s">
        <v>354</v>
      </c>
      <c r="C46" s="115" t="s">
        <v>60</v>
      </c>
      <c r="D46" s="157">
        <v>41639.0</v>
      </c>
      <c r="E46" s="157">
        <v>41920.0</v>
      </c>
      <c r="F46" s="174" t="s">
        <v>103</v>
      </c>
      <c r="G46" s="167">
        <v>21845.0</v>
      </c>
      <c r="H46" s="114">
        <v>77.5</v>
      </c>
      <c r="I46" s="123">
        <v>394.0</v>
      </c>
      <c r="J46" s="159" t="s">
        <v>104</v>
      </c>
      <c r="K46" s="121">
        <v>397.98</v>
      </c>
      <c r="L46" s="120" t="s">
        <v>63</v>
      </c>
      <c r="M46" s="120"/>
      <c r="N46" s="123"/>
      <c r="O46" s="124">
        <v>21845.0</v>
      </c>
      <c r="P46" s="124">
        <v>282.0</v>
      </c>
      <c r="Q46" s="133">
        <v>214.0</v>
      </c>
      <c r="R46" s="125">
        <v>400.0</v>
      </c>
      <c r="S46" s="126">
        <v>0.995</v>
      </c>
      <c r="T46" s="127">
        <v>77112.5</v>
      </c>
      <c r="U46" s="128">
        <f t="shared" si="1"/>
        <v>0</v>
      </c>
      <c r="V46" s="79" t="s">
        <v>69</v>
      </c>
      <c r="W46" s="79" t="s">
        <v>65</v>
      </c>
      <c r="X46" s="79" t="s">
        <v>68</v>
      </c>
      <c r="Y46" s="130"/>
      <c r="Z46" s="111"/>
      <c r="AA46" s="133"/>
      <c r="AB46" s="133"/>
      <c r="AC46" s="133"/>
      <c r="AD46" s="133"/>
      <c r="AE46" s="133"/>
      <c r="AF46" s="111"/>
      <c r="AG46" s="147" t="s">
        <v>111</v>
      </c>
      <c r="AH46" s="73"/>
      <c r="AI46" s="135"/>
      <c r="AJ46" s="136"/>
      <c r="AK46" s="76"/>
      <c r="AL46" s="137"/>
      <c r="AM46" s="139" t="s">
        <v>71</v>
      </c>
      <c r="AN46" s="139">
        <v>282.0</v>
      </c>
      <c r="AO46" s="140">
        <v>60.48</v>
      </c>
      <c r="AP46" s="142">
        <v>21845.0</v>
      </c>
      <c r="AQ46" s="142">
        <v>214.0</v>
      </c>
      <c r="AR46" s="143"/>
      <c r="AS46" s="144">
        <v>0.9710126083633526</v>
      </c>
      <c r="AT46" s="144">
        <v>0.023987391636647426</v>
      </c>
      <c r="AU46" s="146" t="s">
        <v>356</v>
      </c>
      <c r="AV46" s="146" t="s">
        <v>356</v>
      </c>
      <c r="AW46" s="148" t="s">
        <v>356</v>
      </c>
      <c r="AX46" s="151"/>
      <c r="AY46" s="105"/>
      <c r="AZ46" s="186"/>
      <c r="BA46" s="186"/>
      <c r="BB46" s="146"/>
      <c r="BC46" s="155"/>
      <c r="BD46" s="155"/>
      <c r="BE46" s="155"/>
      <c r="BF46" s="45"/>
    </row>
    <row r="47" ht="16.5" customHeight="1">
      <c r="A47" s="111">
        <v>44.0</v>
      </c>
      <c r="B47" s="165" t="s">
        <v>358</v>
      </c>
      <c r="C47" s="115" t="s">
        <v>60</v>
      </c>
      <c r="D47" s="157">
        <v>41601.0</v>
      </c>
      <c r="E47" s="157">
        <v>41920.0</v>
      </c>
      <c r="F47" s="174" t="s">
        <v>103</v>
      </c>
      <c r="G47" s="167">
        <v>21600.0</v>
      </c>
      <c r="H47" s="114">
        <v>67.5</v>
      </c>
      <c r="I47" s="123">
        <v>385.0</v>
      </c>
      <c r="J47" s="159" t="s">
        <v>104</v>
      </c>
      <c r="K47" s="121">
        <v>388.89</v>
      </c>
      <c r="L47" s="120" t="s">
        <v>195</v>
      </c>
      <c r="M47" s="120" t="s">
        <v>281</v>
      </c>
      <c r="N47" s="123">
        <v>10000.0</v>
      </c>
      <c r="O47" s="124">
        <v>14896.0</v>
      </c>
      <c r="P47" s="124">
        <v>221.0</v>
      </c>
      <c r="Q47" s="133">
        <v>218.0</v>
      </c>
      <c r="R47" s="125">
        <v>400.0</v>
      </c>
      <c r="S47" s="126">
        <v>0.9722</v>
      </c>
      <c r="T47" s="127">
        <v>75345.5</v>
      </c>
      <c r="U47" s="128">
        <f t="shared" si="1"/>
        <v>0</v>
      </c>
      <c r="V47" s="79" t="s">
        <v>64</v>
      </c>
      <c r="W47" s="79" t="s">
        <v>64</v>
      </c>
      <c r="X47" s="79" t="s">
        <v>68</v>
      </c>
      <c r="Y47" s="130"/>
      <c r="Z47" s="111"/>
      <c r="AA47" s="133"/>
      <c r="AB47" s="133"/>
      <c r="AC47" s="133"/>
      <c r="AD47" s="133"/>
      <c r="AE47" s="133"/>
      <c r="AF47" s="111"/>
      <c r="AG47" s="147" t="s">
        <v>111</v>
      </c>
      <c r="AH47" s="73"/>
      <c r="AI47" s="135"/>
      <c r="AJ47" s="136"/>
      <c r="AK47" s="76"/>
      <c r="AL47" s="137"/>
      <c r="AM47" s="139" t="s">
        <v>71</v>
      </c>
      <c r="AN47" s="139">
        <v>320.0</v>
      </c>
      <c r="AO47" s="140">
        <v>42.5</v>
      </c>
      <c r="AP47" s="142">
        <v>14896.0</v>
      </c>
      <c r="AQ47" s="142">
        <v>218.0</v>
      </c>
      <c r="AR47" s="143"/>
      <c r="AS47" s="144">
        <v>0.9776026893561792</v>
      </c>
      <c r="AT47" s="144">
        <v>-0.005402689356179269</v>
      </c>
      <c r="AU47" s="146" t="s">
        <v>360</v>
      </c>
      <c r="AV47" s="146" t="s">
        <v>360</v>
      </c>
      <c r="AW47" s="148" t="s">
        <v>360</v>
      </c>
      <c r="AX47" s="151"/>
      <c r="AY47" s="105"/>
      <c r="AZ47" s="186"/>
      <c r="BA47" s="186"/>
      <c r="BB47" s="146"/>
      <c r="BC47" s="155"/>
      <c r="BD47" s="155"/>
      <c r="BE47" s="155"/>
      <c r="BF47" s="45"/>
    </row>
    <row r="48" ht="16.5" customHeight="1">
      <c r="A48" s="111">
        <v>45.0</v>
      </c>
      <c r="B48" s="165" t="s">
        <v>361</v>
      </c>
      <c r="C48" s="115" t="s">
        <v>60</v>
      </c>
      <c r="D48" s="157">
        <v>41604.0</v>
      </c>
      <c r="E48" s="157">
        <v>41921.0</v>
      </c>
      <c r="F48" s="79" t="s">
        <v>59</v>
      </c>
      <c r="G48" s="167">
        <v>33150.0</v>
      </c>
      <c r="H48" s="114">
        <v>104.2</v>
      </c>
      <c r="I48" s="123">
        <v>377.0</v>
      </c>
      <c r="J48" s="159" t="s">
        <v>104</v>
      </c>
      <c r="K48" s="121">
        <v>380.81</v>
      </c>
      <c r="L48" s="120" t="s">
        <v>63</v>
      </c>
      <c r="M48" s="120"/>
      <c r="N48" s="123"/>
      <c r="O48" s="124">
        <v>33150.0</v>
      </c>
      <c r="P48" s="124">
        <v>318.0</v>
      </c>
      <c r="Q48" s="133">
        <v>229.0</v>
      </c>
      <c r="R48" s="125">
        <v>399.0</v>
      </c>
      <c r="S48" s="126">
        <v>0.9544</v>
      </c>
      <c r="T48" s="127">
        <v>73966.0</v>
      </c>
      <c r="U48" s="128">
        <f t="shared" si="1"/>
        <v>0</v>
      </c>
      <c r="V48" s="79" t="s">
        <v>69</v>
      </c>
      <c r="W48" s="79" t="s">
        <v>64</v>
      </c>
      <c r="X48" s="79" t="s">
        <v>66</v>
      </c>
      <c r="Y48" s="130"/>
      <c r="Z48" s="111"/>
      <c r="AA48" s="133"/>
      <c r="AB48" s="133"/>
      <c r="AC48" s="133"/>
      <c r="AD48" s="133"/>
      <c r="AE48" s="133"/>
      <c r="AF48" s="111"/>
      <c r="AG48" s="147" t="s">
        <v>111</v>
      </c>
      <c r="AH48" s="73"/>
      <c r="AI48" s="135"/>
      <c r="AJ48" s="136"/>
      <c r="AK48" s="76"/>
      <c r="AL48" s="137"/>
      <c r="AM48" s="139" t="s">
        <v>71</v>
      </c>
      <c r="AN48" s="139">
        <v>318.0</v>
      </c>
      <c r="AO48" s="140">
        <v>100.25</v>
      </c>
      <c r="AP48" s="142">
        <v>33150.0</v>
      </c>
      <c r="AQ48" s="142">
        <v>229.0</v>
      </c>
      <c r="AR48" s="143"/>
      <c r="AS48" s="144">
        <v>0.9633809254553852</v>
      </c>
      <c r="AT48" s="144">
        <v>-0.008980925455385202</v>
      </c>
      <c r="AU48" s="146" t="s">
        <v>365</v>
      </c>
      <c r="AV48" s="146" t="s">
        <v>365</v>
      </c>
      <c r="AW48" s="148" t="s">
        <v>365</v>
      </c>
      <c r="AX48" s="151"/>
      <c r="AY48" s="105"/>
      <c r="AZ48" s="186"/>
      <c r="BA48" s="186"/>
      <c r="BB48" s="146"/>
      <c r="BC48" s="155"/>
      <c r="BD48" s="155"/>
      <c r="BE48" s="155"/>
      <c r="BF48" s="45"/>
    </row>
    <row r="49" ht="16.5" customHeight="1">
      <c r="A49" s="111">
        <v>46.0</v>
      </c>
      <c r="B49" s="165" t="s">
        <v>367</v>
      </c>
      <c r="C49" s="115" t="s">
        <v>60</v>
      </c>
      <c r="D49" s="157">
        <v>41612.0</v>
      </c>
      <c r="E49" s="157">
        <v>41926.0</v>
      </c>
      <c r="F49" s="79" t="s">
        <v>79</v>
      </c>
      <c r="G49" s="167">
        <v>34000.0</v>
      </c>
      <c r="H49" s="114">
        <v>107.9</v>
      </c>
      <c r="I49" s="123">
        <v>381.0</v>
      </c>
      <c r="J49" s="159" t="s">
        <v>104</v>
      </c>
      <c r="K49" s="121">
        <v>384.85</v>
      </c>
      <c r="L49" s="120" t="s">
        <v>63</v>
      </c>
      <c r="M49" s="120"/>
      <c r="N49" s="123"/>
      <c r="O49" s="124">
        <v>34000.0</v>
      </c>
      <c r="P49" s="124">
        <v>315.0</v>
      </c>
      <c r="Q49" s="133">
        <v>234.0</v>
      </c>
      <c r="R49" s="125">
        <v>399.0</v>
      </c>
      <c r="S49" s="126">
        <v>0.9645</v>
      </c>
      <c r="T49" s="127">
        <v>74748.75</v>
      </c>
      <c r="U49" s="128">
        <f t="shared" si="1"/>
        <v>0</v>
      </c>
      <c r="V49" s="79" t="s">
        <v>64</v>
      </c>
      <c r="W49" s="79" t="s">
        <v>65</v>
      </c>
      <c r="X49" s="79" t="s">
        <v>66</v>
      </c>
      <c r="Y49" s="130"/>
      <c r="Z49" s="111"/>
      <c r="AA49" s="133"/>
      <c r="AB49" s="133"/>
      <c r="AC49" s="133"/>
      <c r="AD49" s="133"/>
      <c r="AE49" s="133"/>
      <c r="AF49" s="111"/>
      <c r="AG49" s="147" t="s">
        <v>369</v>
      </c>
      <c r="AH49" s="73"/>
      <c r="AI49" s="135"/>
      <c r="AJ49" s="136"/>
      <c r="AK49" s="76"/>
      <c r="AL49" s="137"/>
      <c r="AM49" s="139" t="s">
        <v>71</v>
      </c>
      <c r="AN49" s="139">
        <v>315.0</v>
      </c>
      <c r="AO49" s="140">
        <v>104.53</v>
      </c>
      <c r="AP49" s="142">
        <v>34000.0</v>
      </c>
      <c r="AQ49" s="142">
        <v>234.0</v>
      </c>
      <c r="AR49" s="143"/>
      <c r="AS49" s="144">
        <v>0.9629208849367585</v>
      </c>
      <c r="AT49" s="144">
        <v>0.0015791150632414874</v>
      </c>
      <c r="AU49" s="146" t="s">
        <v>370</v>
      </c>
      <c r="AV49" s="146" t="s">
        <v>370</v>
      </c>
      <c r="AW49" s="148" t="s">
        <v>370</v>
      </c>
      <c r="AX49" s="151"/>
      <c r="AY49" s="105"/>
      <c r="AZ49" s="186"/>
      <c r="BA49" s="186"/>
      <c r="BB49" s="146"/>
      <c r="BC49" s="155"/>
      <c r="BD49" s="155"/>
      <c r="BE49" s="155"/>
      <c r="BF49" s="45"/>
    </row>
    <row r="50" ht="16.5" customHeight="1">
      <c r="A50" s="111">
        <v>47.0</v>
      </c>
      <c r="B50" s="165" t="s">
        <v>339</v>
      </c>
      <c r="C50" s="115" t="s">
        <v>60</v>
      </c>
      <c r="D50" s="157">
        <v>41912.0</v>
      </c>
      <c r="E50" s="157">
        <v>41942.0</v>
      </c>
      <c r="F50" s="79" t="s">
        <v>59</v>
      </c>
      <c r="G50" s="167">
        <v>4517.0</v>
      </c>
      <c r="H50" s="114">
        <v>145.7</v>
      </c>
      <c r="I50" s="123">
        <v>394.0</v>
      </c>
      <c r="J50" s="111" t="s">
        <v>61</v>
      </c>
      <c r="K50" s="121">
        <v>398.99</v>
      </c>
      <c r="L50" s="120" t="s">
        <v>63</v>
      </c>
      <c r="M50" s="120"/>
      <c r="N50" s="123"/>
      <c r="O50" s="124">
        <v>4517.0</v>
      </c>
      <c r="P50" s="124">
        <v>31.0</v>
      </c>
      <c r="Q50" s="133">
        <v>244.0</v>
      </c>
      <c r="R50" s="125">
        <v>399.0</v>
      </c>
      <c r="S50" s="126">
        <v>1.0</v>
      </c>
      <c r="T50" s="127">
        <v>77500.0</v>
      </c>
      <c r="U50" s="128">
        <f t="shared" si="1"/>
        <v>0</v>
      </c>
      <c r="V50" s="79" t="s">
        <v>80</v>
      </c>
      <c r="W50" s="79" t="s">
        <v>67</v>
      </c>
      <c r="X50" s="79" t="s">
        <v>68</v>
      </c>
      <c r="Y50" s="130">
        <v>0.9</v>
      </c>
      <c r="Z50" s="111"/>
      <c r="AA50" s="133"/>
      <c r="AB50" s="133"/>
      <c r="AC50" s="133"/>
      <c r="AD50" s="133"/>
      <c r="AE50" s="133"/>
      <c r="AF50" s="111"/>
      <c r="AG50" s="147"/>
      <c r="AH50" s="73"/>
      <c r="AI50" s="135"/>
      <c r="AJ50" s="136"/>
      <c r="AK50" s="76"/>
      <c r="AL50" s="137"/>
      <c r="AM50" s="139" t="s">
        <v>71</v>
      </c>
      <c r="AN50" s="139">
        <v>31.0</v>
      </c>
      <c r="AO50" s="140">
        <v>14.22</v>
      </c>
      <c r="AP50" s="142">
        <v>4517.0</v>
      </c>
      <c r="AQ50" s="142">
        <v>244.0</v>
      </c>
      <c r="AR50" s="143"/>
      <c r="AS50" s="144">
        <v>0.9916637167652651</v>
      </c>
      <c r="AT50" s="144">
        <v>0.008336283234734898</v>
      </c>
      <c r="AU50" s="146" t="s">
        <v>375</v>
      </c>
      <c r="AV50" s="146" t="s">
        <v>375</v>
      </c>
      <c r="AW50" s="148" t="s">
        <v>375</v>
      </c>
      <c r="AX50" s="151"/>
      <c r="AY50" s="105"/>
      <c r="AZ50" s="186"/>
      <c r="BA50" s="186"/>
      <c r="BB50" s="146"/>
      <c r="BC50" s="155"/>
      <c r="BD50" s="155"/>
      <c r="BE50" s="155"/>
      <c r="BF50" s="45"/>
    </row>
    <row r="51" ht="16.5" customHeight="1">
      <c r="A51" s="111">
        <v>48.0</v>
      </c>
      <c r="B51" s="165" t="s">
        <v>376</v>
      </c>
      <c r="C51" s="115" t="s">
        <v>60</v>
      </c>
      <c r="D51" s="157">
        <v>41600.0</v>
      </c>
      <c r="E51" s="157">
        <v>41944.0</v>
      </c>
      <c r="F51" s="79" t="s">
        <v>59</v>
      </c>
      <c r="G51" s="167">
        <v>39000.0</v>
      </c>
      <c r="H51" s="114">
        <v>113.0</v>
      </c>
      <c r="I51" s="123">
        <v>377.0</v>
      </c>
      <c r="J51" s="159" t="s">
        <v>104</v>
      </c>
      <c r="K51" s="121">
        <v>380.81</v>
      </c>
      <c r="L51" s="120" t="s">
        <v>63</v>
      </c>
      <c r="M51" s="120"/>
      <c r="N51" s="123"/>
      <c r="O51" s="124">
        <v>39000.0</v>
      </c>
      <c r="P51" s="124">
        <v>345.0</v>
      </c>
      <c r="Q51" s="133">
        <v>202.0</v>
      </c>
      <c r="R51" s="125">
        <v>399.0</v>
      </c>
      <c r="S51" s="126">
        <v>0.9544</v>
      </c>
      <c r="T51" s="127">
        <v>73966.0</v>
      </c>
      <c r="U51" s="128">
        <f t="shared" si="1"/>
        <v>0</v>
      </c>
      <c r="V51" s="79" t="s">
        <v>69</v>
      </c>
      <c r="W51" s="79" t="s">
        <v>69</v>
      </c>
      <c r="X51" s="79" t="s">
        <v>68</v>
      </c>
      <c r="Y51" s="130"/>
      <c r="Z51" s="111"/>
      <c r="AA51" s="133"/>
      <c r="AB51" s="133"/>
      <c r="AC51" s="133"/>
      <c r="AD51" s="133"/>
      <c r="AE51" s="133"/>
      <c r="AF51" s="111"/>
      <c r="AG51" s="147"/>
      <c r="AH51" s="73"/>
      <c r="AI51" s="135"/>
      <c r="AJ51" s="136"/>
      <c r="AK51" s="76"/>
      <c r="AL51" s="137"/>
      <c r="AM51" s="139" t="s">
        <v>71</v>
      </c>
      <c r="AN51" s="139">
        <v>345.0</v>
      </c>
      <c r="AO51" s="140">
        <v>104.04</v>
      </c>
      <c r="AP51" s="142">
        <v>39000.0</v>
      </c>
      <c r="AQ51" s="142">
        <v>202.0</v>
      </c>
      <c r="AR51" s="143"/>
      <c r="AS51" s="144">
        <v>0.9604590167481293</v>
      </c>
      <c r="AT51" s="144">
        <v>-0.006059016748129253</v>
      </c>
      <c r="AU51" s="146" t="s">
        <v>380</v>
      </c>
      <c r="AV51" s="146" t="s">
        <v>380</v>
      </c>
      <c r="AW51" s="148" t="s">
        <v>380</v>
      </c>
      <c r="AX51" s="151"/>
      <c r="AY51" s="105"/>
      <c r="AZ51" s="186"/>
      <c r="BA51" s="186"/>
      <c r="BB51" s="146"/>
      <c r="BC51" s="155"/>
      <c r="BD51" s="155"/>
      <c r="BE51" s="155"/>
      <c r="BF51" s="45"/>
    </row>
    <row r="52" ht="16.5" customHeight="1">
      <c r="A52" s="111">
        <v>49.0</v>
      </c>
      <c r="B52" s="165" t="s">
        <v>381</v>
      </c>
      <c r="C52" s="115" t="s">
        <v>60</v>
      </c>
      <c r="D52" s="157">
        <v>41540.0</v>
      </c>
      <c r="E52" s="157">
        <v>41950.0</v>
      </c>
      <c r="F52" s="79" t="s">
        <v>79</v>
      </c>
      <c r="G52" s="167">
        <v>52000.0</v>
      </c>
      <c r="H52" s="114">
        <v>126.5</v>
      </c>
      <c r="I52" s="123">
        <v>381.0</v>
      </c>
      <c r="J52" s="159" t="s">
        <v>104</v>
      </c>
      <c r="K52" s="121">
        <v>384.85</v>
      </c>
      <c r="L52" s="120" t="s">
        <v>195</v>
      </c>
      <c r="M52" s="120" t="s">
        <v>281</v>
      </c>
      <c r="N52" s="123">
        <v>18000.0</v>
      </c>
      <c r="O52" s="124">
        <v>38423.0</v>
      </c>
      <c r="P52" s="124">
        <v>304.0</v>
      </c>
      <c r="Q52" s="133">
        <v>220.0</v>
      </c>
      <c r="R52" s="125">
        <v>399.0</v>
      </c>
      <c r="S52" s="126">
        <v>0.9645</v>
      </c>
      <c r="T52" s="127">
        <v>74748.75</v>
      </c>
      <c r="U52" s="128">
        <f t="shared" si="1"/>
        <v>0</v>
      </c>
      <c r="V52" s="79" t="s">
        <v>65</v>
      </c>
      <c r="W52" s="79" t="s">
        <v>69</v>
      </c>
      <c r="X52" s="79" t="s">
        <v>68</v>
      </c>
      <c r="Y52" s="130"/>
      <c r="Z52" s="111"/>
      <c r="AA52" s="133"/>
      <c r="AB52" s="133"/>
      <c r="AC52" s="133"/>
      <c r="AD52" s="133"/>
      <c r="AE52" s="133"/>
      <c r="AF52" s="111"/>
      <c r="AG52" s="147" t="s">
        <v>385</v>
      </c>
      <c r="AH52" s="73"/>
      <c r="AI52" s="135"/>
      <c r="AJ52" s="136"/>
      <c r="AK52" s="76"/>
      <c r="AL52" s="137"/>
      <c r="AM52" s="139" t="s">
        <v>71</v>
      </c>
      <c r="AN52" s="139">
        <v>411.0</v>
      </c>
      <c r="AO52" s="140">
        <v>111.06</v>
      </c>
      <c r="AP52" s="142">
        <v>38423.0</v>
      </c>
      <c r="AQ52" s="142">
        <v>220.0</v>
      </c>
      <c r="AR52" s="143"/>
      <c r="AS52" s="144">
        <v>0.9607235093285867</v>
      </c>
      <c r="AT52" s="144">
        <v>0.0037764906714132795</v>
      </c>
      <c r="AU52" s="146" t="s">
        <v>386</v>
      </c>
      <c r="AV52" s="146" t="s">
        <v>386</v>
      </c>
      <c r="AW52" s="148" t="s">
        <v>386</v>
      </c>
      <c r="AX52" s="151"/>
      <c r="AY52" s="105"/>
      <c r="AZ52" s="186"/>
      <c r="BA52" s="186"/>
      <c r="BB52" s="146"/>
      <c r="BC52" s="155"/>
      <c r="BD52" s="155"/>
      <c r="BE52" s="155"/>
      <c r="BF52" s="45"/>
    </row>
    <row r="53" ht="16.5" customHeight="1">
      <c r="A53" s="111">
        <v>50.0</v>
      </c>
      <c r="B53" s="165" t="s">
        <v>212</v>
      </c>
      <c r="C53" s="115" t="s">
        <v>60</v>
      </c>
      <c r="D53" s="157">
        <v>41543.0</v>
      </c>
      <c r="E53" s="157">
        <v>41950.0</v>
      </c>
      <c r="F53" s="79" t="s">
        <v>59</v>
      </c>
      <c r="G53" s="167">
        <v>54000.0</v>
      </c>
      <c r="H53" s="114">
        <v>132.4</v>
      </c>
      <c r="I53" s="123">
        <v>377.0</v>
      </c>
      <c r="J53" s="159" t="s">
        <v>104</v>
      </c>
      <c r="K53" s="121">
        <v>380.81</v>
      </c>
      <c r="L53" s="120" t="s">
        <v>63</v>
      </c>
      <c r="M53" s="120"/>
      <c r="N53" s="123"/>
      <c r="O53" s="124">
        <v>54000.0</v>
      </c>
      <c r="P53" s="124">
        <v>408.0</v>
      </c>
      <c r="Q53" s="133">
        <v>221.0</v>
      </c>
      <c r="R53" s="125">
        <v>399.0</v>
      </c>
      <c r="S53" s="126">
        <v>0.9544</v>
      </c>
      <c r="T53" s="127">
        <v>73966.0</v>
      </c>
      <c r="U53" s="128">
        <f t="shared" si="1"/>
        <v>0</v>
      </c>
      <c r="V53" s="79" t="s">
        <v>65</v>
      </c>
      <c r="W53" s="79" t="s">
        <v>65</v>
      </c>
      <c r="X53" s="79" t="s">
        <v>68</v>
      </c>
      <c r="Y53" s="130"/>
      <c r="Z53" s="111"/>
      <c r="AA53" s="133"/>
      <c r="AB53" s="133"/>
      <c r="AC53" s="133"/>
      <c r="AD53" s="133"/>
      <c r="AE53" s="133"/>
      <c r="AF53" s="111"/>
      <c r="AG53" s="147"/>
      <c r="AH53" s="73"/>
      <c r="AI53" s="135"/>
      <c r="AJ53" s="136"/>
      <c r="AK53" s="76"/>
      <c r="AL53" s="137"/>
      <c r="AM53" s="139" t="s">
        <v>71</v>
      </c>
      <c r="AN53" s="139">
        <v>408.0</v>
      </c>
      <c r="AO53" s="140">
        <v>157.6</v>
      </c>
      <c r="AP53" s="142">
        <v>54000.0</v>
      </c>
      <c r="AQ53" s="142">
        <v>221.0</v>
      </c>
      <c r="AR53" s="143"/>
      <c r="AS53" s="144">
        <v>0.9549104819935579</v>
      </c>
      <c r="AT53" s="144">
        <v>-5.104819935578542E-4</v>
      </c>
      <c r="AU53" s="146" t="s">
        <v>388</v>
      </c>
      <c r="AV53" s="146" t="s">
        <v>388</v>
      </c>
      <c r="AW53" s="148" t="s">
        <v>388</v>
      </c>
      <c r="AX53" s="151"/>
      <c r="AY53" s="105"/>
      <c r="AZ53" s="186"/>
      <c r="BA53" s="186"/>
      <c r="BB53" s="146"/>
      <c r="BC53" s="155"/>
      <c r="BD53" s="155"/>
      <c r="BE53" s="155"/>
      <c r="BF53" s="45"/>
    </row>
    <row r="54" ht="16.5" customHeight="1">
      <c r="A54" s="111">
        <v>51.0</v>
      </c>
      <c r="B54" s="165" t="s">
        <v>126</v>
      </c>
      <c r="C54" s="115" t="s">
        <v>60</v>
      </c>
      <c r="D54" s="157">
        <v>41527.0</v>
      </c>
      <c r="E54" s="157">
        <v>41953.0</v>
      </c>
      <c r="F54" s="79" t="s">
        <v>79</v>
      </c>
      <c r="G54" s="167">
        <v>73000.0</v>
      </c>
      <c r="H54" s="114">
        <v>171.0</v>
      </c>
      <c r="I54" s="123">
        <v>379.0</v>
      </c>
      <c r="J54" s="111" t="s">
        <v>62</v>
      </c>
      <c r="K54" s="121">
        <v>379.0</v>
      </c>
      <c r="L54" s="120" t="s">
        <v>63</v>
      </c>
      <c r="M54" s="120"/>
      <c r="N54" s="123"/>
      <c r="O54" s="124">
        <v>73000.0</v>
      </c>
      <c r="P54" s="124">
        <v>427.0</v>
      </c>
      <c r="Q54" s="133">
        <v>218.0</v>
      </c>
      <c r="R54" s="125">
        <v>399.0</v>
      </c>
      <c r="S54" s="126">
        <v>0.9499</v>
      </c>
      <c r="T54" s="127">
        <v>73617.25</v>
      </c>
      <c r="U54" s="128">
        <f t="shared" si="1"/>
        <v>0</v>
      </c>
      <c r="V54" s="79" t="s">
        <v>65</v>
      </c>
      <c r="W54" s="79" t="s">
        <v>127</v>
      </c>
      <c r="X54" s="79" t="s">
        <v>66</v>
      </c>
      <c r="Y54" s="130">
        <v>1.0</v>
      </c>
      <c r="Z54" s="111">
        <v>22.0</v>
      </c>
      <c r="AA54" s="133"/>
      <c r="AB54" s="133"/>
      <c r="AC54" s="133"/>
      <c r="AD54" s="133"/>
      <c r="AE54" s="133"/>
      <c r="AF54" s="111"/>
      <c r="AG54" s="155" t="s">
        <v>128</v>
      </c>
      <c r="AH54" s="73"/>
      <c r="AI54" s="135"/>
      <c r="AJ54" s="136"/>
      <c r="AK54" s="76"/>
      <c r="AL54" s="137"/>
      <c r="AM54" s="139" t="s">
        <v>71</v>
      </c>
      <c r="AN54" s="139">
        <v>427.0</v>
      </c>
      <c r="AO54" s="140">
        <v>210.64</v>
      </c>
      <c r="AP54" s="142">
        <v>73000.0</v>
      </c>
      <c r="AQ54" s="142">
        <v>218.0</v>
      </c>
      <c r="AR54" s="143"/>
      <c r="AS54" s="144">
        <v>0.9500976306466665</v>
      </c>
      <c r="AT54" s="144">
        <v>-1.9763064666655783E-4</v>
      </c>
      <c r="AU54" s="146" t="s">
        <v>391</v>
      </c>
      <c r="AV54" s="146" t="s">
        <v>391</v>
      </c>
      <c r="AW54" s="148" t="s">
        <v>391</v>
      </c>
      <c r="AX54" s="151"/>
      <c r="AY54" s="105"/>
      <c r="AZ54" s="186"/>
      <c r="BA54" s="186"/>
      <c r="BB54" s="146"/>
      <c r="BC54" s="155"/>
      <c r="BD54" s="155"/>
      <c r="BE54" s="155"/>
      <c r="BF54" s="45"/>
    </row>
    <row r="55" ht="16.5" customHeight="1">
      <c r="A55" s="111">
        <v>52.0</v>
      </c>
      <c r="B55" s="165" t="s">
        <v>392</v>
      </c>
      <c r="C55" s="115" t="s">
        <v>60</v>
      </c>
      <c r="D55" s="157">
        <v>41582.0</v>
      </c>
      <c r="E55" s="157">
        <v>41954.0</v>
      </c>
      <c r="F55" s="79" t="s">
        <v>79</v>
      </c>
      <c r="G55" s="167">
        <v>21000.0</v>
      </c>
      <c r="H55" s="114">
        <v>56.3</v>
      </c>
      <c r="I55" s="123">
        <v>379.0</v>
      </c>
      <c r="J55" s="111" t="s">
        <v>61</v>
      </c>
      <c r="K55" s="121">
        <v>383.8</v>
      </c>
      <c r="L55" s="120" t="s">
        <v>63</v>
      </c>
      <c r="M55" s="120"/>
      <c r="N55" s="123"/>
      <c r="O55" s="124">
        <v>21000.0</v>
      </c>
      <c r="P55" s="124">
        <v>373.0</v>
      </c>
      <c r="Q55" s="159">
        <v>218.0</v>
      </c>
      <c r="R55" s="125">
        <v>399.0</v>
      </c>
      <c r="S55" s="126">
        <v>0.9619</v>
      </c>
      <c r="T55" s="127">
        <v>74547.25</v>
      </c>
      <c r="U55" s="128">
        <f t="shared" si="1"/>
        <v>0</v>
      </c>
      <c r="V55" s="79" t="s">
        <v>64</v>
      </c>
      <c r="W55" s="79" t="s">
        <v>69</v>
      </c>
      <c r="X55" s="79" t="s">
        <v>68</v>
      </c>
      <c r="Y55" s="130"/>
      <c r="Z55" s="111"/>
      <c r="AA55" s="133"/>
      <c r="AB55" s="133"/>
      <c r="AC55" s="133"/>
      <c r="AD55" s="133"/>
      <c r="AE55" s="133"/>
      <c r="AF55" s="111"/>
      <c r="AG55" s="185"/>
      <c r="AH55" s="73"/>
      <c r="AI55" s="135"/>
      <c r="AJ55" s="136"/>
      <c r="AK55" s="76"/>
      <c r="AL55" s="137"/>
      <c r="AM55" s="139" t="s">
        <v>71</v>
      </c>
      <c r="AN55" s="139">
        <v>373.0</v>
      </c>
      <c r="AO55" s="140">
        <v>60.23</v>
      </c>
      <c r="AP55" s="142">
        <v>21000.0</v>
      </c>
      <c r="AQ55" s="142">
        <v>218.0</v>
      </c>
      <c r="AR55" s="143"/>
      <c r="AS55" s="144">
        <v>0.9717216804045397</v>
      </c>
      <c r="AT55" s="144">
        <v>-0.009821680404539679</v>
      </c>
      <c r="AU55" s="146" t="s">
        <v>396</v>
      </c>
      <c r="AV55" s="146" t="s">
        <v>396</v>
      </c>
      <c r="AW55" s="148" t="s">
        <v>396</v>
      </c>
      <c r="AX55" s="151"/>
      <c r="AY55" s="105"/>
      <c r="AZ55" s="186"/>
      <c r="BA55" s="186"/>
      <c r="BB55" s="146"/>
      <c r="BC55" s="155"/>
      <c r="BD55" s="155"/>
      <c r="BE55" s="155"/>
      <c r="BF55" s="45"/>
    </row>
    <row r="56" ht="16.5" customHeight="1">
      <c r="A56" s="111">
        <v>53.0</v>
      </c>
      <c r="B56" s="165" t="s">
        <v>397</v>
      </c>
      <c r="C56" s="115" t="s">
        <v>60</v>
      </c>
      <c r="D56" s="157">
        <v>41740.0</v>
      </c>
      <c r="E56" s="157">
        <v>41956.0</v>
      </c>
      <c r="F56" s="174" t="s">
        <v>103</v>
      </c>
      <c r="G56" s="167">
        <v>12000.0</v>
      </c>
      <c r="H56" s="114">
        <v>55.3</v>
      </c>
      <c r="I56" s="123">
        <v>388.0</v>
      </c>
      <c r="J56" s="111" t="s">
        <v>62</v>
      </c>
      <c r="K56" s="121">
        <v>388.0</v>
      </c>
      <c r="L56" s="120" t="s">
        <v>63</v>
      </c>
      <c r="M56" s="120"/>
      <c r="N56" s="123"/>
      <c r="O56" s="124">
        <v>12000.0</v>
      </c>
      <c r="P56" s="124">
        <v>217.0</v>
      </c>
      <c r="Q56" s="133">
        <v>224.0</v>
      </c>
      <c r="R56" s="125">
        <v>400.0</v>
      </c>
      <c r="S56" s="126">
        <v>0.97</v>
      </c>
      <c r="T56" s="127">
        <v>75175.0</v>
      </c>
      <c r="U56" s="128">
        <f t="shared" si="1"/>
        <v>0</v>
      </c>
      <c r="V56" s="79" t="s">
        <v>69</v>
      </c>
      <c r="W56" s="79" t="s">
        <v>69</v>
      </c>
      <c r="X56" s="79" t="s">
        <v>68</v>
      </c>
      <c r="Y56" s="130"/>
      <c r="Z56" s="111"/>
      <c r="AA56" s="133"/>
      <c r="AB56" s="133"/>
      <c r="AC56" s="133"/>
      <c r="AD56" s="133"/>
      <c r="AE56" s="133"/>
      <c r="AF56" s="111"/>
      <c r="AG56" s="147"/>
      <c r="AH56" s="73"/>
      <c r="AI56" s="135"/>
      <c r="AJ56" s="136"/>
      <c r="AK56" s="76"/>
      <c r="AL56" s="137"/>
      <c r="AM56" s="139" t="s">
        <v>71</v>
      </c>
      <c r="AN56" s="139">
        <v>217.0</v>
      </c>
      <c r="AO56" s="140">
        <v>35.22</v>
      </c>
      <c r="AP56" s="142">
        <v>12000.0</v>
      </c>
      <c r="AQ56" s="142">
        <v>224.0</v>
      </c>
      <c r="AR56" s="143"/>
      <c r="AS56" s="144">
        <v>0.9809379352911672</v>
      </c>
      <c r="AT56" s="144">
        <v>-0.010937935291167267</v>
      </c>
      <c r="AU56" s="146" t="s">
        <v>401</v>
      </c>
      <c r="AV56" s="146" t="s">
        <v>401</v>
      </c>
      <c r="AW56" s="148" t="s">
        <v>401</v>
      </c>
      <c r="AX56" s="151"/>
      <c r="AY56" s="105"/>
      <c r="AZ56" s="186"/>
      <c r="BA56" s="186"/>
      <c r="BB56" s="146"/>
      <c r="BC56" s="155"/>
      <c r="BD56" s="155"/>
      <c r="BE56" s="155"/>
      <c r="BF56" s="45"/>
    </row>
    <row r="57" ht="16.5" customHeight="1">
      <c r="A57" s="111">
        <v>54.0</v>
      </c>
      <c r="B57" s="165" t="s">
        <v>140</v>
      </c>
      <c r="C57" s="115" t="s">
        <v>60</v>
      </c>
      <c r="D57" s="157">
        <v>41867.0</v>
      </c>
      <c r="E57" s="157">
        <v>41957.0</v>
      </c>
      <c r="F57" s="79" t="s">
        <v>79</v>
      </c>
      <c r="G57" s="167">
        <v>8000.0</v>
      </c>
      <c r="H57" s="114">
        <v>87.9</v>
      </c>
      <c r="I57" s="123">
        <v>388.0</v>
      </c>
      <c r="J57" s="111" t="s">
        <v>61</v>
      </c>
      <c r="K57" s="121">
        <v>392.91</v>
      </c>
      <c r="L57" s="120" t="s">
        <v>63</v>
      </c>
      <c r="M57" s="120"/>
      <c r="N57" s="123"/>
      <c r="O57" s="124">
        <v>8000.0</v>
      </c>
      <c r="P57" s="124">
        <v>91.0</v>
      </c>
      <c r="Q57" s="133">
        <v>229.0</v>
      </c>
      <c r="R57" s="125">
        <v>399.0</v>
      </c>
      <c r="S57" s="126">
        <v>0.9847</v>
      </c>
      <c r="T57" s="127">
        <v>76314.25</v>
      </c>
      <c r="U57" s="128">
        <f t="shared" si="1"/>
        <v>0</v>
      </c>
      <c r="V57" s="79" t="s">
        <v>65</v>
      </c>
      <c r="W57" s="79" t="s">
        <v>67</v>
      </c>
      <c r="X57" s="79" t="s">
        <v>64</v>
      </c>
      <c r="Y57" s="130"/>
      <c r="Z57" s="111"/>
      <c r="AA57" s="133"/>
      <c r="AB57" s="133"/>
      <c r="AC57" s="133"/>
      <c r="AD57" s="133"/>
      <c r="AE57" s="133"/>
      <c r="AF57" s="111"/>
      <c r="AG57" s="147" t="s">
        <v>403</v>
      </c>
      <c r="AH57" s="73"/>
      <c r="AI57" s="135"/>
      <c r="AJ57" s="136"/>
      <c r="AK57" s="76"/>
      <c r="AL57" s="137"/>
      <c r="AM57" s="139" t="s">
        <v>71</v>
      </c>
      <c r="AN57" s="139">
        <v>91.0</v>
      </c>
      <c r="AO57" s="140">
        <v>23.82</v>
      </c>
      <c r="AP57" s="142">
        <v>8000.0</v>
      </c>
      <c r="AQ57" s="142">
        <v>229.0</v>
      </c>
      <c r="AR57" s="143"/>
      <c r="AS57" s="144">
        <v>0.9862511139643646</v>
      </c>
      <c r="AT57" s="144">
        <v>-0.001551113964364581</v>
      </c>
      <c r="AU57" s="146" t="s">
        <v>404</v>
      </c>
      <c r="AV57" s="146" t="s">
        <v>404</v>
      </c>
      <c r="AW57" s="148" t="s">
        <v>404</v>
      </c>
      <c r="AX57" s="151"/>
      <c r="AY57" s="105"/>
      <c r="AZ57" s="186"/>
      <c r="BA57" s="186"/>
      <c r="BB57" s="146"/>
      <c r="BC57" s="155"/>
      <c r="BD57" s="155"/>
      <c r="BE57" s="155"/>
      <c r="BF57" s="45"/>
    </row>
    <row r="58" ht="16.5" customHeight="1">
      <c r="A58" s="111">
        <v>55.0</v>
      </c>
      <c r="B58" s="165" t="s">
        <v>96</v>
      </c>
      <c r="C58" s="115" t="s">
        <v>60</v>
      </c>
      <c r="D58" s="157">
        <v>41596.0</v>
      </c>
      <c r="E58" s="157">
        <v>41959.0</v>
      </c>
      <c r="F58" s="79" t="s">
        <v>59</v>
      </c>
      <c r="G58" s="167">
        <v>42000.0</v>
      </c>
      <c r="H58" s="114">
        <v>115.4</v>
      </c>
      <c r="I58" s="123">
        <v>380.0</v>
      </c>
      <c r="J58" s="111" t="s">
        <v>62</v>
      </c>
      <c r="K58" s="121">
        <v>380.0</v>
      </c>
      <c r="L58" s="120" t="s">
        <v>63</v>
      </c>
      <c r="M58" s="120"/>
      <c r="N58" s="123"/>
      <c r="O58" s="124">
        <v>42000.0</v>
      </c>
      <c r="P58" s="124">
        <v>364.0</v>
      </c>
      <c r="Q58" s="133">
        <v>223.0</v>
      </c>
      <c r="R58" s="125">
        <v>399.0</v>
      </c>
      <c r="S58" s="126">
        <v>0.9524</v>
      </c>
      <c r="T58" s="127">
        <v>73811.0</v>
      </c>
      <c r="U58" s="128">
        <f t="shared" si="1"/>
        <v>0</v>
      </c>
      <c r="V58" s="79" t="s">
        <v>64</v>
      </c>
      <c r="W58" s="79" t="s">
        <v>65</v>
      </c>
      <c r="X58" s="79" t="s">
        <v>64</v>
      </c>
      <c r="Y58" s="130"/>
      <c r="Z58" s="111"/>
      <c r="AA58" s="133"/>
      <c r="AB58" s="133"/>
      <c r="AC58" s="133"/>
      <c r="AD58" s="133"/>
      <c r="AE58" s="133"/>
      <c r="AF58" s="111"/>
      <c r="AG58" s="147" t="s">
        <v>408</v>
      </c>
      <c r="AH58" s="73"/>
      <c r="AI58" s="135"/>
      <c r="AJ58" s="136"/>
      <c r="AK58" s="76"/>
      <c r="AL58" s="137"/>
      <c r="AM58" s="139" t="s">
        <v>71</v>
      </c>
      <c r="AN58" s="139">
        <v>364.0</v>
      </c>
      <c r="AO58" s="140">
        <v>123.81</v>
      </c>
      <c r="AP58" s="142">
        <v>42000.0</v>
      </c>
      <c r="AQ58" s="142">
        <v>223.0</v>
      </c>
      <c r="AR58" s="143"/>
      <c r="AS58" s="144">
        <v>0.9591564856551087</v>
      </c>
      <c r="AT58" s="144">
        <v>-0.006756485655108668</v>
      </c>
      <c r="AU58" s="146" t="s">
        <v>409</v>
      </c>
      <c r="AV58" s="146" t="s">
        <v>409</v>
      </c>
      <c r="AW58" s="148" t="s">
        <v>409</v>
      </c>
      <c r="AX58" s="151"/>
      <c r="AY58" s="105"/>
      <c r="AZ58" s="186"/>
      <c r="BA58" s="186"/>
      <c r="BB58" s="146"/>
      <c r="BC58" s="155"/>
      <c r="BD58" s="155"/>
      <c r="BE58" s="155"/>
      <c r="BF58" s="45"/>
    </row>
    <row r="59" ht="16.5" customHeight="1">
      <c r="A59" s="111">
        <v>56.0</v>
      </c>
      <c r="B59" s="165" t="s">
        <v>339</v>
      </c>
      <c r="C59" s="115" t="s">
        <v>60</v>
      </c>
      <c r="D59" s="157">
        <v>41912.0</v>
      </c>
      <c r="E59" s="157">
        <v>41965.0</v>
      </c>
      <c r="F59" s="79" t="s">
        <v>59</v>
      </c>
      <c r="G59" s="167">
        <v>7024.0</v>
      </c>
      <c r="H59" s="114">
        <v>130.1</v>
      </c>
      <c r="I59" s="123">
        <v>393.0</v>
      </c>
      <c r="J59" s="111" t="s">
        <v>61</v>
      </c>
      <c r="K59" s="121">
        <v>397.97</v>
      </c>
      <c r="L59" s="120" t="s">
        <v>63</v>
      </c>
      <c r="M59" s="120"/>
      <c r="N59" s="123"/>
      <c r="O59" s="124">
        <v>7024.0</v>
      </c>
      <c r="P59" s="124">
        <v>54.0</v>
      </c>
      <c r="Q59" s="133">
        <v>251.0</v>
      </c>
      <c r="R59" s="125">
        <v>399.0</v>
      </c>
      <c r="S59" s="126">
        <v>0.9974</v>
      </c>
      <c r="T59" s="127">
        <v>77298.5</v>
      </c>
      <c r="U59" s="128">
        <f t="shared" si="1"/>
        <v>0</v>
      </c>
      <c r="V59" s="79" t="s">
        <v>67</v>
      </c>
      <c r="W59" s="79" t="s">
        <v>65</v>
      </c>
      <c r="X59" s="79" t="s">
        <v>68</v>
      </c>
      <c r="Y59" s="130">
        <v>0.9</v>
      </c>
      <c r="Z59" s="111"/>
      <c r="AA59" s="133"/>
      <c r="AB59" s="133"/>
      <c r="AC59" s="133"/>
      <c r="AD59" s="133"/>
      <c r="AE59" s="133"/>
      <c r="AF59" s="111"/>
      <c r="AG59" s="147"/>
      <c r="AH59" s="73"/>
      <c r="AI59" s="135"/>
      <c r="AJ59" s="136"/>
      <c r="AK59" s="76"/>
      <c r="AL59" s="137"/>
      <c r="AM59" s="139" t="s">
        <v>71</v>
      </c>
      <c r="AN59" s="139">
        <v>54.0</v>
      </c>
      <c r="AO59" s="140">
        <v>22.78</v>
      </c>
      <c r="AP59" s="142">
        <v>7024.0</v>
      </c>
      <c r="AQ59" s="142">
        <v>251.0</v>
      </c>
      <c r="AR59" s="143"/>
      <c r="AS59" s="144">
        <v>0.9876881721693669</v>
      </c>
      <c r="AT59" s="144">
        <v>0.009711827830633069</v>
      </c>
      <c r="AU59" s="146" t="s">
        <v>414</v>
      </c>
      <c r="AV59" s="146" t="s">
        <v>414</v>
      </c>
      <c r="AW59" s="148" t="s">
        <v>414</v>
      </c>
      <c r="AX59" s="151"/>
      <c r="AY59" s="105"/>
      <c r="AZ59" s="186"/>
      <c r="BA59" s="186"/>
      <c r="BB59" s="146"/>
      <c r="BC59" s="155"/>
      <c r="BD59" s="155"/>
      <c r="BE59" s="155"/>
      <c r="BF59" s="45"/>
    </row>
    <row r="60" ht="16.5" customHeight="1">
      <c r="A60" s="111">
        <v>57.0</v>
      </c>
      <c r="B60" s="165" t="s">
        <v>416</v>
      </c>
      <c r="C60" s="115" t="s">
        <v>60</v>
      </c>
      <c r="D60" s="157">
        <v>41612.0</v>
      </c>
      <c r="E60" s="157">
        <v>41967.0</v>
      </c>
      <c r="F60" s="174" t="s">
        <v>103</v>
      </c>
      <c r="G60" s="167">
        <v>32000.0</v>
      </c>
      <c r="H60" s="114">
        <v>89.9</v>
      </c>
      <c r="I60" s="123">
        <v>383.0</v>
      </c>
      <c r="J60" s="111" t="s">
        <v>62</v>
      </c>
      <c r="K60" s="121">
        <v>383.0</v>
      </c>
      <c r="L60" s="120" t="s">
        <v>63</v>
      </c>
      <c r="M60" s="120"/>
      <c r="N60" s="123"/>
      <c r="O60" s="124">
        <v>32000.0</v>
      </c>
      <c r="P60" s="124">
        <v>356.0</v>
      </c>
      <c r="Q60" s="133">
        <v>218.0</v>
      </c>
      <c r="R60" s="125">
        <v>400.0</v>
      </c>
      <c r="S60" s="126">
        <v>0.9575</v>
      </c>
      <c r="T60" s="127">
        <v>74206.25</v>
      </c>
      <c r="U60" s="128">
        <f t="shared" si="1"/>
        <v>0</v>
      </c>
      <c r="V60" s="79" t="s">
        <v>65</v>
      </c>
      <c r="W60" s="79" t="s">
        <v>65</v>
      </c>
      <c r="X60" s="79" t="s">
        <v>66</v>
      </c>
      <c r="Y60" s="130"/>
      <c r="Z60" s="111"/>
      <c r="AA60" s="133"/>
      <c r="AB60" s="133"/>
      <c r="AC60" s="133"/>
      <c r="AD60" s="133"/>
      <c r="AE60" s="133"/>
      <c r="AF60" s="111"/>
      <c r="AG60" s="147" t="s">
        <v>419</v>
      </c>
      <c r="AH60" s="73"/>
      <c r="AI60" s="135"/>
      <c r="AJ60" s="136"/>
      <c r="AK60" s="76"/>
      <c r="AL60" s="137"/>
      <c r="AM60" s="139" t="s">
        <v>71</v>
      </c>
      <c r="AN60" s="139">
        <v>356.0</v>
      </c>
      <c r="AO60" s="140">
        <v>91.98</v>
      </c>
      <c r="AP60" s="142">
        <v>32000.0</v>
      </c>
      <c r="AQ60" s="142">
        <v>218.0</v>
      </c>
      <c r="AR60" s="143"/>
      <c r="AS60" s="144">
        <v>0.9640247387479491</v>
      </c>
      <c r="AT60" s="144">
        <v>-0.0065247387479491215</v>
      </c>
      <c r="AU60" s="146" t="s">
        <v>421</v>
      </c>
      <c r="AV60" s="146" t="s">
        <v>421</v>
      </c>
      <c r="AW60" s="148" t="s">
        <v>421</v>
      </c>
      <c r="AX60" s="151"/>
      <c r="AY60" s="105"/>
      <c r="AZ60" s="186"/>
      <c r="BA60" s="186"/>
      <c r="BB60" s="146"/>
      <c r="BC60" s="155"/>
      <c r="BD60" s="155"/>
      <c r="BE60" s="155"/>
      <c r="BF60" s="45"/>
    </row>
    <row r="61" ht="16.5" customHeight="1">
      <c r="A61" s="111">
        <v>58.0</v>
      </c>
      <c r="B61" s="165" t="s">
        <v>126</v>
      </c>
      <c r="C61" s="115" t="s">
        <v>60</v>
      </c>
      <c r="D61" s="157">
        <v>41527.0</v>
      </c>
      <c r="E61" s="157">
        <v>41968.0</v>
      </c>
      <c r="F61" s="79" t="s">
        <v>79</v>
      </c>
      <c r="G61" s="167">
        <v>74500.0</v>
      </c>
      <c r="H61" s="114">
        <v>168.6</v>
      </c>
      <c r="I61" s="123">
        <v>380.0</v>
      </c>
      <c r="J61" s="111" t="s">
        <v>62</v>
      </c>
      <c r="K61" s="121">
        <v>380.0</v>
      </c>
      <c r="L61" s="120" t="s">
        <v>63</v>
      </c>
      <c r="M61" s="120"/>
      <c r="N61" s="123"/>
      <c r="O61" s="124">
        <v>74500.0</v>
      </c>
      <c r="P61" s="124">
        <v>442.0</v>
      </c>
      <c r="Q61" s="133">
        <v>220.0</v>
      </c>
      <c r="R61" s="125">
        <v>399.0</v>
      </c>
      <c r="S61" s="126">
        <v>0.9524</v>
      </c>
      <c r="T61" s="127">
        <v>73811.0</v>
      </c>
      <c r="U61" s="128">
        <f t="shared" si="1"/>
        <v>0</v>
      </c>
      <c r="V61" s="79" t="s">
        <v>65</v>
      </c>
      <c r="W61" s="79" t="s">
        <v>127</v>
      </c>
      <c r="X61" s="79" t="s">
        <v>66</v>
      </c>
      <c r="Y61" s="130">
        <v>1.0</v>
      </c>
      <c r="Z61" s="111">
        <v>22.0</v>
      </c>
      <c r="AA61" s="133"/>
      <c r="AB61" s="133"/>
      <c r="AC61" s="133"/>
      <c r="AD61" s="133"/>
      <c r="AE61" s="133"/>
      <c r="AF61" s="111"/>
      <c r="AG61" s="147" t="s">
        <v>128</v>
      </c>
      <c r="AH61" s="73"/>
      <c r="AI61" s="135"/>
      <c r="AJ61" s="136"/>
      <c r="AK61" s="76"/>
      <c r="AL61" s="137"/>
      <c r="AM61" s="139" t="s">
        <v>71</v>
      </c>
      <c r="AN61" s="139">
        <v>442.0</v>
      </c>
      <c r="AO61" s="140">
        <v>216.66</v>
      </c>
      <c r="AP61" s="142">
        <v>74500.0</v>
      </c>
      <c r="AQ61" s="142">
        <v>220.0</v>
      </c>
      <c r="AR61" s="143"/>
      <c r="AS61" s="144">
        <v>0.9497763602169281</v>
      </c>
      <c r="AT61" s="144">
        <v>0.002623639783071896</v>
      </c>
      <c r="AU61" s="146" t="s">
        <v>427</v>
      </c>
      <c r="AV61" s="146" t="s">
        <v>427</v>
      </c>
      <c r="AW61" s="148" t="s">
        <v>427</v>
      </c>
      <c r="AX61" s="151"/>
      <c r="AY61" s="105"/>
      <c r="AZ61" s="186"/>
      <c r="BA61" s="186"/>
      <c r="BB61" s="146"/>
      <c r="BC61" s="155"/>
      <c r="BD61" s="155"/>
      <c r="BE61" s="155"/>
      <c r="BF61" s="45"/>
    </row>
    <row r="62" ht="16.5" customHeight="1">
      <c r="A62" s="111">
        <v>59.0</v>
      </c>
      <c r="B62" s="165" t="s">
        <v>429</v>
      </c>
      <c r="C62" s="115" t="s">
        <v>60</v>
      </c>
      <c r="D62" s="157">
        <v>41784.0</v>
      </c>
      <c r="E62" s="157">
        <v>41969.0</v>
      </c>
      <c r="F62" s="79" t="s">
        <v>59</v>
      </c>
      <c r="G62" s="167">
        <v>14000.0</v>
      </c>
      <c r="H62" s="114">
        <v>75.3</v>
      </c>
      <c r="I62" s="123">
        <v>391.0</v>
      </c>
      <c r="J62" s="159" t="s">
        <v>104</v>
      </c>
      <c r="K62" s="121">
        <v>394.95</v>
      </c>
      <c r="L62" s="120" t="s">
        <v>63</v>
      </c>
      <c r="M62" s="120"/>
      <c r="N62" s="123"/>
      <c r="O62" s="124">
        <v>14000.0</v>
      </c>
      <c r="P62" s="124">
        <v>186.0</v>
      </c>
      <c r="Q62" s="133">
        <v>205.0</v>
      </c>
      <c r="R62" s="125">
        <v>399.0</v>
      </c>
      <c r="S62" s="126">
        <v>0.9898</v>
      </c>
      <c r="T62" s="127">
        <v>76709.5</v>
      </c>
      <c r="U62" s="128">
        <f t="shared" si="1"/>
        <v>0</v>
      </c>
      <c r="V62" s="79" t="s">
        <v>67</v>
      </c>
      <c r="W62" s="79" t="s">
        <v>69</v>
      </c>
      <c r="X62" s="79" t="s">
        <v>68</v>
      </c>
      <c r="Y62" s="130"/>
      <c r="Z62" s="111"/>
      <c r="AA62" s="133"/>
      <c r="AB62" s="133"/>
      <c r="AC62" s="133"/>
      <c r="AD62" s="133"/>
      <c r="AE62" s="133"/>
      <c r="AF62" s="111"/>
      <c r="AG62" s="147" t="s">
        <v>111</v>
      </c>
      <c r="AH62" s="73"/>
      <c r="AI62" s="135"/>
      <c r="AJ62" s="136"/>
      <c r="AK62" s="76"/>
      <c r="AL62" s="137"/>
      <c r="AM62" s="139" t="s">
        <v>71</v>
      </c>
      <c r="AN62" s="139">
        <v>186.0</v>
      </c>
      <c r="AO62" s="140">
        <v>37.23</v>
      </c>
      <c r="AP62" s="142">
        <v>14000.0</v>
      </c>
      <c r="AQ62" s="142">
        <v>205.0</v>
      </c>
      <c r="AR62" s="143"/>
      <c r="AS62" s="144">
        <v>0.9785928996256579</v>
      </c>
      <c r="AT62" s="144">
        <v>0.011207100374342138</v>
      </c>
      <c r="AU62" s="146" t="s">
        <v>431</v>
      </c>
      <c r="AV62" s="146" t="s">
        <v>431</v>
      </c>
      <c r="AW62" s="148" t="s">
        <v>431</v>
      </c>
      <c r="AX62" s="151"/>
      <c r="AY62" s="105"/>
      <c r="AZ62" s="186"/>
      <c r="BA62" s="186"/>
      <c r="BB62" s="146"/>
      <c r="BC62" s="155"/>
      <c r="BD62" s="155"/>
      <c r="BE62" s="155"/>
      <c r="BF62" s="45"/>
    </row>
    <row r="63" ht="16.5" customHeight="1">
      <c r="A63" s="111">
        <v>60.0</v>
      </c>
      <c r="B63" s="165" t="s">
        <v>432</v>
      </c>
      <c r="C63" s="115" t="s">
        <v>60</v>
      </c>
      <c r="D63" s="157">
        <v>41537.0</v>
      </c>
      <c r="E63" s="157">
        <v>41970.0</v>
      </c>
      <c r="F63" s="174" t="s">
        <v>103</v>
      </c>
      <c r="G63" s="167">
        <v>22507.0</v>
      </c>
      <c r="H63" s="114">
        <v>51.9</v>
      </c>
      <c r="I63" s="123">
        <v>383.0</v>
      </c>
      <c r="J63" s="111" t="s">
        <v>61</v>
      </c>
      <c r="K63" s="121">
        <v>387.85</v>
      </c>
      <c r="L63" s="120" t="s">
        <v>63</v>
      </c>
      <c r="M63" s="120"/>
      <c r="N63" s="123"/>
      <c r="O63" s="124">
        <v>22507.0</v>
      </c>
      <c r="P63" s="124">
        <v>434.0</v>
      </c>
      <c r="Q63" s="133">
        <v>223.0</v>
      </c>
      <c r="R63" s="125">
        <v>400.0</v>
      </c>
      <c r="S63" s="126">
        <v>0.9696</v>
      </c>
      <c r="T63" s="127">
        <v>75144.0</v>
      </c>
      <c r="U63" s="128">
        <f t="shared" si="1"/>
        <v>0</v>
      </c>
      <c r="V63" s="79" t="s">
        <v>66</v>
      </c>
      <c r="W63" s="79" t="s">
        <v>69</v>
      </c>
      <c r="X63" s="79" t="s">
        <v>68</v>
      </c>
      <c r="Y63" s="130"/>
      <c r="Z63" s="111"/>
      <c r="AA63" s="133"/>
      <c r="AB63" s="133"/>
      <c r="AC63" s="133"/>
      <c r="AD63" s="133"/>
      <c r="AE63" s="133"/>
      <c r="AF63" s="111"/>
      <c r="AG63" s="147" t="s">
        <v>151</v>
      </c>
      <c r="AH63" s="73"/>
      <c r="AI63" s="135"/>
      <c r="AJ63" s="136"/>
      <c r="AK63" s="76"/>
      <c r="AL63" s="137"/>
      <c r="AM63" s="139" t="s">
        <v>71</v>
      </c>
      <c r="AN63" s="139">
        <v>434.0</v>
      </c>
      <c r="AO63" s="140">
        <v>65.78</v>
      </c>
      <c r="AP63" s="142">
        <v>22507.0</v>
      </c>
      <c r="AQ63" s="142">
        <v>223.0</v>
      </c>
      <c r="AR63" s="143"/>
      <c r="AS63" s="144">
        <v>0.970472893859115</v>
      </c>
      <c r="AT63" s="144">
        <v>-8.728938591149316E-4</v>
      </c>
      <c r="AU63" s="146" t="s">
        <v>434</v>
      </c>
      <c r="AV63" s="146" t="s">
        <v>434</v>
      </c>
      <c r="AW63" s="148" t="s">
        <v>434</v>
      </c>
      <c r="AX63" s="151"/>
      <c r="AY63" s="105"/>
      <c r="AZ63" s="186"/>
      <c r="BA63" s="186"/>
      <c r="BB63" s="146"/>
      <c r="BC63" s="155"/>
      <c r="BD63" s="155"/>
      <c r="BE63" s="155"/>
      <c r="BF63" s="45"/>
    </row>
    <row r="64" ht="16.5" customHeight="1">
      <c r="A64" s="111">
        <v>61.0</v>
      </c>
      <c r="B64" s="165" t="s">
        <v>155</v>
      </c>
      <c r="C64" s="115" t="s">
        <v>60</v>
      </c>
      <c r="D64" s="157">
        <v>41601.0</v>
      </c>
      <c r="E64" s="157">
        <v>41973.0</v>
      </c>
      <c r="F64" s="79" t="s">
        <v>109</v>
      </c>
      <c r="G64" s="167">
        <v>19700.0</v>
      </c>
      <c r="H64" s="114">
        <v>52.8</v>
      </c>
      <c r="I64" s="123">
        <v>285.0</v>
      </c>
      <c r="J64" s="159" t="s">
        <v>104</v>
      </c>
      <c r="K64" s="121">
        <v>287.88</v>
      </c>
      <c r="L64" s="120" t="s">
        <v>63</v>
      </c>
      <c r="M64" s="120"/>
      <c r="N64" s="123"/>
      <c r="O64" s="124">
        <v>19700.0</v>
      </c>
      <c r="P64" s="124">
        <v>373.0</v>
      </c>
      <c r="Q64" s="133">
        <v>208.0</v>
      </c>
      <c r="R64" s="125">
        <v>289.0</v>
      </c>
      <c r="S64" s="126">
        <v>0.9961</v>
      </c>
      <c r="T64" s="127">
        <v>58271.85</v>
      </c>
      <c r="U64" s="128">
        <f t="shared" si="1"/>
        <v>0</v>
      </c>
      <c r="V64" s="79" t="s">
        <v>64</v>
      </c>
      <c r="W64" s="79" t="s">
        <v>69</v>
      </c>
      <c r="X64" s="79" t="s">
        <v>66</v>
      </c>
      <c r="Y64" s="130"/>
      <c r="Z64" s="111"/>
      <c r="AA64" s="183"/>
      <c r="AB64" s="133"/>
      <c r="AC64" s="133"/>
      <c r="AD64" s="133"/>
      <c r="AE64" s="133"/>
      <c r="AF64" s="111"/>
      <c r="AG64" s="147"/>
      <c r="AH64" s="73"/>
      <c r="AI64" s="135"/>
      <c r="AJ64" s="136"/>
      <c r="AK64" s="76"/>
      <c r="AL64" s="137"/>
      <c r="AM64" s="139" t="s">
        <v>71</v>
      </c>
      <c r="AN64" s="139">
        <v>373.0</v>
      </c>
      <c r="AO64" s="140">
        <v>70.2</v>
      </c>
      <c r="AP64" s="142">
        <v>19700.0</v>
      </c>
      <c r="AQ64" s="142">
        <v>208.0</v>
      </c>
      <c r="AR64" s="143"/>
      <c r="AS64" s="144">
        <v>0.9728587071101513</v>
      </c>
      <c r="AT64" s="144">
        <v>0.023241292889848664</v>
      </c>
      <c r="AU64" s="146" t="s">
        <v>438</v>
      </c>
      <c r="AV64" s="146" t="s">
        <v>438</v>
      </c>
      <c r="AW64" s="148" t="s">
        <v>438</v>
      </c>
      <c r="AX64" s="151"/>
      <c r="AY64" s="105"/>
      <c r="AZ64" s="186"/>
      <c r="BA64" s="186"/>
      <c r="BB64" s="146"/>
      <c r="BC64" s="155"/>
      <c r="BD64" s="155"/>
      <c r="BE64" s="155"/>
      <c r="BF64" s="45"/>
    </row>
    <row r="65" ht="16.5" customHeight="1">
      <c r="A65" s="111">
        <v>62.0</v>
      </c>
      <c r="B65" s="165" t="s">
        <v>201</v>
      </c>
      <c r="C65" s="115" t="s">
        <v>60</v>
      </c>
      <c r="D65" s="157">
        <v>41724.0</v>
      </c>
      <c r="E65" s="157">
        <v>41978.0</v>
      </c>
      <c r="F65" s="79" t="s">
        <v>79</v>
      </c>
      <c r="G65" s="167">
        <v>24325.0</v>
      </c>
      <c r="H65" s="114">
        <v>95.4</v>
      </c>
      <c r="I65" s="123">
        <v>387.0</v>
      </c>
      <c r="J65" s="111" t="s">
        <v>62</v>
      </c>
      <c r="K65" s="121">
        <v>387.0</v>
      </c>
      <c r="L65" s="120" t="s">
        <v>63</v>
      </c>
      <c r="M65" s="120"/>
      <c r="N65" s="123"/>
      <c r="O65" s="124">
        <v>24325.0</v>
      </c>
      <c r="P65" s="124">
        <v>255.0</v>
      </c>
      <c r="Q65" s="133">
        <v>167.0</v>
      </c>
      <c r="R65" s="125">
        <v>399.0</v>
      </c>
      <c r="S65" s="126">
        <v>0.9699</v>
      </c>
      <c r="T65" s="127">
        <v>75167.25</v>
      </c>
      <c r="U65" s="128">
        <f t="shared" si="1"/>
        <v>0</v>
      </c>
      <c r="V65" s="79" t="s">
        <v>64</v>
      </c>
      <c r="W65" s="79" t="s">
        <v>69</v>
      </c>
      <c r="X65" s="79" t="s">
        <v>68</v>
      </c>
      <c r="Y65" s="130"/>
      <c r="Z65" s="111"/>
      <c r="AA65" s="133"/>
      <c r="AB65" s="133"/>
      <c r="AC65" s="133"/>
      <c r="AD65" s="133"/>
      <c r="AE65" s="133"/>
      <c r="AF65" s="111"/>
      <c r="AG65" s="147" t="s">
        <v>111</v>
      </c>
      <c r="AH65" s="73"/>
      <c r="AI65" s="135"/>
      <c r="AJ65" s="136"/>
      <c r="AK65" s="76"/>
      <c r="AL65" s="137"/>
      <c r="AM65" s="139" t="s">
        <v>71</v>
      </c>
      <c r="AN65" s="139">
        <v>255.0</v>
      </c>
      <c r="AO65" s="140">
        <v>53.23</v>
      </c>
      <c r="AP65" s="142">
        <v>24325.0</v>
      </c>
      <c r="AQ65" s="142">
        <v>167.0</v>
      </c>
      <c r="AR65" s="143"/>
      <c r="AS65" s="144">
        <v>0.9690584783038723</v>
      </c>
      <c r="AT65" s="144">
        <v>8.415216961277228E-4</v>
      </c>
      <c r="AU65" s="146" t="s">
        <v>443</v>
      </c>
      <c r="AV65" s="146" t="s">
        <v>443</v>
      </c>
      <c r="AW65" s="148" t="s">
        <v>443</v>
      </c>
      <c r="AX65" s="151"/>
      <c r="AY65" s="105"/>
      <c r="AZ65" s="186"/>
      <c r="BA65" s="186"/>
      <c r="BB65" s="146"/>
      <c r="BC65" s="155"/>
      <c r="BD65" s="155"/>
      <c r="BE65" s="155"/>
      <c r="BF65" s="45"/>
    </row>
    <row r="66" ht="16.5" customHeight="1">
      <c r="A66" s="111">
        <v>63.0</v>
      </c>
      <c r="B66" s="165" t="s">
        <v>339</v>
      </c>
      <c r="C66" s="115" t="s">
        <v>60</v>
      </c>
      <c r="D66" s="157">
        <v>41912.0</v>
      </c>
      <c r="E66" s="157">
        <v>41984.0</v>
      </c>
      <c r="F66" s="79" t="s">
        <v>59</v>
      </c>
      <c r="G66" s="167">
        <v>9732.0</v>
      </c>
      <c r="H66" s="114">
        <v>133.3</v>
      </c>
      <c r="I66" s="123">
        <v>393.0</v>
      </c>
      <c r="J66" s="111" t="s">
        <v>61</v>
      </c>
      <c r="K66" s="121">
        <v>397.97</v>
      </c>
      <c r="L66" s="120" t="s">
        <v>63</v>
      </c>
      <c r="M66" s="120"/>
      <c r="N66" s="123"/>
      <c r="O66" s="124">
        <v>9732.0</v>
      </c>
      <c r="P66" s="124">
        <v>73.0</v>
      </c>
      <c r="Q66" s="133">
        <v>258.0</v>
      </c>
      <c r="R66" s="125">
        <v>399.0</v>
      </c>
      <c r="S66" s="126">
        <v>0.9974</v>
      </c>
      <c r="T66" s="127">
        <v>77298.5</v>
      </c>
      <c r="U66" s="128">
        <f t="shared" si="1"/>
        <v>0</v>
      </c>
      <c r="V66" s="79" t="s">
        <v>65</v>
      </c>
      <c r="W66" s="79" t="s">
        <v>65</v>
      </c>
      <c r="X66" s="79" t="s">
        <v>68</v>
      </c>
      <c r="Y66" s="130">
        <v>0.9</v>
      </c>
      <c r="Z66" s="111"/>
      <c r="AA66" s="133"/>
      <c r="AB66" s="133"/>
      <c r="AC66" s="133"/>
      <c r="AD66" s="133"/>
      <c r="AE66" s="111"/>
      <c r="AF66" s="111"/>
      <c r="AG66" s="147"/>
      <c r="AH66" s="73"/>
      <c r="AI66" s="135"/>
      <c r="AJ66" s="136"/>
      <c r="AK66" s="76"/>
      <c r="AL66" s="137"/>
      <c r="AM66" s="139" t="s">
        <v>71</v>
      </c>
      <c r="AN66" s="139">
        <v>73.0</v>
      </c>
      <c r="AO66" s="140">
        <v>32.44</v>
      </c>
      <c r="AP66" s="142">
        <v>9732.0</v>
      </c>
      <c r="AQ66" s="142">
        <v>258.0</v>
      </c>
      <c r="AR66" s="143"/>
      <c r="AS66" s="144">
        <v>0.9838415508200052</v>
      </c>
      <c r="AT66" s="144">
        <v>0.013558449179994714</v>
      </c>
      <c r="AU66" s="146" t="s">
        <v>447</v>
      </c>
      <c r="AV66" s="146" t="s">
        <v>447</v>
      </c>
      <c r="AW66" s="148" t="s">
        <v>447</v>
      </c>
      <c r="AX66" s="151"/>
      <c r="AY66" s="105"/>
      <c r="AZ66" s="186"/>
      <c r="BA66" s="186"/>
      <c r="BB66" s="146"/>
      <c r="BC66" s="155"/>
      <c r="BD66" s="155"/>
      <c r="BE66" s="155"/>
      <c r="BF66" s="45"/>
    </row>
    <row r="67" ht="16.5" customHeight="1">
      <c r="A67" s="111">
        <v>64.0</v>
      </c>
      <c r="B67" s="165" t="s">
        <v>449</v>
      </c>
      <c r="C67" s="115" t="s">
        <v>60</v>
      </c>
      <c r="D67" s="117">
        <v>41598.0</v>
      </c>
      <c r="E67" s="157">
        <v>41988.0</v>
      </c>
      <c r="F67" s="79" t="s">
        <v>59</v>
      </c>
      <c r="G67" s="167">
        <v>45050.0</v>
      </c>
      <c r="H67" s="114">
        <v>115.2</v>
      </c>
      <c r="I67" s="123">
        <v>378.0</v>
      </c>
      <c r="J67" s="111" t="s">
        <v>62</v>
      </c>
      <c r="K67" s="121">
        <v>378.0</v>
      </c>
      <c r="L67" s="120" t="s">
        <v>63</v>
      </c>
      <c r="M67" s="120"/>
      <c r="N67" s="123"/>
      <c r="O67" s="124">
        <v>45050.0</v>
      </c>
      <c r="P67" s="124">
        <v>391.0</v>
      </c>
      <c r="Q67" s="133">
        <v>190.0</v>
      </c>
      <c r="R67" s="125">
        <v>399.0</v>
      </c>
      <c r="S67" s="126">
        <v>0.9474</v>
      </c>
      <c r="T67" s="127">
        <v>73423.5</v>
      </c>
      <c r="U67" s="128">
        <f t="shared" si="1"/>
        <v>0</v>
      </c>
      <c r="V67" s="79" t="s">
        <v>67</v>
      </c>
      <c r="W67" s="79" t="s">
        <v>66</v>
      </c>
      <c r="X67" s="79" t="s">
        <v>68</v>
      </c>
      <c r="Y67" s="130"/>
      <c r="Z67" s="111"/>
      <c r="AA67" s="133"/>
      <c r="AB67" s="133"/>
      <c r="AC67" s="133"/>
      <c r="AD67" s="133"/>
      <c r="AE67" s="133"/>
      <c r="AF67" s="111"/>
      <c r="AG67" s="147" t="s">
        <v>451</v>
      </c>
      <c r="AH67" s="73"/>
      <c r="AI67" s="135"/>
      <c r="AJ67" s="136"/>
      <c r="AK67" s="76"/>
      <c r="AL67" s="137"/>
      <c r="AM67" s="139" t="s">
        <v>71</v>
      </c>
      <c r="AN67" s="139">
        <v>391.0</v>
      </c>
      <c r="AO67" s="140">
        <v>113.44</v>
      </c>
      <c r="AP67" s="142">
        <v>45050.0</v>
      </c>
      <c r="AQ67" s="142">
        <v>190.0</v>
      </c>
      <c r="AR67" s="143"/>
      <c r="AS67" s="144">
        <v>0.9579449191073142</v>
      </c>
      <c r="AT67" s="144">
        <v>-0.010544919107314144</v>
      </c>
      <c r="AU67" s="146" t="s">
        <v>452</v>
      </c>
      <c r="AV67" s="146" t="s">
        <v>452</v>
      </c>
      <c r="AW67" s="148" t="s">
        <v>452</v>
      </c>
      <c r="AX67" s="151"/>
      <c r="AY67" s="105"/>
      <c r="AZ67" s="186"/>
      <c r="BA67" s="186"/>
      <c r="BB67" s="146"/>
      <c r="BC67" s="155"/>
      <c r="BD67" s="155"/>
      <c r="BE67" s="155"/>
      <c r="BF67" s="45"/>
    </row>
    <row r="68" ht="16.5" customHeight="1">
      <c r="A68" s="111">
        <v>65.0</v>
      </c>
      <c r="B68" s="165" t="s">
        <v>96</v>
      </c>
      <c r="C68" s="115" t="s">
        <v>60</v>
      </c>
      <c r="D68" s="157">
        <v>41596.0</v>
      </c>
      <c r="E68" s="157">
        <v>41989.0</v>
      </c>
      <c r="F68" s="79" t="s">
        <v>59</v>
      </c>
      <c r="G68" s="167">
        <v>45000.0</v>
      </c>
      <c r="H68" s="114">
        <v>114.2</v>
      </c>
      <c r="I68" s="123">
        <v>378.0</v>
      </c>
      <c r="J68" s="111" t="s">
        <v>62</v>
      </c>
      <c r="K68" s="121">
        <v>378.0</v>
      </c>
      <c r="L68" s="120" t="s">
        <v>63</v>
      </c>
      <c r="M68" s="120"/>
      <c r="N68" s="123"/>
      <c r="O68" s="124">
        <v>45000.0</v>
      </c>
      <c r="P68" s="124">
        <v>394.0</v>
      </c>
      <c r="Q68" s="133">
        <v>225.0</v>
      </c>
      <c r="R68" s="125">
        <v>399.0</v>
      </c>
      <c r="S68" s="126">
        <v>0.9474</v>
      </c>
      <c r="T68" s="127">
        <v>73423.5</v>
      </c>
      <c r="U68" s="128">
        <f t="shared" si="1"/>
        <v>0</v>
      </c>
      <c r="V68" s="79" t="s">
        <v>65</v>
      </c>
      <c r="W68" s="79" t="s">
        <v>65</v>
      </c>
      <c r="X68" s="79" t="s">
        <v>64</v>
      </c>
      <c r="Y68" s="130"/>
      <c r="Z68" s="111"/>
      <c r="AA68" s="133"/>
      <c r="AB68" s="133"/>
      <c r="AC68" s="133"/>
      <c r="AD68" s="133"/>
      <c r="AE68" s="133"/>
      <c r="AF68" s="111"/>
      <c r="AG68" s="147" t="s">
        <v>455</v>
      </c>
      <c r="AH68" s="73"/>
      <c r="AI68" s="135"/>
      <c r="AJ68" s="136"/>
      <c r="AK68" s="76"/>
      <c r="AL68" s="137"/>
      <c r="AM68" s="139" t="s">
        <v>71</v>
      </c>
      <c r="AN68" s="139">
        <v>394.0</v>
      </c>
      <c r="AO68" s="140">
        <v>134.19</v>
      </c>
      <c r="AP68" s="142">
        <v>45000.0</v>
      </c>
      <c r="AQ68" s="142">
        <v>225.0</v>
      </c>
      <c r="AR68" s="143"/>
      <c r="AS68" s="144">
        <v>0.9579639483298603</v>
      </c>
      <c r="AT68" s="144">
        <v>-0.010563948329860295</v>
      </c>
      <c r="AU68" s="146" t="s">
        <v>456</v>
      </c>
      <c r="AV68" s="146" t="s">
        <v>456</v>
      </c>
      <c r="AW68" s="148" t="s">
        <v>456</v>
      </c>
      <c r="AX68" s="151"/>
      <c r="AY68" s="105"/>
      <c r="AZ68" s="186"/>
      <c r="BA68" s="186"/>
      <c r="BB68" s="146"/>
      <c r="BC68" s="155"/>
      <c r="BD68" s="155"/>
      <c r="BE68" s="155"/>
      <c r="BF68" s="45"/>
    </row>
    <row r="69" ht="16.5" customHeight="1">
      <c r="A69" s="111">
        <v>66.0</v>
      </c>
      <c r="B69" s="165" t="s">
        <v>457</v>
      </c>
      <c r="C69" s="115" t="s">
        <v>60</v>
      </c>
      <c r="D69" s="157">
        <v>41986.0</v>
      </c>
      <c r="E69" s="157">
        <v>41996.0</v>
      </c>
      <c r="F69" s="79" t="s">
        <v>59</v>
      </c>
      <c r="G69" s="167">
        <v>950.0</v>
      </c>
      <c r="H69" s="114">
        <v>86.4</v>
      </c>
      <c r="I69" s="123">
        <v>394.0</v>
      </c>
      <c r="J69" s="111" t="s">
        <v>61</v>
      </c>
      <c r="K69" s="121">
        <v>398.99</v>
      </c>
      <c r="L69" s="120" t="s">
        <v>63</v>
      </c>
      <c r="M69" s="120"/>
      <c r="N69" s="123"/>
      <c r="O69" s="124">
        <v>950.0</v>
      </c>
      <c r="P69" s="124">
        <v>11.0</v>
      </c>
      <c r="Q69" s="133">
        <v>261.0</v>
      </c>
      <c r="R69" s="125">
        <v>399.0</v>
      </c>
      <c r="S69" s="126">
        <v>1.0</v>
      </c>
      <c r="T69" s="127">
        <v>77500.0</v>
      </c>
      <c r="U69" s="128">
        <f t="shared" si="1"/>
        <v>0</v>
      </c>
      <c r="V69" s="79" t="s">
        <v>65</v>
      </c>
      <c r="W69" s="79" t="s">
        <v>65</v>
      </c>
      <c r="X69" s="79" t="s">
        <v>68</v>
      </c>
      <c r="Y69" s="130"/>
      <c r="Z69" s="111"/>
      <c r="AA69" s="133"/>
      <c r="AB69" s="133"/>
      <c r="AC69" s="133"/>
      <c r="AD69" s="133"/>
      <c r="AE69" s="133"/>
      <c r="AF69" s="111"/>
      <c r="AG69" s="147" t="s">
        <v>459</v>
      </c>
      <c r="AH69" s="73"/>
      <c r="AI69" s="135"/>
      <c r="AJ69" s="136"/>
      <c r="AK69" s="76"/>
      <c r="AL69" s="137"/>
      <c r="AM69" s="139" t="s">
        <v>71</v>
      </c>
      <c r="AN69" s="139">
        <v>11.0</v>
      </c>
      <c r="AO69" s="140">
        <v>3.2</v>
      </c>
      <c r="AP69" s="142">
        <v>950.0</v>
      </c>
      <c r="AQ69" s="142">
        <v>261.0</v>
      </c>
      <c r="AR69" s="143"/>
      <c r="AS69" s="144">
        <v>0.9981090476508256</v>
      </c>
      <c r="AT69" s="144">
        <v>0.0018909523491743574</v>
      </c>
      <c r="AU69" s="146" t="s">
        <v>460</v>
      </c>
      <c r="AV69" s="146" t="s">
        <v>460</v>
      </c>
      <c r="AW69" s="148" t="s">
        <v>460</v>
      </c>
      <c r="AX69" s="151"/>
      <c r="AY69" s="105"/>
      <c r="AZ69" s="186"/>
      <c r="BA69" s="186"/>
      <c r="BB69" s="146"/>
      <c r="BC69" s="155"/>
      <c r="BD69" s="155"/>
      <c r="BE69" s="155"/>
      <c r="BF69" s="45"/>
    </row>
    <row r="70" ht="16.5" customHeight="1">
      <c r="A70" s="111">
        <v>67.0</v>
      </c>
      <c r="B70" s="165" t="s">
        <v>218</v>
      </c>
      <c r="C70" s="115" t="s">
        <v>60</v>
      </c>
      <c r="D70" s="157">
        <v>41601.0</v>
      </c>
      <c r="E70" s="117">
        <v>42005.0</v>
      </c>
      <c r="F70" s="79" t="s">
        <v>59</v>
      </c>
      <c r="G70" s="167">
        <v>20500.0</v>
      </c>
      <c r="H70" s="114">
        <v>50.6</v>
      </c>
      <c r="I70" s="123">
        <v>378.0</v>
      </c>
      <c r="J70" s="159" t="s">
        <v>104</v>
      </c>
      <c r="K70" s="121">
        <v>381.82</v>
      </c>
      <c r="L70" s="120" t="s">
        <v>63</v>
      </c>
      <c r="M70" s="120"/>
      <c r="N70" s="123"/>
      <c r="O70" s="124">
        <v>20500.0</v>
      </c>
      <c r="P70" s="124">
        <v>405.0</v>
      </c>
      <c r="Q70" s="133">
        <v>219.0</v>
      </c>
      <c r="R70" s="125">
        <v>399.0</v>
      </c>
      <c r="S70" s="126">
        <v>0.9569</v>
      </c>
      <c r="T70" s="127">
        <v>74159.75</v>
      </c>
      <c r="U70" s="128">
        <f t="shared" si="1"/>
        <v>0</v>
      </c>
      <c r="V70" s="79" t="s">
        <v>64</v>
      </c>
      <c r="W70" s="79" t="s">
        <v>64</v>
      </c>
      <c r="X70" s="79" t="s">
        <v>68</v>
      </c>
      <c r="Y70" s="130"/>
      <c r="Z70" s="111"/>
      <c r="AA70" s="133"/>
      <c r="AB70" s="133"/>
      <c r="AC70" s="133"/>
      <c r="AD70" s="133"/>
      <c r="AE70" s="133"/>
      <c r="AF70" s="111"/>
      <c r="AG70" s="147" t="s">
        <v>462</v>
      </c>
      <c r="AH70" s="73"/>
      <c r="AI70" s="135"/>
      <c r="AJ70" s="136"/>
      <c r="AK70" s="76"/>
      <c r="AL70" s="137"/>
      <c r="AM70" s="139" t="s">
        <v>71</v>
      </c>
      <c r="AN70" s="139">
        <v>405.0</v>
      </c>
      <c r="AO70" s="140">
        <v>59.22</v>
      </c>
      <c r="AP70" s="142">
        <v>20500.0</v>
      </c>
      <c r="AQ70" s="142">
        <v>219.0</v>
      </c>
      <c r="AR70" s="143"/>
      <c r="AS70" s="144">
        <v>0.9721522382493337</v>
      </c>
      <c r="AT70" s="144">
        <v>-0.01525223824933375</v>
      </c>
      <c r="AU70" s="146" t="s">
        <v>464</v>
      </c>
      <c r="AV70" s="146" t="s">
        <v>464</v>
      </c>
      <c r="AW70" s="148" t="s">
        <v>464</v>
      </c>
      <c r="AX70" s="151"/>
      <c r="AY70" s="105"/>
      <c r="AZ70" s="186"/>
      <c r="BA70" s="186"/>
      <c r="BB70" s="146"/>
      <c r="BC70" s="155"/>
      <c r="BD70" s="155"/>
      <c r="BE70" s="155"/>
      <c r="BF70" s="45"/>
    </row>
    <row r="71" ht="16.5" customHeight="1">
      <c r="A71" s="111">
        <v>68.0</v>
      </c>
      <c r="B71" s="165" t="s">
        <v>466</v>
      </c>
      <c r="C71" s="115" t="s">
        <v>60</v>
      </c>
      <c r="D71" s="157">
        <v>41542.0</v>
      </c>
      <c r="E71" s="157">
        <v>42007.0</v>
      </c>
      <c r="F71" s="174" t="s">
        <v>103</v>
      </c>
      <c r="G71" s="167">
        <v>37000.0</v>
      </c>
      <c r="H71" s="114">
        <v>79.4</v>
      </c>
      <c r="I71" s="123">
        <v>374.0</v>
      </c>
      <c r="J71" s="111" t="s">
        <v>61</v>
      </c>
      <c r="K71" s="121">
        <v>378.73</v>
      </c>
      <c r="L71" s="120" t="s">
        <v>63</v>
      </c>
      <c r="M71" s="120"/>
      <c r="N71" s="123"/>
      <c r="O71" s="124">
        <v>37000.0</v>
      </c>
      <c r="P71" s="124">
        <v>466.0</v>
      </c>
      <c r="Q71" s="133">
        <v>210.0</v>
      </c>
      <c r="R71" s="125">
        <v>400.0</v>
      </c>
      <c r="S71" s="126">
        <v>0.9468</v>
      </c>
      <c r="T71" s="127">
        <v>73377.0</v>
      </c>
      <c r="U71" s="128">
        <f t="shared" si="1"/>
        <v>0</v>
      </c>
      <c r="V71" s="79" t="s">
        <v>65</v>
      </c>
      <c r="W71" s="79" t="s">
        <v>65</v>
      </c>
      <c r="X71" s="79" t="s">
        <v>69</v>
      </c>
      <c r="Y71" s="130"/>
      <c r="Z71" s="111"/>
      <c r="AA71" s="133"/>
      <c r="AB71" s="133"/>
      <c r="AC71" s="133"/>
      <c r="AD71" s="133"/>
      <c r="AE71" s="133"/>
      <c r="AF71" s="111"/>
      <c r="AG71" s="147" t="s">
        <v>469</v>
      </c>
      <c r="AH71" s="73"/>
      <c r="AI71" s="135"/>
      <c r="AJ71" s="136"/>
      <c r="AK71" s="76"/>
      <c r="AL71" s="137"/>
      <c r="AM71" s="139" t="s">
        <v>71</v>
      </c>
      <c r="AN71" s="139">
        <v>466.0</v>
      </c>
      <c r="AO71" s="140">
        <v>103.02</v>
      </c>
      <c r="AP71" s="142">
        <v>37000.0</v>
      </c>
      <c r="AQ71" s="142">
        <v>210.0</v>
      </c>
      <c r="AR71" s="143"/>
      <c r="AS71" s="144">
        <v>0.9613966348092685</v>
      </c>
      <c r="AT71" s="144">
        <v>-0.014596634809268538</v>
      </c>
      <c r="AU71" s="146" t="s">
        <v>470</v>
      </c>
      <c r="AV71" s="146" t="s">
        <v>470</v>
      </c>
      <c r="AW71" s="148" t="s">
        <v>470</v>
      </c>
      <c r="AX71" s="151"/>
      <c r="AY71" s="105"/>
      <c r="AZ71" s="186"/>
      <c r="BA71" s="186"/>
      <c r="BB71" s="146"/>
      <c r="BC71" s="155"/>
      <c r="BD71" s="155"/>
      <c r="BE71" s="155"/>
      <c r="BF71" s="45"/>
    </row>
    <row r="72" ht="16.5" customHeight="1">
      <c r="A72" s="111">
        <v>69.0</v>
      </c>
      <c r="B72" s="165" t="s">
        <v>181</v>
      </c>
      <c r="C72" s="115" t="s">
        <v>60</v>
      </c>
      <c r="D72" s="157">
        <v>41787.0</v>
      </c>
      <c r="E72" s="157">
        <v>42010.0</v>
      </c>
      <c r="F72" s="79" t="s">
        <v>59</v>
      </c>
      <c r="G72" s="167">
        <v>10000.0</v>
      </c>
      <c r="H72" s="114">
        <v>44.6</v>
      </c>
      <c r="I72" s="123">
        <v>391.0</v>
      </c>
      <c r="J72" s="111" t="s">
        <v>61</v>
      </c>
      <c r="K72" s="121">
        <v>395.95</v>
      </c>
      <c r="L72" s="120" t="s">
        <v>63</v>
      </c>
      <c r="M72" s="120"/>
      <c r="N72" s="123"/>
      <c r="O72" s="124">
        <v>10000.0</v>
      </c>
      <c r="P72" s="124">
        <v>224.0</v>
      </c>
      <c r="Q72" s="133">
        <v>226.0</v>
      </c>
      <c r="R72" s="125">
        <v>399.0</v>
      </c>
      <c r="S72" s="126">
        <v>0.9924</v>
      </c>
      <c r="T72" s="127">
        <v>76911.0</v>
      </c>
      <c r="U72" s="128">
        <f t="shared" si="1"/>
        <v>0</v>
      </c>
      <c r="V72" s="79" t="s">
        <v>66</v>
      </c>
      <c r="W72" s="79" t="s">
        <v>69</v>
      </c>
      <c r="X72" s="79" t="s">
        <v>66</v>
      </c>
      <c r="Y72" s="130"/>
      <c r="Z72" s="111"/>
      <c r="AA72" s="133"/>
      <c r="AB72" s="133"/>
      <c r="AC72" s="133"/>
      <c r="AD72" s="133"/>
      <c r="AE72" s="133"/>
      <c r="AF72" s="111"/>
      <c r="AG72" s="147" t="s">
        <v>472</v>
      </c>
      <c r="AH72" s="73"/>
      <c r="AI72" s="135"/>
      <c r="AJ72" s="136"/>
      <c r="AK72" s="76"/>
      <c r="AL72" s="137"/>
      <c r="AM72" s="139" t="s">
        <v>71</v>
      </c>
      <c r="AN72" s="139">
        <v>224.0</v>
      </c>
      <c r="AO72" s="140">
        <v>29.28</v>
      </c>
      <c r="AP72" s="142">
        <v>10000.0</v>
      </c>
      <c r="AQ72" s="142">
        <v>226.0</v>
      </c>
      <c r="AR72" s="143"/>
      <c r="AS72" s="144">
        <v>0.9834840425388217</v>
      </c>
      <c r="AT72" s="144">
        <v>0.008915957461178237</v>
      </c>
      <c r="AU72" s="146" t="s">
        <v>473</v>
      </c>
      <c r="AV72" s="146" t="s">
        <v>473</v>
      </c>
      <c r="AW72" s="148" t="s">
        <v>473</v>
      </c>
      <c r="AX72" s="151"/>
      <c r="AY72" s="105"/>
      <c r="AZ72" s="186"/>
      <c r="BA72" s="186"/>
      <c r="BB72" s="146"/>
      <c r="BC72" s="155"/>
      <c r="BD72" s="155"/>
      <c r="BE72" s="155"/>
      <c r="BF72" s="45"/>
    </row>
    <row r="73" ht="16.5" customHeight="1">
      <c r="A73" s="111">
        <v>70.0</v>
      </c>
      <c r="B73" s="165" t="s">
        <v>457</v>
      </c>
      <c r="C73" s="115" t="s">
        <v>60</v>
      </c>
      <c r="D73" s="157">
        <v>41986.0</v>
      </c>
      <c r="E73" s="157">
        <v>42019.0</v>
      </c>
      <c r="F73" s="79" t="s">
        <v>59</v>
      </c>
      <c r="G73" s="167">
        <v>3600.0</v>
      </c>
      <c r="H73" s="114">
        <v>105.9</v>
      </c>
      <c r="I73" s="123">
        <v>394.0</v>
      </c>
      <c r="J73" s="111" t="s">
        <v>61</v>
      </c>
      <c r="K73" s="121">
        <v>398.99</v>
      </c>
      <c r="L73" s="120" t="s">
        <v>63</v>
      </c>
      <c r="M73" s="120"/>
      <c r="N73" s="123"/>
      <c r="O73" s="124">
        <v>3600.0</v>
      </c>
      <c r="P73" s="124">
        <v>34.0</v>
      </c>
      <c r="Q73" s="133">
        <v>261.0</v>
      </c>
      <c r="R73" s="125">
        <v>399.0</v>
      </c>
      <c r="S73" s="126">
        <v>1.0</v>
      </c>
      <c r="T73" s="127">
        <v>77500.0</v>
      </c>
      <c r="U73" s="128">
        <f t="shared" si="1"/>
        <v>0</v>
      </c>
      <c r="V73" s="79" t="s">
        <v>67</v>
      </c>
      <c r="W73" s="79" t="s">
        <v>67</v>
      </c>
      <c r="X73" s="79" t="s">
        <v>64</v>
      </c>
      <c r="Y73" s="130"/>
      <c r="Z73" s="111"/>
      <c r="AA73" s="133"/>
      <c r="AB73" s="133"/>
      <c r="AC73" s="133"/>
      <c r="AD73" s="133"/>
      <c r="AE73" s="133"/>
      <c r="AF73" s="111"/>
      <c r="AG73" s="147"/>
      <c r="AH73" s="73"/>
      <c r="AI73" s="135"/>
      <c r="AJ73" s="136"/>
      <c r="AK73" s="76"/>
      <c r="AL73" s="137"/>
      <c r="AM73" s="139" t="s">
        <v>71</v>
      </c>
      <c r="AN73" s="139">
        <v>34.0</v>
      </c>
      <c r="AO73" s="140">
        <v>12.13</v>
      </c>
      <c r="AP73" s="142">
        <v>3600.0</v>
      </c>
      <c r="AQ73" s="142">
        <v>261.0</v>
      </c>
      <c r="AR73" s="143"/>
      <c r="AS73" s="144">
        <v>0.9932274040599962</v>
      </c>
      <c r="AT73" s="144">
        <v>0.006772595940003789</v>
      </c>
      <c r="AU73" s="146" t="s">
        <v>476</v>
      </c>
      <c r="AV73" s="146" t="s">
        <v>476</v>
      </c>
      <c r="AW73" s="148" t="s">
        <v>476</v>
      </c>
      <c r="AX73" s="151"/>
      <c r="AY73" s="105"/>
      <c r="AZ73" s="186"/>
      <c r="BA73" s="186"/>
      <c r="BB73" s="146"/>
      <c r="BC73" s="155"/>
      <c r="BD73" s="155"/>
      <c r="BE73" s="155"/>
      <c r="BF73" s="45"/>
    </row>
    <row r="74" ht="16.5" customHeight="1">
      <c r="A74" s="111">
        <v>71.0</v>
      </c>
      <c r="B74" s="165" t="s">
        <v>477</v>
      </c>
      <c r="C74" s="115" t="s">
        <v>60</v>
      </c>
      <c r="D74" s="157">
        <v>42003.0</v>
      </c>
      <c r="E74" s="157">
        <v>42019.0</v>
      </c>
      <c r="F74" s="79" t="s">
        <v>59</v>
      </c>
      <c r="G74" s="167">
        <v>980.0</v>
      </c>
      <c r="H74" s="114">
        <v>57.6</v>
      </c>
      <c r="I74" s="123">
        <v>394.0</v>
      </c>
      <c r="J74" s="111" t="s">
        <v>61</v>
      </c>
      <c r="K74" s="121">
        <v>398.99</v>
      </c>
      <c r="L74" s="120" t="s">
        <v>63</v>
      </c>
      <c r="M74" s="120"/>
      <c r="N74" s="123"/>
      <c r="O74" s="124">
        <v>980.0</v>
      </c>
      <c r="P74" s="124">
        <v>17.0</v>
      </c>
      <c r="Q74" s="133">
        <v>278.0</v>
      </c>
      <c r="R74" s="125">
        <v>399.0</v>
      </c>
      <c r="S74" s="126">
        <v>1.0</v>
      </c>
      <c r="T74" s="127">
        <v>77500.0</v>
      </c>
      <c r="U74" s="128">
        <f t="shared" si="1"/>
        <v>0</v>
      </c>
      <c r="V74" s="79" t="s">
        <v>67</v>
      </c>
      <c r="W74" s="79" t="s">
        <v>64</v>
      </c>
      <c r="X74" s="79" t="s">
        <v>68</v>
      </c>
      <c r="Y74" s="130"/>
      <c r="Z74" s="111"/>
      <c r="AA74" s="133"/>
      <c r="AB74" s="133"/>
      <c r="AC74" s="133"/>
      <c r="AD74" s="133"/>
      <c r="AE74" s="133"/>
      <c r="AF74" s="111"/>
      <c r="AG74" s="147" t="s">
        <v>419</v>
      </c>
      <c r="AH74" s="73"/>
      <c r="AI74" s="135"/>
      <c r="AJ74" s="136"/>
      <c r="AK74" s="76"/>
      <c r="AL74" s="137"/>
      <c r="AM74" s="139" t="s">
        <v>71</v>
      </c>
      <c r="AN74" s="139">
        <v>17.0</v>
      </c>
      <c r="AO74" s="140">
        <v>3.52</v>
      </c>
      <c r="AP74" s="142">
        <v>980.0</v>
      </c>
      <c r="AQ74" s="142">
        <v>278.0</v>
      </c>
      <c r="AR74" s="143"/>
      <c r="AS74" s="144">
        <v>0.9980505950746161</v>
      </c>
      <c r="AT74" s="144">
        <v>0.0019494049253838686</v>
      </c>
      <c r="AU74" s="146" t="s">
        <v>479</v>
      </c>
      <c r="AV74" s="146" t="s">
        <v>479</v>
      </c>
      <c r="AW74" s="148" t="s">
        <v>479</v>
      </c>
      <c r="AX74" s="151"/>
      <c r="AY74" s="105"/>
      <c r="AZ74" s="186"/>
      <c r="BA74" s="186"/>
      <c r="BB74" s="146"/>
      <c r="BC74" s="155"/>
      <c r="BD74" s="155"/>
      <c r="BE74" s="155"/>
      <c r="BF74" s="45"/>
    </row>
    <row r="75" ht="16.5" customHeight="1">
      <c r="A75" s="111">
        <v>72.0</v>
      </c>
      <c r="B75" s="165" t="s">
        <v>480</v>
      </c>
      <c r="C75" s="115" t="s">
        <v>60</v>
      </c>
      <c r="D75" s="157">
        <v>41986.0</v>
      </c>
      <c r="E75" s="157">
        <v>42019.0</v>
      </c>
      <c r="F75" s="79" t="s">
        <v>59</v>
      </c>
      <c r="G75" s="167">
        <v>2650.0</v>
      </c>
      <c r="H75" s="114">
        <v>77.9</v>
      </c>
      <c r="I75" s="123">
        <v>393.0</v>
      </c>
      <c r="J75" s="111" t="s">
        <v>61</v>
      </c>
      <c r="K75" s="121">
        <v>397.97</v>
      </c>
      <c r="L75" s="120" t="s">
        <v>63</v>
      </c>
      <c r="M75" s="120"/>
      <c r="N75" s="123"/>
      <c r="O75" s="124">
        <v>2650.0</v>
      </c>
      <c r="P75" s="124">
        <v>34.0</v>
      </c>
      <c r="Q75" s="133">
        <v>253.0</v>
      </c>
      <c r="R75" s="125">
        <v>399.0</v>
      </c>
      <c r="S75" s="126">
        <v>0.9974</v>
      </c>
      <c r="T75" s="127">
        <v>77298.5</v>
      </c>
      <c r="U75" s="128">
        <f t="shared" si="1"/>
        <v>0</v>
      </c>
      <c r="V75" s="79" t="s">
        <v>68</v>
      </c>
      <c r="W75" s="79" t="s">
        <v>64</v>
      </c>
      <c r="X75" s="79" t="s">
        <v>68</v>
      </c>
      <c r="Y75" s="130"/>
      <c r="Z75" s="111"/>
      <c r="AA75" s="133"/>
      <c r="AB75" s="133"/>
      <c r="AC75" s="133"/>
      <c r="AD75" s="133"/>
      <c r="AE75" s="133"/>
      <c r="AF75" s="111"/>
      <c r="AG75" s="147" t="s">
        <v>111</v>
      </c>
      <c r="AH75" s="73"/>
      <c r="AI75" s="135"/>
      <c r="AJ75" s="136"/>
      <c r="AK75" s="76"/>
      <c r="AL75" s="137"/>
      <c r="AM75" s="139" t="s">
        <v>71</v>
      </c>
      <c r="AN75" s="139">
        <v>34.0</v>
      </c>
      <c r="AO75" s="140">
        <v>8.66</v>
      </c>
      <c r="AP75" s="142">
        <v>2650.0</v>
      </c>
      <c r="AQ75" s="142">
        <v>253.0</v>
      </c>
      <c r="AR75" s="143"/>
      <c r="AS75" s="144">
        <v>0.994913612893968</v>
      </c>
      <c r="AT75" s="144">
        <v>0.0024863871060319953</v>
      </c>
      <c r="AU75" s="146" t="s">
        <v>482</v>
      </c>
      <c r="AV75" s="146" t="s">
        <v>482</v>
      </c>
      <c r="AW75" s="148" t="s">
        <v>482</v>
      </c>
      <c r="AX75" s="151"/>
      <c r="AY75" s="105"/>
      <c r="AZ75" s="186"/>
      <c r="BA75" s="186"/>
      <c r="BB75" s="146"/>
      <c r="BC75" s="155"/>
      <c r="BD75" s="155"/>
      <c r="BE75" s="155"/>
      <c r="BF75" s="45"/>
    </row>
    <row r="76" ht="16.5" customHeight="1">
      <c r="A76" s="111">
        <v>73.0</v>
      </c>
      <c r="B76" s="165" t="s">
        <v>192</v>
      </c>
      <c r="C76" s="115" t="s">
        <v>60</v>
      </c>
      <c r="D76" s="157">
        <v>41607.0</v>
      </c>
      <c r="E76" s="157">
        <v>42019.0</v>
      </c>
      <c r="F76" s="79" t="s">
        <v>79</v>
      </c>
      <c r="G76" s="167">
        <v>27876.0</v>
      </c>
      <c r="H76" s="114">
        <v>67.5</v>
      </c>
      <c r="I76" s="123">
        <v>381.0</v>
      </c>
      <c r="J76" s="111" t="s">
        <v>61</v>
      </c>
      <c r="K76" s="121">
        <v>385.82</v>
      </c>
      <c r="L76" s="120" t="s">
        <v>195</v>
      </c>
      <c r="M76" s="120" t="s">
        <v>196</v>
      </c>
      <c r="N76" s="123">
        <v>2100.0</v>
      </c>
      <c r="O76" s="124">
        <v>27876.0</v>
      </c>
      <c r="P76" s="124">
        <v>413.0</v>
      </c>
      <c r="Q76" s="133">
        <v>249.0</v>
      </c>
      <c r="R76" s="125">
        <v>399.0</v>
      </c>
      <c r="S76" s="126">
        <v>0.967</v>
      </c>
      <c r="T76" s="127">
        <v>74942.5</v>
      </c>
      <c r="U76" s="128">
        <f t="shared" si="1"/>
        <v>0</v>
      </c>
      <c r="V76" s="79" t="s">
        <v>65</v>
      </c>
      <c r="W76" s="79" t="s">
        <v>65</v>
      </c>
      <c r="X76" s="79" t="s">
        <v>68</v>
      </c>
      <c r="Y76" s="130"/>
      <c r="Z76" s="111"/>
      <c r="AA76" s="133"/>
      <c r="AB76" s="133"/>
      <c r="AC76" s="133"/>
      <c r="AD76" s="133"/>
      <c r="AE76" s="133"/>
      <c r="AF76" s="111"/>
      <c r="AG76" s="147" t="s">
        <v>486</v>
      </c>
      <c r="AH76" s="73"/>
      <c r="AI76" s="135"/>
      <c r="AJ76" s="136"/>
      <c r="AK76" s="76"/>
      <c r="AL76" s="137"/>
      <c r="AM76" s="139" t="s">
        <v>71</v>
      </c>
      <c r="AN76" s="139">
        <v>413.0</v>
      </c>
      <c r="AO76" s="140">
        <v>91.08</v>
      </c>
      <c r="AP76" s="142">
        <v>27876.0</v>
      </c>
      <c r="AQ76" s="142">
        <v>249.0</v>
      </c>
      <c r="AR76" s="143"/>
      <c r="AS76" s="144">
        <v>0.9665566700197482</v>
      </c>
      <c r="AT76" s="144">
        <v>4.4332998025176096E-4</v>
      </c>
      <c r="AU76" s="146" t="s">
        <v>487</v>
      </c>
      <c r="AV76" s="146" t="s">
        <v>487</v>
      </c>
      <c r="AW76" s="148" t="s">
        <v>487</v>
      </c>
      <c r="AX76" s="151"/>
      <c r="AY76" s="105"/>
      <c r="AZ76" s="186"/>
      <c r="BA76" s="186"/>
      <c r="BB76" s="146"/>
      <c r="BC76" s="155"/>
      <c r="BD76" s="155"/>
      <c r="BE76" s="155"/>
      <c r="BF76" s="45"/>
    </row>
    <row r="77" ht="16.5" customHeight="1">
      <c r="A77" s="111">
        <v>74.0</v>
      </c>
      <c r="B77" s="165" t="s">
        <v>488</v>
      </c>
      <c r="C77" s="115" t="s">
        <v>60</v>
      </c>
      <c r="D77" s="218"/>
      <c r="E77" s="157">
        <v>42019.0</v>
      </c>
      <c r="F77" s="174" t="s">
        <v>103</v>
      </c>
      <c r="G77" s="167">
        <v>32080.0</v>
      </c>
      <c r="H77" s="114"/>
      <c r="I77" s="123">
        <v>380.0</v>
      </c>
      <c r="J77" s="111" t="s">
        <v>61</v>
      </c>
      <c r="K77" s="121">
        <v>384.81</v>
      </c>
      <c r="L77" s="120" t="s">
        <v>63</v>
      </c>
      <c r="M77" s="120"/>
      <c r="N77" s="123"/>
      <c r="O77" s="124">
        <v>32080.0</v>
      </c>
      <c r="P77" s="124"/>
      <c r="Q77" s="133">
        <v>270.0</v>
      </c>
      <c r="R77" s="125">
        <v>400.0</v>
      </c>
      <c r="S77" s="126">
        <v>0.962</v>
      </c>
      <c r="T77" s="127">
        <v>74555.0</v>
      </c>
      <c r="U77" s="128">
        <f t="shared" si="1"/>
        <v>1</v>
      </c>
      <c r="V77" s="181"/>
      <c r="W77" s="181"/>
      <c r="X77" s="181"/>
      <c r="Y77" s="130"/>
      <c r="Z77" s="111"/>
      <c r="AA77" s="133"/>
      <c r="AB77" s="133"/>
      <c r="AC77" s="133"/>
      <c r="AD77" s="133"/>
      <c r="AE77" s="133"/>
      <c r="AF77" s="111"/>
      <c r="AG77" s="147"/>
      <c r="AH77" s="73"/>
      <c r="AI77" s="135"/>
      <c r="AJ77" s="136"/>
      <c r="AK77" s="76"/>
      <c r="AL77" s="137"/>
      <c r="AM77" s="139" t="s">
        <v>71</v>
      </c>
      <c r="AN77" s="139"/>
      <c r="AO77" s="140">
        <v>113.93</v>
      </c>
      <c r="AP77" s="142">
        <v>32080.0</v>
      </c>
      <c r="AQ77" s="142">
        <v>270.0</v>
      </c>
      <c r="AR77" s="143"/>
      <c r="AS77" s="144">
        <v>0.9639791307523673</v>
      </c>
      <c r="AT77" s="144">
        <v>-0.0019791307523673307</v>
      </c>
      <c r="AU77" s="146" t="s">
        <v>491</v>
      </c>
      <c r="AV77" s="146" t="s">
        <v>491</v>
      </c>
      <c r="AW77" s="148" t="s">
        <v>491</v>
      </c>
      <c r="AX77" s="151"/>
      <c r="AY77" s="105"/>
      <c r="AZ77" s="186"/>
      <c r="BA77" s="186"/>
      <c r="BB77" s="146"/>
      <c r="BC77" s="155"/>
      <c r="BD77" s="155"/>
      <c r="BE77" s="155"/>
      <c r="BF77" s="45"/>
    </row>
    <row r="78" ht="16.5" customHeight="1">
      <c r="A78" s="111">
        <v>75.0</v>
      </c>
      <c r="B78" s="165" t="s">
        <v>300</v>
      </c>
      <c r="C78" s="115" t="s">
        <v>60</v>
      </c>
      <c r="D78" s="157">
        <v>41593.0</v>
      </c>
      <c r="E78" s="157">
        <v>42019.0</v>
      </c>
      <c r="F78" s="79" t="s">
        <v>59</v>
      </c>
      <c r="G78" s="167">
        <v>51700.0</v>
      </c>
      <c r="H78" s="114">
        <v>121.1</v>
      </c>
      <c r="I78" s="123">
        <v>389.0</v>
      </c>
      <c r="J78" s="111" t="s">
        <v>62</v>
      </c>
      <c r="K78" s="121">
        <v>389.0</v>
      </c>
      <c r="L78" s="120" t="s">
        <v>195</v>
      </c>
      <c r="M78" s="120" t="s">
        <v>281</v>
      </c>
      <c r="N78" s="123">
        <v>28000.0</v>
      </c>
      <c r="O78" s="124">
        <v>34467.0</v>
      </c>
      <c r="P78" s="124">
        <v>285.0</v>
      </c>
      <c r="Q78" s="133">
        <v>229.0</v>
      </c>
      <c r="R78" s="125">
        <v>399.0</v>
      </c>
      <c r="S78" s="126">
        <v>0.9749</v>
      </c>
      <c r="T78" s="127">
        <v>75554.75</v>
      </c>
      <c r="U78" s="128">
        <f t="shared" si="1"/>
        <v>0</v>
      </c>
      <c r="V78" s="79" t="s">
        <v>64</v>
      </c>
      <c r="W78" s="79" t="s">
        <v>64</v>
      </c>
      <c r="X78" s="79" t="s">
        <v>66</v>
      </c>
      <c r="Y78" s="130"/>
      <c r="Z78" s="111"/>
      <c r="AA78" s="133"/>
      <c r="AB78" s="133"/>
      <c r="AC78" s="133"/>
      <c r="AD78" s="133"/>
      <c r="AE78" s="133"/>
      <c r="AF78" s="111"/>
      <c r="AG78" s="147" t="s">
        <v>111</v>
      </c>
      <c r="AH78" s="73"/>
      <c r="AI78" s="135"/>
      <c r="AJ78" s="136"/>
      <c r="AK78" s="76"/>
      <c r="AL78" s="137"/>
      <c r="AM78" s="139" t="s">
        <v>71</v>
      </c>
      <c r="AN78" s="139">
        <v>427.0</v>
      </c>
      <c r="AO78" s="140">
        <v>103.15</v>
      </c>
      <c r="AP78" s="142">
        <v>34467.0</v>
      </c>
      <c r="AQ78" s="142">
        <v>229.0</v>
      </c>
      <c r="AR78" s="143"/>
      <c r="AS78" s="144">
        <v>0.962673638926323</v>
      </c>
      <c r="AT78" s="144">
        <v>0.012226361073677028</v>
      </c>
      <c r="AU78" s="146" t="s">
        <v>492</v>
      </c>
      <c r="AV78" s="146" t="s">
        <v>492</v>
      </c>
      <c r="AW78" s="148" t="s">
        <v>492</v>
      </c>
      <c r="AX78" s="151"/>
      <c r="AY78" s="105"/>
      <c r="AZ78" s="186"/>
      <c r="BA78" s="186"/>
      <c r="BB78" s="146"/>
      <c r="BC78" s="155"/>
      <c r="BD78" s="155"/>
      <c r="BE78" s="155"/>
      <c r="BF78" s="45"/>
    </row>
    <row r="79" ht="16.5" customHeight="1">
      <c r="A79" s="111">
        <v>76.0</v>
      </c>
      <c r="B79" s="165" t="s">
        <v>147</v>
      </c>
      <c r="C79" s="115" t="s">
        <v>60</v>
      </c>
      <c r="D79" s="157">
        <v>41639.0</v>
      </c>
      <c r="E79" s="157">
        <v>42019.0</v>
      </c>
      <c r="F79" s="79" t="s">
        <v>79</v>
      </c>
      <c r="G79" s="167">
        <v>61500.0</v>
      </c>
      <c r="H79" s="114">
        <v>161.4</v>
      </c>
      <c r="I79" s="123">
        <v>373.0</v>
      </c>
      <c r="J79" s="111" t="s">
        <v>61</v>
      </c>
      <c r="K79" s="121">
        <v>377.72</v>
      </c>
      <c r="L79" s="120" t="s">
        <v>63</v>
      </c>
      <c r="M79" s="120"/>
      <c r="N79" s="123"/>
      <c r="O79" s="124">
        <v>61500.0</v>
      </c>
      <c r="P79" s="124">
        <v>381.0</v>
      </c>
      <c r="Q79" s="133">
        <v>223.0</v>
      </c>
      <c r="R79" s="125">
        <v>399.0</v>
      </c>
      <c r="S79" s="126">
        <v>0.9467</v>
      </c>
      <c r="T79" s="127">
        <v>73369.25</v>
      </c>
      <c r="U79" s="128">
        <f t="shared" si="1"/>
        <v>0</v>
      </c>
      <c r="V79" s="79" t="s">
        <v>67</v>
      </c>
      <c r="W79" s="79" t="s">
        <v>67</v>
      </c>
      <c r="X79" s="79" t="s">
        <v>64</v>
      </c>
      <c r="Y79" s="130"/>
      <c r="Z79" s="111"/>
      <c r="AA79" s="133"/>
      <c r="AB79" s="133"/>
      <c r="AC79" s="133"/>
      <c r="AD79" s="133"/>
      <c r="AE79" s="133"/>
      <c r="AF79" s="111"/>
      <c r="AG79" s="147" t="s">
        <v>419</v>
      </c>
      <c r="AH79" s="73"/>
      <c r="AI79" s="135"/>
      <c r="AJ79" s="136"/>
      <c r="AK79" s="76"/>
      <c r="AL79" s="137"/>
      <c r="AM79" s="139" t="s">
        <v>71</v>
      </c>
      <c r="AN79" s="139">
        <v>381.0</v>
      </c>
      <c r="AO79" s="140">
        <v>181.82</v>
      </c>
      <c r="AP79" s="142">
        <v>61500.0</v>
      </c>
      <c r="AQ79" s="142">
        <v>223.0</v>
      </c>
      <c r="AR79" s="143"/>
      <c r="AS79" s="144">
        <v>0.9528104008501209</v>
      </c>
      <c r="AT79" s="144">
        <v>-0.006110400850120934</v>
      </c>
      <c r="AU79" s="146" t="s">
        <v>494</v>
      </c>
      <c r="AV79" s="146" t="s">
        <v>494</v>
      </c>
      <c r="AW79" s="148" t="s">
        <v>494</v>
      </c>
      <c r="AX79" s="151"/>
      <c r="AY79" s="105"/>
      <c r="AZ79" s="186"/>
      <c r="BA79" s="186"/>
      <c r="BB79" s="146"/>
      <c r="BC79" s="155"/>
      <c r="BD79" s="155"/>
      <c r="BE79" s="155"/>
      <c r="BF79" s="45"/>
    </row>
    <row r="80" ht="16.5" customHeight="1">
      <c r="A80" s="111">
        <v>77.0</v>
      </c>
      <c r="B80" s="165" t="s">
        <v>212</v>
      </c>
      <c r="C80" s="115" t="s">
        <v>60</v>
      </c>
      <c r="D80" s="157">
        <v>41543.0</v>
      </c>
      <c r="E80" s="157">
        <v>42019.0</v>
      </c>
      <c r="F80" s="79" t="s">
        <v>59</v>
      </c>
      <c r="G80" s="167">
        <v>59500.0</v>
      </c>
      <c r="H80" s="114">
        <v>124.7</v>
      </c>
      <c r="I80" s="123">
        <v>374.0</v>
      </c>
      <c r="J80" s="159" t="s">
        <v>104</v>
      </c>
      <c r="K80" s="121">
        <v>377.78</v>
      </c>
      <c r="L80" s="120" t="s">
        <v>63</v>
      </c>
      <c r="M80" s="120"/>
      <c r="N80" s="123"/>
      <c r="O80" s="124">
        <v>59500.0</v>
      </c>
      <c r="P80" s="124">
        <v>477.0</v>
      </c>
      <c r="Q80" s="133">
        <v>227.0</v>
      </c>
      <c r="R80" s="125">
        <v>399.0</v>
      </c>
      <c r="S80" s="126">
        <v>0.9468</v>
      </c>
      <c r="T80" s="127">
        <v>73377.0</v>
      </c>
      <c r="U80" s="128">
        <f t="shared" si="1"/>
        <v>0</v>
      </c>
      <c r="V80" s="79" t="s">
        <v>65</v>
      </c>
      <c r="W80" s="79" t="s">
        <v>65</v>
      </c>
      <c r="X80" s="79" t="s">
        <v>66</v>
      </c>
      <c r="Y80" s="130"/>
      <c r="Z80" s="111"/>
      <c r="AA80" s="133"/>
      <c r="AB80" s="133"/>
      <c r="AC80" s="133"/>
      <c r="AD80" s="133"/>
      <c r="AE80" s="133"/>
      <c r="AF80" s="111"/>
      <c r="AG80" s="147"/>
      <c r="AH80" s="73"/>
      <c r="AI80" s="135"/>
      <c r="AJ80" s="136"/>
      <c r="AK80" s="76"/>
      <c r="AL80" s="137"/>
      <c r="AM80" s="139" t="s">
        <v>71</v>
      </c>
      <c r="AN80" s="139">
        <v>477.0</v>
      </c>
      <c r="AO80" s="140">
        <v>179.06</v>
      </c>
      <c r="AP80" s="142">
        <v>59500.0</v>
      </c>
      <c r="AQ80" s="142">
        <v>227.0</v>
      </c>
      <c r="AR80" s="143"/>
      <c r="AS80" s="144">
        <v>0.9533392772184842</v>
      </c>
      <c r="AT80" s="144">
        <v>-0.006539277218484241</v>
      </c>
      <c r="AU80" s="146" t="s">
        <v>497</v>
      </c>
      <c r="AV80" s="146" t="s">
        <v>497</v>
      </c>
      <c r="AW80" s="148" t="s">
        <v>497</v>
      </c>
      <c r="AX80" s="151"/>
      <c r="AY80" s="105"/>
      <c r="AZ80" s="186"/>
      <c r="BA80" s="186"/>
      <c r="BB80" s="146"/>
      <c r="BC80" s="155"/>
      <c r="BD80" s="155"/>
      <c r="BE80" s="155"/>
      <c r="BF80" s="45"/>
    </row>
    <row r="81" ht="16.5" customHeight="1">
      <c r="A81" s="111">
        <v>78.0</v>
      </c>
      <c r="B81" s="165" t="s">
        <v>126</v>
      </c>
      <c r="C81" s="115" t="s">
        <v>60</v>
      </c>
      <c r="D81" s="157">
        <v>41527.0</v>
      </c>
      <c r="E81" s="157">
        <v>42020.0</v>
      </c>
      <c r="F81" s="79" t="s">
        <v>79</v>
      </c>
      <c r="G81" s="167">
        <v>84000.0</v>
      </c>
      <c r="H81" s="114">
        <v>170.0</v>
      </c>
      <c r="I81" s="123">
        <v>375.0</v>
      </c>
      <c r="J81" s="111" t="s">
        <v>62</v>
      </c>
      <c r="K81" s="121">
        <v>375.0</v>
      </c>
      <c r="L81" s="120" t="s">
        <v>63</v>
      </c>
      <c r="M81" s="120"/>
      <c r="N81" s="123"/>
      <c r="O81" s="124">
        <v>84000.0</v>
      </c>
      <c r="P81" s="124">
        <v>494.0</v>
      </c>
      <c r="Q81" s="133">
        <v>220.0</v>
      </c>
      <c r="R81" s="125">
        <v>399.0</v>
      </c>
      <c r="S81" s="126">
        <v>0.9398</v>
      </c>
      <c r="T81" s="127">
        <v>72834.5</v>
      </c>
      <c r="U81" s="128">
        <f t="shared" si="1"/>
        <v>0</v>
      </c>
      <c r="V81" s="79" t="s">
        <v>65</v>
      </c>
      <c r="W81" s="79" t="s">
        <v>127</v>
      </c>
      <c r="X81" s="79" t="s">
        <v>66</v>
      </c>
      <c r="Y81" s="130">
        <v>1.0</v>
      </c>
      <c r="Z81" s="111">
        <v>22.0</v>
      </c>
      <c r="AA81" s="133"/>
      <c r="AB81" s="133"/>
      <c r="AC81" s="133"/>
      <c r="AD81" s="133"/>
      <c r="AE81" s="133"/>
      <c r="AF81" s="111"/>
      <c r="AG81" s="147" t="s">
        <v>128</v>
      </c>
      <c r="AH81" s="73"/>
      <c r="AI81" s="135"/>
      <c r="AJ81" s="136"/>
      <c r="AK81" s="76"/>
      <c r="AL81" s="137"/>
      <c r="AM81" s="139" t="s">
        <v>71</v>
      </c>
      <c r="AN81" s="139">
        <v>494.0</v>
      </c>
      <c r="AO81" s="140">
        <v>245.87</v>
      </c>
      <c r="AP81" s="142">
        <v>84000.0</v>
      </c>
      <c r="AQ81" s="142">
        <v>220.0</v>
      </c>
      <c r="AR81" s="143"/>
      <c r="AS81" s="144">
        <v>0.9478637946436792</v>
      </c>
      <c r="AT81" s="144">
        <v>-0.008063794643679234</v>
      </c>
      <c r="AU81" s="146" t="s">
        <v>500</v>
      </c>
      <c r="AV81" s="146" t="s">
        <v>500</v>
      </c>
      <c r="AW81" s="148" t="s">
        <v>500</v>
      </c>
      <c r="AX81" s="151"/>
      <c r="AY81" s="105"/>
      <c r="AZ81" s="186"/>
      <c r="BA81" s="186"/>
      <c r="BB81" s="146"/>
      <c r="BC81" s="155"/>
      <c r="BD81" s="155"/>
      <c r="BE81" s="155"/>
      <c r="BF81" s="45"/>
    </row>
    <row r="82" ht="16.5" customHeight="1">
      <c r="A82" s="111">
        <v>79.0</v>
      </c>
      <c r="B82" s="165" t="s">
        <v>192</v>
      </c>
      <c r="C82" s="115" t="s">
        <v>60</v>
      </c>
      <c r="D82" s="157">
        <v>41607.0</v>
      </c>
      <c r="E82" s="157">
        <v>42020.0</v>
      </c>
      <c r="F82" s="79" t="s">
        <v>79</v>
      </c>
      <c r="G82" s="167">
        <v>27906.0</v>
      </c>
      <c r="H82" s="114">
        <v>67.4</v>
      </c>
      <c r="I82" s="123">
        <v>381.0</v>
      </c>
      <c r="J82" s="111" t="s">
        <v>61</v>
      </c>
      <c r="K82" s="121">
        <v>385.82</v>
      </c>
      <c r="L82" s="120" t="s">
        <v>195</v>
      </c>
      <c r="M82" s="120" t="s">
        <v>196</v>
      </c>
      <c r="N82" s="123">
        <v>2100.0</v>
      </c>
      <c r="O82" s="124">
        <v>27906.0</v>
      </c>
      <c r="P82" s="124">
        <v>414.0</v>
      </c>
      <c r="Q82" s="133">
        <v>249.0</v>
      </c>
      <c r="R82" s="125">
        <v>399.0</v>
      </c>
      <c r="S82" s="126">
        <v>0.967</v>
      </c>
      <c r="T82" s="127">
        <v>74942.5</v>
      </c>
      <c r="U82" s="128">
        <f t="shared" si="1"/>
        <v>0</v>
      </c>
      <c r="V82" s="79" t="s">
        <v>65</v>
      </c>
      <c r="W82" s="79" t="s">
        <v>65</v>
      </c>
      <c r="X82" s="79" t="s">
        <v>68</v>
      </c>
      <c r="Y82" s="130"/>
      <c r="Z82" s="111"/>
      <c r="AA82" s="133"/>
      <c r="AB82" s="133"/>
      <c r="AC82" s="133"/>
      <c r="AD82" s="133"/>
      <c r="AE82" s="133"/>
      <c r="AF82" s="111"/>
      <c r="AG82" s="147" t="s">
        <v>502</v>
      </c>
      <c r="AH82" s="73"/>
      <c r="AI82" s="135"/>
      <c r="AJ82" s="136"/>
      <c r="AK82" s="76"/>
      <c r="AL82" s="137"/>
      <c r="AM82" s="139" t="s">
        <v>71</v>
      </c>
      <c r="AN82" s="139">
        <v>414.0</v>
      </c>
      <c r="AO82" s="140">
        <v>91.18</v>
      </c>
      <c r="AP82" s="142">
        <v>27906.0</v>
      </c>
      <c r="AQ82" s="142">
        <v>249.0</v>
      </c>
      <c r="AR82" s="143"/>
      <c r="AS82" s="144">
        <v>0.9665368835847344</v>
      </c>
      <c r="AT82" s="144">
        <v>4.631164152655298E-4</v>
      </c>
      <c r="AU82" s="146" t="s">
        <v>503</v>
      </c>
      <c r="AV82" s="146" t="s">
        <v>503</v>
      </c>
      <c r="AW82" s="148" t="s">
        <v>503</v>
      </c>
      <c r="AX82" s="151"/>
      <c r="AY82" s="105"/>
      <c r="AZ82" s="186"/>
      <c r="BA82" s="186"/>
      <c r="BB82" s="146"/>
      <c r="BC82" s="155"/>
      <c r="BD82" s="155"/>
      <c r="BE82" s="155"/>
      <c r="BF82" s="45"/>
    </row>
    <row r="83" ht="16.5" customHeight="1">
      <c r="A83" s="111">
        <v>80.0</v>
      </c>
      <c r="B83" s="165" t="s">
        <v>288</v>
      </c>
      <c r="C83" s="115" t="s">
        <v>60</v>
      </c>
      <c r="D83" s="157">
        <v>41766.0</v>
      </c>
      <c r="E83" s="157">
        <v>42020.0</v>
      </c>
      <c r="F83" s="79" t="s">
        <v>109</v>
      </c>
      <c r="G83" s="167">
        <v>14267.0</v>
      </c>
      <c r="H83" s="114">
        <v>55.9</v>
      </c>
      <c r="I83" s="123">
        <v>272.0</v>
      </c>
      <c r="J83" s="111" t="s">
        <v>61</v>
      </c>
      <c r="K83" s="121">
        <v>275.44</v>
      </c>
      <c r="L83" s="120" t="s">
        <v>63</v>
      </c>
      <c r="M83" s="120"/>
      <c r="N83" s="123"/>
      <c r="O83" s="124">
        <v>14267.0</v>
      </c>
      <c r="P83" s="124">
        <v>255.0</v>
      </c>
      <c r="Q83" s="133">
        <v>216.0</v>
      </c>
      <c r="R83" s="125">
        <v>289.0</v>
      </c>
      <c r="S83" s="126">
        <v>0.9531</v>
      </c>
      <c r="T83" s="127">
        <v>55756.35</v>
      </c>
      <c r="U83" s="128">
        <f t="shared" si="1"/>
        <v>0</v>
      </c>
      <c r="V83" s="79" t="s">
        <v>68</v>
      </c>
      <c r="W83" s="79" t="s">
        <v>64</v>
      </c>
      <c r="X83" s="79" t="s">
        <v>66</v>
      </c>
      <c r="Y83" s="130"/>
      <c r="Z83" s="111"/>
      <c r="AA83" s="183"/>
      <c r="AB83" s="133"/>
      <c r="AC83" s="133"/>
      <c r="AD83" s="133"/>
      <c r="AE83" s="133"/>
      <c r="AF83" s="111"/>
      <c r="AG83" s="147" t="s">
        <v>505</v>
      </c>
      <c r="AH83" s="73"/>
      <c r="AI83" s="135"/>
      <c r="AJ83" s="136"/>
      <c r="AK83" s="76"/>
      <c r="AL83" s="137"/>
      <c r="AM83" s="139" t="s">
        <v>71</v>
      </c>
      <c r="AN83" s="139">
        <v>255.0</v>
      </c>
      <c r="AO83" s="140">
        <v>53.96</v>
      </c>
      <c r="AP83" s="142">
        <v>14267.0</v>
      </c>
      <c r="AQ83" s="142">
        <v>216.0</v>
      </c>
      <c r="AR83" s="143"/>
      <c r="AS83" s="144">
        <v>0.9782940569916533</v>
      </c>
      <c r="AT83" s="144">
        <v>-0.025194056991653335</v>
      </c>
      <c r="AU83" s="146" t="s">
        <v>506</v>
      </c>
      <c r="AV83" s="146" t="s">
        <v>506</v>
      </c>
      <c r="AW83" s="148" t="s">
        <v>506</v>
      </c>
      <c r="AX83" s="151"/>
      <c r="AY83" s="105"/>
      <c r="AZ83" s="186"/>
      <c r="BA83" s="186"/>
      <c r="BB83" s="146"/>
      <c r="BC83" s="155"/>
      <c r="BD83" s="155"/>
      <c r="BE83" s="155"/>
      <c r="BF83" s="45"/>
    </row>
    <row r="84" ht="16.5" customHeight="1">
      <c r="A84" s="111">
        <v>81.0</v>
      </c>
      <c r="B84" s="165" t="s">
        <v>381</v>
      </c>
      <c r="C84" s="115" t="s">
        <v>60</v>
      </c>
      <c r="D84" s="157">
        <v>41540.0</v>
      </c>
      <c r="E84" s="157">
        <v>42021.0</v>
      </c>
      <c r="F84" s="79" t="s">
        <v>79</v>
      </c>
      <c r="G84" s="167">
        <v>68000.0</v>
      </c>
      <c r="H84" s="114">
        <v>141.1</v>
      </c>
      <c r="I84" s="123">
        <v>378.0</v>
      </c>
      <c r="J84" s="159" t="s">
        <v>104</v>
      </c>
      <c r="K84" s="121">
        <v>381.82</v>
      </c>
      <c r="L84" s="120" t="s">
        <v>195</v>
      </c>
      <c r="M84" s="120" t="s">
        <v>281</v>
      </c>
      <c r="N84" s="123">
        <v>18000.0</v>
      </c>
      <c r="O84" s="124">
        <v>52671.0</v>
      </c>
      <c r="P84" s="124">
        <v>373.0</v>
      </c>
      <c r="Q84" s="133">
        <v>220.0</v>
      </c>
      <c r="R84" s="125">
        <v>399.0</v>
      </c>
      <c r="S84" s="126">
        <v>0.9569</v>
      </c>
      <c r="T84" s="127">
        <v>74159.75</v>
      </c>
      <c r="U84" s="128">
        <f t="shared" si="1"/>
        <v>0</v>
      </c>
      <c r="V84" s="79" t="s">
        <v>64</v>
      </c>
      <c r="W84" s="79" t="s">
        <v>69</v>
      </c>
      <c r="X84" s="79" t="s">
        <v>68</v>
      </c>
      <c r="Y84" s="130"/>
      <c r="Z84" s="111"/>
      <c r="AA84" s="133"/>
      <c r="AB84" s="133"/>
      <c r="AC84" s="133"/>
      <c r="AD84" s="133"/>
      <c r="AE84" s="133"/>
      <c r="AF84" s="111"/>
      <c r="AG84" s="147" t="s">
        <v>385</v>
      </c>
      <c r="AH84" s="73"/>
      <c r="AI84" s="135"/>
      <c r="AJ84" s="136"/>
      <c r="AK84" s="76"/>
      <c r="AL84" s="137"/>
      <c r="AM84" s="139" t="s">
        <v>71</v>
      </c>
      <c r="AN84" s="139">
        <v>482.0</v>
      </c>
      <c r="AO84" s="140">
        <v>152.83</v>
      </c>
      <c r="AP84" s="142">
        <v>52671.0</v>
      </c>
      <c r="AQ84" s="142">
        <v>220.0</v>
      </c>
      <c r="AR84" s="143"/>
      <c r="AS84" s="144">
        <v>0.9553196534598848</v>
      </c>
      <c r="AT84" s="144">
        <v>0.001580346540115185</v>
      </c>
      <c r="AU84" s="146" t="s">
        <v>509</v>
      </c>
      <c r="AV84" s="146" t="s">
        <v>509</v>
      </c>
      <c r="AW84" s="148" t="s">
        <v>509</v>
      </c>
      <c r="AX84" s="151"/>
      <c r="AY84" s="105"/>
      <c r="AZ84" s="186"/>
      <c r="BA84" s="186"/>
      <c r="BB84" s="146"/>
      <c r="BC84" s="155"/>
      <c r="BD84" s="155"/>
      <c r="BE84" s="155"/>
      <c r="BF84" s="45"/>
    </row>
    <row r="85" ht="16.5" customHeight="1">
      <c r="A85" s="111">
        <v>82.0</v>
      </c>
      <c r="B85" s="165" t="s">
        <v>339</v>
      </c>
      <c r="C85" s="115" t="s">
        <v>60</v>
      </c>
      <c r="D85" s="157">
        <v>41912.0</v>
      </c>
      <c r="E85" s="157">
        <v>42021.0</v>
      </c>
      <c r="F85" s="79" t="s">
        <v>59</v>
      </c>
      <c r="G85" s="167">
        <v>12199.0</v>
      </c>
      <c r="H85" s="114">
        <v>110.9</v>
      </c>
      <c r="I85" s="123">
        <v>392.0</v>
      </c>
      <c r="J85" s="111" t="s">
        <v>61</v>
      </c>
      <c r="K85" s="121">
        <v>396.96</v>
      </c>
      <c r="L85" s="120" t="s">
        <v>63</v>
      </c>
      <c r="M85" s="120"/>
      <c r="N85" s="123"/>
      <c r="O85" s="124">
        <v>12199.0</v>
      </c>
      <c r="P85" s="124">
        <v>110.0</v>
      </c>
      <c r="Q85" s="133">
        <v>265.0</v>
      </c>
      <c r="R85" s="125">
        <v>399.0</v>
      </c>
      <c r="S85" s="126">
        <v>0.9949</v>
      </c>
      <c r="T85" s="127">
        <v>77104.75</v>
      </c>
      <c r="U85" s="128">
        <f t="shared" si="1"/>
        <v>0</v>
      </c>
      <c r="V85" s="79" t="s">
        <v>65</v>
      </c>
      <c r="W85" s="79" t="s">
        <v>65</v>
      </c>
      <c r="X85" s="79" t="s">
        <v>68</v>
      </c>
      <c r="Y85" s="130">
        <v>0.8</v>
      </c>
      <c r="Z85" s="111"/>
      <c r="AA85" s="133"/>
      <c r="AB85" s="133"/>
      <c r="AC85" s="133"/>
      <c r="AD85" s="133"/>
      <c r="AE85" s="133"/>
      <c r="AF85" s="111"/>
      <c r="AG85" s="147"/>
      <c r="AH85" s="73"/>
      <c r="AI85" s="135"/>
      <c r="AJ85" s="136"/>
      <c r="AK85" s="76"/>
      <c r="AL85" s="137"/>
      <c r="AM85" s="139" t="s">
        <v>71</v>
      </c>
      <c r="AN85" s="139">
        <v>110.0</v>
      </c>
      <c r="AO85" s="140">
        <v>41.82</v>
      </c>
      <c r="AP85" s="142">
        <v>12199.0</v>
      </c>
      <c r="AQ85" s="142">
        <v>265.0</v>
      </c>
      <c r="AR85" s="143"/>
      <c r="AS85" s="144">
        <v>0.9806959068943552</v>
      </c>
      <c r="AT85" s="144">
        <v>0.014204093105644855</v>
      </c>
      <c r="AU85" s="146" t="s">
        <v>512</v>
      </c>
      <c r="AV85" s="146" t="s">
        <v>512</v>
      </c>
      <c r="AW85" s="148" t="s">
        <v>512</v>
      </c>
      <c r="AX85" s="151"/>
      <c r="AY85" s="105"/>
      <c r="AZ85" s="186"/>
      <c r="BA85" s="186"/>
      <c r="BB85" s="146"/>
      <c r="BC85" s="155"/>
      <c r="BD85" s="155"/>
      <c r="BE85" s="155"/>
      <c r="BF85" s="45"/>
    </row>
    <row r="86" ht="16.5" customHeight="1">
      <c r="A86" s="111">
        <v>83.0</v>
      </c>
      <c r="B86" s="165" t="s">
        <v>513</v>
      </c>
      <c r="C86" s="115" t="s">
        <v>60</v>
      </c>
      <c r="D86" s="157">
        <v>41990.0</v>
      </c>
      <c r="E86" s="157">
        <v>42022.0</v>
      </c>
      <c r="F86" s="79" t="s">
        <v>59</v>
      </c>
      <c r="G86" s="167">
        <v>4178.0</v>
      </c>
      <c r="H86" s="114">
        <v>126.6</v>
      </c>
      <c r="I86" s="123">
        <v>398.0</v>
      </c>
      <c r="J86" s="111" t="s">
        <v>62</v>
      </c>
      <c r="K86" s="121">
        <v>398.0</v>
      </c>
      <c r="L86" s="120" t="s">
        <v>63</v>
      </c>
      <c r="M86" s="120"/>
      <c r="N86" s="123"/>
      <c r="O86" s="124">
        <v>4178.0</v>
      </c>
      <c r="P86" s="124">
        <v>33.0</v>
      </c>
      <c r="Q86" s="133">
        <v>244.0</v>
      </c>
      <c r="R86" s="125">
        <v>399.0</v>
      </c>
      <c r="S86" s="126">
        <v>0.9975</v>
      </c>
      <c r="T86" s="127">
        <v>77306.25</v>
      </c>
      <c r="U86" s="128">
        <f t="shared" si="1"/>
        <v>0</v>
      </c>
      <c r="V86" s="79" t="s">
        <v>67</v>
      </c>
      <c r="W86" s="79" t="s">
        <v>65</v>
      </c>
      <c r="X86" s="79" t="s">
        <v>68</v>
      </c>
      <c r="Y86" s="130"/>
      <c r="Z86" s="111"/>
      <c r="AA86" s="133"/>
      <c r="AB86" s="133"/>
      <c r="AC86" s="133"/>
      <c r="AD86" s="133"/>
      <c r="AE86" s="133"/>
      <c r="AF86" s="111"/>
      <c r="AG86" s="147" t="s">
        <v>516</v>
      </c>
      <c r="AH86" s="73"/>
      <c r="AI86" s="135"/>
      <c r="AJ86" s="136"/>
      <c r="AK86" s="76"/>
      <c r="AL86" s="137"/>
      <c r="AM86" s="139" t="s">
        <v>71</v>
      </c>
      <c r="AN86" s="139">
        <v>33.0</v>
      </c>
      <c r="AO86" s="140">
        <v>13.17</v>
      </c>
      <c r="AP86" s="142">
        <v>4178.0</v>
      </c>
      <c r="AQ86" s="142">
        <v>244.0</v>
      </c>
      <c r="AR86" s="143"/>
      <c r="AS86" s="144">
        <v>0.9922346423473426</v>
      </c>
      <c r="AT86" s="144">
        <v>0.005265357652657454</v>
      </c>
      <c r="AU86" s="146" t="s">
        <v>517</v>
      </c>
      <c r="AV86" s="146" t="s">
        <v>517</v>
      </c>
      <c r="AW86" s="148" t="s">
        <v>517</v>
      </c>
      <c r="AX86" s="151"/>
      <c r="AY86" s="105"/>
      <c r="AZ86" s="186"/>
      <c r="BA86" s="186"/>
      <c r="BB86" s="146"/>
      <c r="BC86" s="155"/>
      <c r="BD86" s="155"/>
      <c r="BE86" s="155"/>
      <c r="BF86" s="45"/>
    </row>
    <row r="87" ht="16.5" customHeight="1">
      <c r="A87" s="111">
        <v>84.0</v>
      </c>
      <c r="B87" s="165" t="s">
        <v>155</v>
      </c>
      <c r="C87" s="115" t="s">
        <v>60</v>
      </c>
      <c r="D87" s="157">
        <v>41601.0</v>
      </c>
      <c r="E87" s="157">
        <v>42022.0</v>
      </c>
      <c r="F87" s="79" t="s">
        <v>109</v>
      </c>
      <c r="G87" s="167">
        <v>23373.0</v>
      </c>
      <c r="H87" s="114">
        <v>55.4</v>
      </c>
      <c r="I87" s="123">
        <v>282.0</v>
      </c>
      <c r="J87" s="111" t="s">
        <v>62</v>
      </c>
      <c r="K87" s="121">
        <v>282.0</v>
      </c>
      <c r="L87" s="120" t="s">
        <v>63</v>
      </c>
      <c r="M87" s="120"/>
      <c r="N87" s="123"/>
      <c r="O87" s="124">
        <v>23373.0</v>
      </c>
      <c r="P87" s="124">
        <v>422.0</v>
      </c>
      <c r="Q87" s="133">
        <v>211.0</v>
      </c>
      <c r="R87" s="125">
        <v>289.0</v>
      </c>
      <c r="S87" s="126">
        <v>0.9758</v>
      </c>
      <c r="T87" s="127">
        <v>57084.3</v>
      </c>
      <c r="U87" s="128">
        <f t="shared" si="1"/>
        <v>0</v>
      </c>
      <c r="V87" s="79" t="s">
        <v>65</v>
      </c>
      <c r="W87" s="79" t="s">
        <v>69</v>
      </c>
      <c r="X87" s="79" t="s">
        <v>66</v>
      </c>
      <c r="Y87" s="130"/>
      <c r="Z87" s="111"/>
      <c r="AA87" s="183"/>
      <c r="AB87" s="133"/>
      <c r="AC87" s="133"/>
      <c r="AD87" s="133"/>
      <c r="AE87" s="133"/>
      <c r="AF87" s="111"/>
      <c r="AG87" s="147"/>
      <c r="AH87" s="73"/>
      <c r="AI87" s="135"/>
      <c r="AJ87" s="136"/>
      <c r="AK87" s="76"/>
      <c r="AL87" s="137"/>
      <c r="AM87" s="139" t="s">
        <v>71</v>
      </c>
      <c r="AN87" s="139">
        <v>422.0</v>
      </c>
      <c r="AO87" s="140">
        <v>85.36</v>
      </c>
      <c r="AP87" s="142">
        <v>23373.0</v>
      </c>
      <c r="AQ87" s="142">
        <v>211.0</v>
      </c>
      <c r="AR87" s="143"/>
      <c r="AS87" s="144">
        <v>0.969787045791709</v>
      </c>
      <c r="AT87" s="144">
        <v>0.006012954208290955</v>
      </c>
      <c r="AU87" s="146" t="s">
        <v>520</v>
      </c>
      <c r="AV87" s="146" t="s">
        <v>520</v>
      </c>
      <c r="AW87" s="148" t="s">
        <v>520</v>
      </c>
      <c r="AX87" s="151"/>
      <c r="AY87" s="105"/>
      <c r="AZ87" s="186"/>
      <c r="BA87" s="186"/>
      <c r="BB87" s="146"/>
      <c r="BC87" s="155"/>
      <c r="BD87" s="155"/>
      <c r="BE87" s="155"/>
      <c r="BF87" s="45"/>
    </row>
    <row r="88" ht="16.5" customHeight="1">
      <c r="A88" s="111">
        <v>85.0</v>
      </c>
      <c r="B88" s="165" t="s">
        <v>76</v>
      </c>
      <c r="C88" s="115" t="s">
        <v>60</v>
      </c>
      <c r="D88" s="157">
        <v>41727.0</v>
      </c>
      <c r="E88" s="157">
        <v>42023.0</v>
      </c>
      <c r="F88" s="79" t="s">
        <v>59</v>
      </c>
      <c r="G88" s="167">
        <v>40670.0</v>
      </c>
      <c r="H88" s="114">
        <v>136.9</v>
      </c>
      <c r="I88" s="123">
        <v>385.0</v>
      </c>
      <c r="J88" s="111" t="s">
        <v>62</v>
      </c>
      <c r="K88" s="121">
        <v>385.0</v>
      </c>
      <c r="L88" s="120" t="s">
        <v>63</v>
      </c>
      <c r="M88" s="120"/>
      <c r="N88" s="123"/>
      <c r="O88" s="124">
        <v>40670.0</v>
      </c>
      <c r="P88" s="124">
        <v>297.0</v>
      </c>
      <c r="Q88" s="159">
        <v>218.0</v>
      </c>
      <c r="R88" s="125">
        <v>399.0</v>
      </c>
      <c r="S88" s="126">
        <v>0.9649</v>
      </c>
      <c r="T88" s="127">
        <v>74779.75</v>
      </c>
      <c r="U88" s="128">
        <f t="shared" si="1"/>
        <v>0</v>
      </c>
      <c r="V88" s="79" t="s">
        <v>67</v>
      </c>
      <c r="W88" s="79" t="s">
        <v>68</v>
      </c>
      <c r="X88" s="79" t="s">
        <v>68</v>
      </c>
      <c r="Y88" s="130"/>
      <c r="Z88" s="111"/>
      <c r="AA88" s="133"/>
      <c r="AB88" s="133"/>
      <c r="AC88" s="133"/>
      <c r="AD88" s="133"/>
      <c r="AE88" s="133"/>
      <c r="AF88" s="111"/>
      <c r="AG88" s="147"/>
      <c r="AH88" s="73"/>
      <c r="AI88" s="135"/>
      <c r="AJ88" s="136"/>
      <c r="AK88" s="76"/>
      <c r="AL88" s="137"/>
      <c r="AM88" s="139" t="s">
        <v>71</v>
      </c>
      <c r="AN88" s="139">
        <v>297.0</v>
      </c>
      <c r="AO88" s="140">
        <v>116.46</v>
      </c>
      <c r="AP88" s="142">
        <v>40670.0</v>
      </c>
      <c r="AQ88" s="142">
        <v>218.0</v>
      </c>
      <c r="AR88" s="143"/>
      <c r="AS88" s="144">
        <v>0.9597194303932032</v>
      </c>
      <c r="AT88" s="144">
        <v>0.005180569606796803</v>
      </c>
      <c r="AU88" s="146" t="s">
        <v>523</v>
      </c>
      <c r="AV88" s="146" t="s">
        <v>523</v>
      </c>
      <c r="AW88" s="148" t="s">
        <v>523</v>
      </c>
      <c r="AX88" s="151"/>
      <c r="AY88" s="105"/>
      <c r="AZ88" s="186"/>
      <c r="BA88" s="186"/>
      <c r="BB88" s="146"/>
      <c r="BC88" s="155"/>
      <c r="BD88" s="155"/>
      <c r="BE88" s="155"/>
      <c r="BF88" s="45"/>
    </row>
    <row r="89" ht="16.5" customHeight="1">
      <c r="A89" s="111">
        <v>86.0</v>
      </c>
      <c r="B89" s="165" t="s">
        <v>241</v>
      </c>
      <c r="C89" s="115" t="s">
        <v>60</v>
      </c>
      <c r="D89" s="157">
        <v>41810.0</v>
      </c>
      <c r="E89" s="157">
        <v>42023.0</v>
      </c>
      <c r="F89" s="79" t="s">
        <v>59</v>
      </c>
      <c r="G89" s="167">
        <v>18500.0</v>
      </c>
      <c r="H89" s="114">
        <v>86.4</v>
      </c>
      <c r="I89" s="123">
        <v>381.0</v>
      </c>
      <c r="J89" s="111" t="s">
        <v>61</v>
      </c>
      <c r="K89" s="121">
        <v>385.82</v>
      </c>
      <c r="L89" s="120" t="s">
        <v>63</v>
      </c>
      <c r="M89" s="120"/>
      <c r="N89" s="123"/>
      <c r="O89" s="124">
        <v>18500.0</v>
      </c>
      <c r="P89" s="124">
        <v>214.0</v>
      </c>
      <c r="Q89" s="111">
        <v>240.0</v>
      </c>
      <c r="R89" s="125">
        <v>399.0</v>
      </c>
      <c r="S89" s="126">
        <v>0.967</v>
      </c>
      <c r="T89" s="127">
        <v>74942.5</v>
      </c>
      <c r="U89" s="128">
        <f t="shared" si="1"/>
        <v>0</v>
      </c>
      <c r="V89" s="79" t="s">
        <v>64</v>
      </c>
      <c r="W89" s="79" t="s">
        <v>69</v>
      </c>
      <c r="X89" s="79" t="s">
        <v>66</v>
      </c>
      <c r="Y89" s="130"/>
      <c r="Z89" s="111"/>
      <c r="AA89" s="133"/>
      <c r="AB89" s="133"/>
      <c r="AC89" s="133"/>
      <c r="AD89" s="133"/>
      <c r="AE89" s="133"/>
      <c r="AF89" s="111"/>
      <c r="AG89" s="147"/>
      <c r="AH89" s="73"/>
      <c r="AI89" s="135"/>
      <c r="AJ89" s="136"/>
      <c r="AK89" s="76"/>
      <c r="AL89" s="137"/>
      <c r="AM89" s="139" t="s">
        <v>71</v>
      </c>
      <c r="AN89" s="139">
        <v>214.0</v>
      </c>
      <c r="AO89" s="140">
        <v>58.26</v>
      </c>
      <c r="AP89" s="142">
        <v>18500.0</v>
      </c>
      <c r="AQ89" s="142">
        <v>240.0</v>
      </c>
      <c r="AR89" s="143"/>
      <c r="AS89" s="144">
        <v>0.9739606018026725</v>
      </c>
      <c r="AT89" s="144">
        <v>-0.00696060180267255</v>
      </c>
      <c r="AU89" s="146" t="s">
        <v>526</v>
      </c>
      <c r="AV89" s="146" t="s">
        <v>526</v>
      </c>
      <c r="AW89" s="148" t="s">
        <v>526</v>
      </c>
      <c r="AX89" s="151"/>
      <c r="AY89" s="105"/>
      <c r="AZ89" s="186"/>
      <c r="BA89" s="186"/>
      <c r="BB89" s="146"/>
      <c r="BC89" s="155"/>
      <c r="BD89" s="155"/>
      <c r="BE89" s="155"/>
      <c r="BF89" s="45"/>
    </row>
    <row r="90" ht="16.5" customHeight="1">
      <c r="A90" s="111">
        <v>87.0</v>
      </c>
      <c r="B90" s="165" t="s">
        <v>354</v>
      </c>
      <c r="C90" s="115" t="s">
        <v>60</v>
      </c>
      <c r="D90" s="157">
        <v>41639.0</v>
      </c>
      <c r="E90" s="157">
        <v>42024.0</v>
      </c>
      <c r="F90" s="174" t="s">
        <v>103</v>
      </c>
      <c r="G90" s="167">
        <v>30000.0</v>
      </c>
      <c r="H90" s="114">
        <v>77.7</v>
      </c>
      <c r="I90" s="123">
        <v>384.0</v>
      </c>
      <c r="J90" s="159" t="s">
        <v>104</v>
      </c>
      <c r="K90" s="121">
        <v>387.88</v>
      </c>
      <c r="L90" s="120" t="s">
        <v>63</v>
      </c>
      <c r="M90" s="120"/>
      <c r="N90" s="123"/>
      <c r="O90" s="124">
        <v>30000.0</v>
      </c>
      <c r="P90" s="124">
        <v>386.0</v>
      </c>
      <c r="Q90" s="133">
        <v>221.0</v>
      </c>
      <c r="R90" s="125">
        <v>400.0</v>
      </c>
      <c r="S90" s="126">
        <v>0.9697</v>
      </c>
      <c r="T90" s="127">
        <v>75151.75</v>
      </c>
      <c r="U90" s="128">
        <f t="shared" si="1"/>
        <v>0</v>
      </c>
      <c r="V90" s="79" t="s">
        <v>66</v>
      </c>
      <c r="W90" s="79" t="s">
        <v>65</v>
      </c>
      <c r="X90" s="79" t="s">
        <v>68</v>
      </c>
      <c r="Y90" s="130"/>
      <c r="Z90" s="111"/>
      <c r="AA90" s="133"/>
      <c r="AB90" s="133"/>
      <c r="AC90" s="133"/>
      <c r="AD90" s="133"/>
      <c r="AE90" s="133"/>
      <c r="AF90" s="111"/>
      <c r="AG90" s="147" t="s">
        <v>111</v>
      </c>
      <c r="AH90" s="73"/>
      <c r="AI90" s="135"/>
      <c r="AJ90" s="136"/>
      <c r="AK90" s="76"/>
      <c r="AL90" s="137"/>
      <c r="AM90" s="139" t="s">
        <v>71</v>
      </c>
      <c r="AN90" s="139">
        <v>386.0</v>
      </c>
      <c r="AO90" s="140">
        <v>86.88</v>
      </c>
      <c r="AP90" s="142">
        <v>30000.0</v>
      </c>
      <c r="AQ90" s="142">
        <v>221.0</v>
      </c>
      <c r="AR90" s="143"/>
      <c r="AS90" s="144">
        <v>0.9652068704147506</v>
      </c>
      <c r="AT90" s="144">
        <v>0.004493129585249389</v>
      </c>
      <c r="AU90" s="146" t="s">
        <v>529</v>
      </c>
      <c r="AV90" s="146" t="s">
        <v>529</v>
      </c>
      <c r="AW90" s="148" t="s">
        <v>529</v>
      </c>
      <c r="AX90" s="151"/>
      <c r="AY90" s="105"/>
      <c r="AZ90" s="186"/>
      <c r="BA90" s="186"/>
      <c r="BB90" s="146"/>
      <c r="BC90" s="155"/>
      <c r="BD90" s="155"/>
      <c r="BE90" s="155"/>
      <c r="BF90" s="45"/>
    </row>
    <row r="91" ht="16.5" customHeight="1">
      <c r="A91" s="111">
        <v>88.0</v>
      </c>
      <c r="B91" s="165" t="s">
        <v>132</v>
      </c>
      <c r="C91" s="115" t="s">
        <v>60</v>
      </c>
      <c r="D91" s="157">
        <v>41711.0</v>
      </c>
      <c r="E91" s="157">
        <v>42024.0</v>
      </c>
      <c r="F91" s="79" t="s">
        <v>57</v>
      </c>
      <c r="G91" s="167">
        <v>23056.0</v>
      </c>
      <c r="H91" s="114">
        <v>73.4</v>
      </c>
      <c r="I91" s="123">
        <v>384.0</v>
      </c>
      <c r="J91" s="111" t="s">
        <v>61</v>
      </c>
      <c r="K91" s="121">
        <v>388.86</v>
      </c>
      <c r="L91" s="120" t="s">
        <v>63</v>
      </c>
      <c r="M91" s="120"/>
      <c r="N91" s="123"/>
      <c r="O91" s="124">
        <v>23056.0</v>
      </c>
      <c r="P91" s="124">
        <v>314.0</v>
      </c>
      <c r="Q91" s="133">
        <v>248.0</v>
      </c>
      <c r="R91" s="125">
        <v>399.0</v>
      </c>
      <c r="S91" s="126">
        <v>0.9746</v>
      </c>
      <c r="T91" s="127">
        <v>75531.5</v>
      </c>
      <c r="U91" s="128">
        <f t="shared" si="1"/>
        <v>0</v>
      </c>
      <c r="V91" s="79" t="s">
        <v>65</v>
      </c>
      <c r="W91" s="79" t="s">
        <v>64</v>
      </c>
      <c r="X91" s="79" t="s">
        <v>66</v>
      </c>
      <c r="Y91" s="130"/>
      <c r="Z91" s="111"/>
      <c r="AA91" s="133"/>
      <c r="AB91" s="133"/>
      <c r="AC91" s="133"/>
      <c r="AD91" s="133"/>
      <c r="AE91" s="133"/>
      <c r="AF91" s="111"/>
      <c r="AG91" s="181" t="s">
        <v>135</v>
      </c>
      <c r="AH91" s="73"/>
      <c r="AI91" s="135"/>
      <c r="AJ91" s="136"/>
      <c r="AK91" s="76"/>
      <c r="AL91" s="137"/>
      <c r="AM91" s="139" t="s">
        <v>71</v>
      </c>
      <c r="AN91" s="139">
        <v>314.0</v>
      </c>
      <c r="AO91" s="140">
        <v>74.74</v>
      </c>
      <c r="AP91" s="142">
        <v>23056.0</v>
      </c>
      <c r="AQ91" s="142">
        <v>248.0</v>
      </c>
      <c r="AR91" s="143"/>
      <c r="AS91" s="144">
        <v>0.9700354967896514</v>
      </c>
      <c r="AT91" s="144">
        <v>0.004564503210348625</v>
      </c>
      <c r="AU91" s="146" t="s">
        <v>534</v>
      </c>
      <c r="AV91" s="146" t="s">
        <v>534</v>
      </c>
      <c r="AW91" s="148" t="s">
        <v>534</v>
      </c>
      <c r="AX91" s="151"/>
      <c r="AY91" s="105"/>
      <c r="AZ91" s="186"/>
      <c r="BA91" s="186"/>
      <c r="BB91" s="146"/>
      <c r="BC91" s="155"/>
      <c r="BD91" s="155"/>
      <c r="BE91" s="155"/>
      <c r="BF91" s="45"/>
    </row>
    <row r="92" ht="16.5" customHeight="1">
      <c r="A92" s="111">
        <v>89.0</v>
      </c>
      <c r="B92" s="165" t="s">
        <v>324</v>
      </c>
      <c r="C92" s="115" t="s">
        <v>60</v>
      </c>
      <c r="D92" s="157">
        <v>41618.0</v>
      </c>
      <c r="E92" s="157">
        <v>42025.0</v>
      </c>
      <c r="F92" s="79" t="s">
        <v>79</v>
      </c>
      <c r="G92" s="167">
        <v>33000.0</v>
      </c>
      <c r="H92" s="114">
        <v>80.9</v>
      </c>
      <c r="I92" s="123">
        <v>384.0</v>
      </c>
      <c r="J92" s="111" t="s">
        <v>62</v>
      </c>
      <c r="K92" s="121">
        <v>384.0</v>
      </c>
      <c r="L92" s="120" t="s">
        <v>63</v>
      </c>
      <c r="M92" s="120"/>
      <c r="N92" s="123"/>
      <c r="O92" s="124">
        <v>33000.0</v>
      </c>
      <c r="P92" s="124">
        <v>408.0</v>
      </c>
      <c r="Q92" s="133">
        <v>209.0</v>
      </c>
      <c r="R92" s="125">
        <v>399.0</v>
      </c>
      <c r="S92" s="126">
        <v>0.9624</v>
      </c>
      <c r="T92" s="127">
        <v>74586.0</v>
      </c>
      <c r="U92" s="128">
        <f t="shared" si="1"/>
        <v>0</v>
      </c>
      <c r="V92" s="79" t="s">
        <v>65</v>
      </c>
      <c r="W92" s="79" t="s">
        <v>64</v>
      </c>
      <c r="X92" s="79" t="s">
        <v>68</v>
      </c>
      <c r="Y92" s="130"/>
      <c r="Z92" s="111"/>
      <c r="AA92" s="133"/>
      <c r="AB92" s="133"/>
      <c r="AC92" s="133"/>
      <c r="AD92" s="133"/>
      <c r="AE92" s="133"/>
      <c r="AF92" s="111"/>
      <c r="AG92" s="147" t="s">
        <v>111</v>
      </c>
      <c r="AH92" s="73"/>
      <c r="AI92" s="135"/>
      <c r="AJ92" s="136"/>
      <c r="AK92" s="76"/>
      <c r="AL92" s="137"/>
      <c r="AM92" s="139" t="s">
        <v>71</v>
      </c>
      <c r="AN92" s="139">
        <v>408.0</v>
      </c>
      <c r="AO92" s="140">
        <v>90.72</v>
      </c>
      <c r="AP92" s="142">
        <v>33000.0</v>
      </c>
      <c r="AQ92" s="142">
        <v>209.0</v>
      </c>
      <c r="AR92" s="143"/>
      <c r="AS92" s="144">
        <v>0.9634634831280862</v>
      </c>
      <c r="AT92" s="144">
        <v>-0.001063483128086129</v>
      </c>
      <c r="AU92" s="146" t="s">
        <v>537</v>
      </c>
      <c r="AV92" s="146" t="s">
        <v>537</v>
      </c>
      <c r="AW92" s="148" t="s">
        <v>537</v>
      </c>
      <c r="AX92" s="151"/>
      <c r="AY92" s="105"/>
      <c r="AZ92" s="186"/>
      <c r="BA92" s="186"/>
      <c r="BB92" s="146"/>
      <c r="BC92" s="155"/>
      <c r="BD92" s="155"/>
      <c r="BE92" s="155"/>
      <c r="BF92" s="45"/>
    </row>
    <row r="93" ht="16.5" customHeight="1">
      <c r="A93" s="111">
        <v>90.0</v>
      </c>
      <c r="B93" s="165" t="s">
        <v>339</v>
      </c>
      <c r="C93" s="115" t="s">
        <v>60</v>
      </c>
      <c r="D93" s="157">
        <v>41912.0</v>
      </c>
      <c r="E93" s="157">
        <v>42026.0</v>
      </c>
      <c r="F93" s="79" t="s">
        <v>59</v>
      </c>
      <c r="G93" s="167">
        <v>13425.0</v>
      </c>
      <c r="H93" s="114">
        <v>116.7</v>
      </c>
      <c r="I93" s="123">
        <v>391.0</v>
      </c>
      <c r="J93" s="111" t="s">
        <v>61</v>
      </c>
      <c r="K93" s="121">
        <v>395.95</v>
      </c>
      <c r="L93" s="120" t="s">
        <v>63</v>
      </c>
      <c r="M93" s="120"/>
      <c r="N93" s="123"/>
      <c r="O93" s="124">
        <v>13425.0</v>
      </c>
      <c r="P93" s="124">
        <v>115.0</v>
      </c>
      <c r="Q93" s="133">
        <v>265.0</v>
      </c>
      <c r="R93" s="125">
        <v>399.0</v>
      </c>
      <c r="S93" s="126">
        <v>0.9924</v>
      </c>
      <c r="T93" s="127">
        <v>76911.0</v>
      </c>
      <c r="U93" s="128">
        <f t="shared" si="1"/>
        <v>0</v>
      </c>
      <c r="V93" s="79" t="s">
        <v>65</v>
      </c>
      <c r="W93" s="79" t="s">
        <v>65</v>
      </c>
      <c r="X93" s="79" t="s">
        <v>68</v>
      </c>
      <c r="Y93" s="130">
        <v>0.8</v>
      </c>
      <c r="Z93" s="111"/>
      <c r="AA93" s="133"/>
      <c r="AB93" s="133"/>
      <c r="AC93" s="133"/>
      <c r="AD93" s="133"/>
      <c r="AE93" s="133"/>
      <c r="AF93" s="111"/>
      <c r="AG93" s="147"/>
      <c r="AH93" s="73"/>
      <c r="AI93" s="135"/>
      <c r="AJ93" s="136"/>
      <c r="AK93" s="76"/>
      <c r="AL93" s="137"/>
      <c r="AM93" s="139" t="s">
        <v>71</v>
      </c>
      <c r="AN93" s="139">
        <v>115.0</v>
      </c>
      <c r="AO93" s="140">
        <v>46.08</v>
      </c>
      <c r="AP93" s="142">
        <v>13425.0</v>
      </c>
      <c r="AQ93" s="142">
        <v>265.0</v>
      </c>
      <c r="AR93" s="143"/>
      <c r="AS93" s="144">
        <v>0.9792475935806324</v>
      </c>
      <c r="AT93" s="144">
        <v>0.013152406419367546</v>
      </c>
      <c r="AU93" s="146" t="s">
        <v>540</v>
      </c>
      <c r="AV93" s="146" t="s">
        <v>540</v>
      </c>
      <c r="AW93" s="148" t="s">
        <v>540</v>
      </c>
      <c r="AX93" s="151"/>
      <c r="AY93" s="105"/>
      <c r="AZ93" s="186"/>
      <c r="BA93" s="186"/>
      <c r="BB93" s="146"/>
      <c r="BC93" s="155"/>
      <c r="BD93" s="155"/>
      <c r="BE93" s="155"/>
      <c r="BF93" s="45"/>
    </row>
    <row r="94" ht="16.5" customHeight="1">
      <c r="A94" s="111">
        <v>91.0</v>
      </c>
      <c r="B94" s="165" t="s">
        <v>541</v>
      </c>
      <c r="C94" s="115" t="s">
        <v>60</v>
      </c>
      <c r="D94" s="157">
        <v>41603.0</v>
      </c>
      <c r="E94" s="157">
        <v>42026.0</v>
      </c>
      <c r="F94" s="79" t="s">
        <v>57</v>
      </c>
      <c r="G94" s="167">
        <v>36000.0</v>
      </c>
      <c r="H94" s="114">
        <v>84.9</v>
      </c>
      <c r="I94" s="123">
        <v>379.0</v>
      </c>
      <c r="J94" s="111" t="s">
        <v>61</v>
      </c>
      <c r="K94" s="121">
        <v>383.8</v>
      </c>
      <c r="L94" s="120" t="s">
        <v>63</v>
      </c>
      <c r="M94" s="120"/>
      <c r="N94" s="123"/>
      <c r="O94" s="124">
        <v>36000.0</v>
      </c>
      <c r="P94" s="124">
        <v>424.0</v>
      </c>
      <c r="Q94" s="133">
        <v>228.0</v>
      </c>
      <c r="R94" s="125">
        <v>399.0</v>
      </c>
      <c r="S94" s="126">
        <v>0.9619</v>
      </c>
      <c r="T94" s="127">
        <v>74547.25</v>
      </c>
      <c r="U94" s="128">
        <f t="shared" si="1"/>
        <v>0</v>
      </c>
      <c r="V94" s="79" t="s">
        <v>65</v>
      </c>
      <c r="W94" s="79" t="s">
        <v>64</v>
      </c>
      <c r="X94" s="79" t="s">
        <v>68</v>
      </c>
      <c r="Y94" s="130"/>
      <c r="Z94" s="111"/>
      <c r="AA94" s="133"/>
      <c r="AB94" s="133"/>
      <c r="AC94" s="133"/>
      <c r="AD94" s="133"/>
      <c r="AE94" s="133"/>
      <c r="AF94" s="111"/>
      <c r="AG94" s="147" t="s">
        <v>542</v>
      </c>
      <c r="AH94" s="73"/>
      <c r="AI94" s="135"/>
      <c r="AJ94" s="136"/>
      <c r="AK94" s="76"/>
      <c r="AL94" s="137"/>
      <c r="AM94" s="139" t="s">
        <v>71</v>
      </c>
      <c r="AN94" s="139">
        <v>424.0</v>
      </c>
      <c r="AO94" s="140">
        <v>107.98</v>
      </c>
      <c r="AP94" s="142">
        <v>36000.0</v>
      </c>
      <c r="AQ94" s="142">
        <v>228.0</v>
      </c>
      <c r="AR94" s="143"/>
      <c r="AS94" s="144">
        <v>0.961888261912499</v>
      </c>
      <c r="AT94" s="144">
        <v>1.1738087500989813E-5</v>
      </c>
      <c r="AU94" s="146" t="s">
        <v>544</v>
      </c>
      <c r="AV94" s="146" t="s">
        <v>544</v>
      </c>
      <c r="AW94" s="148" t="s">
        <v>544</v>
      </c>
      <c r="AX94" s="151"/>
      <c r="AY94" s="105"/>
      <c r="AZ94" s="186"/>
      <c r="BA94" s="186"/>
      <c r="BB94" s="146"/>
      <c r="BC94" s="155"/>
      <c r="BD94" s="155"/>
      <c r="BE94" s="155"/>
      <c r="BF94" s="45"/>
    </row>
    <row r="95" ht="16.5" customHeight="1">
      <c r="A95" s="111">
        <v>92.0</v>
      </c>
      <c r="B95" s="165" t="s">
        <v>285</v>
      </c>
      <c r="C95" s="115" t="s">
        <v>60</v>
      </c>
      <c r="D95" s="179">
        <v>41530.0</v>
      </c>
      <c r="E95" s="157">
        <v>42028.0</v>
      </c>
      <c r="F95" s="79" t="s">
        <v>57</v>
      </c>
      <c r="G95" s="167">
        <v>39600.0</v>
      </c>
      <c r="H95" s="114">
        <v>79.4</v>
      </c>
      <c r="I95" s="123">
        <v>385.0</v>
      </c>
      <c r="J95" s="159" t="s">
        <v>104</v>
      </c>
      <c r="K95" s="121">
        <v>388.89</v>
      </c>
      <c r="L95" s="120" t="s">
        <v>195</v>
      </c>
      <c r="M95" s="120" t="s">
        <v>281</v>
      </c>
      <c r="N95" s="123">
        <v>22600.0</v>
      </c>
      <c r="O95" s="124">
        <v>26496.0</v>
      </c>
      <c r="P95" s="124">
        <v>334.0</v>
      </c>
      <c r="Q95" s="133">
        <v>233.0</v>
      </c>
      <c r="R95" s="125">
        <v>399.0</v>
      </c>
      <c r="S95" s="126">
        <v>0.9747</v>
      </c>
      <c r="T95" s="127">
        <v>75539.25</v>
      </c>
      <c r="U95" s="128">
        <f t="shared" si="1"/>
        <v>0</v>
      </c>
      <c r="V95" s="79" t="s">
        <v>64</v>
      </c>
      <c r="W95" s="79" t="s">
        <v>64</v>
      </c>
      <c r="X95" s="79" t="s">
        <v>66</v>
      </c>
      <c r="Y95" s="130"/>
      <c r="Z95" s="111"/>
      <c r="AA95" s="133"/>
      <c r="AB95" s="133"/>
      <c r="AC95" s="133"/>
      <c r="AD95" s="133"/>
      <c r="AE95" s="133"/>
      <c r="AF95" s="111"/>
      <c r="AG95" s="147" t="s">
        <v>542</v>
      </c>
      <c r="AH95" s="73"/>
      <c r="AI95" s="135"/>
      <c r="AJ95" s="136"/>
      <c r="AK95" s="76"/>
      <c r="AL95" s="137"/>
      <c r="AM95" s="139" t="s">
        <v>71</v>
      </c>
      <c r="AN95" s="139">
        <v>499.0</v>
      </c>
      <c r="AO95" s="140">
        <v>80.69</v>
      </c>
      <c r="AP95" s="142">
        <v>26496.0</v>
      </c>
      <c r="AQ95" s="142">
        <v>233.0</v>
      </c>
      <c r="AR95" s="143"/>
      <c r="AS95" s="144">
        <v>0.9674904550820719</v>
      </c>
      <c r="AT95" s="144">
        <v>0.007209544917928135</v>
      </c>
      <c r="AU95" s="146" t="s">
        <v>546</v>
      </c>
      <c r="AV95" s="146" t="s">
        <v>546</v>
      </c>
      <c r="AW95" s="148" t="s">
        <v>546</v>
      </c>
      <c r="AX95" s="151"/>
      <c r="AY95" s="105"/>
      <c r="AZ95" s="186"/>
      <c r="BA95" s="186"/>
      <c r="BB95" s="146"/>
      <c r="BC95" s="155"/>
      <c r="BD95" s="155"/>
      <c r="BE95" s="155"/>
      <c r="BF95" s="45"/>
    </row>
    <row r="96" ht="16.5" customHeight="1">
      <c r="A96" s="111">
        <v>93.0</v>
      </c>
      <c r="B96" s="165" t="s">
        <v>548</v>
      </c>
      <c r="C96" s="115" t="s">
        <v>60</v>
      </c>
      <c r="D96" s="157">
        <v>41631.0</v>
      </c>
      <c r="E96" s="157">
        <v>42029.0</v>
      </c>
      <c r="F96" s="79" t="s">
        <v>79</v>
      </c>
      <c r="G96" s="167">
        <v>33000.0</v>
      </c>
      <c r="H96" s="114">
        <v>82.7</v>
      </c>
      <c r="I96" s="123">
        <v>375.0</v>
      </c>
      <c r="J96" s="111" t="s">
        <v>61</v>
      </c>
      <c r="K96" s="121">
        <v>379.75</v>
      </c>
      <c r="L96" s="120" t="s">
        <v>63</v>
      </c>
      <c r="M96" s="120"/>
      <c r="N96" s="123"/>
      <c r="O96" s="124">
        <v>33000.0</v>
      </c>
      <c r="P96" s="124">
        <v>399.0</v>
      </c>
      <c r="Q96" s="133">
        <v>230.0</v>
      </c>
      <c r="R96" s="125">
        <v>399.0</v>
      </c>
      <c r="S96" s="126">
        <v>0.9518</v>
      </c>
      <c r="T96" s="127">
        <v>73764.5</v>
      </c>
      <c r="U96" s="128">
        <f t="shared" si="1"/>
        <v>0</v>
      </c>
      <c r="V96" s="79" t="s">
        <v>65</v>
      </c>
      <c r="W96" s="79" t="s">
        <v>64</v>
      </c>
      <c r="X96" s="79" t="s">
        <v>64</v>
      </c>
      <c r="Y96" s="130"/>
      <c r="Z96" s="111"/>
      <c r="AA96" s="133"/>
      <c r="AB96" s="133"/>
      <c r="AC96" s="133"/>
      <c r="AD96" s="133"/>
      <c r="AE96" s="133"/>
      <c r="AF96" s="111"/>
      <c r="AG96" s="147" t="s">
        <v>549</v>
      </c>
      <c r="AH96" s="73"/>
      <c r="AI96" s="135"/>
      <c r="AJ96" s="136"/>
      <c r="AK96" s="76"/>
      <c r="AL96" s="137"/>
      <c r="AM96" s="139" t="s">
        <v>71</v>
      </c>
      <c r="AN96" s="139">
        <v>399.0</v>
      </c>
      <c r="AO96" s="140">
        <v>100.37</v>
      </c>
      <c r="AP96" s="142">
        <v>33000.0</v>
      </c>
      <c r="AQ96" s="142">
        <v>230.0</v>
      </c>
      <c r="AR96" s="143"/>
      <c r="AS96" s="144">
        <v>0.9634634831280862</v>
      </c>
      <c r="AT96" s="144">
        <v>-0.011663483128086183</v>
      </c>
      <c r="AU96" s="146" t="s">
        <v>551</v>
      </c>
      <c r="AV96" s="146" t="s">
        <v>551</v>
      </c>
      <c r="AW96" s="148" t="s">
        <v>551</v>
      </c>
      <c r="AX96" s="151"/>
      <c r="AY96" s="105"/>
      <c r="AZ96" s="186"/>
      <c r="BA96" s="186"/>
      <c r="BB96" s="146"/>
      <c r="BC96" s="155"/>
      <c r="BD96" s="155"/>
      <c r="BE96" s="155"/>
      <c r="BF96" s="45"/>
    </row>
    <row r="97" ht="16.5" customHeight="1">
      <c r="A97" s="111">
        <v>94.0</v>
      </c>
      <c r="B97" s="165" t="s">
        <v>212</v>
      </c>
      <c r="C97" s="115" t="s">
        <v>60</v>
      </c>
      <c r="D97" s="157">
        <v>41543.0</v>
      </c>
      <c r="E97" s="157">
        <v>42029.0</v>
      </c>
      <c r="F97" s="79" t="s">
        <v>59</v>
      </c>
      <c r="G97" s="167">
        <v>63000.0</v>
      </c>
      <c r="H97" s="114">
        <v>129.4</v>
      </c>
      <c r="I97" s="123">
        <v>374.0</v>
      </c>
      <c r="J97" s="111" t="s">
        <v>61</v>
      </c>
      <c r="K97" s="121">
        <v>378.73</v>
      </c>
      <c r="L97" s="120" t="s">
        <v>63</v>
      </c>
      <c r="M97" s="120"/>
      <c r="N97" s="123"/>
      <c r="O97" s="124">
        <v>63000.0</v>
      </c>
      <c r="P97" s="124">
        <v>487.0</v>
      </c>
      <c r="Q97" s="133">
        <v>224.0</v>
      </c>
      <c r="R97" s="125">
        <v>399.0</v>
      </c>
      <c r="S97" s="126">
        <v>0.9492</v>
      </c>
      <c r="T97" s="127">
        <v>73563.0</v>
      </c>
      <c r="U97" s="128">
        <f t="shared" si="1"/>
        <v>0</v>
      </c>
      <c r="V97" s="79" t="s">
        <v>67</v>
      </c>
      <c r="W97" s="79" t="s">
        <v>65</v>
      </c>
      <c r="X97" s="79" t="s">
        <v>66</v>
      </c>
      <c r="Y97" s="130"/>
      <c r="Z97" s="111"/>
      <c r="AA97" s="133"/>
      <c r="AB97" s="133"/>
      <c r="AC97" s="133"/>
      <c r="AD97" s="133"/>
      <c r="AE97" s="133"/>
      <c r="AF97" s="111"/>
      <c r="AG97" s="147"/>
      <c r="AH97" s="73"/>
      <c r="AI97" s="135"/>
      <c r="AJ97" s="136"/>
      <c r="AK97" s="76"/>
      <c r="AL97" s="137"/>
      <c r="AM97" s="139" t="s">
        <v>71</v>
      </c>
      <c r="AN97" s="139">
        <v>487.0</v>
      </c>
      <c r="AO97" s="140">
        <v>186.86</v>
      </c>
      <c r="AP97" s="142">
        <v>63000.0</v>
      </c>
      <c r="AQ97" s="142">
        <v>224.0</v>
      </c>
      <c r="AR97" s="143"/>
      <c r="AS97" s="144">
        <v>0.9524266178913147</v>
      </c>
      <c r="AT97" s="144">
        <v>-0.0032266178913146204</v>
      </c>
      <c r="AU97" s="146" t="s">
        <v>553</v>
      </c>
      <c r="AV97" s="146" t="s">
        <v>553</v>
      </c>
      <c r="AW97" s="148" t="s">
        <v>553</v>
      </c>
      <c r="AX97" s="151"/>
      <c r="AY97" s="105"/>
      <c r="AZ97" s="186"/>
      <c r="BA97" s="186"/>
      <c r="BB97" s="146"/>
      <c r="BC97" s="155"/>
      <c r="BD97" s="155"/>
      <c r="BE97" s="155"/>
      <c r="BF97" s="45"/>
    </row>
    <row r="98" ht="16.5" customHeight="1">
      <c r="A98" s="111">
        <v>95.0</v>
      </c>
      <c r="B98" s="165" t="s">
        <v>554</v>
      </c>
      <c r="C98" s="115" t="s">
        <v>60</v>
      </c>
      <c r="D98" s="157">
        <v>41615.0</v>
      </c>
      <c r="E98" s="157">
        <v>42031.0</v>
      </c>
      <c r="F98" s="174" t="s">
        <v>103</v>
      </c>
      <c r="G98" s="167">
        <v>65065.0</v>
      </c>
      <c r="H98" s="114">
        <v>156.0</v>
      </c>
      <c r="I98" s="123">
        <v>373.0</v>
      </c>
      <c r="J98" s="111" t="s">
        <v>61</v>
      </c>
      <c r="K98" s="121">
        <v>377.72</v>
      </c>
      <c r="L98" s="120" t="s">
        <v>63</v>
      </c>
      <c r="M98" s="120"/>
      <c r="N98" s="123"/>
      <c r="O98" s="124">
        <v>65065.0</v>
      </c>
      <c r="P98" s="124">
        <v>417.0</v>
      </c>
      <c r="Q98" s="133">
        <v>212.0</v>
      </c>
      <c r="R98" s="125">
        <v>400.0</v>
      </c>
      <c r="S98" s="126">
        <v>0.9443</v>
      </c>
      <c r="T98" s="127">
        <v>73183.25</v>
      </c>
      <c r="U98" s="128">
        <f t="shared" si="1"/>
        <v>0</v>
      </c>
      <c r="V98" s="79" t="s">
        <v>64</v>
      </c>
      <c r="W98" s="79" t="s">
        <v>65</v>
      </c>
      <c r="X98" s="79" t="s">
        <v>68</v>
      </c>
      <c r="Y98" s="130"/>
      <c r="Z98" s="111"/>
      <c r="AA98" s="133"/>
      <c r="AB98" s="133"/>
      <c r="AC98" s="133"/>
      <c r="AD98" s="133"/>
      <c r="AE98" s="133"/>
      <c r="AF98" s="111"/>
      <c r="AG98" s="147"/>
      <c r="AH98" s="73"/>
      <c r="AI98" s="135"/>
      <c r="AJ98" s="136"/>
      <c r="AK98" s="76"/>
      <c r="AL98" s="137"/>
      <c r="AM98" s="139" t="s">
        <v>71</v>
      </c>
      <c r="AN98" s="139">
        <v>417.0</v>
      </c>
      <c r="AO98" s="140">
        <v>183.1</v>
      </c>
      <c r="AP98" s="142">
        <v>65065.0</v>
      </c>
      <c r="AQ98" s="142">
        <v>212.0</v>
      </c>
      <c r="AR98" s="143"/>
      <c r="AS98" s="144">
        <v>0.9519148173358293</v>
      </c>
      <c r="AT98" s="144">
        <v>-0.007614817335829249</v>
      </c>
      <c r="AU98" s="146" t="s">
        <v>557</v>
      </c>
      <c r="AV98" s="146" t="s">
        <v>557</v>
      </c>
      <c r="AW98" s="148" t="s">
        <v>557</v>
      </c>
      <c r="AX98" s="151"/>
      <c r="AY98" s="105"/>
      <c r="AZ98" s="186"/>
      <c r="BA98" s="186"/>
      <c r="BB98" s="146"/>
      <c r="BC98" s="155"/>
      <c r="BD98" s="155"/>
      <c r="BE98" s="155"/>
      <c r="BF98" s="45"/>
    </row>
    <row r="99" ht="16.5" customHeight="1">
      <c r="A99" s="111">
        <v>96.0</v>
      </c>
      <c r="B99" s="165" t="s">
        <v>279</v>
      </c>
      <c r="C99" s="115" t="s">
        <v>60</v>
      </c>
      <c r="D99" s="157">
        <v>41592.0</v>
      </c>
      <c r="E99" s="157">
        <v>42033.0</v>
      </c>
      <c r="F99" s="79" t="s">
        <v>59</v>
      </c>
      <c r="G99" s="167">
        <v>32302.0</v>
      </c>
      <c r="H99" s="114">
        <v>73.1</v>
      </c>
      <c r="I99" s="123">
        <v>388.0</v>
      </c>
      <c r="J99" s="111" t="s">
        <v>61</v>
      </c>
      <c r="K99" s="121">
        <v>392.91</v>
      </c>
      <c r="L99" s="120" t="s">
        <v>195</v>
      </c>
      <c r="M99" s="120" t="s">
        <v>281</v>
      </c>
      <c r="N99" s="123">
        <v>12000.0</v>
      </c>
      <c r="O99" s="124">
        <v>20302.0</v>
      </c>
      <c r="P99" s="124">
        <v>278.0</v>
      </c>
      <c r="Q99" s="133">
        <v>238.0</v>
      </c>
      <c r="R99" s="125">
        <v>399.0</v>
      </c>
      <c r="S99" s="126">
        <v>0.9847</v>
      </c>
      <c r="T99" s="127">
        <v>76314.25</v>
      </c>
      <c r="U99" s="128">
        <f t="shared" si="1"/>
        <v>0</v>
      </c>
      <c r="V99" s="79" t="s">
        <v>64</v>
      </c>
      <c r="W99" s="79" t="s">
        <v>69</v>
      </c>
      <c r="X99" s="79" t="s">
        <v>68</v>
      </c>
      <c r="Y99" s="130"/>
      <c r="Z99" s="111"/>
      <c r="AA99" s="133"/>
      <c r="AB99" s="133"/>
      <c r="AC99" s="133"/>
      <c r="AD99" s="133"/>
      <c r="AE99" s="133"/>
      <c r="AF99" s="111"/>
      <c r="AG99" s="147" t="s">
        <v>111</v>
      </c>
      <c r="AH99" s="73"/>
      <c r="AI99" s="135"/>
      <c r="AJ99" s="136"/>
      <c r="AK99" s="76"/>
      <c r="AL99" s="137"/>
      <c r="AM99" s="139" t="s">
        <v>71</v>
      </c>
      <c r="AN99" s="139">
        <v>442.0</v>
      </c>
      <c r="AO99" s="140">
        <v>62.84</v>
      </c>
      <c r="AP99" s="142">
        <v>20302.0</v>
      </c>
      <c r="AQ99" s="142">
        <v>238.0</v>
      </c>
      <c r="AR99" s="143"/>
      <c r="AS99" s="144">
        <v>0.9723250527114399</v>
      </c>
      <c r="AT99" s="144">
        <v>0.012374947288560145</v>
      </c>
      <c r="AU99" s="146" t="s">
        <v>559</v>
      </c>
      <c r="AV99" s="146" t="s">
        <v>559</v>
      </c>
      <c r="AW99" s="148" t="s">
        <v>559</v>
      </c>
      <c r="AX99" s="151"/>
      <c r="AY99" s="105"/>
      <c r="AZ99" s="186"/>
      <c r="BA99" s="186"/>
      <c r="BB99" s="146"/>
      <c r="BC99" s="155"/>
      <c r="BD99" s="155"/>
      <c r="BE99" s="155"/>
      <c r="BF99" s="45"/>
    </row>
    <row r="100" ht="16.5" customHeight="1">
      <c r="A100" s="111">
        <v>97.0</v>
      </c>
      <c r="B100" s="165" t="s">
        <v>361</v>
      </c>
      <c r="C100" s="115" t="s">
        <v>60</v>
      </c>
      <c r="D100" s="157">
        <v>41604.0</v>
      </c>
      <c r="E100" s="157">
        <v>42035.0</v>
      </c>
      <c r="F100" s="79" t="s">
        <v>59</v>
      </c>
      <c r="G100" s="167">
        <v>45845.0</v>
      </c>
      <c r="H100" s="114">
        <v>106.1</v>
      </c>
      <c r="I100" s="123">
        <v>391.0</v>
      </c>
      <c r="J100" s="111" t="s">
        <v>61</v>
      </c>
      <c r="K100" s="121">
        <v>395.95</v>
      </c>
      <c r="L100" s="120" t="s">
        <v>63</v>
      </c>
      <c r="M100" s="120"/>
      <c r="N100" s="123"/>
      <c r="O100" s="124">
        <v>45845.0</v>
      </c>
      <c r="P100" s="124">
        <v>432.0</v>
      </c>
      <c r="Q100" s="133">
        <v>231.0</v>
      </c>
      <c r="R100" s="125">
        <v>399.0</v>
      </c>
      <c r="S100" s="126">
        <v>0.9924</v>
      </c>
      <c r="T100" s="127">
        <v>76911.0</v>
      </c>
      <c r="U100" s="128">
        <f t="shared" si="1"/>
        <v>0</v>
      </c>
      <c r="V100" s="79" t="s">
        <v>69</v>
      </c>
      <c r="W100" s="79" t="s">
        <v>64</v>
      </c>
      <c r="X100" s="79" t="s">
        <v>69</v>
      </c>
      <c r="Y100" s="130"/>
      <c r="Z100" s="111"/>
      <c r="AA100" s="133"/>
      <c r="AB100" s="133"/>
      <c r="AC100" s="133"/>
      <c r="AD100" s="133"/>
      <c r="AE100" s="133"/>
      <c r="AF100" s="111"/>
      <c r="AG100" s="134" t="s">
        <v>561</v>
      </c>
      <c r="AH100" s="73"/>
      <c r="AI100" s="135"/>
      <c r="AJ100" s="136"/>
      <c r="AK100" s="76"/>
      <c r="AL100" s="137"/>
      <c r="AM100" s="139" t="s">
        <v>71</v>
      </c>
      <c r="AN100" s="139">
        <v>432.0</v>
      </c>
      <c r="AO100" s="140">
        <v>137.19</v>
      </c>
      <c r="AP100" s="142">
        <v>45845.0</v>
      </c>
      <c r="AQ100" s="142">
        <v>231.0</v>
      </c>
      <c r="AR100" s="143"/>
      <c r="AS100" s="144">
        <v>0.9576458623475826</v>
      </c>
      <c r="AT100" s="144">
        <v>0.034754137652417305</v>
      </c>
      <c r="AU100" s="146" t="s">
        <v>562</v>
      </c>
      <c r="AV100" s="146" t="s">
        <v>562</v>
      </c>
      <c r="AW100" s="148" t="s">
        <v>562</v>
      </c>
      <c r="AX100" s="151"/>
      <c r="AY100" s="105"/>
      <c r="AZ100" s="186"/>
      <c r="BA100" s="186"/>
      <c r="BB100" s="146"/>
      <c r="BC100" s="155"/>
      <c r="BD100" s="155"/>
      <c r="BE100" s="155"/>
      <c r="BF100" s="45"/>
    </row>
    <row r="101" ht="16.5" customHeight="1">
      <c r="A101" s="111">
        <v>98.0</v>
      </c>
      <c r="B101" s="165" t="s">
        <v>513</v>
      </c>
      <c r="C101" s="115" t="s">
        <v>60</v>
      </c>
      <c r="D101" s="157">
        <v>41990.0</v>
      </c>
      <c r="E101" s="157">
        <v>42035.0</v>
      </c>
      <c r="F101" s="79" t="s">
        <v>59</v>
      </c>
      <c r="G101" s="167">
        <v>5500.0</v>
      </c>
      <c r="H101" s="114">
        <v>119.6</v>
      </c>
      <c r="I101" s="123">
        <v>395.0</v>
      </c>
      <c r="J101" s="111" t="s">
        <v>61</v>
      </c>
      <c r="K101" s="121">
        <v>400.0</v>
      </c>
      <c r="L101" s="120" t="s">
        <v>63</v>
      </c>
      <c r="M101" s="120"/>
      <c r="N101" s="123"/>
      <c r="O101" s="124">
        <v>5500.0</v>
      </c>
      <c r="P101" s="124">
        <v>46.0</v>
      </c>
      <c r="Q101" s="133">
        <v>250.0</v>
      </c>
      <c r="R101" s="125">
        <v>399.0</v>
      </c>
      <c r="S101" s="126">
        <v>1.0025</v>
      </c>
      <c r="T101" s="127">
        <v>77693.75</v>
      </c>
      <c r="U101" s="128">
        <f t="shared" si="1"/>
        <v>0</v>
      </c>
      <c r="V101" s="79" t="s">
        <v>80</v>
      </c>
      <c r="W101" s="79" t="s">
        <v>64</v>
      </c>
      <c r="X101" s="79" t="s">
        <v>68</v>
      </c>
      <c r="Y101" s="130"/>
      <c r="Z101" s="111"/>
      <c r="AA101" s="133"/>
      <c r="AB101" s="133"/>
      <c r="AC101" s="133"/>
      <c r="AD101" s="133"/>
      <c r="AE101" s="133"/>
      <c r="AF101" s="111"/>
      <c r="AG101" s="147" t="s">
        <v>111</v>
      </c>
      <c r="AH101" s="73"/>
      <c r="AI101" s="135"/>
      <c r="AJ101" s="136"/>
      <c r="AK101" s="76"/>
      <c r="AL101" s="137"/>
      <c r="AM101" s="139" t="s">
        <v>71</v>
      </c>
      <c r="AN101" s="139">
        <v>46.0</v>
      </c>
      <c r="AO101" s="140">
        <v>17.72</v>
      </c>
      <c r="AP101" s="142">
        <v>5500.0</v>
      </c>
      <c r="AQ101" s="142">
        <v>250.0</v>
      </c>
      <c r="AR101" s="143"/>
      <c r="AS101" s="144">
        <v>0.9900541903754752</v>
      </c>
      <c r="AT101" s="144">
        <v>0.012445809624524795</v>
      </c>
      <c r="AU101" s="146" t="s">
        <v>564</v>
      </c>
      <c r="AV101" s="146" t="s">
        <v>564</v>
      </c>
      <c r="AW101" s="148" t="s">
        <v>564</v>
      </c>
      <c r="AX101" s="151"/>
      <c r="AY101" s="105"/>
      <c r="AZ101" s="186"/>
      <c r="BA101" s="186"/>
      <c r="BB101" s="146"/>
      <c r="BC101" s="155"/>
      <c r="BD101" s="155"/>
      <c r="BE101" s="155"/>
      <c r="BF101" s="45"/>
    </row>
    <row r="102" ht="16.5" customHeight="1">
      <c r="A102" s="111">
        <v>99.0</v>
      </c>
      <c r="B102" s="165" t="s">
        <v>566</v>
      </c>
      <c r="C102" s="115" t="s">
        <v>60</v>
      </c>
      <c r="D102" s="157">
        <v>41968.0</v>
      </c>
      <c r="E102" s="157">
        <v>42037.0</v>
      </c>
      <c r="F102" s="79" t="s">
        <v>59</v>
      </c>
      <c r="G102" s="167">
        <v>7330.0</v>
      </c>
      <c r="H102" s="114">
        <v>104.7</v>
      </c>
      <c r="I102" s="123">
        <v>391.0</v>
      </c>
      <c r="J102" s="111" t="s">
        <v>61</v>
      </c>
      <c r="K102" s="121">
        <v>395.95</v>
      </c>
      <c r="L102" s="120" t="s">
        <v>63</v>
      </c>
      <c r="M102" s="120"/>
      <c r="N102" s="123"/>
      <c r="O102" s="124">
        <v>7330.0</v>
      </c>
      <c r="P102" s="124">
        <v>70.0</v>
      </c>
      <c r="Q102" s="133">
        <v>245.0</v>
      </c>
      <c r="R102" s="125">
        <v>399.0</v>
      </c>
      <c r="S102" s="126">
        <v>0.9924</v>
      </c>
      <c r="T102" s="127">
        <v>76911.0</v>
      </c>
      <c r="U102" s="128">
        <f t="shared" si="1"/>
        <v>0</v>
      </c>
      <c r="V102" s="79" t="s">
        <v>67</v>
      </c>
      <c r="W102" s="79" t="s">
        <v>64</v>
      </c>
      <c r="X102" s="79" t="s">
        <v>68</v>
      </c>
      <c r="Y102" s="130"/>
      <c r="Z102" s="111"/>
      <c r="AA102" s="133"/>
      <c r="AB102" s="133"/>
      <c r="AC102" s="133"/>
      <c r="AD102" s="133"/>
      <c r="AE102" s="133"/>
      <c r="AF102" s="111"/>
      <c r="AG102" s="147"/>
      <c r="AH102" s="73"/>
      <c r="AI102" s="135"/>
      <c r="AJ102" s="136"/>
      <c r="AK102" s="76"/>
      <c r="AL102" s="137"/>
      <c r="AM102" s="139" t="s">
        <v>71</v>
      </c>
      <c r="AN102" s="139">
        <v>70.0</v>
      </c>
      <c r="AO102" s="140">
        <v>23.26</v>
      </c>
      <c r="AP102" s="142">
        <v>7330.0</v>
      </c>
      <c r="AQ102" s="142">
        <v>245.0</v>
      </c>
      <c r="AR102" s="143"/>
      <c r="AS102" s="144">
        <v>0.9872312373752683</v>
      </c>
      <c r="AT102" s="144">
        <v>0.005168762624731649</v>
      </c>
      <c r="AU102" s="146" t="s">
        <v>570</v>
      </c>
      <c r="AV102" s="146" t="s">
        <v>570</v>
      </c>
      <c r="AW102" s="148" t="s">
        <v>570</v>
      </c>
      <c r="AX102" s="151"/>
      <c r="AY102" s="105"/>
      <c r="AZ102" s="186"/>
      <c r="BA102" s="186"/>
      <c r="BB102" s="146"/>
      <c r="BC102" s="155"/>
      <c r="BD102" s="155"/>
      <c r="BE102" s="155"/>
      <c r="BF102" s="45"/>
    </row>
    <row r="103" ht="16.5" customHeight="1">
      <c r="A103" s="111">
        <v>100.0</v>
      </c>
      <c r="B103" s="165" t="s">
        <v>571</v>
      </c>
      <c r="C103" s="115" t="s">
        <v>60</v>
      </c>
      <c r="D103" s="157">
        <v>41609.0</v>
      </c>
      <c r="E103" s="157">
        <v>42037.0</v>
      </c>
      <c r="F103" s="174" t="s">
        <v>103</v>
      </c>
      <c r="G103" s="167">
        <v>50000.0</v>
      </c>
      <c r="H103" s="114">
        <v>116.6</v>
      </c>
      <c r="I103" s="123">
        <v>386.0</v>
      </c>
      <c r="J103" s="159" t="s">
        <v>104</v>
      </c>
      <c r="K103" s="121">
        <v>389.9</v>
      </c>
      <c r="L103" s="120" t="s">
        <v>63</v>
      </c>
      <c r="M103" s="120"/>
      <c r="N103" s="123"/>
      <c r="O103" s="124">
        <v>50000.0</v>
      </c>
      <c r="P103" s="124">
        <v>429.0</v>
      </c>
      <c r="Q103" s="159">
        <v>218.0</v>
      </c>
      <c r="R103" s="125">
        <v>400.0</v>
      </c>
      <c r="S103" s="126">
        <v>0.9748</v>
      </c>
      <c r="T103" s="127">
        <v>75547.0</v>
      </c>
      <c r="U103" s="128">
        <f t="shared" si="1"/>
        <v>0</v>
      </c>
      <c r="V103" s="79" t="s">
        <v>68</v>
      </c>
      <c r="W103" s="79" t="s">
        <v>68</v>
      </c>
      <c r="X103" s="79" t="s">
        <v>68</v>
      </c>
      <c r="Y103" s="130"/>
      <c r="Z103" s="111"/>
      <c r="AA103" s="133"/>
      <c r="AB103" s="133"/>
      <c r="AC103" s="133"/>
      <c r="AD103" s="133"/>
      <c r="AE103" s="133"/>
      <c r="AF103" s="111"/>
      <c r="AG103" s="147"/>
      <c r="AH103" s="73"/>
      <c r="AI103" s="135"/>
      <c r="AJ103" s="136"/>
      <c r="AK103" s="76"/>
      <c r="AL103" s="137"/>
      <c r="AM103" s="139" t="s">
        <v>71</v>
      </c>
      <c r="AN103" s="139">
        <v>429.0</v>
      </c>
      <c r="AO103" s="140">
        <v>142.46</v>
      </c>
      <c r="AP103" s="142">
        <v>50000.0</v>
      </c>
      <c r="AQ103" s="142">
        <v>218.0</v>
      </c>
      <c r="AR103" s="143"/>
      <c r="AS103" s="144">
        <v>0.9561822707592242</v>
      </c>
      <c r="AT103" s="144">
        <v>0.01861772924077576</v>
      </c>
      <c r="AU103" s="146" t="s">
        <v>575</v>
      </c>
      <c r="AV103" s="146" t="s">
        <v>575</v>
      </c>
      <c r="AW103" s="148" t="s">
        <v>575</v>
      </c>
      <c r="AX103" s="151"/>
      <c r="AY103" s="105"/>
      <c r="AZ103" s="186"/>
      <c r="BA103" s="186"/>
      <c r="BB103" s="146"/>
      <c r="BC103" s="155"/>
      <c r="BD103" s="155"/>
      <c r="BE103" s="155"/>
      <c r="BF103" s="45"/>
    </row>
    <row r="104" ht="16.5" customHeight="1">
      <c r="A104" s="111">
        <v>101.0</v>
      </c>
      <c r="B104" s="165" t="s">
        <v>348</v>
      </c>
      <c r="C104" s="115" t="s">
        <v>60</v>
      </c>
      <c r="D104" s="157">
        <v>41607.0</v>
      </c>
      <c r="E104" s="157">
        <v>42039.0</v>
      </c>
      <c r="F104" s="79" t="s">
        <v>59</v>
      </c>
      <c r="G104" s="167">
        <v>41000.0</v>
      </c>
      <c r="H104" s="114">
        <v>94.7</v>
      </c>
      <c r="I104" s="123">
        <v>375.0</v>
      </c>
      <c r="J104" s="111" t="s">
        <v>61</v>
      </c>
      <c r="K104" s="121">
        <v>379.75</v>
      </c>
      <c r="L104" s="120" t="s">
        <v>195</v>
      </c>
      <c r="M104" s="120" t="s">
        <v>281</v>
      </c>
      <c r="N104" s="123">
        <v>26000.0</v>
      </c>
      <c r="O104" s="124">
        <v>32546.0</v>
      </c>
      <c r="P104" s="124">
        <v>344.0</v>
      </c>
      <c r="Q104" s="133">
        <v>266.0</v>
      </c>
      <c r="R104" s="125">
        <v>399.0</v>
      </c>
      <c r="S104" s="126">
        <v>0.9518</v>
      </c>
      <c r="T104" s="127">
        <v>73764.5</v>
      </c>
      <c r="U104" s="128">
        <f t="shared" si="1"/>
        <v>0</v>
      </c>
      <c r="V104" s="79" t="s">
        <v>69</v>
      </c>
      <c r="W104" s="79" t="s">
        <v>66</v>
      </c>
      <c r="X104" s="79" t="s">
        <v>66</v>
      </c>
      <c r="Y104" s="130"/>
      <c r="Z104" s="111"/>
      <c r="AA104" s="133"/>
      <c r="AB104" s="133"/>
      <c r="AC104" s="133"/>
      <c r="AD104" s="133"/>
      <c r="AE104" s="133"/>
      <c r="AF104" s="111"/>
      <c r="AG104" s="147" t="s">
        <v>351</v>
      </c>
      <c r="AH104" s="73"/>
      <c r="AI104" s="135"/>
      <c r="AJ104" s="136"/>
      <c r="AK104" s="76"/>
      <c r="AL104" s="137"/>
      <c r="AM104" s="139" t="s">
        <v>71</v>
      </c>
      <c r="AN104" s="139">
        <v>433.0</v>
      </c>
      <c r="AO104" s="140">
        <v>114.48</v>
      </c>
      <c r="AP104" s="142">
        <v>32546.0</v>
      </c>
      <c r="AQ104" s="142">
        <v>266.0</v>
      </c>
      <c r="AR104" s="143"/>
      <c r="AS104" s="144">
        <v>0.9637159275940617</v>
      </c>
      <c r="AT104" s="144">
        <v>-0.011915927594061682</v>
      </c>
      <c r="AU104" s="146" t="s">
        <v>577</v>
      </c>
      <c r="AV104" s="146" t="s">
        <v>577</v>
      </c>
      <c r="AW104" s="148" t="s">
        <v>577</v>
      </c>
      <c r="AX104" s="151"/>
      <c r="AY104" s="105"/>
      <c r="AZ104" s="186"/>
      <c r="BA104" s="186"/>
      <c r="BB104" s="146"/>
      <c r="BC104" s="155"/>
      <c r="BD104" s="155"/>
      <c r="BE104" s="155"/>
      <c r="BF104" s="45"/>
    </row>
    <row r="105" ht="16.5" customHeight="1">
      <c r="A105" s="111">
        <v>102.0</v>
      </c>
      <c r="B105" s="165" t="s">
        <v>449</v>
      </c>
      <c r="C105" s="115" t="s">
        <v>60</v>
      </c>
      <c r="D105" s="117">
        <v>41598.0</v>
      </c>
      <c r="E105" s="157">
        <v>42041.0</v>
      </c>
      <c r="F105" s="79" t="s">
        <v>59</v>
      </c>
      <c r="G105" s="167">
        <v>53833.0</v>
      </c>
      <c r="H105" s="114">
        <v>121.2</v>
      </c>
      <c r="I105" s="123">
        <v>378.0</v>
      </c>
      <c r="J105" s="111" t="s">
        <v>62</v>
      </c>
      <c r="K105" s="121">
        <v>378.0</v>
      </c>
      <c r="L105" s="120" t="s">
        <v>63</v>
      </c>
      <c r="M105" s="120"/>
      <c r="N105" s="123"/>
      <c r="O105" s="124">
        <v>53833.0</v>
      </c>
      <c r="P105" s="124">
        <v>444.0</v>
      </c>
      <c r="Q105" s="133">
        <v>192.0</v>
      </c>
      <c r="R105" s="125">
        <v>399.0</v>
      </c>
      <c r="S105" s="126">
        <v>0.9474</v>
      </c>
      <c r="T105" s="127">
        <v>73423.5</v>
      </c>
      <c r="U105" s="128">
        <f t="shared" si="1"/>
        <v>0</v>
      </c>
      <c r="V105" s="79" t="s">
        <v>67</v>
      </c>
      <c r="W105" s="79" t="s">
        <v>66</v>
      </c>
      <c r="X105" s="79" t="s">
        <v>68</v>
      </c>
      <c r="Y105" s="130"/>
      <c r="Z105" s="111"/>
      <c r="AA105" s="133"/>
      <c r="AB105" s="133"/>
      <c r="AC105" s="133"/>
      <c r="AD105" s="133"/>
      <c r="AE105" s="133"/>
      <c r="AF105" s="111"/>
      <c r="AG105" s="147" t="s">
        <v>580</v>
      </c>
      <c r="AH105" s="73"/>
      <c r="AI105" s="135"/>
      <c r="AJ105" s="136"/>
      <c r="AK105" s="76"/>
      <c r="AL105" s="137"/>
      <c r="AM105" s="139" t="s">
        <v>71</v>
      </c>
      <c r="AN105" s="139">
        <v>444.0</v>
      </c>
      <c r="AO105" s="140">
        <v>136.99</v>
      </c>
      <c r="AP105" s="142">
        <v>53833.0</v>
      </c>
      <c r="AQ105" s="142">
        <v>192.0</v>
      </c>
      <c r="AR105" s="143"/>
      <c r="AS105" s="144">
        <v>0.9549612096059128</v>
      </c>
      <c r="AT105" s="144">
        <v>-0.007561209605912778</v>
      </c>
      <c r="AU105" s="146" t="s">
        <v>581</v>
      </c>
      <c r="AV105" s="146" t="s">
        <v>581</v>
      </c>
      <c r="AW105" s="148" t="s">
        <v>581</v>
      </c>
      <c r="AX105" s="151"/>
      <c r="AY105" s="105"/>
      <c r="AZ105" s="186"/>
      <c r="BA105" s="186"/>
      <c r="BB105" s="146"/>
      <c r="BC105" s="155"/>
      <c r="BD105" s="155"/>
      <c r="BE105" s="155"/>
      <c r="BF105" s="45"/>
    </row>
    <row r="106" ht="16.5" customHeight="1">
      <c r="A106" s="111">
        <v>103.0</v>
      </c>
      <c r="B106" s="112" t="s">
        <v>582</v>
      </c>
      <c r="C106" s="115" t="s">
        <v>60</v>
      </c>
      <c r="D106" s="117">
        <v>41600.0</v>
      </c>
      <c r="E106" s="117">
        <v>42047.0</v>
      </c>
      <c r="F106" s="79" t="s">
        <v>109</v>
      </c>
      <c r="G106" s="118">
        <v>33000.0</v>
      </c>
      <c r="H106" s="114">
        <v>73.7</v>
      </c>
      <c r="I106" s="120">
        <v>277.0</v>
      </c>
      <c r="J106" s="159" t="s">
        <v>104</v>
      </c>
      <c r="K106" s="121">
        <v>279.8</v>
      </c>
      <c r="L106" s="120" t="s">
        <v>63</v>
      </c>
      <c r="M106" s="120"/>
      <c r="N106" s="120"/>
      <c r="O106" s="124">
        <v>33000.0</v>
      </c>
      <c r="P106" s="124">
        <v>448.0</v>
      </c>
      <c r="Q106" s="111">
        <v>193.0</v>
      </c>
      <c r="R106" s="125">
        <v>289.0</v>
      </c>
      <c r="S106" s="126">
        <v>0.9682</v>
      </c>
      <c r="T106" s="127">
        <v>56639.7</v>
      </c>
      <c r="U106" s="128">
        <f t="shared" si="1"/>
        <v>0</v>
      </c>
      <c r="V106" s="79" t="s">
        <v>68</v>
      </c>
      <c r="W106" s="79" t="s">
        <v>68</v>
      </c>
      <c r="X106" s="79" t="s">
        <v>68</v>
      </c>
      <c r="Y106" s="130"/>
      <c r="Z106" s="111"/>
      <c r="AA106" s="183"/>
      <c r="AB106" s="111"/>
      <c r="AC106" s="133"/>
      <c r="AD106" s="133"/>
      <c r="AE106" s="133"/>
      <c r="AF106" s="111"/>
      <c r="AG106" s="147"/>
      <c r="AH106" s="73"/>
      <c r="AI106" s="135"/>
      <c r="AJ106" s="136"/>
      <c r="AK106" s="76"/>
      <c r="AL106" s="137"/>
      <c r="AM106" s="139" t="s">
        <v>71</v>
      </c>
      <c r="AN106" s="139">
        <v>448.0</v>
      </c>
      <c r="AO106" s="140">
        <v>110.66</v>
      </c>
      <c r="AP106" s="142">
        <v>33000.0</v>
      </c>
      <c r="AQ106" s="142">
        <v>193.0</v>
      </c>
      <c r="AR106" s="143"/>
      <c r="AS106" s="144">
        <v>0.9634634831280862</v>
      </c>
      <c r="AT106" s="144">
        <v>0.004736516871913787</v>
      </c>
      <c r="AU106" s="146" t="s">
        <v>584</v>
      </c>
      <c r="AV106" s="146" t="s">
        <v>584</v>
      </c>
      <c r="AW106" s="148" t="s">
        <v>584</v>
      </c>
      <c r="AX106" s="151"/>
      <c r="AY106" s="105"/>
      <c r="AZ106" s="186"/>
      <c r="BA106" s="186"/>
      <c r="BB106" s="146"/>
      <c r="BC106" s="155"/>
      <c r="BD106" s="155"/>
      <c r="BE106" s="155"/>
      <c r="BF106" s="45"/>
    </row>
    <row r="107" ht="16.5" customHeight="1">
      <c r="A107" s="111">
        <v>104.0</v>
      </c>
      <c r="B107" s="165" t="s">
        <v>126</v>
      </c>
      <c r="C107" s="115" t="s">
        <v>60</v>
      </c>
      <c r="D107" s="157">
        <v>41527.0</v>
      </c>
      <c r="E107" s="157">
        <v>42048.0</v>
      </c>
      <c r="F107" s="79" t="s">
        <v>79</v>
      </c>
      <c r="G107" s="167">
        <v>90000.0</v>
      </c>
      <c r="H107" s="114">
        <v>172.4</v>
      </c>
      <c r="I107" s="123">
        <v>379.0</v>
      </c>
      <c r="J107" s="111" t="s">
        <v>61</v>
      </c>
      <c r="K107" s="121">
        <v>383.8</v>
      </c>
      <c r="L107" s="120" t="s">
        <v>63</v>
      </c>
      <c r="M107" s="120"/>
      <c r="N107" s="123"/>
      <c r="O107" s="124">
        <v>90000.0</v>
      </c>
      <c r="P107" s="124">
        <v>522.0</v>
      </c>
      <c r="Q107" s="133">
        <v>220.0</v>
      </c>
      <c r="R107" s="125">
        <v>399.0</v>
      </c>
      <c r="S107" s="126">
        <v>0.9619</v>
      </c>
      <c r="T107" s="127">
        <v>74547.25</v>
      </c>
      <c r="U107" s="128">
        <f t="shared" si="1"/>
        <v>0</v>
      </c>
      <c r="V107" s="79" t="s">
        <v>65</v>
      </c>
      <c r="W107" s="79" t="s">
        <v>127</v>
      </c>
      <c r="X107" s="79" t="s">
        <v>66</v>
      </c>
      <c r="Y107" s="130">
        <v>1.0</v>
      </c>
      <c r="Z107" s="111">
        <v>22.0</v>
      </c>
      <c r="AA107" s="133"/>
      <c r="AB107" s="133"/>
      <c r="AC107" s="133"/>
      <c r="AD107" s="133"/>
      <c r="AE107" s="133"/>
      <c r="AF107" s="111"/>
      <c r="AG107" s="147" t="s">
        <v>128</v>
      </c>
      <c r="AH107" s="73"/>
      <c r="AI107" s="135"/>
      <c r="AJ107" s="136"/>
      <c r="AK107" s="76"/>
      <c r="AL107" s="137"/>
      <c r="AM107" s="139" t="s">
        <v>71</v>
      </c>
      <c r="AN107" s="139">
        <v>522.0</v>
      </c>
      <c r="AO107" s="140">
        <v>260.47</v>
      </c>
      <c r="AP107" s="142">
        <v>90000.0</v>
      </c>
      <c r="AQ107" s="142">
        <v>220.0</v>
      </c>
      <c r="AR107" s="143"/>
      <c r="AS107" s="144">
        <v>0.9467394813294219</v>
      </c>
      <c r="AT107" s="144">
        <v>0.015160518670578105</v>
      </c>
      <c r="AU107" s="146" t="s">
        <v>588</v>
      </c>
      <c r="AV107" s="146" t="s">
        <v>588</v>
      </c>
      <c r="AW107" s="148" t="s">
        <v>588</v>
      </c>
      <c r="AX107" s="151"/>
      <c r="AY107" s="105"/>
      <c r="AZ107" s="186"/>
      <c r="BA107" s="186"/>
      <c r="BB107" s="146"/>
      <c r="BC107" s="155"/>
      <c r="BD107" s="155"/>
      <c r="BE107" s="155"/>
      <c r="BF107" s="45"/>
    </row>
    <row r="108" ht="16.5" customHeight="1">
      <c r="A108" s="111">
        <v>105.0</v>
      </c>
      <c r="B108" s="165" t="s">
        <v>589</v>
      </c>
      <c r="C108" s="115" t="s">
        <v>60</v>
      </c>
      <c r="D108" s="157">
        <v>41691.0</v>
      </c>
      <c r="E108" s="157">
        <v>42049.0</v>
      </c>
      <c r="F108" s="174" t="s">
        <v>103</v>
      </c>
      <c r="G108" s="167">
        <v>18000.0</v>
      </c>
      <c r="H108" s="114">
        <v>50.1</v>
      </c>
      <c r="I108" s="123">
        <v>380.0</v>
      </c>
      <c r="J108" s="111" t="s">
        <v>61</v>
      </c>
      <c r="K108" s="121">
        <v>384.81</v>
      </c>
      <c r="L108" s="120" t="s">
        <v>63</v>
      </c>
      <c r="M108" s="120"/>
      <c r="N108" s="123"/>
      <c r="O108" s="124">
        <v>18000.0</v>
      </c>
      <c r="P108" s="124">
        <v>359.0</v>
      </c>
      <c r="Q108" s="133">
        <v>217.0</v>
      </c>
      <c r="R108" s="125">
        <v>400.0</v>
      </c>
      <c r="S108" s="126">
        <v>0.962</v>
      </c>
      <c r="T108" s="127">
        <v>74555.0</v>
      </c>
      <c r="U108" s="128">
        <f t="shared" si="1"/>
        <v>0</v>
      </c>
      <c r="V108" s="79" t="s">
        <v>66</v>
      </c>
      <c r="W108" s="79" t="s">
        <v>69</v>
      </c>
      <c r="X108" s="79" t="s">
        <v>66</v>
      </c>
      <c r="Y108" s="130"/>
      <c r="Z108" s="111"/>
      <c r="AA108" s="133"/>
      <c r="AB108" s="133"/>
      <c r="AC108" s="133"/>
      <c r="AD108" s="133"/>
      <c r="AE108" s="133"/>
      <c r="AF108" s="111"/>
      <c r="AG108" s="147" t="s">
        <v>111</v>
      </c>
      <c r="AH108" s="73"/>
      <c r="AI108" s="135"/>
      <c r="AJ108" s="136"/>
      <c r="AK108" s="76"/>
      <c r="AL108" s="137"/>
      <c r="AM108" s="139" t="s">
        <v>71</v>
      </c>
      <c r="AN108" s="139">
        <v>359.0</v>
      </c>
      <c r="AO108" s="140">
        <v>51.39</v>
      </c>
      <c r="AP108" s="142">
        <v>18000.0</v>
      </c>
      <c r="AQ108" s="142">
        <v>217.0</v>
      </c>
      <c r="AR108" s="143"/>
      <c r="AS108" s="144">
        <v>0.9744352657214862</v>
      </c>
      <c r="AT108" s="144">
        <v>-0.012435265721486233</v>
      </c>
      <c r="AU108" s="146" t="s">
        <v>594</v>
      </c>
      <c r="AV108" s="146" t="s">
        <v>594</v>
      </c>
      <c r="AW108" s="148" t="s">
        <v>594</v>
      </c>
      <c r="AX108" s="151"/>
      <c r="AY108" s="105"/>
      <c r="AZ108" s="186"/>
      <c r="BA108" s="186"/>
      <c r="BB108" s="146"/>
      <c r="BC108" s="155"/>
      <c r="BD108" s="155"/>
      <c r="BE108" s="155"/>
      <c r="BF108" s="45"/>
    </row>
    <row r="109" ht="16.5" customHeight="1">
      <c r="A109" s="111">
        <v>106.0</v>
      </c>
      <c r="B109" s="165" t="s">
        <v>595</v>
      </c>
      <c r="C109" s="115" t="s">
        <v>60</v>
      </c>
      <c r="D109" s="157">
        <v>41621.0</v>
      </c>
      <c r="E109" s="157">
        <v>42049.0</v>
      </c>
      <c r="F109" s="79" t="s">
        <v>59</v>
      </c>
      <c r="G109" s="167">
        <v>27000.0</v>
      </c>
      <c r="H109" s="114">
        <v>62.9</v>
      </c>
      <c r="I109" s="123">
        <v>373.0</v>
      </c>
      <c r="J109" s="111" t="s">
        <v>61</v>
      </c>
      <c r="K109" s="121">
        <v>377.72</v>
      </c>
      <c r="L109" s="120" t="s">
        <v>63</v>
      </c>
      <c r="M109" s="120"/>
      <c r="N109" s="123"/>
      <c r="O109" s="124">
        <v>27000.0</v>
      </c>
      <c r="P109" s="124">
        <v>429.0</v>
      </c>
      <c r="Q109" s="159">
        <v>218.0</v>
      </c>
      <c r="R109" s="125">
        <v>399.0</v>
      </c>
      <c r="S109" s="126">
        <v>0.9467</v>
      </c>
      <c r="T109" s="127">
        <v>73369.25</v>
      </c>
      <c r="U109" s="128">
        <f t="shared" si="1"/>
        <v>0</v>
      </c>
      <c r="V109" s="79" t="s">
        <v>65</v>
      </c>
      <c r="W109" s="79" t="s">
        <v>64</v>
      </c>
      <c r="X109" s="79" t="s">
        <v>69</v>
      </c>
      <c r="Y109" s="130"/>
      <c r="Z109" s="111"/>
      <c r="AA109" s="133"/>
      <c r="AB109" s="133"/>
      <c r="AC109" s="133"/>
      <c r="AD109" s="133"/>
      <c r="AE109" s="133"/>
      <c r="AF109" s="111"/>
      <c r="AG109" s="79" t="s">
        <v>597</v>
      </c>
      <c r="AH109" s="73"/>
      <c r="AI109" s="135"/>
      <c r="AJ109" s="136"/>
      <c r="AK109" s="76"/>
      <c r="AL109" s="137"/>
      <c r="AM109" s="139" t="s">
        <v>71</v>
      </c>
      <c r="AN109" s="139">
        <v>429.0</v>
      </c>
      <c r="AO109" s="140">
        <v>78.05</v>
      </c>
      <c r="AP109" s="142">
        <v>27000.0</v>
      </c>
      <c r="AQ109" s="142">
        <v>218.0</v>
      </c>
      <c r="AR109" s="143"/>
      <c r="AS109" s="144">
        <v>0.9671439869277211</v>
      </c>
      <c r="AT109" s="144">
        <v>-0.02044398692772109</v>
      </c>
      <c r="AU109" s="146" t="s">
        <v>598</v>
      </c>
      <c r="AV109" s="146" t="s">
        <v>598</v>
      </c>
      <c r="AW109" s="148" t="s">
        <v>598</v>
      </c>
      <c r="AX109" s="151"/>
      <c r="AY109" s="105"/>
      <c r="AZ109" s="186"/>
      <c r="BA109" s="186"/>
      <c r="BB109" s="146"/>
      <c r="BC109" s="155"/>
      <c r="BD109" s="155"/>
      <c r="BE109" s="155"/>
      <c r="BF109" s="45"/>
    </row>
    <row r="110" ht="16.5" customHeight="1">
      <c r="A110" s="111">
        <v>107.0</v>
      </c>
      <c r="B110" s="165" t="s">
        <v>457</v>
      </c>
      <c r="C110" s="115" t="s">
        <v>60</v>
      </c>
      <c r="D110" s="157">
        <v>41986.0</v>
      </c>
      <c r="E110" s="157">
        <v>42055.0</v>
      </c>
      <c r="F110" s="79" t="s">
        <v>59</v>
      </c>
      <c r="G110" s="167">
        <v>5500.0</v>
      </c>
      <c r="H110" s="114">
        <v>78.6</v>
      </c>
      <c r="I110" s="123">
        <v>399.0</v>
      </c>
      <c r="J110" s="111" t="s">
        <v>61</v>
      </c>
      <c r="K110" s="121">
        <v>404.05</v>
      </c>
      <c r="L110" s="120" t="s">
        <v>63</v>
      </c>
      <c r="M110" s="120"/>
      <c r="N110" s="123"/>
      <c r="O110" s="124">
        <v>5500.0</v>
      </c>
      <c r="P110" s="124">
        <v>70.0</v>
      </c>
      <c r="Q110" s="133">
        <v>260.0</v>
      </c>
      <c r="R110" s="125">
        <v>399.0</v>
      </c>
      <c r="S110" s="126">
        <v>1.0127</v>
      </c>
      <c r="T110" s="127">
        <v>78484.25</v>
      </c>
      <c r="U110" s="128">
        <f t="shared" si="1"/>
        <v>0</v>
      </c>
      <c r="V110" s="79" t="s">
        <v>65</v>
      </c>
      <c r="W110" s="79" t="s">
        <v>65</v>
      </c>
      <c r="X110" s="79" t="s">
        <v>69</v>
      </c>
      <c r="Y110" s="130"/>
      <c r="Z110" s="111"/>
      <c r="AA110" s="133"/>
      <c r="AB110" s="133"/>
      <c r="AC110" s="133"/>
      <c r="AD110" s="133"/>
      <c r="AE110" s="133"/>
      <c r="AF110" s="111"/>
      <c r="AG110" s="147"/>
      <c r="AH110" s="73"/>
      <c r="AI110" s="135"/>
      <c r="AJ110" s="136"/>
      <c r="AK110" s="76"/>
      <c r="AL110" s="137"/>
      <c r="AM110" s="139" t="s">
        <v>71</v>
      </c>
      <c r="AN110" s="139">
        <v>70.0</v>
      </c>
      <c r="AO110" s="140">
        <v>18.34</v>
      </c>
      <c r="AP110" s="142">
        <v>5500.0</v>
      </c>
      <c r="AQ110" s="142">
        <v>260.0</v>
      </c>
      <c r="AR110" s="143"/>
      <c r="AS110" s="144">
        <v>0.9900541903754752</v>
      </c>
      <c r="AT110" s="144">
        <v>0.022645809624524782</v>
      </c>
      <c r="AU110" s="146" t="s">
        <v>599</v>
      </c>
      <c r="AV110" s="146" t="s">
        <v>599</v>
      </c>
      <c r="AW110" s="148" t="s">
        <v>599</v>
      </c>
      <c r="AX110" s="151"/>
      <c r="AY110" s="105"/>
      <c r="AZ110" s="186"/>
      <c r="BA110" s="186"/>
      <c r="BB110" s="146"/>
      <c r="BC110" s="155"/>
      <c r="BD110" s="155"/>
      <c r="BE110" s="155"/>
      <c r="BF110" s="45"/>
    </row>
    <row r="111" ht="16.5" customHeight="1">
      <c r="A111" s="111">
        <v>108.0</v>
      </c>
      <c r="B111" s="165" t="s">
        <v>96</v>
      </c>
      <c r="C111" s="115" t="s">
        <v>60</v>
      </c>
      <c r="D111" s="157">
        <v>41596.0</v>
      </c>
      <c r="E111" s="157">
        <v>42055.0</v>
      </c>
      <c r="F111" s="79" t="s">
        <v>59</v>
      </c>
      <c r="G111" s="167">
        <v>54432.0</v>
      </c>
      <c r="H111" s="114">
        <v>118.3</v>
      </c>
      <c r="I111" s="123">
        <v>376.0</v>
      </c>
      <c r="J111" s="111" t="s">
        <v>62</v>
      </c>
      <c r="K111" s="121">
        <v>376.0</v>
      </c>
      <c r="L111" s="120" t="s">
        <v>63</v>
      </c>
      <c r="M111" s="120"/>
      <c r="N111" s="123"/>
      <c r="O111" s="124">
        <v>54432.0</v>
      </c>
      <c r="P111" s="124">
        <v>460.0</v>
      </c>
      <c r="Q111" s="133">
        <v>228.0</v>
      </c>
      <c r="R111" s="125">
        <v>399.0</v>
      </c>
      <c r="S111" s="126">
        <v>0.9424</v>
      </c>
      <c r="T111" s="127">
        <v>73036.0</v>
      </c>
      <c r="U111" s="128">
        <f t="shared" si="1"/>
        <v>0</v>
      </c>
      <c r="V111" s="79" t="s">
        <v>65</v>
      </c>
      <c r="W111" s="79" t="s">
        <v>65</v>
      </c>
      <c r="X111" s="79" t="s">
        <v>69</v>
      </c>
      <c r="Y111" s="130"/>
      <c r="Z111" s="111"/>
      <c r="AA111" s="133"/>
      <c r="AB111" s="133"/>
      <c r="AC111" s="133"/>
      <c r="AD111" s="133"/>
      <c r="AE111" s="133"/>
      <c r="AF111" s="111"/>
      <c r="AG111" s="147" t="s">
        <v>602</v>
      </c>
      <c r="AH111" s="73"/>
      <c r="AI111" s="135"/>
      <c r="AJ111" s="136"/>
      <c r="AK111" s="76"/>
      <c r="AL111" s="137"/>
      <c r="AM111" s="139" t="s">
        <v>71</v>
      </c>
      <c r="AN111" s="139">
        <v>460.0</v>
      </c>
      <c r="AO111" s="140">
        <v>164.9</v>
      </c>
      <c r="AP111" s="142">
        <v>54432.0</v>
      </c>
      <c r="AQ111" s="142">
        <v>228.0</v>
      </c>
      <c r="AR111" s="143"/>
      <c r="AS111" s="144">
        <v>0.9547801510605819</v>
      </c>
      <c r="AT111" s="144">
        <v>-0.012380151060581879</v>
      </c>
      <c r="AU111" s="146" t="s">
        <v>603</v>
      </c>
      <c r="AV111" s="146" t="s">
        <v>603</v>
      </c>
      <c r="AW111" s="148" t="s">
        <v>603</v>
      </c>
      <c r="AX111" s="151"/>
      <c r="AY111" s="105"/>
      <c r="AZ111" s="186"/>
      <c r="BA111" s="186"/>
      <c r="BB111" s="146"/>
      <c r="BC111" s="155"/>
      <c r="BD111" s="155"/>
      <c r="BE111" s="155"/>
      <c r="BF111" s="45"/>
    </row>
    <row r="112" ht="16.5" customHeight="1">
      <c r="A112" s="111">
        <v>109.0</v>
      </c>
      <c r="B112" s="165" t="s">
        <v>605</v>
      </c>
      <c r="C112" s="115" t="s">
        <v>60</v>
      </c>
      <c r="D112" s="230">
        <v>41631.0</v>
      </c>
      <c r="E112" s="157">
        <v>42056.0</v>
      </c>
      <c r="F112" s="79" t="s">
        <v>59</v>
      </c>
      <c r="G112" s="167">
        <v>33700.0</v>
      </c>
      <c r="H112" s="114">
        <v>79.1</v>
      </c>
      <c r="I112" s="123">
        <v>387.0</v>
      </c>
      <c r="J112" s="111" t="s">
        <v>62</v>
      </c>
      <c r="K112" s="121">
        <v>387.0</v>
      </c>
      <c r="L112" s="120" t="s">
        <v>63</v>
      </c>
      <c r="M112" s="120"/>
      <c r="N112" s="123"/>
      <c r="O112" s="124">
        <v>33700.0</v>
      </c>
      <c r="P112" s="124">
        <v>426.0</v>
      </c>
      <c r="Q112" s="133">
        <v>201.0</v>
      </c>
      <c r="R112" s="125">
        <v>399.0</v>
      </c>
      <c r="S112" s="126">
        <v>0.9699</v>
      </c>
      <c r="T112" s="127">
        <v>75167.25</v>
      </c>
      <c r="U112" s="128">
        <f t="shared" si="1"/>
        <v>0</v>
      </c>
      <c r="V112" s="79" t="s">
        <v>64</v>
      </c>
      <c r="W112" s="79" t="s">
        <v>69</v>
      </c>
      <c r="X112" s="79" t="s">
        <v>68</v>
      </c>
      <c r="Y112" s="130"/>
      <c r="Z112" s="111"/>
      <c r="AA112" s="133"/>
      <c r="AB112" s="133"/>
      <c r="AC112" s="133"/>
      <c r="AD112" s="133"/>
      <c r="AE112" s="133"/>
      <c r="AF112" s="111"/>
      <c r="AG112" s="134" t="s">
        <v>610</v>
      </c>
      <c r="AH112" s="73"/>
      <c r="AI112" s="135"/>
      <c r="AJ112" s="136"/>
      <c r="AK112" s="76"/>
      <c r="AL112" s="137"/>
      <c r="AM112" s="139" t="s">
        <v>71</v>
      </c>
      <c r="AN112" s="139">
        <v>426.0</v>
      </c>
      <c r="AO112" s="140">
        <v>88.76</v>
      </c>
      <c r="AP112" s="142">
        <v>33700.0</v>
      </c>
      <c r="AQ112" s="142">
        <v>201.0</v>
      </c>
      <c r="AR112" s="143"/>
      <c r="AS112" s="144">
        <v>0.9630817572949231</v>
      </c>
      <c r="AT112" s="144">
        <v>0.006818242705076916</v>
      </c>
      <c r="AU112" s="146" t="s">
        <v>611</v>
      </c>
      <c r="AV112" s="146" t="s">
        <v>611</v>
      </c>
      <c r="AW112" s="148" t="s">
        <v>611</v>
      </c>
      <c r="AX112" s="151"/>
      <c r="AY112" s="105"/>
      <c r="AZ112" s="186"/>
      <c r="BA112" s="186"/>
      <c r="BB112" s="146"/>
      <c r="BC112" s="155"/>
      <c r="BD112" s="155"/>
      <c r="BE112" s="155"/>
      <c r="BF112" s="45"/>
    </row>
    <row r="113" ht="16.5" customHeight="1">
      <c r="A113" s="111">
        <v>110.0</v>
      </c>
      <c r="B113" s="112" t="s">
        <v>339</v>
      </c>
      <c r="C113" s="115" t="s">
        <v>60</v>
      </c>
      <c r="D113" s="117">
        <v>41912.0</v>
      </c>
      <c r="E113" s="117">
        <v>42058.0</v>
      </c>
      <c r="F113" s="79" t="s">
        <v>59</v>
      </c>
      <c r="G113" s="118">
        <v>15930.0</v>
      </c>
      <c r="H113" s="114">
        <v>108.4</v>
      </c>
      <c r="I113" s="120">
        <v>387.0</v>
      </c>
      <c r="J113" s="111" t="s">
        <v>61</v>
      </c>
      <c r="K113" s="121">
        <v>391.9</v>
      </c>
      <c r="L113" s="120" t="s">
        <v>63</v>
      </c>
      <c r="M113" s="120"/>
      <c r="N113" s="123"/>
      <c r="O113" s="124">
        <v>15930.0</v>
      </c>
      <c r="P113" s="124">
        <v>147.0</v>
      </c>
      <c r="Q113" s="111">
        <v>269.0</v>
      </c>
      <c r="R113" s="125">
        <v>399.0</v>
      </c>
      <c r="S113" s="126">
        <v>0.9822</v>
      </c>
      <c r="T113" s="127">
        <v>76120.5</v>
      </c>
      <c r="U113" s="128">
        <f t="shared" si="1"/>
        <v>0</v>
      </c>
      <c r="V113" s="79" t="s">
        <v>65</v>
      </c>
      <c r="W113" s="79" t="s">
        <v>65</v>
      </c>
      <c r="X113" s="79" t="s">
        <v>68</v>
      </c>
      <c r="Y113" s="130">
        <v>0.8</v>
      </c>
      <c r="Z113" s="111"/>
      <c r="AA113" s="133"/>
      <c r="AB113" s="133"/>
      <c r="AC113" s="133"/>
      <c r="AD113" s="133"/>
      <c r="AE113" s="133"/>
      <c r="AF113" s="111"/>
      <c r="AG113" s="147"/>
      <c r="AH113" s="73"/>
      <c r="AI113" s="135"/>
      <c r="AJ113" s="136"/>
      <c r="AK113" s="76"/>
      <c r="AL113" s="137"/>
      <c r="AM113" s="139" t="s">
        <v>71</v>
      </c>
      <c r="AN113" s="139">
        <v>147.0</v>
      </c>
      <c r="AO113" s="140">
        <v>55.8</v>
      </c>
      <c r="AP113" s="142">
        <v>15930.0</v>
      </c>
      <c r="AQ113" s="142">
        <v>269.0</v>
      </c>
      <c r="AR113" s="143"/>
      <c r="AS113" s="144">
        <v>0.9765036028149945</v>
      </c>
      <c r="AT113" s="144">
        <v>0.005696397185005475</v>
      </c>
      <c r="AU113" s="146" t="s">
        <v>613</v>
      </c>
      <c r="AV113" s="146" t="s">
        <v>613</v>
      </c>
      <c r="AW113" s="148" t="s">
        <v>613</v>
      </c>
      <c r="AX113" s="151"/>
      <c r="AY113" s="105"/>
      <c r="AZ113" s="186"/>
      <c r="BA113" s="186"/>
      <c r="BB113" s="146"/>
      <c r="BC113" s="155"/>
      <c r="BD113" s="155"/>
      <c r="BE113" s="155"/>
      <c r="BF113" s="45"/>
    </row>
    <row r="114" ht="16.5" customHeight="1">
      <c r="A114" s="111">
        <v>111.0</v>
      </c>
      <c r="B114" s="165" t="s">
        <v>212</v>
      </c>
      <c r="C114" s="115" t="s">
        <v>60</v>
      </c>
      <c r="D114" s="157">
        <v>41543.0</v>
      </c>
      <c r="E114" s="157">
        <v>42060.0</v>
      </c>
      <c r="F114" s="79" t="s">
        <v>59</v>
      </c>
      <c r="G114" s="167">
        <v>68018.0</v>
      </c>
      <c r="H114" s="114">
        <v>131.3</v>
      </c>
      <c r="I114" s="123">
        <v>373.0</v>
      </c>
      <c r="J114" s="111" t="s">
        <v>61</v>
      </c>
      <c r="K114" s="121">
        <v>377.72</v>
      </c>
      <c r="L114" s="120" t="s">
        <v>195</v>
      </c>
      <c r="M114" s="120" t="s">
        <v>196</v>
      </c>
      <c r="N114" s="123">
        <v>66000.0</v>
      </c>
      <c r="O114" s="124">
        <v>68018.0</v>
      </c>
      <c r="P114" s="124">
        <v>518.0</v>
      </c>
      <c r="Q114" s="133">
        <v>226.0</v>
      </c>
      <c r="R114" s="125">
        <v>399.0</v>
      </c>
      <c r="S114" s="126">
        <v>0.9467</v>
      </c>
      <c r="T114" s="127">
        <v>73369.25</v>
      </c>
      <c r="U114" s="128">
        <f t="shared" si="1"/>
        <v>0</v>
      </c>
      <c r="V114" s="79" t="s">
        <v>65</v>
      </c>
      <c r="W114" s="79" t="s">
        <v>64</v>
      </c>
      <c r="X114" s="79" t="s">
        <v>66</v>
      </c>
      <c r="Y114" s="130"/>
      <c r="Z114" s="111"/>
      <c r="AA114" s="133"/>
      <c r="AB114" s="133"/>
      <c r="AC114" s="133"/>
      <c r="AD114" s="133"/>
      <c r="AE114" s="133"/>
      <c r="AF114" s="111"/>
      <c r="AG114" s="147"/>
      <c r="AH114" s="73"/>
      <c r="AI114" s="135"/>
      <c r="AJ114" s="136"/>
      <c r="AK114" s="76"/>
      <c r="AL114" s="137"/>
      <c r="AM114" s="139" t="s">
        <v>71</v>
      </c>
      <c r="AN114" s="139">
        <v>518.0</v>
      </c>
      <c r="AO114" s="140">
        <v>203.8</v>
      </c>
      <c r="AP114" s="142">
        <v>68018.0</v>
      </c>
      <c r="AQ114" s="142">
        <v>226.0</v>
      </c>
      <c r="AR114" s="143"/>
      <c r="AS114" s="144">
        <v>0.9512129986632883</v>
      </c>
      <c r="AT114" s="144">
        <v>-0.004512998663288359</v>
      </c>
      <c r="AU114" s="146" t="s">
        <v>618</v>
      </c>
      <c r="AV114" s="146" t="s">
        <v>618</v>
      </c>
      <c r="AW114" s="148" t="s">
        <v>618</v>
      </c>
      <c r="AX114" s="151"/>
      <c r="AY114" s="105"/>
      <c r="AZ114" s="186"/>
      <c r="BA114" s="186"/>
      <c r="BB114" s="146"/>
      <c r="BC114" s="155"/>
      <c r="BD114" s="155"/>
      <c r="BE114" s="155"/>
      <c r="BF114" s="45"/>
    </row>
    <row r="115" ht="16.5" customHeight="1">
      <c r="A115" s="111">
        <v>112.0</v>
      </c>
      <c r="B115" s="165" t="s">
        <v>620</v>
      </c>
      <c r="C115" s="115" t="s">
        <v>60</v>
      </c>
      <c r="D115" s="117">
        <v>41598.0</v>
      </c>
      <c r="E115" s="157">
        <v>42063.0</v>
      </c>
      <c r="F115" s="79" t="s">
        <v>59</v>
      </c>
      <c r="G115" s="167">
        <v>30100.0</v>
      </c>
      <c r="H115" s="114">
        <v>64.6</v>
      </c>
      <c r="I115" s="123">
        <v>380.0</v>
      </c>
      <c r="J115" s="111" t="s">
        <v>61</v>
      </c>
      <c r="K115" s="121">
        <v>384.81</v>
      </c>
      <c r="L115" s="120" t="s">
        <v>63</v>
      </c>
      <c r="M115" s="120"/>
      <c r="N115" s="123"/>
      <c r="O115" s="124">
        <v>30100.0</v>
      </c>
      <c r="P115" s="124">
        <v>466.0</v>
      </c>
      <c r="Q115" s="133">
        <v>242.0</v>
      </c>
      <c r="R115" s="125">
        <v>399.0</v>
      </c>
      <c r="S115" s="126">
        <v>0.9644</v>
      </c>
      <c r="T115" s="127">
        <v>74741.0</v>
      </c>
      <c r="U115" s="128">
        <f t="shared" si="1"/>
        <v>0</v>
      </c>
      <c r="V115" s="79" t="s">
        <v>68</v>
      </c>
      <c r="W115" s="79" t="s">
        <v>68</v>
      </c>
      <c r="X115" s="79" t="s">
        <v>68</v>
      </c>
      <c r="Y115" s="130"/>
      <c r="Z115" s="111"/>
      <c r="AA115" s="133"/>
      <c r="AB115" s="133"/>
      <c r="AC115" s="133"/>
      <c r="AD115" s="133"/>
      <c r="AE115" s="133"/>
      <c r="AF115" s="111"/>
      <c r="AG115" s="147"/>
      <c r="AH115" s="73"/>
      <c r="AI115" s="135"/>
      <c r="AJ115" s="136"/>
      <c r="AK115" s="76"/>
      <c r="AL115" s="137"/>
      <c r="AM115" s="139" t="s">
        <v>71</v>
      </c>
      <c r="AN115" s="139">
        <v>466.0</v>
      </c>
      <c r="AO115" s="140">
        <v>95.71</v>
      </c>
      <c r="AP115" s="142">
        <v>30100.0</v>
      </c>
      <c r="AQ115" s="142">
        <v>242.0</v>
      </c>
      <c r="AR115" s="143"/>
      <c r="AS115" s="144">
        <v>0.9651457881651995</v>
      </c>
      <c r="AT115" s="144">
        <v>-7.457881651994347E-4</v>
      </c>
      <c r="AU115" s="146" t="s">
        <v>622</v>
      </c>
      <c r="AV115" s="146" t="s">
        <v>622</v>
      </c>
      <c r="AW115" s="148" t="s">
        <v>622</v>
      </c>
      <c r="AX115" s="151"/>
      <c r="AY115" s="105"/>
      <c r="AZ115" s="186"/>
      <c r="BA115" s="186"/>
      <c r="BB115" s="146"/>
      <c r="BC115" s="155"/>
      <c r="BD115" s="155"/>
      <c r="BE115" s="155"/>
      <c r="BF115" s="45"/>
    </row>
    <row r="116" ht="16.5" customHeight="1">
      <c r="A116" s="111">
        <v>113.0</v>
      </c>
      <c r="B116" s="112" t="s">
        <v>623</v>
      </c>
      <c r="C116" s="115" t="s">
        <v>60</v>
      </c>
      <c r="D116" s="117">
        <v>41794.0</v>
      </c>
      <c r="E116" s="157">
        <v>42063.0</v>
      </c>
      <c r="F116" s="79" t="s">
        <v>59</v>
      </c>
      <c r="G116" s="167">
        <v>37042.0</v>
      </c>
      <c r="H116" s="114">
        <v>137.2</v>
      </c>
      <c r="I116" s="123">
        <v>380.0</v>
      </c>
      <c r="J116" s="111" t="s">
        <v>62</v>
      </c>
      <c r="K116" s="121">
        <v>380.0</v>
      </c>
      <c r="L116" s="120" t="s">
        <v>63</v>
      </c>
      <c r="M116" s="120"/>
      <c r="N116" s="123"/>
      <c r="O116" s="124">
        <v>37042.0</v>
      </c>
      <c r="P116" s="124">
        <v>270.0</v>
      </c>
      <c r="Q116" s="133">
        <v>195.0</v>
      </c>
      <c r="R116" s="125">
        <v>399.0</v>
      </c>
      <c r="S116" s="126">
        <v>0.9524</v>
      </c>
      <c r="T116" s="127">
        <v>73811.0</v>
      </c>
      <c r="U116" s="128">
        <f t="shared" si="1"/>
        <v>0</v>
      </c>
      <c r="V116" s="79" t="s">
        <v>67</v>
      </c>
      <c r="W116" s="79" t="s">
        <v>64</v>
      </c>
      <c r="X116" s="79" t="s">
        <v>68</v>
      </c>
      <c r="Y116" s="130"/>
      <c r="Z116" s="111"/>
      <c r="AA116" s="133"/>
      <c r="AB116" s="133"/>
      <c r="AC116" s="133"/>
      <c r="AD116" s="133"/>
      <c r="AE116" s="133"/>
      <c r="AF116" s="111"/>
      <c r="AG116" s="147" t="s">
        <v>625</v>
      </c>
      <c r="AH116" s="73"/>
      <c r="AI116" s="135"/>
      <c r="AJ116" s="136"/>
      <c r="AK116" s="76"/>
      <c r="AL116" s="137"/>
      <c r="AM116" s="139" t="s">
        <v>71</v>
      </c>
      <c r="AN116" s="139">
        <v>270.0</v>
      </c>
      <c r="AO116" s="140">
        <v>95.49</v>
      </c>
      <c r="AP116" s="142">
        <v>37042.0</v>
      </c>
      <c r="AQ116" s="142">
        <v>195.0</v>
      </c>
      <c r="AR116" s="143"/>
      <c r="AS116" s="144">
        <v>0.9613763296222965</v>
      </c>
      <c r="AT116" s="144">
        <v>-0.008976329622296442</v>
      </c>
      <c r="AU116" s="146" t="s">
        <v>626</v>
      </c>
      <c r="AV116" s="146" t="s">
        <v>626</v>
      </c>
      <c r="AW116" s="148" t="s">
        <v>626</v>
      </c>
      <c r="AX116" s="151"/>
      <c r="AY116" s="105"/>
      <c r="AZ116" s="186"/>
      <c r="BA116" s="186"/>
      <c r="BB116" s="146"/>
      <c r="BC116" s="155"/>
      <c r="BD116" s="155"/>
      <c r="BE116" s="155"/>
      <c r="BF116" s="45"/>
    </row>
    <row r="117" ht="16.5" customHeight="1">
      <c r="A117" s="111">
        <v>114.0</v>
      </c>
      <c r="B117" s="165" t="s">
        <v>76</v>
      </c>
      <c r="C117" s="115" t="s">
        <v>60</v>
      </c>
      <c r="D117" s="157">
        <v>41727.0</v>
      </c>
      <c r="E117" s="157">
        <v>42065.0</v>
      </c>
      <c r="F117" s="79" t="s">
        <v>59</v>
      </c>
      <c r="G117" s="167">
        <v>45650.0</v>
      </c>
      <c r="H117" s="114">
        <v>134.7</v>
      </c>
      <c r="I117" s="123">
        <v>385.0</v>
      </c>
      <c r="J117" s="111" t="s">
        <v>62</v>
      </c>
      <c r="K117" s="121">
        <v>385.0</v>
      </c>
      <c r="L117" s="120" t="s">
        <v>63</v>
      </c>
      <c r="M117" s="120"/>
      <c r="N117" s="123"/>
      <c r="O117" s="124">
        <v>45650.0</v>
      </c>
      <c r="P117" s="124">
        <v>339.0</v>
      </c>
      <c r="Q117" s="159">
        <v>218.0</v>
      </c>
      <c r="R117" s="125">
        <v>399.0</v>
      </c>
      <c r="S117" s="126">
        <v>0.9649</v>
      </c>
      <c r="T117" s="127">
        <v>74779.75</v>
      </c>
      <c r="U117" s="128">
        <f t="shared" si="1"/>
        <v>0</v>
      </c>
      <c r="V117" s="79" t="s">
        <v>67</v>
      </c>
      <c r="W117" s="79" t="s">
        <v>65</v>
      </c>
      <c r="X117" s="79" t="s">
        <v>68</v>
      </c>
      <c r="Y117" s="130"/>
      <c r="Z117" s="111"/>
      <c r="AA117" s="133"/>
      <c r="AB117" s="133"/>
      <c r="AC117" s="133"/>
      <c r="AD117" s="133"/>
      <c r="AE117" s="133"/>
      <c r="AF117" s="111"/>
      <c r="AG117" s="147"/>
      <c r="AH117" s="73"/>
      <c r="AI117" s="135"/>
      <c r="AJ117" s="136"/>
      <c r="AK117" s="76"/>
      <c r="AL117" s="137"/>
      <c r="AM117" s="139" t="s">
        <v>71</v>
      </c>
      <c r="AN117" s="139">
        <v>339.0</v>
      </c>
      <c r="AO117" s="140">
        <v>130.72</v>
      </c>
      <c r="AP117" s="142">
        <v>45650.0</v>
      </c>
      <c r="AQ117" s="142">
        <v>218.0</v>
      </c>
      <c r="AR117" s="143"/>
      <c r="AS117" s="144">
        <v>0.9577186111592036</v>
      </c>
      <c r="AT117" s="144">
        <v>0.007181388840796332</v>
      </c>
      <c r="AU117" s="146" t="s">
        <v>631</v>
      </c>
      <c r="AV117" s="146" t="s">
        <v>631</v>
      </c>
      <c r="AW117" s="148" t="s">
        <v>631</v>
      </c>
      <c r="AX117" s="151"/>
      <c r="AY117" s="105"/>
      <c r="AZ117" s="186"/>
      <c r="BA117" s="186"/>
      <c r="BB117" s="146"/>
      <c r="BC117" s="155"/>
      <c r="BD117" s="155"/>
      <c r="BE117" s="155"/>
      <c r="BF117" s="45"/>
    </row>
    <row r="118" ht="16.5" customHeight="1">
      <c r="A118" s="111">
        <v>115.0</v>
      </c>
      <c r="B118" s="165" t="s">
        <v>513</v>
      </c>
      <c r="C118" s="115" t="s">
        <v>60</v>
      </c>
      <c r="D118" s="157">
        <v>41990.0</v>
      </c>
      <c r="E118" s="157">
        <v>42068.0</v>
      </c>
      <c r="F118" s="79" t="s">
        <v>59</v>
      </c>
      <c r="G118" s="167">
        <v>8452.0</v>
      </c>
      <c r="H118" s="114">
        <v>107.0</v>
      </c>
      <c r="I118" s="123">
        <v>396.0</v>
      </c>
      <c r="J118" s="111" t="s">
        <v>61</v>
      </c>
      <c r="K118" s="121">
        <v>401.01</v>
      </c>
      <c r="L118" s="120" t="s">
        <v>63</v>
      </c>
      <c r="M118" s="120"/>
      <c r="N118" s="123"/>
      <c r="O118" s="124">
        <v>8452.0</v>
      </c>
      <c r="P118" s="124">
        <v>79.0</v>
      </c>
      <c r="Q118" s="133">
        <v>248.0</v>
      </c>
      <c r="R118" s="125">
        <v>399.0</v>
      </c>
      <c r="S118" s="126">
        <v>1.005</v>
      </c>
      <c r="T118" s="127">
        <v>77887.49999999999</v>
      </c>
      <c r="U118" s="128">
        <f t="shared" si="1"/>
        <v>0</v>
      </c>
      <c r="V118" s="79" t="s">
        <v>67</v>
      </c>
      <c r="W118" s="79" t="s">
        <v>64</v>
      </c>
      <c r="X118" s="79" t="s">
        <v>68</v>
      </c>
      <c r="Y118" s="130"/>
      <c r="Z118" s="111"/>
      <c r="AA118" s="133"/>
      <c r="AB118" s="133"/>
      <c r="AC118" s="133"/>
      <c r="AD118" s="133"/>
      <c r="AE118" s="133"/>
      <c r="AF118" s="111"/>
      <c r="AG118" s="147" t="s">
        <v>111</v>
      </c>
      <c r="AH118" s="73"/>
      <c r="AI118" s="135"/>
      <c r="AJ118" s="136"/>
      <c r="AK118" s="76"/>
      <c r="AL118" s="137"/>
      <c r="AM118" s="139" t="s">
        <v>71</v>
      </c>
      <c r="AN118" s="139">
        <v>79.0</v>
      </c>
      <c r="AO118" s="140">
        <v>26.98</v>
      </c>
      <c r="AP118" s="142">
        <v>8452.0</v>
      </c>
      <c r="AQ118" s="142">
        <v>248.0</v>
      </c>
      <c r="AR118" s="143"/>
      <c r="AS118" s="144">
        <v>0.9856053320884972</v>
      </c>
      <c r="AT118" s="144">
        <v>0.019394667911502683</v>
      </c>
      <c r="AU118" s="146" t="s">
        <v>637</v>
      </c>
      <c r="AV118" s="146" t="s">
        <v>637</v>
      </c>
      <c r="AW118" s="148" t="s">
        <v>637</v>
      </c>
      <c r="AX118" s="151"/>
      <c r="AY118" s="105"/>
      <c r="AZ118" s="186"/>
      <c r="BA118" s="186"/>
      <c r="BB118" s="146"/>
      <c r="BC118" s="155"/>
      <c r="BD118" s="155"/>
      <c r="BE118" s="155"/>
      <c r="BF118" s="45"/>
    </row>
    <row r="119" ht="16.5" customHeight="1">
      <c r="A119" s="111">
        <v>116.0</v>
      </c>
      <c r="B119" s="165" t="s">
        <v>640</v>
      </c>
      <c r="C119" s="115" t="s">
        <v>60</v>
      </c>
      <c r="D119" s="117">
        <v>41927.0</v>
      </c>
      <c r="E119" s="157">
        <v>42069.0</v>
      </c>
      <c r="F119" s="79" t="s">
        <v>59</v>
      </c>
      <c r="G119" s="167">
        <v>649.0</v>
      </c>
      <c r="H119" s="114">
        <v>4.5</v>
      </c>
      <c r="I119" s="123">
        <v>393.0</v>
      </c>
      <c r="J119" s="111" t="s">
        <v>61</v>
      </c>
      <c r="K119" s="121">
        <v>397.97</v>
      </c>
      <c r="L119" s="120" t="s">
        <v>63</v>
      </c>
      <c r="M119" s="120"/>
      <c r="N119" s="123"/>
      <c r="O119" s="124">
        <v>649.0</v>
      </c>
      <c r="P119" s="124">
        <v>143.0</v>
      </c>
      <c r="Q119" s="133">
        <v>242.0</v>
      </c>
      <c r="R119" s="125">
        <v>399.0</v>
      </c>
      <c r="S119" s="126">
        <v>0.9974</v>
      </c>
      <c r="T119" s="127">
        <v>77298.5</v>
      </c>
      <c r="U119" s="128">
        <f t="shared" si="1"/>
        <v>0</v>
      </c>
      <c r="V119" s="79" t="s">
        <v>80</v>
      </c>
      <c r="W119" s="79" t="s">
        <v>80</v>
      </c>
      <c r="X119" s="79" t="s">
        <v>68</v>
      </c>
      <c r="Y119" s="130"/>
      <c r="Z119" s="111">
        <v>3.7</v>
      </c>
      <c r="AA119" s="133"/>
      <c r="AB119" s="133"/>
      <c r="AC119" s="133"/>
      <c r="AD119" s="133"/>
      <c r="AE119" s="133"/>
      <c r="AF119" s="111"/>
      <c r="AG119" s="147"/>
      <c r="AH119" s="73"/>
      <c r="AI119" s="135"/>
      <c r="AJ119" s="136"/>
      <c r="AK119" s="76"/>
      <c r="AL119" s="137"/>
      <c r="AM119" s="139" t="s">
        <v>71</v>
      </c>
      <c r="AN119" s="139">
        <v>143.0</v>
      </c>
      <c r="AO119" s="140">
        <v>2.04</v>
      </c>
      <c r="AP119" s="142">
        <v>649.0</v>
      </c>
      <c r="AQ119" s="142">
        <v>242.0</v>
      </c>
      <c r="AR119" s="143"/>
      <c r="AS119" s="144">
        <v>0.9986997538949768</v>
      </c>
      <c r="AT119" s="144">
        <v>-0.0012997538949768295</v>
      </c>
      <c r="AU119" s="146" t="s">
        <v>643</v>
      </c>
      <c r="AV119" s="146" t="s">
        <v>643</v>
      </c>
      <c r="AW119" s="148" t="s">
        <v>643</v>
      </c>
      <c r="AX119" s="151"/>
      <c r="AY119" s="105"/>
      <c r="AZ119" s="186"/>
      <c r="BA119" s="186"/>
      <c r="BB119" s="146"/>
      <c r="BC119" s="155"/>
      <c r="BD119" s="155"/>
      <c r="BE119" s="155"/>
      <c r="BF119" s="45"/>
    </row>
    <row r="120" ht="16.5" customHeight="1">
      <c r="A120" s="111">
        <v>117.0</v>
      </c>
      <c r="B120" s="165" t="s">
        <v>147</v>
      </c>
      <c r="C120" s="115" t="s">
        <v>60</v>
      </c>
      <c r="D120" s="157">
        <v>41639.0</v>
      </c>
      <c r="E120" s="157">
        <v>42070.0</v>
      </c>
      <c r="F120" s="79" t="s">
        <v>79</v>
      </c>
      <c r="G120" s="167">
        <v>71050.0</v>
      </c>
      <c r="H120" s="114">
        <v>164.5</v>
      </c>
      <c r="I120" s="123">
        <v>373.0</v>
      </c>
      <c r="J120" s="111" t="s">
        <v>61</v>
      </c>
      <c r="K120" s="121">
        <v>377.72</v>
      </c>
      <c r="L120" s="120" t="s">
        <v>63</v>
      </c>
      <c r="M120" s="120"/>
      <c r="N120" s="123"/>
      <c r="O120" s="124">
        <v>71050.0</v>
      </c>
      <c r="P120" s="124">
        <v>432.0</v>
      </c>
      <c r="Q120" s="133">
        <v>229.0</v>
      </c>
      <c r="R120" s="125">
        <v>399.0</v>
      </c>
      <c r="S120" s="126">
        <v>0.9467</v>
      </c>
      <c r="T120" s="127">
        <v>73369.25</v>
      </c>
      <c r="U120" s="128">
        <f t="shared" si="1"/>
        <v>0</v>
      </c>
      <c r="V120" s="79" t="s">
        <v>67</v>
      </c>
      <c r="W120" s="79" t="s">
        <v>67</v>
      </c>
      <c r="X120" s="79" t="s">
        <v>64</v>
      </c>
      <c r="Y120" s="130"/>
      <c r="Z120" s="111"/>
      <c r="AA120" s="133"/>
      <c r="AB120" s="133"/>
      <c r="AC120" s="133"/>
      <c r="AD120" s="133"/>
      <c r="AE120" s="133"/>
      <c r="AF120" s="111"/>
      <c r="AG120" s="147"/>
      <c r="AH120" s="73"/>
      <c r="AI120" s="135"/>
      <c r="AJ120" s="136"/>
      <c r="AK120" s="76"/>
      <c r="AL120" s="137"/>
      <c r="AM120" s="139" t="s">
        <v>71</v>
      </c>
      <c r="AN120" s="139">
        <v>432.0</v>
      </c>
      <c r="AO120" s="140">
        <v>215.71</v>
      </c>
      <c r="AP120" s="142">
        <v>71050.0</v>
      </c>
      <c r="AQ120" s="142">
        <v>229.0</v>
      </c>
      <c r="AR120" s="143"/>
      <c r="AS120" s="144">
        <v>0.9505248648538209</v>
      </c>
      <c r="AT120" s="144">
        <v>-0.0038248648538209418</v>
      </c>
      <c r="AU120" s="146" t="s">
        <v>649</v>
      </c>
      <c r="AV120" s="146" t="s">
        <v>649</v>
      </c>
      <c r="AW120" s="148" t="s">
        <v>649</v>
      </c>
      <c r="AX120" s="151"/>
      <c r="AY120" s="105"/>
      <c r="AZ120" s="186"/>
      <c r="BA120" s="186"/>
      <c r="BB120" s="146"/>
      <c r="BC120" s="155"/>
      <c r="BD120" s="155"/>
      <c r="BE120" s="155"/>
      <c r="BF120" s="45"/>
    </row>
    <row r="121" ht="16.5" customHeight="1">
      <c r="A121" s="111">
        <v>118.0</v>
      </c>
      <c r="B121" s="165" t="s">
        <v>650</v>
      </c>
      <c r="C121" s="115" t="s">
        <v>60</v>
      </c>
      <c r="D121" s="117">
        <v>41594.0</v>
      </c>
      <c r="E121" s="157">
        <v>42072.0</v>
      </c>
      <c r="F121" s="174" t="s">
        <v>103</v>
      </c>
      <c r="G121" s="167">
        <v>39000.0</v>
      </c>
      <c r="H121" s="114">
        <v>81.4</v>
      </c>
      <c r="I121" s="123">
        <v>378.0</v>
      </c>
      <c r="J121" s="111" t="s">
        <v>61</v>
      </c>
      <c r="K121" s="121">
        <v>382.78</v>
      </c>
      <c r="L121" s="120" t="s">
        <v>63</v>
      </c>
      <c r="M121" s="120"/>
      <c r="N121" s="123"/>
      <c r="O121" s="124">
        <v>39000.0</v>
      </c>
      <c r="P121" s="124">
        <v>479.0</v>
      </c>
      <c r="Q121" s="133">
        <v>222.0</v>
      </c>
      <c r="R121" s="125">
        <v>400.0</v>
      </c>
      <c r="S121" s="126">
        <v>0.957</v>
      </c>
      <c r="T121" s="127">
        <v>74167.5</v>
      </c>
      <c r="U121" s="128">
        <f t="shared" si="1"/>
        <v>0</v>
      </c>
      <c r="V121" s="79" t="s">
        <v>68</v>
      </c>
      <c r="W121" s="79" t="s">
        <v>68</v>
      </c>
      <c r="X121" s="79" t="s">
        <v>66</v>
      </c>
      <c r="Y121" s="130"/>
      <c r="Z121" s="111"/>
      <c r="AA121" s="133"/>
      <c r="AB121" s="133"/>
      <c r="AC121" s="133"/>
      <c r="AD121" s="133"/>
      <c r="AE121" s="133"/>
      <c r="AF121" s="111"/>
      <c r="AG121" s="147" t="s">
        <v>111</v>
      </c>
      <c r="AH121" s="73"/>
      <c r="AI121" s="135"/>
      <c r="AJ121" s="136"/>
      <c r="AK121" s="76"/>
      <c r="AL121" s="137"/>
      <c r="AM121" s="139" t="s">
        <v>71</v>
      </c>
      <c r="AN121" s="139">
        <v>479.0</v>
      </c>
      <c r="AO121" s="140">
        <v>114.19</v>
      </c>
      <c r="AP121" s="142">
        <v>39000.0</v>
      </c>
      <c r="AQ121" s="142">
        <v>222.0</v>
      </c>
      <c r="AR121" s="143"/>
      <c r="AS121" s="144">
        <v>0.9604590167481293</v>
      </c>
      <c r="AT121" s="144">
        <v>-0.0034590167481293177</v>
      </c>
      <c r="AU121" s="146" t="s">
        <v>656</v>
      </c>
      <c r="AV121" s="146" t="s">
        <v>656</v>
      </c>
      <c r="AW121" s="148" t="s">
        <v>656</v>
      </c>
      <c r="AX121" s="151"/>
      <c r="AY121" s="105"/>
      <c r="AZ121" s="186"/>
      <c r="BA121" s="186"/>
      <c r="BB121" s="146"/>
      <c r="BC121" s="155"/>
      <c r="BD121" s="155"/>
      <c r="BE121" s="155"/>
      <c r="BF121" s="45"/>
    </row>
    <row r="122" ht="16.5" customHeight="1">
      <c r="A122" s="111">
        <v>119.0</v>
      </c>
      <c r="B122" s="112" t="s">
        <v>477</v>
      </c>
      <c r="C122" s="115" t="s">
        <v>60</v>
      </c>
      <c r="D122" s="157">
        <v>42003.0</v>
      </c>
      <c r="E122" s="117">
        <v>42076.0</v>
      </c>
      <c r="F122" s="79" t="s">
        <v>59</v>
      </c>
      <c r="G122" s="118">
        <v>4400.0</v>
      </c>
      <c r="H122" s="114">
        <v>59.5</v>
      </c>
      <c r="I122" s="123">
        <v>394.0</v>
      </c>
      <c r="J122" s="111" t="s">
        <v>61</v>
      </c>
      <c r="K122" s="121">
        <v>398.99</v>
      </c>
      <c r="L122" s="120" t="s">
        <v>63</v>
      </c>
      <c r="M122" s="120"/>
      <c r="N122" s="123"/>
      <c r="O122" s="124">
        <v>4400.0</v>
      </c>
      <c r="P122" s="124">
        <v>74.0</v>
      </c>
      <c r="Q122" s="111">
        <v>256.0</v>
      </c>
      <c r="R122" s="125">
        <v>399.0</v>
      </c>
      <c r="S122" s="126">
        <v>1.0</v>
      </c>
      <c r="T122" s="127">
        <v>77500.0</v>
      </c>
      <c r="U122" s="128">
        <f t="shared" si="1"/>
        <v>0</v>
      </c>
      <c r="V122" s="79" t="s">
        <v>67</v>
      </c>
      <c r="W122" s="79" t="s">
        <v>64</v>
      </c>
      <c r="X122" s="79" t="s">
        <v>68</v>
      </c>
      <c r="Y122" s="130"/>
      <c r="Z122" s="111"/>
      <c r="AA122" s="133"/>
      <c r="AB122" s="133"/>
      <c r="AC122" s="133"/>
      <c r="AD122" s="133"/>
      <c r="AE122" s="133"/>
      <c r="AF122" s="111"/>
      <c r="AG122" s="134" t="s">
        <v>111</v>
      </c>
      <c r="AH122" s="73"/>
      <c r="AI122" s="135"/>
      <c r="AJ122" s="136"/>
      <c r="AK122" s="76"/>
      <c r="AL122" s="137"/>
      <c r="AM122" s="139" t="s">
        <v>71</v>
      </c>
      <c r="AN122" s="139">
        <v>74.0</v>
      </c>
      <c r="AO122" s="140">
        <v>14.54</v>
      </c>
      <c r="AP122" s="142">
        <v>4400.0</v>
      </c>
      <c r="AQ122" s="142">
        <v>256.0</v>
      </c>
      <c r="AR122" s="143"/>
      <c r="AS122" s="144">
        <v>0.9918598267146402</v>
      </c>
      <c r="AT122" s="144">
        <v>0.008140173285359764</v>
      </c>
      <c r="AU122" s="146" t="s">
        <v>658</v>
      </c>
      <c r="AV122" s="146" t="s">
        <v>658</v>
      </c>
      <c r="AW122" s="148" t="s">
        <v>658</v>
      </c>
      <c r="AX122" s="151"/>
      <c r="AY122" s="105"/>
      <c r="AZ122" s="186"/>
      <c r="BA122" s="186"/>
      <c r="BB122" s="146"/>
      <c r="BC122" s="155"/>
      <c r="BD122" s="155"/>
      <c r="BE122" s="155"/>
      <c r="BF122" s="45"/>
    </row>
    <row r="123" ht="16.5" customHeight="1">
      <c r="A123" s="111">
        <v>120.0</v>
      </c>
      <c r="B123" s="165" t="s">
        <v>201</v>
      </c>
      <c r="C123" s="115" t="s">
        <v>60</v>
      </c>
      <c r="D123" s="157">
        <v>41724.0</v>
      </c>
      <c r="E123" s="157">
        <v>42079.0</v>
      </c>
      <c r="F123" s="79" t="s">
        <v>79</v>
      </c>
      <c r="G123" s="167">
        <v>33240.0</v>
      </c>
      <c r="H123" s="114">
        <v>93.4</v>
      </c>
      <c r="I123" s="123">
        <v>383.0</v>
      </c>
      <c r="J123" s="111" t="s">
        <v>61</v>
      </c>
      <c r="K123" s="121">
        <v>387.85</v>
      </c>
      <c r="L123" s="120" t="s">
        <v>63</v>
      </c>
      <c r="M123" s="120"/>
      <c r="N123" s="123"/>
      <c r="O123" s="124">
        <v>33240.0</v>
      </c>
      <c r="P123" s="124">
        <v>356.0</v>
      </c>
      <c r="Q123" s="133">
        <v>173.0</v>
      </c>
      <c r="R123" s="125">
        <v>399.0</v>
      </c>
      <c r="S123" s="126">
        <v>0.9721</v>
      </c>
      <c r="T123" s="127">
        <v>75337.75</v>
      </c>
      <c r="U123" s="128">
        <f t="shared" si="1"/>
        <v>0</v>
      </c>
      <c r="V123" s="79" t="s">
        <v>65</v>
      </c>
      <c r="W123" s="79" t="s">
        <v>69</v>
      </c>
      <c r="X123" s="79" t="s">
        <v>68</v>
      </c>
      <c r="Y123" s="130"/>
      <c r="Z123" s="111"/>
      <c r="AA123" s="133"/>
      <c r="AB123" s="133"/>
      <c r="AC123" s="133"/>
      <c r="AD123" s="133"/>
      <c r="AE123" s="133"/>
      <c r="AF123" s="111"/>
      <c r="AG123" s="147" t="s">
        <v>111</v>
      </c>
      <c r="AH123" s="73"/>
      <c r="AI123" s="135"/>
      <c r="AJ123" s="136"/>
      <c r="AK123" s="76"/>
      <c r="AL123" s="137"/>
      <c r="AM123" s="139" t="s">
        <v>71</v>
      </c>
      <c r="AN123" s="139">
        <v>356.0</v>
      </c>
      <c r="AO123" s="140">
        <v>75.26</v>
      </c>
      <c r="AP123" s="142">
        <v>33240.0</v>
      </c>
      <c r="AQ123" s="142">
        <v>173.0</v>
      </c>
      <c r="AR123" s="143"/>
      <c r="AS123" s="144">
        <v>0.963331591083576</v>
      </c>
      <c r="AT123" s="144">
        <v>0.008768408916423942</v>
      </c>
      <c r="AU123" s="146" t="s">
        <v>664</v>
      </c>
      <c r="AV123" s="146" t="s">
        <v>664</v>
      </c>
      <c r="AW123" s="148" t="s">
        <v>664</v>
      </c>
      <c r="AX123" s="151"/>
      <c r="AY123" s="105"/>
      <c r="AZ123" s="186"/>
      <c r="BA123" s="186"/>
      <c r="BB123" s="146"/>
      <c r="BC123" s="155"/>
      <c r="BD123" s="155"/>
      <c r="BE123" s="155"/>
      <c r="BF123" s="45"/>
    </row>
    <row r="124" ht="16.5" customHeight="1">
      <c r="A124" s="111">
        <v>121.0</v>
      </c>
      <c r="B124" s="112" t="s">
        <v>367</v>
      </c>
      <c r="C124" s="115" t="s">
        <v>60</v>
      </c>
      <c r="D124" s="117">
        <v>41612.0</v>
      </c>
      <c r="E124" s="117">
        <v>42081.0</v>
      </c>
      <c r="F124" s="79" t="s">
        <v>79</v>
      </c>
      <c r="G124" s="118">
        <v>50000.0</v>
      </c>
      <c r="H124" s="114">
        <v>106.4</v>
      </c>
      <c r="I124" s="120">
        <v>383.0</v>
      </c>
      <c r="J124" s="111" t="s">
        <v>62</v>
      </c>
      <c r="K124" s="121">
        <v>383.0</v>
      </c>
      <c r="L124" s="120" t="s">
        <v>63</v>
      </c>
      <c r="M124" s="120"/>
      <c r="N124" s="123"/>
      <c r="O124" s="124">
        <v>50000.0</v>
      </c>
      <c r="P124" s="124">
        <v>470.0</v>
      </c>
      <c r="Q124" s="111">
        <v>237.0</v>
      </c>
      <c r="R124" s="125">
        <v>399.0</v>
      </c>
      <c r="S124" s="126">
        <v>0.9599</v>
      </c>
      <c r="T124" s="127">
        <v>74392.25</v>
      </c>
      <c r="U124" s="128">
        <f t="shared" si="1"/>
        <v>0</v>
      </c>
      <c r="V124" s="79" t="s">
        <v>64</v>
      </c>
      <c r="W124" s="79" t="s">
        <v>65</v>
      </c>
      <c r="X124" s="79" t="s">
        <v>69</v>
      </c>
      <c r="Y124" s="130"/>
      <c r="Z124" s="111"/>
      <c r="AA124" s="133"/>
      <c r="AB124" s="133"/>
      <c r="AC124" s="133"/>
      <c r="AD124" s="133"/>
      <c r="AE124" s="133"/>
      <c r="AF124" s="111"/>
      <c r="AG124" s="134" t="s">
        <v>669</v>
      </c>
      <c r="AH124" s="73"/>
      <c r="AI124" s="135"/>
      <c r="AJ124" s="136"/>
      <c r="AK124" s="76"/>
      <c r="AL124" s="137"/>
      <c r="AM124" s="139" t="s">
        <v>71</v>
      </c>
      <c r="AN124" s="139">
        <v>470.0</v>
      </c>
      <c r="AO124" s="140">
        <v>156.05</v>
      </c>
      <c r="AP124" s="142">
        <v>50000.0</v>
      </c>
      <c r="AQ124" s="142">
        <v>237.0</v>
      </c>
      <c r="AR124" s="143"/>
      <c r="AS124" s="144">
        <v>0.9561822707592242</v>
      </c>
      <c r="AT124" s="144">
        <v>0.0037177292407757356</v>
      </c>
      <c r="AU124" s="146" t="s">
        <v>670</v>
      </c>
      <c r="AV124" s="146" t="s">
        <v>670</v>
      </c>
      <c r="AW124" s="148" t="s">
        <v>670</v>
      </c>
      <c r="AX124" s="151"/>
      <c r="AY124" s="105"/>
      <c r="AZ124" s="186"/>
      <c r="BA124" s="186"/>
      <c r="BB124" s="146"/>
      <c r="BC124" s="155"/>
      <c r="BD124" s="155"/>
      <c r="BE124" s="155"/>
      <c r="BF124" s="45"/>
    </row>
    <row r="125" ht="16.5" customHeight="1">
      <c r="A125" s="111">
        <v>122.0</v>
      </c>
      <c r="B125" s="165" t="s">
        <v>285</v>
      </c>
      <c r="C125" s="115" t="s">
        <v>60</v>
      </c>
      <c r="D125" s="179">
        <v>41530.0</v>
      </c>
      <c r="E125" s="117">
        <v>42081.0</v>
      </c>
      <c r="F125" s="79" t="s">
        <v>57</v>
      </c>
      <c r="G125" s="118">
        <v>43500.0</v>
      </c>
      <c r="H125" s="114">
        <v>78.8</v>
      </c>
      <c r="I125" s="120">
        <v>392.0</v>
      </c>
      <c r="J125" s="111" t="s">
        <v>62</v>
      </c>
      <c r="K125" s="121">
        <v>392.0</v>
      </c>
      <c r="L125" s="120" t="s">
        <v>195</v>
      </c>
      <c r="M125" s="120" t="s">
        <v>281</v>
      </c>
      <c r="N125" s="123">
        <v>22600.0</v>
      </c>
      <c r="O125" s="124">
        <v>25375.0</v>
      </c>
      <c r="P125" s="124">
        <v>322.0</v>
      </c>
      <c r="Q125" s="111">
        <v>235.0</v>
      </c>
      <c r="R125" s="125">
        <v>399.0</v>
      </c>
      <c r="S125" s="126">
        <v>0.9825</v>
      </c>
      <c r="T125" s="127">
        <v>76143.75</v>
      </c>
      <c r="U125" s="128">
        <f t="shared" si="1"/>
        <v>0</v>
      </c>
      <c r="V125" s="79" t="s">
        <v>69</v>
      </c>
      <c r="W125" s="79" t="s">
        <v>69</v>
      </c>
      <c r="X125" s="79" t="s">
        <v>66</v>
      </c>
      <c r="Y125" s="130"/>
      <c r="Z125" s="111"/>
      <c r="AA125" s="133"/>
      <c r="AB125" s="133"/>
      <c r="AC125" s="133"/>
      <c r="AD125" s="133"/>
      <c r="AE125" s="133"/>
      <c r="AF125" s="111"/>
      <c r="AG125" s="134" t="s">
        <v>676</v>
      </c>
      <c r="AH125" s="73"/>
      <c r="AI125" s="135"/>
      <c r="AJ125" s="136"/>
      <c r="AK125" s="76"/>
      <c r="AL125" s="137"/>
      <c r="AM125" s="139" t="s">
        <v>71</v>
      </c>
      <c r="AN125" s="139">
        <v>552.0</v>
      </c>
      <c r="AO125" s="140">
        <v>77.64</v>
      </c>
      <c r="AP125" s="142">
        <v>25375.0</v>
      </c>
      <c r="AQ125" s="142">
        <v>235.0</v>
      </c>
      <c r="AR125" s="143"/>
      <c r="AS125" s="144">
        <v>0.9682843906224274</v>
      </c>
      <c r="AT125" s="144">
        <v>0.014215609377572602</v>
      </c>
      <c r="AU125" s="146" t="s">
        <v>679</v>
      </c>
      <c r="AV125" s="146" t="s">
        <v>679</v>
      </c>
      <c r="AW125" s="148" t="s">
        <v>679</v>
      </c>
      <c r="AX125" s="151"/>
      <c r="AY125" s="105"/>
      <c r="AZ125" s="186"/>
      <c r="BA125" s="186"/>
      <c r="BB125" s="146"/>
      <c r="BC125" s="155"/>
      <c r="BD125" s="155"/>
      <c r="BE125" s="155"/>
      <c r="BF125" s="45"/>
    </row>
    <row r="126" ht="16.5" customHeight="1">
      <c r="A126" s="111">
        <v>123.0</v>
      </c>
      <c r="B126" s="165" t="s">
        <v>192</v>
      </c>
      <c r="C126" s="115" t="s">
        <v>60</v>
      </c>
      <c r="D126" s="157">
        <v>41607.0</v>
      </c>
      <c r="E126" s="117">
        <v>42083.0</v>
      </c>
      <c r="F126" s="79" t="s">
        <v>79</v>
      </c>
      <c r="G126" s="118">
        <v>34533.0</v>
      </c>
      <c r="H126" s="114">
        <v>72.4</v>
      </c>
      <c r="I126" s="120">
        <v>377.0</v>
      </c>
      <c r="J126" s="111" t="s">
        <v>61</v>
      </c>
      <c r="K126" s="121">
        <v>381.77</v>
      </c>
      <c r="L126" s="120" t="s">
        <v>195</v>
      </c>
      <c r="M126" s="120" t="s">
        <v>196</v>
      </c>
      <c r="N126" s="123">
        <v>2100.0</v>
      </c>
      <c r="O126" s="124">
        <v>34533.0</v>
      </c>
      <c r="P126" s="124">
        <v>477.0</v>
      </c>
      <c r="Q126" s="111">
        <v>252.0</v>
      </c>
      <c r="R126" s="125">
        <v>399.0</v>
      </c>
      <c r="S126" s="126">
        <v>0.9568</v>
      </c>
      <c r="T126" s="127">
        <v>74152.0</v>
      </c>
      <c r="U126" s="128">
        <f t="shared" si="1"/>
        <v>0</v>
      </c>
      <c r="V126" s="79" t="s">
        <v>65</v>
      </c>
      <c r="W126" s="79" t="s">
        <v>65</v>
      </c>
      <c r="X126" s="79" t="s">
        <v>68</v>
      </c>
      <c r="Y126" s="130"/>
      <c r="Z126" s="111"/>
      <c r="AA126" s="133"/>
      <c r="AB126" s="133"/>
      <c r="AC126" s="133"/>
      <c r="AD126" s="133"/>
      <c r="AE126" s="133"/>
      <c r="AF126" s="111"/>
      <c r="AG126" s="134" t="s">
        <v>685</v>
      </c>
      <c r="AH126" s="73"/>
      <c r="AI126" s="135"/>
      <c r="AJ126" s="136"/>
      <c r="AK126" s="76"/>
      <c r="AL126" s="137"/>
      <c r="AM126" s="139" t="s">
        <v>71</v>
      </c>
      <c r="AN126" s="139">
        <v>477.0</v>
      </c>
      <c r="AO126" s="140">
        <v>114.79</v>
      </c>
      <c r="AP126" s="142">
        <v>34533.0</v>
      </c>
      <c r="AQ126" s="142">
        <v>252.0</v>
      </c>
      <c r="AR126" s="143"/>
      <c r="AS126" s="144">
        <v>0.9626390043448474</v>
      </c>
      <c r="AT126" s="144">
        <v>-0.005839004344847409</v>
      </c>
      <c r="AU126" s="146" t="s">
        <v>688</v>
      </c>
      <c r="AV126" s="146" t="s">
        <v>688</v>
      </c>
      <c r="AW126" s="148" t="s">
        <v>688</v>
      </c>
      <c r="AX126" s="151"/>
      <c r="AY126" s="105"/>
      <c r="AZ126" s="186"/>
      <c r="BA126" s="186"/>
      <c r="BB126" s="146"/>
      <c r="BC126" s="155"/>
      <c r="BD126" s="155"/>
      <c r="BE126" s="155"/>
      <c r="BF126" s="45"/>
    </row>
    <row r="127" ht="16.5" customHeight="1">
      <c r="A127" s="111">
        <v>124.0</v>
      </c>
      <c r="B127" s="112" t="s">
        <v>541</v>
      </c>
      <c r="C127" s="115" t="s">
        <v>60</v>
      </c>
      <c r="D127" s="117">
        <v>41603.0</v>
      </c>
      <c r="E127" s="117">
        <v>42083.0</v>
      </c>
      <c r="F127" s="79" t="s">
        <v>57</v>
      </c>
      <c r="G127" s="118">
        <v>41000.0</v>
      </c>
      <c r="H127" s="114">
        <v>85.2</v>
      </c>
      <c r="I127" s="120">
        <v>374.0</v>
      </c>
      <c r="J127" s="111" t="s">
        <v>61</v>
      </c>
      <c r="K127" s="121">
        <v>378.73</v>
      </c>
      <c r="L127" s="120" t="s">
        <v>63</v>
      </c>
      <c r="M127" s="120"/>
      <c r="N127" s="123"/>
      <c r="O127" s="124">
        <v>41000.0</v>
      </c>
      <c r="P127" s="124">
        <v>481.0</v>
      </c>
      <c r="Q127" s="111">
        <v>228.0</v>
      </c>
      <c r="R127" s="125">
        <v>399.0</v>
      </c>
      <c r="S127" s="126">
        <v>0.9492</v>
      </c>
      <c r="T127" s="127">
        <v>73563.0</v>
      </c>
      <c r="U127" s="128">
        <f t="shared" si="1"/>
        <v>0</v>
      </c>
      <c r="V127" s="79" t="s">
        <v>65</v>
      </c>
      <c r="W127" s="79" t="s">
        <v>65</v>
      </c>
      <c r="X127" s="79" t="s">
        <v>68</v>
      </c>
      <c r="Y127" s="130"/>
      <c r="Z127" s="111"/>
      <c r="AA127" s="133"/>
      <c r="AB127" s="133"/>
      <c r="AC127" s="133"/>
      <c r="AD127" s="133"/>
      <c r="AE127" s="133"/>
      <c r="AF127" s="111"/>
      <c r="AG127" s="134" t="s">
        <v>690</v>
      </c>
      <c r="AH127" s="73"/>
      <c r="AI127" s="135"/>
      <c r="AJ127" s="136"/>
      <c r="AK127" s="76"/>
      <c r="AL127" s="137"/>
      <c r="AM127" s="139" t="s">
        <v>71</v>
      </c>
      <c r="AN127" s="139">
        <v>481.0</v>
      </c>
      <c r="AO127" s="140">
        <v>123.78</v>
      </c>
      <c r="AP127" s="142">
        <v>41000.0</v>
      </c>
      <c r="AQ127" s="142">
        <v>228.0</v>
      </c>
      <c r="AR127" s="143"/>
      <c r="AS127" s="144">
        <v>0.9595776638781154</v>
      </c>
      <c r="AT127" s="144">
        <v>-0.01037766387811534</v>
      </c>
      <c r="AU127" s="146" t="s">
        <v>692</v>
      </c>
      <c r="AV127" s="146" t="s">
        <v>692</v>
      </c>
      <c r="AW127" s="148" t="s">
        <v>692</v>
      </c>
      <c r="AX127" s="151"/>
      <c r="AY127" s="105"/>
      <c r="AZ127" s="186"/>
      <c r="BA127" s="186"/>
      <c r="BB127" s="146"/>
      <c r="BC127" s="155"/>
      <c r="BD127" s="155"/>
      <c r="BE127" s="155"/>
      <c r="BF127" s="45"/>
    </row>
    <row r="128" ht="16.5" customHeight="1">
      <c r="A128" s="111">
        <v>125.0</v>
      </c>
      <c r="B128" s="112" t="s">
        <v>554</v>
      </c>
      <c r="C128" s="115" t="s">
        <v>60</v>
      </c>
      <c r="D128" s="157">
        <v>41615.0</v>
      </c>
      <c r="E128" s="117">
        <v>42084.0</v>
      </c>
      <c r="F128" s="174" t="s">
        <v>103</v>
      </c>
      <c r="G128" s="118">
        <v>72778.0</v>
      </c>
      <c r="H128" s="114">
        <v>154.8</v>
      </c>
      <c r="I128" s="120">
        <v>378.0</v>
      </c>
      <c r="J128" s="111" t="s">
        <v>62</v>
      </c>
      <c r="K128" s="121">
        <v>378.0</v>
      </c>
      <c r="L128" s="120" t="s">
        <v>63</v>
      </c>
      <c r="M128" s="120"/>
      <c r="N128" s="123"/>
      <c r="O128" s="124">
        <v>72778.0</v>
      </c>
      <c r="P128" s="124">
        <v>470.0</v>
      </c>
      <c r="Q128" s="111">
        <v>214.0</v>
      </c>
      <c r="R128" s="125">
        <v>400.0</v>
      </c>
      <c r="S128" s="126">
        <v>0.945</v>
      </c>
      <c r="T128" s="127">
        <v>73237.5</v>
      </c>
      <c r="U128" s="128">
        <f t="shared" si="1"/>
        <v>0</v>
      </c>
      <c r="V128" s="79" t="s">
        <v>64</v>
      </c>
      <c r="W128" s="79" t="s">
        <v>65</v>
      </c>
      <c r="X128" s="79" t="s">
        <v>68</v>
      </c>
      <c r="Y128" s="130"/>
      <c r="Z128" s="111"/>
      <c r="AA128" s="133"/>
      <c r="AB128" s="133"/>
      <c r="AC128" s="133"/>
      <c r="AD128" s="133"/>
      <c r="AE128" s="133"/>
      <c r="AF128" s="111"/>
      <c r="AG128" s="147"/>
      <c r="AH128" s="73"/>
      <c r="AI128" s="135"/>
      <c r="AJ128" s="136"/>
      <c r="AK128" s="76"/>
      <c r="AL128" s="137"/>
      <c r="AM128" s="139" t="s">
        <v>71</v>
      </c>
      <c r="AN128" s="139">
        <v>470.0</v>
      </c>
      <c r="AO128" s="140">
        <v>206.66</v>
      </c>
      <c r="AP128" s="142">
        <v>72778.0</v>
      </c>
      <c r="AQ128" s="142">
        <v>214.0</v>
      </c>
      <c r="AR128" s="143"/>
      <c r="AS128" s="144">
        <v>0.9501457083915311</v>
      </c>
      <c r="AT128" s="144">
        <v>-0.0051457083915311674</v>
      </c>
      <c r="AU128" s="146" t="s">
        <v>697</v>
      </c>
      <c r="AV128" s="146" t="s">
        <v>697</v>
      </c>
      <c r="AW128" s="148" t="s">
        <v>697</v>
      </c>
      <c r="AX128" s="151"/>
      <c r="AY128" s="105"/>
      <c r="AZ128" s="186"/>
      <c r="BA128" s="186"/>
      <c r="BB128" s="146"/>
      <c r="BC128" s="155"/>
      <c r="BD128" s="155"/>
      <c r="BE128" s="155"/>
      <c r="BF128" s="45"/>
    </row>
    <row r="129" ht="16.5" customHeight="1">
      <c r="A129" s="111">
        <v>126.0</v>
      </c>
      <c r="B129" s="112" t="s">
        <v>308</v>
      </c>
      <c r="C129" s="115" t="s">
        <v>60</v>
      </c>
      <c r="D129" s="117">
        <v>41592.0</v>
      </c>
      <c r="E129" s="117">
        <v>42089.0</v>
      </c>
      <c r="F129" s="174" t="s">
        <v>103</v>
      </c>
      <c r="G129" s="118">
        <v>51255.0</v>
      </c>
      <c r="H129" s="114">
        <v>102.9</v>
      </c>
      <c r="I129" s="120">
        <v>375.0</v>
      </c>
      <c r="J129" s="111" t="s">
        <v>61</v>
      </c>
      <c r="K129" s="121">
        <v>379.75</v>
      </c>
      <c r="L129" s="120" t="s">
        <v>63</v>
      </c>
      <c r="M129" s="120"/>
      <c r="N129" s="123"/>
      <c r="O129" s="124">
        <v>51255.0</v>
      </c>
      <c r="P129" s="124">
        <v>498.0</v>
      </c>
      <c r="Q129" s="111">
        <v>255.0</v>
      </c>
      <c r="R129" s="125">
        <v>400.0</v>
      </c>
      <c r="S129" s="126">
        <v>0.9494</v>
      </c>
      <c r="T129" s="127">
        <v>73578.5</v>
      </c>
      <c r="U129" s="128">
        <f t="shared" si="1"/>
        <v>0</v>
      </c>
      <c r="V129" s="79" t="s">
        <v>64</v>
      </c>
      <c r="W129" s="79" t="s">
        <v>65</v>
      </c>
      <c r="X129" s="79" t="s">
        <v>69</v>
      </c>
      <c r="Y129" s="130"/>
      <c r="Z129" s="111"/>
      <c r="AA129" s="133"/>
      <c r="AB129" s="133"/>
      <c r="AC129" s="133"/>
      <c r="AD129" s="133"/>
      <c r="AE129" s="133"/>
      <c r="AF129" s="111"/>
      <c r="AG129" s="147"/>
      <c r="AH129" s="73"/>
      <c r="AI129" s="135"/>
      <c r="AJ129" s="136"/>
      <c r="AK129" s="76"/>
      <c r="AL129" s="137"/>
      <c r="AM129" s="139" t="s">
        <v>71</v>
      </c>
      <c r="AN129" s="139">
        <v>498.0</v>
      </c>
      <c r="AO129" s="140">
        <v>173.04</v>
      </c>
      <c r="AP129" s="142">
        <v>51255.0</v>
      </c>
      <c r="AQ129" s="142">
        <v>255.0</v>
      </c>
      <c r="AR129" s="143"/>
      <c r="AS129" s="144">
        <v>0.9557699693020518</v>
      </c>
      <c r="AT129" s="144">
        <v>-0.006369969302051803</v>
      </c>
      <c r="AU129" s="146" t="s">
        <v>702</v>
      </c>
      <c r="AV129" s="146" t="s">
        <v>702</v>
      </c>
      <c r="AW129" s="148" t="s">
        <v>702</v>
      </c>
      <c r="AX129" s="151"/>
      <c r="AY129" s="105"/>
      <c r="AZ129" s="186"/>
      <c r="BA129" s="186"/>
      <c r="BB129" s="146"/>
      <c r="BC129" s="155"/>
      <c r="BD129" s="155"/>
      <c r="BE129" s="155"/>
      <c r="BF129" s="45"/>
    </row>
    <row r="130" ht="16.5" customHeight="1">
      <c r="A130" s="111">
        <v>127.0</v>
      </c>
      <c r="B130" s="112" t="s">
        <v>339</v>
      </c>
      <c r="C130" s="115" t="s">
        <v>60</v>
      </c>
      <c r="D130" s="117">
        <v>41912.0</v>
      </c>
      <c r="E130" s="237">
        <v>42092.0</v>
      </c>
      <c r="F130" s="79" t="s">
        <v>59</v>
      </c>
      <c r="G130" s="118">
        <v>20412.0</v>
      </c>
      <c r="H130" s="114">
        <v>112.8</v>
      </c>
      <c r="I130" s="120">
        <v>381.0</v>
      </c>
      <c r="J130" s="111" t="s">
        <v>61</v>
      </c>
      <c r="K130" s="121">
        <v>385.82</v>
      </c>
      <c r="L130" s="120" t="s">
        <v>63</v>
      </c>
      <c r="M130" s="120"/>
      <c r="N130" s="123"/>
      <c r="O130" s="124">
        <v>20412.0</v>
      </c>
      <c r="P130" s="124">
        <v>181.0</v>
      </c>
      <c r="Q130" s="111">
        <v>269.0</v>
      </c>
      <c r="R130" s="125">
        <v>399.0</v>
      </c>
      <c r="S130" s="126">
        <v>0.967</v>
      </c>
      <c r="T130" s="127">
        <v>74942.5</v>
      </c>
      <c r="U130" s="128">
        <f t="shared" si="1"/>
        <v>0</v>
      </c>
      <c r="V130" s="79" t="s">
        <v>65</v>
      </c>
      <c r="W130" s="79" t="s">
        <v>65</v>
      </c>
      <c r="X130" s="79" t="s">
        <v>68</v>
      </c>
      <c r="Y130" s="130">
        <v>0.7</v>
      </c>
      <c r="Z130" s="111"/>
      <c r="AA130" s="133"/>
      <c r="AB130" s="133"/>
      <c r="AC130" s="133"/>
      <c r="AD130" s="133"/>
      <c r="AE130" s="133"/>
      <c r="AF130" s="111"/>
      <c r="AG130" s="147"/>
      <c r="AH130" s="73"/>
      <c r="AI130" s="135"/>
      <c r="AJ130" s="136"/>
      <c r="AK130" s="76"/>
      <c r="AL130" s="137"/>
      <c r="AM130" s="139" t="s">
        <v>71</v>
      </c>
      <c r="AN130" s="139">
        <v>181.0</v>
      </c>
      <c r="AO130" s="140">
        <v>72.05</v>
      </c>
      <c r="AP130" s="142">
        <v>20412.0</v>
      </c>
      <c r="AQ130" s="142">
        <v>269.0</v>
      </c>
      <c r="AR130" s="143"/>
      <c r="AS130" s="144">
        <v>0.9722288811308197</v>
      </c>
      <c r="AT130" s="144">
        <v>-0.0052288811308197625</v>
      </c>
      <c r="AU130" s="146" t="s">
        <v>708</v>
      </c>
      <c r="AV130" s="146" t="s">
        <v>708</v>
      </c>
      <c r="AW130" s="148" t="s">
        <v>708</v>
      </c>
      <c r="AX130" s="151"/>
      <c r="AY130" s="105"/>
      <c r="AZ130" s="186"/>
      <c r="BA130" s="186"/>
      <c r="BB130" s="146"/>
      <c r="BC130" s="155"/>
      <c r="BD130" s="155"/>
      <c r="BE130" s="155"/>
      <c r="BF130" s="45"/>
    </row>
    <row r="131" ht="16.5" customHeight="1">
      <c r="A131" s="111">
        <v>128.0</v>
      </c>
      <c r="B131" s="165" t="s">
        <v>640</v>
      </c>
      <c r="C131" s="115" t="s">
        <v>60</v>
      </c>
      <c r="D131" s="117">
        <v>41927.0</v>
      </c>
      <c r="E131" s="117">
        <v>42092.0</v>
      </c>
      <c r="F131" s="79" t="s">
        <v>59</v>
      </c>
      <c r="G131" s="118">
        <v>5249.0</v>
      </c>
      <c r="H131" s="114">
        <v>31.6</v>
      </c>
      <c r="I131" s="123">
        <v>393.0</v>
      </c>
      <c r="J131" s="111" t="s">
        <v>61</v>
      </c>
      <c r="K131" s="121">
        <v>397.97</v>
      </c>
      <c r="L131" s="120" t="s">
        <v>63</v>
      </c>
      <c r="M131" s="120"/>
      <c r="N131" s="123"/>
      <c r="O131" s="124">
        <v>5249.0</v>
      </c>
      <c r="P131" s="124">
        <v>166.0</v>
      </c>
      <c r="Q131" s="133">
        <v>242.0</v>
      </c>
      <c r="R131" s="125">
        <v>399.0</v>
      </c>
      <c r="S131" s="126">
        <v>0.9974</v>
      </c>
      <c r="T131" s="127">
        <v>77298.5</v>
      </c>
      <c r="U131" s="128">
        <f t="shared" si="1"/>
        <v>0</v>
      </c>
      <c r="V131" s="79" t="s">
        <v>80</v>
      </c>
      <c r="W131" s="79" t="s">
        <v>65</v>
      </c>
      <c r="X131" s="79" t="s">
        <v>68</v>
      </c>
      <c r="Y131" s="130"/>
      <c r="Z131" s="111">
        <v>3.7</v>
      </c>
      <c r="AA131" s="133"/>
      <c r="AB131" s="133"/>
      <c r="AC131" s="133"/>
      <c r="AD131" s="133"/>
      <c r="AE131" s="133"/>
      <c r="AF131" s="111"/>
      <c r="AG131" s="147"/>
      <c r="AH131" s="73"/>
      <c r="AI131" s="135"/>
      <c r="AJ131" s="136"/>
      <c r="AK131" s="76"/>
      <c r="AL131" s="137"/>
      <c r="AM131" s="139" t="s">
        <v>71</v>
      </c>
      <c r="AN131" s="139">
        <v>166.0</v>
      </c>
      <c r="AO131" s="140">
        <v>16.42</v>
      </c>
      <c r="AP131" s="142">
        <v>5249.0</v>
      </c>
      <c r="AQ131" s="142">
        <v>242.0</v>
      </c>
      <c r="AR131" s="143"/>
      <c r="AS131" s="144">
        <v>0.9904587747898274</v>
      </c>
      <c r="AT131" s="144">
        <v>0.006941225210172597</v>
      </c>
      <c r="AU131" s="146" t="s">
        <v>712</v>
      </c>
      <c r="AV131" s="146" t="s">
        <v>712</v>
      </c>
      <c r="AW131" s="148" t="s">
        <v>712</v>
      </c>
      <c r="AX131" s="151"/>
      <c r="AY131" s="105"/>
      <c r="AZ131" s="186"/>
      <c r="BA131" s="186"/>
      <c r="BB131" s="146"/>
      <c r="BC131" s="155"/>
      <c r="BD131" s="155"/>
      <c r="BE131" s="155"/>
      <c r="BF131" s="45"/>
    </row>
    <row r="132" ht="16.5" customHeight="1">
      <c r="A132" s="111">
        <v>129.0</v>
      </c>
      <c r="B132" s="165" t="s">
        <v>300</v>
      </c>
      <c r="C132" s="115" t="s">
        <v>60</v>
      </c>
      <c r="D132" s="157">
        <v>41593.0</v>
      </c>
      <c r="E132" s="117">
        <v>42100.0</v>
      </c>
      <c r="F132" s="79" t="s">
        <v>59</v>
      </c>
      <c r="G132" s="118">
        <v>60588.0</v>
      </c>
      <c r="H132" s="114">
        <v>119.3</v>
      </c>
      <c r="I132" s="123">
        <v>378.0</v>
      </c>
      <c r="J132" s="111" t="s">
        <v>61</v>
      </c>
      <c r="K132" s="121">
        <v>382.78</v>
      </c>
      <c r="L132" s="120" t="s">
        <v>195</v>
      </c>
      <c r="M132" s="120" t="s">
        <v>281</v>
      </c>
      <c r="N132" s="123">
        <v>28000.0</v>
      </c>
      <c r="O132" s="124">
        <v>46312.0</v>
      </c>
      <c r="P132" s="124">
        <v>388.0</v>
      </c>
      <c r="Q132" s="133">
        <v>235.0</v>
      </c>
      <c r="R132" s="125">
        <v>399.0</v>
      </c>
      <c r="S132" s="126">
        <v>0.9593</v>
      </c>
      <c r="T132" s="127">
        <v>74345.75</v>
      </c>
      <c r="U132" s="128">
        <f t="shared" si="1"/>
        <v>0</v>
      </c>
      <c r="V132" s="79" t="s">
        <v>67</v>
      </c>
      <c r="W132" s="79" t="s">
        <v>65</v>
      </c>
      <c r="X132" s="79" t="s">
        <v>69</v>
      </c>
      <c r="Y132" s="130"/>
      <c r="Z132" s="111"/>
      <c r="AA132" s="133"/>
      <c r="AB132" s="133"/>
      <c r="AC132" s="133"/>
      <c r="AD132" s="133"/>
      <c r="AE132" s="133"/>
      <c r="AF132" s="111"/>
      <c r="AG132" s="147" t="s">
        <v>111</v>
      </c>
      <c r="AH132" s="73"/>
      <c r="AI132" s="135"/>
      <c r="AJ132" s="136"/>
      <c r="AK132" s="76"/>
      <c r="AL132" s="137"/>
      <c r="AM132" s="139" t="s">
        <v>71</v>
      </c>
      <c r="AN132" s="139">
        <v>508.0</v>
      </c>
      <c r="AO132" s="140">
        <v>143.36</v>
      </c>
      <c r="AP132" s="142">
        <v>46312.0</v>
      </c>
      <c r="AQ132" s="142">
        <v>235.0</v>
      </c>
      <c r="AR132" s="143"/>
      <c r="AS132" s="144">
        <v>0.9574732047716102</v>
      </c>
      <c r="AT132" s="144">
        <v>0.0018267952283897992</v>
      </c>
      <c r="AU132" s="146" t="s">
        <v>716</v>
      </c>
      <c r="AV132" s="146" t="s">
        <v>716</v>
      </c>
      <c r="AW132" s="148" t="s">
        <v>716</v>
      </c>
      <c r="AX132" s="151"/>
      <c r="AY132" s="105"/>
      <c r="AZ132" s="186"/>
      <c r="BA132" s="186"/>
      <c r="BB132" s="146"/>
      <c r="BC132" s="155"/>
      <c r="BD132" s="155"/>
      <c r="BE132" s="155"/>
      <c r="BF132" s="45"/>
    </row>
    <row r="133" ht="16.5" customHeight="1">
      <c r="A133" s="111">
        <v>130.0</v>
      </c>
      <c r="B133" s="112" t="s">
        <v>717</v>
      </c>
      <c r="C133" s="115" t="s">
        <v>60</v>
      </c>
      <c r="D133" s="117">
        <v>42093.0</v>
      </c>
      <c r="E133" s="117">
        <v>42101.0</v>
      </c>
      <c r="F133" s="79" t="s">
        <v>90</v>
      </c>
      <c r="G133" s="118">
        <v>317.0</v>
      </c>
      <c r="H133" s="114">
        <v>35.2</v>
      </c>
      <c r="I133" s="120">
        <v>404.0</v>
      </c>
      <c r="J133" s="111" t="s">
        <v>61</v>
      </c>
      <c r="K133" s="121">
        <v>409.11</v>
      </c>
      <c r="L133" s="120" t="s">
        <v>63</v>
      </c>
      <c r="M133" s="120"/>
      <c r="N133" s="123"/>
      <c r="O133" s="124">
        <v>317.0</v>
      </c>
      <c r="P133" s="124">
        <v>9.0</v>
      </c>
      <c r="Q133" s="111">
        <v>225.0</v>
      </c>
      <c r="R133" s="125">
        <v>408.0</v>
      </c>
      <c r="S133" s="126">
        <v>1.0027</v>
      </c>
      <c r="T133" s="127">
        <v>77709.25</v>
      </c>
      <c r="U133" s="128">
        <f t="shared" si="1"/>
        <v>0</v>
      </c>
      <c r="V133" s="79" t="s">
        <v>65</v>
      </c>
      <c r="W133" s="79" t="s">
        <v>65</v>
      </c>
      <c r="X133" s="79" t="s">
        <v>68</v>
      </c>
      <c r="Y133" s="130"/>
      <c r="Z133" s="111"/>
      <c r="AA133" s="133"/>
      <c r="AB133" s="133"/>
      <c r="AC133" s="133"/>
      <c r="AD133" s="133"/>
      <c r="AE133" s="133"/>
      <c r="AF133" s="111"/>
      <c r="AG133" s="134" t="s">
        <v>111</v>
      </c>
      <c r="AH133" s="73"/>
      <c r="AI133" s="135"/>
      <c r="AJ133" s="136"/>
      <c r="AK133" s="76"/>
      <c r="AL133" s="137"/>
      <c r="AM133" s="139" t="s">
        <v>71</v>
      </c>
      <c r="AN133" s="139">
        <v>9.0</v>
      </c>
      <c r="AO133" s="140">
        <v>0.92</v>
      </c>
      <c r="AP133" s="142">
        <v>317.0</v>
      </c>
      <c r="AQ133" s="142">
        <v>225.0</v>
      </c>
      <c r="AR133" s="143"/>
      <c r="AS133" s="144">
        <v>0.9993603175257997</v>
      </c>
      <c r="AT133" s="144">
        <v>0.003339682474200245</v>
      </c>
      <c r="AU133" s="146" t="s">
        <v>720</v>
      </c>
      <c r="AV133" s="146" t="s">
        <v>720</v>
      </c>
      <c r="AW133" s="148" t="s">
        <v>720</v>
      </c>
      <c r="AX133" s="151"/>
      <c r="AY133" s="105"/>
      <c r="AZ133" s="186"/>
      <c r="BA133" s="186"/>
      <c r="BB133" s="146"/>
      <c r="BC133" s="155"/>
      <c r="BD133" s="155"/>
      <c r="BE133" s="155"/>
      <c r="BF133" s="45"/>
    </row>
    <row r="134" ht="16.5" customHeight="1">
      <c r="A134" s="111">
        <v>131.0</v>
      </c>
      <c r="B134" s="165" t="s">
        <v>279</v>
      </c>
      <c r="C134" s="115" t="s">
        <v>60</v>
      </c>
      <c r="D134" s="157">
        <v>41592.0</v>
      </c>
      <c r="E134" s="117">
        <v>42103.0</v>
      </c>
      <c r="F134" s="79" t="s">
        <v>59</v>
      </c>
      <c r="G134" s="118">
        <v>38867.0</v>
      </c>
      <c r="H134" s="114">
        <v>75.9</v>
      </c>
      <c r="I134" s="120">
        <v>385.0</v>
      </c>
      <c r="J134" s="111" t="s">
        <v>61</v>
      </c>
      <c r="K134" s="121">
        <v>389.87</v>
      </c>
      <c r="L134" s="120" t="s">
        <v>195</v>
      </c>
      <c r="M134" s="120" t="s">
        <v>281</v>
      </c>
      <c r="N134" s="123">
        <v>12000.0</v>
      </c>
      <c r="O134" s="124">
        <v>26867.0</v>
      </c>
      <c r="P134" s="124">
        <v>354.0</v>
      </c>
      <c r="Q134" s="111">
        <v>239.0</v>
      </c>
      <c r="R134" s="125">
        <v>399.0</v>
      </c>
      <c r="S134" s="126">
        <v>0.9771</v>
      </c>
      <c r="T134" s="127">
        <v>75725.25</v>
      </c>
      <c r="U134" s="128">
        <f t="shared" si="1"/>
        <v>0</v>
      </c>
      <c r="V134" s="79" t="s">
        <v>64</v>
      </c>
      <c r="W134" s="79" t="s">
        <v>69</v>
      </c>
      <c r="X134" s="79" t="s">
        <v>68</v>
      </c>
      <c r="Y134" s="130"/>
      <c r="Z134" s="111"/>
      <c r="AA134" s="133"/>
      <c r="AB134" s="133"/>
      <c r="AC134" s="133"/>
      <c r="AD134" s="133"/>
      <c r="AE134" s="133"/>
      <c r="AF134" s="111"/>
      <c r="AG134" s="147"/>
      <c r="AH134" s="73"/>
      <c r="AI134" s="135"/>
      <c r="AJ134" s="136"/>
      <c r="AK134" s="76"/>
      <c r="AL134" s="137"/>
      <c r="AM134" s="139" t="s">
        <v>71</v>
      </c>
      <c r="AN134" s="139">
        <v>512.0</v>
      </c>
      <c r="AO134" s="140">
        <v>83.83</v>
      </c>
      <c r="AP134" s="142">
        <v>26867.0</v>
      </c>
      <c r="AQ134" s="142">
        <v>239.0</v>
      </c>
      <c r="AR134" s="143"/>
      <c r="AS134" s="144">
        <v>0.9672347990943888</v>
      </c>
      <c r="AT134" s="144">
        <v>0.00986520090561116</v>
      </c>
      <c r="AU134" s="146" t="s">
        <v>723</v>
      </c>
      <c r="AV134" s="146" t="s">
        <v>723</v>
      </c>
      <c r="AW134" s="148" t="s">
        <v>723</v>
      </c>
      <c r="AX134" s="151"/>
      <c r="AY134" s="105"/>
      <c r="AZ134" s="186"/>
      <c r="BA134" s="186"/>
      <c r="BB134" s="146"/>
      <c r="BC134" s="155"/>
      <c r="BD134" s="155"/>
      <c r="BE134" s="155"/>
      <c r="BF134" s="45"/>
    </row>
    <row r="135" ht="16.5" customHeight="1">
      <c r="A135" s="111">
        <v>132.0</v>
      </c>
      <c r="B135" s="165" t="s">
        <v>241</v>
      </c>
      <c r="C135" s="115" t="s">
        <v>60</v>
      </c>
      <c r="D135" s="157">
        <v>41810.0</v>
      </c>
      <c r="E135" s="117">
        <v>42104.0</v>
      </c>
      <c r="F135" s="79" t="s">
        <v>59</v>
      </c>
      <c r="G135" s="118">
        <v>27000.0</v>
      </c>
      <c r="H135" s="114">
        <v>91.5</v>
      </c>
      <c r="I135" s="120">
        <v>382.0</v>
      </c>
      <c r="J135" s="111" t="s">
        <v>61</v>
      </c>
      <c r="K135" s="121">
        <v>386.84</v>
      </c>
      <c r="L135" s="120" t="s">
        <v>63</v>
      </c>
      <c r="M135" s="120"/>
      <c r="N135" s="123"/>
      <c r="O135" s="124">
        <v>27000.0</v>
      </c>
      <c r="P135" s="124">
        <v>295.0</v>
      </c>
      <c r="Q135" s="111">
        <v>250.0</v>
      </c>
      <c r="R135" s="125">
        <v>399.0</v>
      </c>
      <c r="S135" s="126">
        <v>0.9695</v>
      </c>
      <c r="T135" s="127">
        <v>75136.25</v>
      </c>
      <c r="U135" s="128">
        <f t="shared" si="1"/>
        <v>0</v>
      </c>
      <c r="V135" s="79" t="s">
        <v>65</v>
      </c>
      <c r="W135" s="79" t="s">
        <v>69</v>
      </c>
      <c r="X135" s="79" t="s">
        <v>66</v>
      </c>
      <c r="Y135" s="130"/>
      <c r="Z135" s="111"/>
      <c r="AA135" s="133"/>
      <c r="AB135" s="133"/>
      <c r="AC135" s="133"/>
      <c r="AD135" s="133"/>
      <c r="AE135" s="133"/>
      <c r="AF135" s="111"/>
      <c r="AG135" s="147"/>
      <c r="AH135" s="73"/>
      <c r="AI135" s="135"/>
      <c r="AJ135" s="136"/>
      <c r="AK135" s="76"/>
      <c r="AL135" s="137"/>
      <c r="AM135" s="139" t="s">
        <v>71</v>
      </c>
      <c r="AN135" s="139">
        <v>295.0</v>
      </c>
      <c r="AO135" s="140">
        <v>88.46</v>
      </c>
      <c r="AP135" s="142">
        <v>27000.0</v>
      </c>
      <c r="AQ135" s="142">
        <v>250.0</v>
      </c>
      <c r="AR135" s="143"/>
      <c r="AS135" s="144">
        <v>0.9671439869277211</v>
      </c>
      <c r="AT135" s="144">
        <v>0.0023560130722789507</v>
      </c>
      <c r="AU135" s="146" t="s">
        <v>725</v>
      </c>
      <c r="AV135" s="146" t="s">
        <v>725</v>
      </c>
      <c r="AW135" s="148" t="s">
        <v>725</v>
      </c>
      <c r="AX135" s="151"/>
      <c r="AY135" s="105"/>
      <c r="AZ135" s="186"/>
      <c r="BA135" s="186"/>
      <c r="BB135" s="146"/>
      <c r="BC135" s="155"/>
      <c r="BD135" s="155"/>
      <c r="BE135" s="155"/>
      <c r="BF135" s="45"/>
    </row>
    <row r="136" ht="16.5" customHeight="1">
      <c r="A136" s="111">
        <v>133.0</v>
      </c>
      <c r="B136" s="165" t="s">
        <v>640</v>
      </c>
      <c r="C136" s="115" t="s">
        <v>60</v>
      </c>
      <c r="D136" s="117">
        <v>41927.0</v>
      </c>
      <c r="E136" s="117">
        <v>42105.0</v>
      </c>
      <c r="F136" s="79" t="s">
        <v>59</v>
      </c>
      <c r="G136" s="118">
        <v>8249.0</v>
      </c>
      <c r="H136" s="114">
        <v>46.1</v>
      </c>
      <c r="I136" s="123">
        <v>393.0</v>
      </c>
      <c r="J136" s="111" t="s">
        <v>61</v>
      </c>
      <c r="K136" s="121">
        <v>397.97</v>
      </c>
      <c r="L136" s="120" t="s">
        <v>63</v>
      </c>
      <c r="M136" s="120"/>
      <c r="N136" s="123"/>
      <c r="O136" s="124">
        <v>8249.0</v>
      </c>
      <c r="P136" s="124">
        <v>179.0</v>
      </c>
      <c r="Q136" s="111">
        <v>232.0</v>
      </c>
      <c r="R136" s="125">
        <v>399.0</v>
      </c>
      <c r="S136" s="126">
        <v>0.9974</v>
      </c>
      <c r="T136" s="127">
        <v>77298.5</v>
      </c>
      <c r="U136" s="128">
        <f t="shared" si="1"/>
        <v>0</v>
      </c>
      <c r="V136" s="79" t="s">
        <v>80</v>
      </c>
      <c r="W136" s="79" t="s">
        <v>67</v>
      </c>
      <c r="X136" s="79" t="s">
        <v>68</v>
      </c>
      <c r="Y136" s="130"/>
      <c r="Z136" s="111">
        <v>3.7</v>
      </c>
      <c r="AA136" s="133"/>
      <c r="AB136" s="133"/>
      <c r="AC136" s="133"/>
      <c r="AD136" s="133"/>
      <c r="AE136" s="133"/>
      <c r="AF136" s="111"/>
      <c r="AG136" s="147"/>
      <c r="AH136" s="73"/>
      <c r="AI136" s="135"/>
      <c r="AJ136" s="136"/>
      <c r="AK136" s="76"/>
      <c r="AL136" s="137"/>
      <c r="AM136" s="139" t="s">
        <v>71</v>
      </c>
      <c r="AN136" s="139">
        <v>179.0</v>
      </c>
      <c r="AO136" s="140">
        <v>24.73</v>
      </c>
      <c r="AP136" s="142">
        <v>8249.0</v>
      </c>
      <c r="AQ136" s="142">
        <v>232.0</v>
      </c>
      <c r="AR136" s="143"/>
      <c r="AS136" s="144">
        <v>0.9858938461143468</v>
      </c>
      <c r="AT136" s="144">
        <v>0.011506153885653125</v>
      </c>
      <c r="AU136" s="146" t="s">
        <v>727</v>
      </c>
      <c r="AV136" s="146" t="s">
        <v>727</v>
      </c>
      <c r="AW136" s="148" t="s">
        <v>727</v>
      </c>
      <c r="AX136" s="151"/>
      <c r="AY136" s="105"/>
      <c r="AZ136" s="186"/>
      <c r="BA136" s="186"/>
      <c r="BB136" s="146"/>
      <c r="BC136" s="155"/>
      <c r="BD136" s="155"/>
      <c r="BE136" s="155"/>
      <c r="BF136" s="45"/>
    </row>
    <row r="137" ht="16.5" customHeight="1">
      <c r="A137" s="111">
        <v>134.0</v>
      </c>
      <c r="B137" s="112" t="s">
        <v>623</v>
      </c>
      <c r="C137" s="115" t="s">
        <v>60</v>
      </c>
      <c r="D137" s="117">
        <v>41794.0</v>
      </c>
      <c r="E137" s="117">
        <v>42106.0</v>
      </c>
      <c r="F137" s="79" t="s">
        <v>59</v>
      </c>
      <c r="G137" s="118">
        <v>42379.0</v>
      </c>
      <c r="H137" s="114">
        <v>135.4</v>
      </c>
      <c r="I137" s="120">
        <v>379.0</v>
      </c>
      <c r="J137" s="111" t="s">
        <v>62</v>
      </c>
      <c r="K137" s="121">
        <v>379.0</v>
      </c>
      <c r="L137" s="120" t="s">
        <v>63</v>
      </c>
      <c r="M137" s="120"/>
      <c r="N137" s="123"/>
      <c r="O137" s="124">
        <v>42379.0</v>
      </c>
      <c r="P137" s="124">
        <v>313.0</v>
      </c>
      <c r="Q137" s="111">
        <v>194.0</v>
      </c>
      <c r="R137" s="125">
        <v>399.0</v>
      </c>
      <c r="S137" s="126">
        <v>0.9499</v>
      </c>
      <c r="T137" s="127">
        <v>73617.25</v>
      </c>
      <c r="U137" s="128">
        <f t="shared" si="1"/>
        <v>0</v>
      </c>
      <c r="V137" s="79" t="s">
        <v>67</v>
      </c>
      <c r="W137" s="79" t="s">
        <v>64</v>
      </c>
      <c r="X137" s="79" t="s">
        <v>68</v>
      </c>
      <c r="Y137" s="130"/>
      <c r="Z137" s="111"/>
      <c r="AA137" s="133"/>
      <c r="AB137" s="133"/>
      <c r="AC137" s="133"/>
      <c r="AD137" s="133"/>
      <c r="AE137" s="133"/>
      <c r="AF137" s="111"/>
      <c r="AG137" s="134" t="s">
        <v>730</v>
      </c>
      <c r="AH137" s="73"/>
      <c r="AI137" s="135"/>
      <c r="AJ137" s="136"/>
      <c r="AK137" s="76"/>
      <c r="AL137" s="137"/>
      <c r="AM137" s="139" t="s">
        <v>71</v>
      </c>
      <c r="AN137" s="139">
        <v>313.0</v>
      </c>
      <c r="AO137" s="140">
        <v>108.82</v>
      </c>
      <c r="AP137" s="142">
        <v>42379.0</v>
      </c>
      <c r="AQ137" s="142">
        <v>194.0</v>
      </c>
      <c r="AR137" s="143"/>
      <c r="AS137" s="144">
        <v>0.9590000791088329</v>
      </c>
      <c r="AT137" s="144">
        <v>-0.009100079108832926</v>
      </c>
      <c r="AU137" s="146" t="s">
        <v>731</v>
      </c>
      <c r="AV137" s="146" t="s">
        <v>731</v>
      </c>
      <c r="AW137" s="148" t="s">
        <v>731</v>
      </c>
      <c r="AX137" s="151"/>
      <c r="AY137" s="105"/>
      <c r="AZ137" s="186"/>
      <c r="BA137" s="186"/>
      <c r="BB137" s="146"/>
      <c r="BC137" s="155"/>
      <c r="BD137" s="155"/>
      <c r="BE137" s="155"/>
      <c r="BF137" s="45"/>
    </row>
    <row r="138" ht="16.5" customHeight="1">
      <c r="A138" s="111">
        <v>135.0</v>
      </c>
      <c r="B138" s="112" t="s">
        <v>212</v>
      </c>
      <c r="C138" s="115" t="s">
        <v>60</v>
      </c>
      <c r="D138" s="117">
        <v>41543.0</v>
      </c>
      <c r="E138" s="117">
        <v>42106.0</v>
      </c>
      <c r="F138" s="79" t="s">
        <v>59</v>
      </c>
      <c r="G138" s="118">
        <v>74020.0</v>
      </c>
      <c r="H138" s="114">
        <v>131.2</v>
      </c>
      <c r="I138" s="120">
        <v>375.0</v>
      </c>
      <c r="J138" s="111" t="s">
        <v>61</v>
      </c>
      <c r="K138" s="121">
        <v>379.75</v>
      </c>
      <c r="L138" s="120" t="s">
        <v>195</v>
      </c>
      <c r="M138" s="120" t="s">
        <v>196</v>
      </c>
      <c r="N138" s="120">
        <v>65000.0</v>
      </c>
      <c r="O138" s="124">
        <v>74020.0</v>
      </c>
      <c r="P138" s="124">
        <v>564.0</v>
      </c>
      <c r="Q138" s="111">
        <v>225.0</v>
      </c>
      <c r="R138" s="125">
        <v>399.0</v>
      </c>
      <c r="S138" s="126">
        <v>0.9518</v>
      </c>
      <c r="T138" s="127">
        <v>73764.5</v>
      </c>
      <c r="U138" s="128">
        <f t="shared" si="1"/>
        <v>0</v>
      </c>
      <c r="V138" s="79" t="s">
        <v>65</v>
      </c>
      <c r="W138" s="79" t="s">
        <v>65</v>
      </c>
      <c r="X138" s="79" t="s">
        <v>66</v>
      </c>
      <c r="Y138" s="130"/>
      <c r="Z138" s="111"/>
      <c r="AA138" s="133"/>
      <c r="AB138" s="133"/>
      <c r="AC138" s="133"/>
      <c r="AD138" s="133"/>
      <c r="AE138" s="133"/>
      <c r="AF138" s="111"/>
      <c r="AG138" s="147"/>
      <c r="AH138" s="73"/>
      <c r="AI138" s="135"/>
      <c r="AJ138" s="136"/>
      <c r="AK138" s="76"/>
      <c r="AL138" s="137"/>
      <c r="AM138" s="139" t="s">
        <v>71</v>
      </c>
      <c r="AN138" s="139">
        <v>564.0</v>
      </c>
      <c r="AO138" s="140">
        <v>220.23</v>
      </c>
      <c r="AP138" s="142">
        <v>74020.0</v>
      </c>
      <c r="AQ138" s="142">
        <v>225.0</v>
      </c>
      <c r="AR138" s="143"/>
      <c r="AS138" s="144">
        <v>0.949878501483496</v>
      </c>
      <c r="AT138" s="144">
        <v>0.0019214985165040277</v>
      </c>
      <c r="AU138" s="146" t="s">
        <v>734</v>
      </c>
      <c r="AV138" s="146" t="s">
        <v>734</v>
      </c>
      <c r="AW138" s="148" t="s">
        <v>734</v>
      </c>
      <c r="AX138" s="151"/>
      <c r="AY138" s="105"/>
      <c r="AZ138" s="186"/>
      <c r="BA138" s="186"/>
      <c r="BB138" s="146"/>
      <c r="BC138" s="155"/>
      <c r="BD138" s="155"/>
      <c r="BE138" s="155"/>
      <c r="BF138" s="45"/>
    </row>
    <row r="139" ht="16.5" customHeight="1">
      <c r="A139" s="111">
        <v>136.0</v>
      </c>
      <c r="B139" s="165" t="s">
        <v>126</v>
      </c>
      <c r="C139" s="115" t="s">
        <v>60</v>
      </c>
      <c r="D139" s="157">
        <v>41527.0</v>
      </c>
      <c r="E139" s="117">
        <v>42108.0</v>
      </c>
      <c r="F139" s="79" t="s">
        <v>79</v>
      </c>
      <c r="G139" s="118">
        <v>100000.0</v>
      </c>
      <c r="H139" s="114">
        <v>171.8</v>
      </c>
      <c r="I139" s="120">
        <v>380.0</v>
      </c>
      <c r="J139" s="111" t="s">
        <v>61</v>
      </c>
      <c r="K139" s="121">
        <v>384.81</v>
      </c>
      <c r="L139" s="120" t="s">
        <v>63</v>
      </c>
      <c r="M139" s="120"/>
      <c r="N139" s="123"/>
      <c r="O139" s="124">
        <v>100000.0</v>
      </c>
      <c r="P139" s="124">
        <v>582.0</v>
      </c>
      <c r="Q139" s="111">
        <v>218.0</v>
      </c>
      <c r="R139" s="125">
        <v>399.0</v>
      </c>
      <c r="S139" s="126">
        <v>0.9644</v>
      </c>
      <c r="T139" s="127">
        <v>74741.0</v>
      </c>
      <c r="U139" s="128">
        <f t="shared" si="1"/>
        <v>0</v>
      </c>
      <c r="V139" s="79" t="s">
        <v>65</v>
      </c>
      <c r="W139" s="79" t="s">
        <v>127</v>
      </c>
      <c r="X139" s="79" t="s">
        <v>66</v>
      </c>
      <c r="Y139" s="130">
        <v>1.0</v>
      </c>
      <c r="Z139" s="111">
        <v>22.0</v>
      </c>
      <c r="AA139" s="133"/>
      <c r="AB139" s="133"/>
      <c r="AC139" s="133"/>
      <c r="AD139" s="133"/>
      <c r="AE139" s="133"/>
      <c r="AF139" s="111"/>
      <c r="AG139" s="147" t="s">
        <v>128</v>
      </c>
      <c r="AH139" s="73"/>
      <c r="AI139" s="135"/>
      <c r="AJ139" s="136"/>
      <c r="AK139" s="76"/>
      <c r="AL139" s="137"/>
      <c r="AM139" s="139" t="s">
        <v>71</v>
      </c>
      <c r="AN139" s="139">
        <v>582.0</v>
      </c>
      <c r="AO139" s="140">
        <v>286.41</v>
      </c>
      <c r="AP139" s="142">
        <v>100000.0</v>
      </c>
      <c r="AQ139" s="142">
        <v>218.0</v>
      </c>
      <c r="AR139" s="143"/>
      <c r="AS139" s="144">
        <v>0.9449620218343179</v>
      </c>
      <c r="AT139" s="144">
        <v>0.019437978165682157</v>
      </c>
      <c r="AU139" s="146" t="s">
        <v>737</v>
      </c>
      <c r="AV139" s="146" t="s">
        <v>737</v>
      </c>
      <c r="AW139" s="148" t="s">
        <v>737</v>
      </c>
      <c r="AX139" s="151"/>
      <c r="AY139" s="105"/>
      <c r="AZ139" s="186"/>
      <c r="BA139" s="186"/>
      <c r="BB139" s="146"/>
      <c r="BC139" s="155"/>
      <c r="BD139" s="155"/>
      <c r="BE139" s="155"/>
      <c r="BF139" s="45"/>
    </row>
    <row r="140" ht="16.5" customHeight="1">
      <c r="A140" s="111">
        <v>137.0</v>
      </c>
      <c r="B140" s="165" t="s">
        <v>605</v>
      </c>
      <c r="C140" s="115" t="s">
        <v>60</v>
      </c>
      <c r="D140" s="230">
        <v>41631.0</v>
      </c>
      <c r="E140" s="117">
        <v>42109.0</v>
      </c>
      <c r="F140" s="79" t="s">
        <v>59</v>
      </c>
      <c r="G140" s="118">
        <v>41000.0</v>
      </c>
      <c r="H140" s="114">
        <v>85.6</v>
      </c>
      <c r="I140" s="120">
        <v>384.0</v>
      </c>
      <c r="J140" s="111" t="s">
        <v>62</v>
      </c>
      <c r="K140" s="121">
        <v>384.0</v>
      </c>
      <c r="L140" s="120" t="s">
        <v>63</v>
      </c>
      <c r="M140" s="120"/>
      <c r="N140" s="123"/>
      <c r="O140" s="124">
        <v>41000.0</v>
      </c>
      <c r="P140" s="124">
        <v>479.0</v>
      </c>
      <c r="Q140" s="111">
        <v>202.0</v>
      </c>
      <c r="R140" s="125">
        <v>399.0</v>
      </c>
      <c r="S140" s="126">
        <v>0.9624</v>
      </c>
      <c r="T140" s="127">
        <v>74586.0</v>
      </c>
      <c r="U140" s="128">
        <f t="shared" si="1"/>
        <v>0</v>
      </c>
      <c r="V140" s="79" t="s">
        <v>65</v>
      </c>
      <c r="W140" s="79" t="s">
        <v>69</v>
      </c>
      <c r="X140" s="79" t="s">
        <v>68</v>
      </c>
      <c r="Y140" s="130"/>
      <c r="Z140" s="111"/>
      <c r="AA140" s="133"/>
      <c r="AB140" s="133"/>
      <c r="AC140" s="133"/>
      <c r="AD140" s="133"/>
      <c r="AE140" s="133"/>
      <c r="AF140" s="111"/>
      <c r="AG140" s="134" t="s">
        <v>610</v>
      </c>
      <c r="AH140" s="73"/>
      <c r="AI140" s="135"/>
      <c r="AJ140" s="136"/>
      <c r="AK140" s="76"/>
      <c r="AL140" s="137"/>
      <c r="AM140" s="139" t="s">
        <v>71</v>
      </c>
      <c r="AN140" s="139">
        <v>479.0</v>
      </c>
      <c r="AO140" s="140">
        <v>108.93</v>
      </c>
      <c r="AP140" s="142">
        <v>41000.0</v>
      </c>
      <c r="AQ140" s="142">
        <v>202.0</v>
      </c>
      <c r="AR140" s="143"/>
      <c r="AS140" s="144">
        <v>0.9595776638781154</v>
      </c>
      <c r="AT140" s="144">
        <v>0.00282233612188465</v>
      </c>
      <c r="AU140" s="146" t="s">
        <v>741</v>
      </c>
      <c r="AV140" s="146" t="s">
        <v>741</v>
      </c>
      <c r="AW140" s="148" t="s">
        <v>741</v>
      </c>
      <c r="AX140" s="151"/>
      <c r="AY140" s="105"/>
      <c r="AZ140" s="186"/>
      <c r="BA140" s="186"/>
      <c r="BB140" s="146"/>
      <c r="BC140" s="155"/>
      <c r="BD140" s="155"/>
      <c r="BE140" s="155"/>
      <c r="BF140" s="45"/>
    </row>
    <row r="141" ht="16.5" customHeight="1">
      <c r="A141" s="111">
        <v>138.0</v>
      </c>
      <c r="B141" s="112" t="s">
        <v>155</v>
      </c>
      <c r="C141" s="115" t="s">
        <v>60</v>
      </c>
      <c r="D141" s="117">
        <v>41601.0</v>
      </c>
      <c r="E141" s="117">
        <v>42109.0</v>
      </c>
      <c r="F141" s="79" t="s">
        <v>109</v>
      </c>
      <c r="G141" s="118">
        <v>27120.0</v>
      </c>
      <c r="H141" s="114">
        <v>53.3</v>
      </c>
      <c r="I141" s="120">
        <v>275.0</v>
      </c>
      <c r="J141" s="111" t="s">
        <v>62</v>
      </c>
      <c r="K141" s="121">
        <v>275.0</v>
      </c>
      <c r="L141" s="120" t="s">
        <v>63</v>
      </c>
      <c r="M141" s="120"/>
      <c r="N141" s="123"/>
      <c r="O141" s="124">
        <v>27120.0</v>
      </c>
      <c r="P141" s="124">
        <v>509.0</v>
      </c>
      <c r="Q141" s="111">
        <v>213.0</v>
      </c>
      <c r="R141" s="125">
        <v>289.0</v>
      </c>
      <c r="S141" s="126">
        <v>0.9516</v>
      </c>
      <c r="T141" s="127">
        <v>55668.6</v>
      </c>
      <c r="U141" s="128">
        <f t="shared" si="1"/>
        <v>0</v>
      </c>
      <c r="V141" s="79" t="s">
        <v>65</v>
      </c>
      <c r="W141" s="79" t="s">
        <v>64</v>
      </c>
      <c r="X141" s="79" t="s">
        <v>68</v>
      </c>
      <c r="Y141" s="130"/>
      <c r="Z141" s="111"/>
      <c r="AA141" s="183"/>
      <c r="AB141" s="133"/>
      <c r="AC141" s="133"/>
      <c r="AD141" s="133"/>
      <c r="AE141" s="133"/>
      <c r="AF141" s="111"/>
      <c r="AG141" s="147"/>
      <c r="AH141" s="73"/>
      <c r="AI141" s="135"/>
      <c r="AJ141" s="136"/>
      <c r="AK141" s="76"/>
      <c r="AL141" s="137"/>
      <c r="AM141" s="139" t="s">
        <v>71</v>
      </c>
      <c r="AN141" s="139">
        <v>509.0</v>
      </c>
      <c r="AO141" s="140">
        <v>101.22</v>
      </c>
      <c r="AP141" s="142">
        <v>27120.0</v>
      </c>
      <c r="AQ141" s="142">
        <v>213.0</v>
      </c>
      <c r="AR141" s="143"/>
      <c r="AS141" s="144">
        <v>0.9670624270160046</v>
      </c>
      <c r="AT141" s="144">
        <v>-0.015462427016004643</v>
      </c>
      <c r="AU141" s="146" t="s">
        <v>744</v>
      </c>
      <c r="AV141" s="146" t="s">
        <v>744</v>
      </c>
      <c r="AW141" s="148" t="s">
        <v>744</v>
      </c>
      <c r="AX141" s="151"/>
      <c r="AY141" s="105"/>
      <c r="AZ141" s="186"/>
      <c r="BA141" s="186"/>
      <c r="BB141" s="234"/>
      <c r="BC141" s="238"/>
      <c r="BD141" s="238"/>
      <c r="BE141" s="238"/>
      <c r="BF141" s="77"/>
    </row>
    <row r="142" ht="16.5" customHeight="1">
      <c r="A142" s="111">
        <v>139.0</v>
      </c>
      <c r="B142" s="112" t="s">
        <v>746</v>
      </c>
      <c r="C142" s="115" t="s">
        <v>60</v>
      </c>
      <c r="D142" s="117">
        <v>41584.0</v>
      </c>
      <c r="E142" s="117">
        <v>42110.0</v>
      </c>
      <c r="F142" s="174" t="s">
        <v>103</v>
      </c>
      <c r="G142" s="118">
        <v>64000.0</v>
      </c>
      <c r="H142" s="114">
        <v>121.4</v>
      </c>
      <c r="I142" s="120">
        <v>385.0</v>
      </c>
      <c r="J142" s="111" t="s">
        <v>61</v>
      </c>
      <c r="K142" s="121">
        <v>389.87</v>
      </c>
      <c r="L142" s="120" t="s">
        <v>63</v>
      </c>
      <c r="M142" s="120"/>
      <c r="N142" s="123"/>
      <c r="O142" s="124">
        <v>64000.0</v>
      </c>
      <c r="P142" s="124">
        <v>527.0</v>
      </c>
      <c r="Q142" s="111">
        <v>229.0</v>
      </c>
      <c r="R142" s="125">
        <v>400.0</v>
      </c>
      <c r="S142" s="126">
        <v>0.9747</v>
      </c>
      <c r="T142" s="127">
        <v>75539.25</v>
      </c>
      <c r="U142" s="128">
        <f t="shared" si="1"/>
        <v>0</v>
      </c>
      <c r="V142" s="79" t="s">
        <v>65</v>
      </c>
      <c r="W142" s="79" t="s">
        <v>65</v>
      </c>
      <c r="X142" s="79" t="s">
        <v>68</v>
      </c>
      <c r="Y142" s="130"/>
      <c r="Z142" s="111"/>
      <c r="AA142" s="133"/>
      <c r="AB142" s="133"/>
      <c r="AC142" s="133"/>
      <c r="AD142" s="133"/>
      <c r="AE142" s="133"/>
      <c r="AF142" s="111"/>
      <c r="AG142" s="147"/>
      <c r="AH142" s="73"/>
      <c r="AI142" s="135"/>
      <c r="AJ142" s="136"/>
      <c r="AK142" s="76"/>
      <c r="AL142" s="137"/>
      <c r="AM142" s="139" t="s">
        <v>71</v>
      </c>
      <c r="AN142" s="139">
        <v>527.0</v>
      </c>
      <c r="AO142" s="140">
        <v>191.55</v>
      </c>
      <c r="AP142" s="142">
        <v>64000.0</v>
      </c>
      <c r="AQ142" s="142">
        <v>229.0</v>
      </c>
      <c r="AR142" s="143"/>
      <c r="AS142" s="144">
        <v>0.9521764728413172</v>
      </c>
      <c r="AT142" s="144">
        <v>0.022523527158682777</v>
      </c>
      <c r="AU142" s="146" t="s">
        <v>750</v>
      </c>
      <c r="AV142" s="146" t="s">
        <v>750</v>
      </c>
      <c r="AW142" s="148" t="s">
        <v>750</v>
      </c>
      <c r="AX142" s="151"/>
      <c r="AY142" s="105"/>
      <c r="AZ142" s="186"/>
      <c r="BA142" s="186"/>
      <c r="BB142" s="146"/>
      <c r="BC142" s="155"/>
      <c r="BD142" s="155"/>
      <c r="BE142" s="155"/>
      <c r="BF142" s="45"/>
    </row>
    <row r="143" ht="16.5" customHeight="1">
      <c r="A143" s="111">
        <v>140.0</v>
      </c>
      <c r="B143" s="165" t="s">
        <v>751</v>
      </c>
      <c r="C143" s="115" t="s">
        <v>60</v>
      </c>
      <c r="D143" s="157">
        <v>41726.0</v>
      </c>
      <c r="E143" s="117">
        <v>42110.0</v>
      </c>
      <c r="F143" s="174" t="s">
        <v>103</v>
      </c>
      <c r="G143" s="118">
        <v>46000.0</v>
      </c>
      <c r="H143" s="114">
        <v>119.5</v>
      </c>
      <c r="I143" s="120">
        <v>383.0</v>
      </c>
      <c r="J143" s="159" t="s">
        <v>104</v>
      </c>
      <c r="K143" s="121">
        <v>386.87</v>
      </c>
      <c r="L143" s="120" t="s">
        <v>63</v>
      </c>
      <c r="M143" s="120"/>
      <c r="N143" s="123"/>
      <c r="O143" s="124">
        <v>46000.0</v>
      </c>
      <c r="P143" s="124">
        <v>385.0</v>
      </c>
      <c r="Q143" s="111">
        <v>216.0</v>
      </c>
      <c r="R143" s="125">
        <v>400.0</v>
      </c>
      <c r="S143" s="126">
        <v>0.9672</v>
      </c>
      <c r="T143" s="127">
        <v>74958.0</v>
      </c>
      <c r="U143" s="128">
        <f t="shared" si="1"/>
        <v>0</v>
      </c>
      <c r="V143" s="79" t="s">
        <v>64</v>
      </c>
      <c r="W143" s="79" t="s">
        <v>65</v>
      </c>
      <c r="X143" s="79" t="s">
        <v>68</v>
      </c>
      <c r="Y143" s="130"/>
      <c r="Z143" s="111"/>
      <c r="AA143" s="133"/>
      <c r="AB143" s="133"/>
      <c r="AC143" s="133"/>
      <c r="AD143" s="133"/>
      <c r="AE143" s="133"/>
      <c r="AF143" s="111"/>
      <c r="AG143" s="134" t="s">
        <v>754</v>
      </c>
      <c r="AH143" s="73"/>
      <c r="AI143" s="135"/>
      <c r="AJ143" s="136"/>
      <c r="AK143" s="76"/>
      <c r="AL143" s="137"/>
      <c r="AM143" s="139" t="s">
        <v>71</v>
      </c>
      <c r="AN143" s="139">
        <v>385.0</v>
      </c>
      <c r="AO143" s="140">
        <v>130.36</v>
      </c>
      <c r="AP143" s="142">
        <v>46000.0</v>
      </c>
      <c r="AQ143" s="142">
        <v>216.0</v>
      </c>
      <c r="AR143" s="143"/>
      <c r="AS143" s="144">
        <v>0.9575883126044556</v>
      </c>
      <c r="AT143" s="144">
        <v>0.0096116873955443</v>
      </c>
      <c r="AU143" s="146" t="s">
        <v>755</v>
      </c>
      <c r="AV143" s="146" t="s">
        <v>755</v>
      </c>
      <c r="AW143" s="148" t="s">
        <v>755</v>
      </c>
      <c r="AX143" s="151"/>
      <c r="AY143" s="105"/>
      <c r="AZ143" s="186"/>
      <c r="BA143" s="186"/>
      <c r="BB143" s="146"/>
      <c r="BC143" s="155"/>
      <c r="BD143" s="155"/>
      <c r="BE143" s="155"/>
      <c r="BF143" s="45"/>
    </row>
    <row r="144" ht="16.5" customHeight="1">
      <c r="A144" s="111">
        <v>141.0</v>
      </c>
      <c r="B144" s="165" t="s">
        <v>294</v>
      </c>
      <c r="C144" s="115" t="s">
        <v>60</v>
      </c>
      <c r="D144" s="157">
        <v>41604.0</v>
      </c>
      <c r="E144" s="117">
        <v>42110.0</v>
      </c>
      <c r="F144" s="79" t="s">
        <v>59</v>
      </c>
      <c r="G144" s="118">
        <v>31618.0</v>
      </c>
      <c r="H144" s="114">
        <v>62.4</v>
      </c>
      <c r="I144" s="120">
        <v>378.0</v>
      </c>
      <c r="J144" s="111" t="s">
        <v>62</v>
      </c>
      <c r="K144" s="121">
        <v>378.0</v>
      </c>
      <c r="L144" s="120" t="s">
        <v>63</v>
      </c>
      <c r="M144" s="120"/>
      <c r="N144" s="123"/>
      <c r="O144" s="124">
        <v>31618.0</v>
      </c>
      <c r="P144" s="124">
        <v>507.0</v>
      </c>
      <c r="Q144" s="111">
        <v>200.0</v>
      </c>
      <c r="R144" s="125">
        <v>399.0</v>
      </c>
      <c r="S144" s="126">
        <v>0.9474</v>
      </c>
      <c r="T144" s="127">
        <v>73423.5</v>
      </c>
      <c r="U144" s="128">
        <f t="shared" si="1"/>
        <v>0</v>
      </c>
      <c r="V144" s="79" t="s">
        <v>64</v>
      </c>
      <c r="W144" s="79" t="s">
        <v>69</v>
      </c>
      <c r="X144" s="79" t="s">
        <v>68</v>
      </c>
      <c r="Y144" s="130"/>
      <c r="Z144" s="111"/>
      <c r="AA144" s="133"/>
      <c r="AB144" s="133"/>
      <c r="AC144" s="133"/>
      <c r="AD144" s="133"/>
      <c r="AE144" s="133"/>
      <c r="AF144" s="111"/>
      <c r="AG144" s="134" t="s">
        <v>111</v>
      </c>
      <c r="AH144" s="73"/>
      <c r="AI144" s="135"/>
      <c r="AJ144" s="136"/>
      <c r="AK144" s="76"/>
      <c r="AL144" s="137"/>
      <c r="AM144" s="139" t="s">
        <v>71</v>
      </c>
      <c r="AN144" s="139">
        <v>507.0</v>
      </c>
      <c r="AO144" s="140">
        <v>83.82</v>
      </c>
      <c r="AP144" s="142">
        <v>31618.0</v>
      </c>
      <c r="AQ144" s="142">
        <v>200.0</v>
      </c>
      <c r="AR144" s="143"/>
      <c r="AS144" s="144">
        <v>0.9642442507281492</v>
      </c>
      <c r="AT144" s="144">
        <v>-0.016844250728149213</v>
      </c>
      <c r="AU144" s="146" t="s">
        <v>758</v>
      </c>
      <c r="AV144" s="146" t="s">
        <v>758</v>
      </c>
      <c r="AW144" s="148" t="s">
        <v>758</v>
      </c>
      <c r="AX144" s="151"/>
      <c r="AY144" s="105"/>
      <c r="AZ144" s="186"/>
      <c r="BA144" s="186"/>
      <c r="BB144" s="146"/>
      <c r="BC144" s="155"/>
      <c r="BD144" s="155"/>
      <c r="BE144" s="155"/>
      <c r="BF144" s="45"/>
    </row>
    <row r="145" ht="16.5" customHeight="1">
      <c r="A145" s="111">
        <v>142.0</v>
      </c>
      <c r="B145" s="112" t="s">
        <v>761</v>
      </c>
      <c r="C145" s="115" t="s">
        <v>60</v>
      </c>
      <c r="D145" s="117">
        <v>42097.0</v>
      </c>
      <c r="E145" s="117">
        <v>42111.0</v>
      </c>
      <c r="F145" s="79" t="s">
        <v>90</v>
      </c>
      <c r="G145" s="118">
        <v>1904.0</v>
      </c>
      <c r="H145" s="114">
        <v>126.9</v>
      </c>
      <c r="I145" s="120">
        <v>403.0</v>
      </c>
      <c r="J145" s="111" t="s">
        <v>61</v>
      </c>
      <c r="K145" s="121">
        <v>408.1</v>
      </c>
      <c r="L145" s="120" t="s">
        <v>63</v>
      </c>
      <c r="M145" s="120"/>
      <c r="N145" s="123"/>
      <c r="O145" s="124">
        <v>1904.0</v>
      </c>
      <c r="P145" s="124">
        <v>15.0</v>
      </c>
      <c r="Q145" s="111">
        <v>253.0</v>
      </c>
      <c r="R145" s="125">
        <v>408.0</v>
      </c>
      <c r="S145" s="126">
        <v>1.0002</v>
      </c>
      <c r="T145" s="127">
        <v>77515.5</v>
      </c>
      <c r="U145" s="128">
        <f t="shared" si="1"/>
        <v>0</v>
      </c>
      <c r="V145" s="79" t="s">
        <v>67</v>
      </c>
      <c r="W145" s="79" t="s">
        <v>65</v>
      </c>
      <c r="X145" s="79" t="s">
        <v>68</v>
      </c>
      <c r="Y145" s="130"/>
      <c r="Z145" s="111">
        <v>11.0</v>
      </c>
      <c r="AA145" s="111">
        <v>406.0</v>
      </c>
      <c r="AB145" s="111" t="s">
        <v>62</v>
      </c>
      <c r="AC145" s="133"/>
      <c r="AD145" s="133"/>
      <c r="AE145" s="133"/>
      <c r="AF145" s="111"/>
      <c r="AG145" s="134" t="s">
        <v>763</v>
      </c>
      <c r="AH145" s="73"/>
      <c r="AI145" s="135"/>
      <c r="AJ145" s="136"/>
      <c r="AK145" s="76"/>
      <c r="AL145" s="137"/>
      <c r="AM145" s="139">
        <v>406.0</v>
      </c>
      <c r="AN145" s="139">
        <v>15.0</v>
      </c>
      <c r="AO145" s="140">
        <v>6.22</v>
      </c>
      <c r="AP145" s="142">
        <v>1904.0</v>
      </c>
      <c r="AQ145" s="142">
        <v>253.0</v>
      </c>
      <c r="AR145" s="143"/>
      <c r="AS145" s="144">
        <v>0.9962869695071587</v>
      </c>
      <c r="AT145" s="144">
        <v>0.003913030492841307</v>
      </c>
      <c r="AU145" s="146" t="s">
        <v>764</v>
      </c>
      <c r="AV145" s="146" t="s">
        <v>764</v>
      </c>
      <c r="AW145" s="148" t="s">
        <v>764</v>
      </c>
      <c r="AX145" s="151"/>
      <c r="AY145" s="105"/>
      <c r="AZ145" s="186"/>
      <c r="BA145" s="186"/>
      <c r="BB145" s="146"/>
      <c r="BC145" s="155"/>
      <c r="BD145" s="155"/>
      <c r="BE145" s="155"/>
      <c r="BF145" s="45"/>
    </row>
    <row r="146" ht="16.5" customHeight="1">
      <c r="A146" s="111">
        <v>143.0</v>
      </c>
      <c r="B146" s="165" t="s">
        <v>96</v>
      </c>
      <c r="C146" s="115" t="s">
        <v>60</v>
      </c>
      <c r="D146" s="157">
        <v>41596.0</v>
      </c>
      <c r="E146" s="117">
        <v>42112.0</v>
      </c>
      <c r="F146" s="79" t="s">
        <v>59</v>
      </c>
      <c r="G146" s="118">
        <v>60555.0</v>
      </c>
      <c r="H146" s="114">
        <v>117.1</v>
      </c>
      <c r="I146" s="120">
        <v>369.0</v>
      </c>
      <c r="J146" s="111" t="s">
        <v>61</v>
      </c>
      <c r="K146" s="121">
        <v>373.67</v>
      </c>
      <c r="L146" s="120" t="s">
        <v>63</v>
      </c>
      <c r="M146" s="120"/>
      <c r="N146" s="123"/>
      <c r="O146" s="124">
        <v>60555.0</v>
      </c>
      <c r="P146" s="124">
        <v>517.0</v>
      </c>
      <c r="Q146" s="111">
        <v>229.0</v>
      </c>
      <c r="R146" s="125">
        <v>399.0</v>
      </c>
      <c r="S146" s="126">
        <v>0.9365</v>
      </c>
      <c r="T146" s="127">
        <v>72578.75</v>
      </c>
      <c r="U146" s="128">
        <f t="shared" si="1"/>
        <v>0</v>
      </c>
      <c r="V146" s="79" t="s">
        <v>65</v>
      </c>
      <c r="W146" s="79" t="s">
        <v>65</v>
      </c>
      <c r="X146" s="79" t="s">
        <v>64</v>
      </c>
      <c r="Y146" s="130"/>
      <c r="Z146" s="111"/>
      <c r="AA146" s="133"/>
      <c r="AB146" s="133"/>
      <c r="AC146" s="133"/>
      <c r="AD146" s="133"/>
      <c r="AE146" s="133"/>
      <c r="AF146" s="111"/>
      <c r="AG146" s="134" t="s">
        <v>766</v>
      </c>
      <c r="AH146" s="73"/>
      <c r="AI146" s="135"/>
      <c r="AJ146" s="136"/>
      <c r="AK146" s="76"/>
      <c r="AL146" s="137"/>
      <c r="AM146" s="139" t="s">
        <v>71</v>
      </c>
      <c r="AN146" s="139">
        <v>517.0</v>
      </c>
      <c r="AO146" s="140">
        <v>184.82</v>
      </c>
      <c r="AP146" s="142">
        <v>60555.0</v>
      </c>
      <c r="AQ146" s="142">
        <v>229.0</v>
      </c>
      <c r="AR146" s="143"/>
      <c r="AS146" s="144">
        <v>0.9530577552663996</v>
      </c>
      <c r="AT146" s="144">
        <v>-0.016557755266399576</v>
      </c>
      <c r="AU146" s="146" t="s">
        <v>767</v>
      </c>
      <c r="AV146" s="146" t="s">
        <v>767</v>
      </c>
      <c r="AW146" s="148" t="s">
        <v>767</v>
      </c>
      <c r="AX146" s="151"/>
      <c r="AY146" s="105"/>
      <c r="AZ146" s="186"/>
      <c r="BA146" s="186"/>
      <c r="BB146" s="146"/>
      <c r="BC146" s="155"/>
      <c r="BD146" s="155"/>
      <c r="BE146" s="155"/>
      <c r="BF146" s="45"/>
    </row>
    <row r="147" ht="16.5" customHeight="1">
      <c r="A147" s="111">
        <v>144.0</v>
      </c>
      <c r="B147" s="112" t="s">
        <v>541</v>
      </c>
      <c r="C147" s="115" t="s">
        <v>60</v>
      </c>
      <c r="D147" s="157">
        <v>41603.0</v>
      </c>
      <c r="E147" s="117">
        <v>42113.0</v>
      </c>
      <c r="F147" s="79" t="s">
        <v>57</v>
      </c>
      <c r="G147" s="118">
        <v>45800.0</v>
      </c>
      <c r="H147" s="114">
        <v>89.6</v>
      </c>
      <c r="I147" s="120">
        <v>374.0</v>
      </c>
      <c r="J147" s="111" t="s">
        <v>61</v>
      </c>
      <c r="K147" s="121">
        <v>378.73</v>
      </c>
      <c r="L147" s="120" t="s">
        <v>63</v>
      </c>
      <c r="M147" s="120"/>
      <c r="N147" s="123"/>
      <c r="O147" s="124">
        <v>45800.0</v>
      </c>
      <c r="P147" s="124">
        <v>511.0</v>
      </c>
      <c r="Q147" s="111">
        <v>230.0</v>
      </c>
      <c r="R147" s="125">
        <v>399.0</v>
      </c>
      <c r="S147" s="126">
        <v>0.9492</v>
      </c>
      <c r="T147" s="127">
        <v>73563.0</v>
      </c>
      <c r="U147" s="128">
        <f t="shared" si="1"/>
        <v>0</v>
      </c>
      <c r="V147" s="79" t="s">
        <v>65</v>
      </c>
      <c r="W147" s="79" t="s">
        <v>65</v>
      </c>
      <c r="X147" s="79" t="s">
        <v>68</v>
      </c>
      <c r="Y147" s="130"/>
      <c r="Z147" s="111"/>
      <c r="AA147" s="133"/>
      <c r="AB147" s="133"/>
      <c r="AC147" s="133"/>
      <c r="AD147" s="133"/>
      <c r="AE147" s="133"/>
      <c r="AF147" s="111"/>
      <c r="AG147" s="147" t="s">
        <v>542</v>
      </c>
      <c r="AH147" s="73"/>
      <c r="AI147" s="135"/>
      <c r="AJ147" s="136"/>
      <c r="AK147" s="76"/>
      <c r="AL147" s="137"/>
      <c r="AM147" s="139" t="s">
        <v>71</v>
      </c>
      <c r="AN147" s="139">
        <v>511.0</v>
      </c>
      <c r="AO147" s="140">
        <v>139.49</v>
      </c>
      <c r="AP147" s="142">
        <v>45800.0</v>
      </c>
      <c r="AQ147" s="142">
        <v>230.0</v>
      </c>
      <c r="AR147" s="143"/>
      <c r="AS147" s="144">
        <v>0.9576626160564611</v>
      </c>
      <c r="AT147" s="144">
        <v>-0.008462616056461036</v>
      </c>
      <c r="AU147" s="146" t="s">
        <v>770</v>
      </c>
      <c r="AV147" s="146" t="s">
        <v>770</v>
      </c>
      <c r="AW147" s="148" t="s">
        <v>770</v>
      </c>
      <c r="AX147" s="151"/>
      <c r="AY147" s="105"/>
      <c r="AZ147" s="186"/>
      <c r="BA147" s="186"/>
      <c r="BB147" s="146"/>
      <c r="BC147" s="155"/>
      <c r="BD147" s="155"/>
      <c r="BE147" s="155"/>
      <c r="BF147" s="45"/>
    </row>
    <row r="148" ht="16.5" customHeight="1">
      <c r="A148" s="111">
        <v>145.0</v>
      </c>
      <c r="B148" s="112" t="s">
        <v>548</v>
      </c>
      <c r="C148" s="115" t="s">
        <v>60</v>
      </c>
      <c r="D148" s="157">
        <v>41631.0</v>
      </c>
      <c r="E148" s="117">
        <v>42113.0</v>
      </c>
      <c r="F148" s="79" t="s">
        <v>79</v>
      </c>
      <c r="G148" s="118">
        <v>40500.0</v>
      </c>
      <c r="H148" s="114">
        <v>83.9</v>
      </c>
      <c r="I148" s="120">
        <v>373.0</v>
      </c>
      <c r="J148" s="111" t="s">
        <v>61</v>
      </c>
      <c r="K148" s="121">
        <v>377.72</v>
      </c>
      <c r="L148" s="120" t="s">
        <v>63</v>
      </c>
      <c r="M148" s="120"/>
      <c r="N148" s="123"/>
      <c r="O148" s="124">
        <v>40500.0</v>
      </c>
      <c r="P148" s="124">
        <v>483.0</v>
      </c>
      <c r="Q148" s="111">
        <v>233.0</v>
      </c>
      <c r="R148" s="125">
        <v>399.0</v>
      </c>
      <c r="S148" s="126">
        <v>0.9467</v>
      </c>
      <c r="T148" s="127">
        <v>73369.25</v>
      </c>
      <c r="U148" s="128">
        <f t="shared" si="1"/>
        <v>0</v>
      </c>
      <c r="V148" s="79" t="s">
        <v>65</v>
      </c>
      <c r="W148" s="79" t="s">
        <v>64</v>
      </c>
      <c r="X148" s="79" t="s">
        <v>64</v>
      </c>
      <c r="Y148" s="130"/>
      <c r="Z148" s="111"/>
      <c r="AA148" s="133"/>
      <c r="AB148" s="133"/>
      <c r="AC148" s="133"/>
      <c r="AD148" s="133"/>
      <c r="AE148" s="133"/>
      <c r="AF148" s="111"/>
      <c r="AG148" s="147" t="s">
        <v>549</v>
      </c>
      <c r="AH148" s="73"/>
      <c r="AI148" s="135"/>
      <c r="AJ148" s="136"/>
      <c r="AK148" s="76"/>
      <c r="AL148" s="137"/>
      <c r="AM148" s="139" t="s">
        <v>71</v>
      </c>
      <c r="AN148" s="139">
        <v>483.0</v>
      </c>
      <c r="AO148" s="140">
        <v>125.12</v>
      </c>
      <c r="AP148" s="142">
        <v>40500.0</v>
      </c>
      <c r="AQ148" s="142">
        <v>233.0</v>
      </c>
      <c r="AR148" s="143"/>
      <c r="AS148" s="144">
        <v>0.9597930123704606</v>
      </c>
      <c r="AT148" s="144">
        <v>-0.013093012370460566</v>
      </c>
      <c r="AU148" s="146" t="s">
        <v>773</v>
      </c>
      <c r="AV148" s="146" t="s">
        <v>773</v>
      </c>
      <c r="AW148" s="148" t="s">
        <v>773</v>
      </c>
      <c r="AX148" s="151"/>
      <c r="AY148" s="105"/>
      <c r="AZ148" s="186"/>
      <c r="BA148" s="186"/>
      <c r="BB148" s="146"/>
      <c r="BC148" s="155"/>
      <c r="BD148" s="155"/>
      <c r="BE148" s="155"/>
      <c r="BF148" s="45"/>
    </row>
    <row r="149" ht="16.5" customHeight="1">
      <c r="A149" s="111">
        <v>146.0</v>
      </c>
      <c r="B149" s="165" t="s">
        <v>348</v>
      </c>
      <c r="C149" s="115" t="s">
        <v>60</v>
      </c>
      <c r="D149" s="157">
        <v>41607.0</v>
      </c>
      <c r="E149" s="117">
        <v>42114.0</v>
      </c>
      <c r="F149" s="79" t="s">
        <v>59</v>
      </c>
      <c r="G149" s="118">
        <v>46000.0</v>
      </c>
      <c r="H149" s="114">
        <v>90.6</v>
      </c>
      <c r="I149" s="120">
        <v>378.0</v>
      </c>
      <c r="J149" s="111" t="s">
        <v>61</v>
      </c>
      <c r="K149" s="121">
        <v>382.78</v>
      </c>
      <c r="L149" s="120" t="s">
        <v>195</v>
      </c>
      <c r="M149" s="120" t="s">
        <v>281</v>
      </c>
      <c r="N149" s="123">
        <v>26000.0</v>
      </c>
      <c r="O149" s="124">
        <v>35161.0</v>
      </c>
      <c r="P149" s="124">
        <v>388.0</v>
      </c>
      <c r="Q149" s="133">
        <v>266.0</v>
      </c>
      <c r="R149" s="125">
        <v>399.0</v>
      </c>
      <c r="S149" s="126">
        <v>0.9593</v>
      </c>
      <c r="T149" s="127">
        <v>74345.75</v>
      </c>
      <c r="U149" s="128">
        <f t="shared" si="1"/>
        <v>0</v>
      </c>
      <c r="V149" s="79" t="s">
        <v>64</v>
      </c>
      <c r="W149" s="79" t="s">
        <v>69</v>
      </c>
      <c r="X149" s="79" t="s">
        <v>69</v>
      </c>
      <c r="Y149" s="130"/>
      <c r="Z149" s="111"/>
      <c r="AA149" s="133"/>
      <c r="AB149" s="133"/>
      <c r="AC149" s="133"/>
      <c r="AD149" s="133"/>
      <c r="AE149" s="133"/>
      <c r="AF149" s="111"/>
      <c r="AG149" s="147" t="s">
        <v>351</v>
      </c>
      <c r="AH149" s="73"/>
      <c r="AI149" s="135"/>
      <c r="AJ149" s="136"/>
      <c r="AK149" s="76"/>
      <c r="AL149" s="137"/>
      <c r="AM149" s="139" t="s">
        <v>71</v>
      </c>
      <c r="AN149" s="139">
        <v>508.0</v>
      </c>
      <c r="AO149" s="140">
        <v>123.2</v>
      </c>
      <c r="AP149" s="142">
        <v>35161.0</v>
      </c>
      <c r="AQ149" s="142">
        <v>266.0</v>
      </c>
      <c r="AR149" s="143"/>
      <c r="AS149" s="144">
        <v>0.9623131993181679</v>
      </c>
      <c r="AT149" s="144">
        <v>-0.003013199318167903</v>
      </c>
      <c r="AU149" s="146" t="s">
        <v>776</v>
      </c>
      <c r="AV149" s="146" t="s">
        <v>776</v>
      </c>
      <c r="AW149" s="148" t="s">
        <v>776</v>
      </c>
      <c r="AX149" s="151"/>
      <c r="AY149" s="105"/>
      <c r="AZ149" s="186"/>
      <c r="BA149" s="186"/>
      <c r="BB149" s="146"/>
      <c r="BC149" s="155"/>
      <c r="BD149" s="155"/>
      <c r="BE149" s="155"/>
      <c r="BF149" s="45"/>
    </row>
    <row r="150" ht="16.5" customHeight="1">
      <c r="A150" s="111">
        <v>147.0</v>
      </c>
      <c r="B150" s="112" t="s">
        <v>201</v>
      </c>
      <c r="C150" s="115" t="s">
        <v>60</v>
      </c>
      <c r="D150" s="117">
        <v>41724.0</v>
      </c>
      <c r="E150" s="117">
        <v>42114.0</v>
      </c>
      <c r="F150" s="79" t="s">
        <v>79</v>
      </c>
      <c r="G150" s="118">
        <v>35350.0</v>
      </c>
      <c r="H150" s="114">
        <v>90.4</v>
      </c>
      <c r="I150" s="120">
        <v>383.0</v>
      </c>
      <c r="J150" s="111" t="s">
        <v>62</v>
      </c>
      <c r="K150" s="121">
        <v>383.0</v>
      </c>
      <c r="L150" s="120" t="s">
        <v>63</v>
      </c>
      <c r="M150" s="120"/>
      <c r="N150" s="123"/>
      <c r="O150" s="124">
        <v>35350.0</v>
      </c>
      <c r="P150" s="124">
        <v>391.0</v>
      </c>
      <c r="Q150" s="111">
        <v>173.0</v>
      </c>
      <c r="R150" s="125">
        <v>399.0</v>
      </c>
      <c r="S150" s="126">
        <v>0.9599</v>
      </c>
      <c r="T150" s="127">
        <v>74392.25</v>
      </c>
      <c r="U150" s="128">
        <f t="shared" si="1"/>
        <v>0</v>
      </c>
      <c r="V150" s="79" t="s">
        <v>65</v>
      </c>
      <c r="W150" s="79" t="s">
        <v>69</v>
      </c>
      <c r="X150" s="79" t="s">
        <v>68</v>
      </c>
      <c r="Y150" s="130"/>
      <c r="Z150" s="111"/>
      <c r="AA150" s="133"/>
      <c r="AB150" s="133"/>
      <c r="AC150" s="133"/>
      <c r="AD150" s="133"/>
      <c r="AE150" s="133"/>
      <c r="AF150" s="111"/>
      <c r="AG150" s="134" t="s">
        <v>111</v>
      </c>
      <c r="AH150" s="73"/>
      <c r="AI150" s="135"/>
      <c r="AJ150" s="136"/>
      <c r="AK150" s="76"/>
      <c r="AL150" s="137"/>
      <c r="AM150" s="139" t="s">
        <v>71</v>
      </c>
      <c r="AN150" s="139">
        <v>391.0</v>
      </c>
      <c r="AO150" s="140">
        <v>80.54</v>
      </c>
      <c r="AP150" s="142">
        <v>35350.0</v>
      </c>
      <c r="AQ150" s="142">
        <v>173.0</v>
      </c>
      <c r="AR150" s="143"/>
      <c r="AS150" s="144">
        <v>0.9622164562206692</v>
      </c>
      <c r="AT150" s="144">
        <v>-0.0023164562206692274</v>
      </c>
      <c r="AU150" s="146" t="s">
        <v>779</v>
      </c>
      <c r="AV150" s="146" t="s">
        <v>779</v>
      </c>
      <c r="AW150" s="148" t="s">
        <v>779</v>
      </c>
      <c r="AX150" s="151"/>
      <c r="AY150" s="105"/>
      <c r="AZ150" s="186"/>
      <c r="BA150" s="186"/>
      <c r="BB150" s="146"/>
      <c r="BC150" s="155"/>
      <c r="BD150" s="155"/>
      <c r="BE150" s="155"/>
      <c r="BF150" s="45"/>
    </row>
    <row r="151" ht="16.5" customHeight="1">
      <c r="A151" s="111">
        <v>148.0</v>
      </c>
      <c r="B151" s="112" t="s">
        <v>781</v>
      </c>
      <c r="C151" s="115" t="s">
        <v>60</v>
      </c>
      <c r="D151" s="117">
        <v>42109.0</v>
      </c>
      <c r="E151" s="117">
        <v>42117.0</v>
      </c>
      <c r="F151" s="79" t="s">
        <v>86</v>
      </c>
      <c r="G151" s="118">
        <v>550.0</v>
      </c>
      <c r="H151" s="114">
        <v>61.1</v>
      </c>
      <c r="I151" s="120">
        <v>403.0</v>
      </c>
      <c r="J151" s="111" t="s">
        <v>61</v>
      </c>
      <c r="K151" s="121">
        <v>408.1</v>
      </c>
      <c r="L151" s="120" t="s">
        <v>63</v>
      </c>
      <c r="M151" s="120"/>
      <c r="N151" s="123"/>
      <c r="O151" s="124">
        <v>550.0</v>
      </c>
      <c r="P151" s="124">
        <v>9.0</v>
      </c>
      <c r="Q151" s="111">
        <v>233.0</v>
      </c>
      <c r="R151" s="125">
        <v>430.0</v>
      </c>
      <c r="S151" s="126">
        <v>0.9491</v>
      </c>
      <c r="T151" s="127">
        <v>73555.25</v>
      </c>
      <c r="U151" s="128">
        <f t="shared" si="1"/>
        <v>0</v>
      </c>
      <c r="V151" s="79" t="s">
        <v>67</v>
      </c>
      <c r="W151" s="79" t="s">
        <v>67</v>
      </c>
      <c r="X151" s="79"/>
      <c r="Y151" s="130"/>
      <c r="Z151" s="111"/>
      <c r="AA151" s="133"/>
      <c r="AB151" s="133"/>
      <c r="AC151" s="133"/>
      <c r="AD151" s="133"/>
      <c r="AE151" s="133"/>
      <c r="AF151" s="111"/>
      <c r="AG151" s="134" t="s">
        <v>151</v>
      </c>
      <c r="AH151" s="73"/>
      <c r="AI151" s="135"/>
      <c r="AJ151" s="136"/>
      <c r="AK151" s="76"/>
      <c r="AL151" s="137"/>
      <c r="AM151" s="139" t="s">
        <v>71</v>
      </c>
      <c r="AN151" s="139">
        <v>9.0</v>
      </c>
      <c r="AO151" s="140">
        <v>1.7</v>
      </c>
      <c r="AP151" s="142">
        <v>550.0</v>
      </c>
      <c r="AQ151" s="142">
        <v>233.0</v>
      </c>
      <c r="AR151" s="143"/>
      <c r="AS151" s="144">
        <v>0.9988957328555945</v>
      </c>
      <c r="AT151" s="144">
        <v>-0.049795732855594466</v>
      </c>
      <c r="AU151" s="146" t="s">
        <v>782</v>
      </c>
      <c r="AV151" s="146" t="s">
        <v>782</v>
      </c>
      <c r="AW151" s="148" t="s">
        <v>782</v>
      </c>
      <c r="AX151" s="151"/>
      <c r="AY151" s="105"/>
      <c r="AZ151" s="186"/>
      <c r="BA151" s="186"/>
      <c r="BB151" s="146"/>
      <c r="BC151" s="155"/>
      <c r="BD151" s="155"/>
      <c r="BE151" s="155"/>
      <c r="BF151" s="45"/>
    </row>
    <row r="152" ht="16.5" customHeight="1">
      <c r="A152" s="111">
        <v>149.0</v>
      </c>
      <c r="B152" s="112" t="s">
        <v>784</v>
      </c>
      <c r="C152" s="115" t="s">
        <v>60</v>
      </c>
      <c r="D152" s="117">
        <v>41537.0</v>
      </c>
      <c r="E152" s="117">
        <v>42118.0</v>
      </c>
      <c r="F152" s="79" t="s">
        <v>79</v>
      </c>
      <c r="G152" s="118">
        <v>53600.0</v>
      </c>
      <c r="H152" s="114">
        <v>92.1</v>
      </c>
      <c r="I152" s="120">
        <v>376.0</v>
      </c>
      <c r="J152" s="111" t="s">
        <v>62</v>
      </c>
      <c r="K152" s="121">
        <v>376.0</v>
      </c>
      <c r="L152" s="120" t="s">
        <v>63</v>
      </c>
      <c r="M152" s="120"/>
      <c r="N152" s="123"/>
      <c r="O152" s="124">
        <v>53600.0</v>
      </c>
      <c r="P152" s="124">
        <v>582.0</v>
      </c>
      <c r="Q152" s="111">
        <v>210.0</v>
      </c>
      <c r="R152" s="125">
        <v>399.0</v>
      </c>
      <c r="S152" s="126">
        <v>0.9424</v>
      </c>
      <c r="T152" s="127">
        <v>73036.0</v>
      </c>
      <c r="U152" s="128">
        <f t="shared" si="1"/>
        <v>0</v>
      </c>
      <c r="V152" s="79" t="s">
        <v>68</v>
      </c>
      <c r="W152" s="79" t="s">
        <v>68</v>
      </c>
      <c r="X152" s="79" t="s">
        <v>68</v>
      </c>
      <c r="Y152" s="130"/>
      <c r="Z152" s="111"/>
      <c r="AA152" s="133"/>
      <c r="AB152" s="133"/>
      <c r="AC152" s="133"/>
      <c r="AD152" s="133"/>
      <c r="AE152" s="133"/>
      <c r="AF152" s="111"/>
      <c r="AG152" s="134" t="s">
        <v>785</v>
      </c>
      <c r="AH152" s="73"/>
      <c r="AI152" s="135"/>
      <c r="AJ152" s="136"/>
      <c r="AK152" s="76"/>
      <c r="AL152" s="137"/>
      <c r="AM152" s="139" t="s">
        <v>71</v>
      </c>
      <c r="AN152" s="139">
        <v>582.0</v>
      </c>
      <c r="AO152" s="140">
        <v>149.57</v>
      </c>
      <c r="AP152" s="142">
        <v>53600.0</v>
      </c>
      <c r="AQ152" s="142">
        <v>210.0</v>
      </c>
      <c r="AR152" s="143"/>
      <c r="AS152" s="144">
        <v>0.955032310969496</v>
      </c>
      <c r="AT152" s="144">
        <v>-0.012632310969496019</v>
      </c>
      <c r="AU152" s="146" t="s">
        <v>786</v>
      </c>
      <c r="AV152" s="146" t="s">
        <v>786</v>
      </c>
      <c r="AW152" s="148" t="s">
        <v>786</v>
      </c>
      <c r="AX152" s="151"/>
      <c r="AY152" s="105"/>
      <c r="AZ152" s="186"/>
      <c r="BA152" s="186"/>
      <c r="BB152" s="146"/>
      <c r="BC152" s="155"/>
      <c r="BD152" s="155"/>
      <c r="BE152" s="155"/>
      <c r="BF152" s="45"/>
    </row>
    <row r="153" ht="16.5" customHeight="1">
      <c r="A153" s="111">
        <v>150.0</v>
      </c>
      <c r="B153" s="112" t="s">
        <v>288</v>
      </c>
      <c r="C153" s="115" t="s">
        <v>60</v>
      </c>
      <c r="D153" s="117">
        <v>41766.0</v>
      </c>
      <c r="E153" s="117">
        <v>42120.0</v>
      </c>
      <c r="F153" s="79" t="s">
        <v>109</v>
      </c>
      <c r="G153" s="118">
        <v>18793.0</v>
      </c>
      <c r="H153" s="114">
        <v>52.9</v>
      </c>
      <c r="I153" s="120">
        <v>272.0</v>
      </c>
      <c r="J153" s="111" t="s">
        <v>61</v>
      </c>
      <c r="K153" s="121">
        <v>275.44</v>
      </c>
      <c r="L153" s="120" t="s">
        <v>63</v>
      </c>
      <c r="M153" s="120"/>
      <c r="N153" s="123"/>
      <c r="O153" s="124">
        <v>18793.0</v>
      </c>
      <c r="P153" s="124">
        <v>355.0</v>
      </c>
      <c r="Q153" s="111">
        <v>220.0</v>
      </c>
      <c r="R153" s="125">
        <v>289.0</v>
      </c>
      <c r="S153" s="126">
        <v>0.9531</v>
      </c>
      <c r="T153" s="127">
        <v>55756.35</v>
      </c>
      <c r="U153" s="128">
        <f t="shared" si="1"/>
        <v>0</v>
      </c>
      <c r="V153" s="79" t="s">
        <v>68</v>
      </c>
      <c r="W153" s="79" t="s">
        <v>69</v>
      </c>
      <c r="X153" s="79" t="s">
        <v>66</v>
      </c>
      <c r="Y153" s="130"/>
      <c r="Z153" s="111"/>
      <c r="AA153" s="183"/>
      <c r="AB153" s="133"/>
      <c r="AC153" s="133"/>
      <c r="AD153" s="133"/>
      <c r="AE153" s="133"/>
      <c r="AF153" s="111"/>
      <c r="AG153" s="134" t="s">
        <v>111</v>
      </c>
      <c r="AH153" s="73"/>
      <c r="AI153" s="135"/>
      <c r="AJ153" s="136"/>
      <c r="AK153" s="76"/>
      <c r="AL153" s="137"/>
      <c r="AM153" s="139" t="s">
        <v>71</v>
      </c>
      <c r="AN153" s="139">
        <v>355.0</v>
      </c>
      <c r="AO153" s="140">
        <v>72.39</v>
      </c>
      <c r="AP153" s="142">
        <v>18793.0</v>
      </c>
      <c r="AQ153" s="142">
        <v>220.0</v>
      </c>
      <c r="AR153" s="143"/>
      <c r="AS153" s="144">
        <v>0.9736867574791509</v>
      </c>
      <c r="AT153" s="144">
        <v>-0.020586757479150952</v>
      </c>
      <c r="AU153" s="146" t="s">
        <v>791</v>
      </c>
      <c r="AV153" s="146" t="s">
        <v>791</v>
      </c>
      <c r="AW153" s="148" t="s">
        <v>791</v>
      </c>
      <c r="AX153" s="151"/>
      <c r="AY153" s="105"/>
      <c r="AZ153" s="186"/>
      <c r="BA153" s="186"/>
      <c r="BB153" s="234"/>
      <c r="BC153" s="238"/>
      <c r="BD153" s="238"/>
      <c r="BE153" s="238"/>
      <c r="BF153" s="77"/>
    </row>
    <row r="154" ht="16.5" customHeight="1">
      <c r="A154" s="111">
        <v>151.0</v>
      </c>
      <c r="B154" s="112" t="s">
        <v>237</v>
      </c>
      <c r="C154" s="115" t="s">
        <v>60</v>
      </c>
      <c r="D154" s="117">
        <v>41591.0</v>
      </c>
      <c r="E154" s="117">
        <v>42121.0</v>
      </c>
      <c r="F154" s="79" t="s">
        <v>57</v>
      </c>
      <c r="G154" s="118">
        <v>31215.0</v>
      </c>
      <c r="H154" s="114">
        <v>58.8</v>
      </c>
      <c r="I154" s="120">
        <v>385.0</v>
      </c>
      <c r="J154" s="111" t="s">
        <v>62</v>
      </c>
      <c r="K154" s="121">
        <v>385.0</v>
      </c>
      <c r="L154" s="120" t="s">
        <v>63</v>
      </c>
      <c r="M154" s="120"/>
      <c r="N154" s="123"/>
      <c r="O154" s="124">
        <v>31215.0</v>
      </c>
      <c r="P154" s="124">
        <v>531.0</v>
      </c>
      <c r="Q154" s="111">
        <v>235.0</v>
      </c>
      <c r="R154" s="125">
        <v>399.0</v>
      </c>
      <c r="S154" s="126">
        <v>0.9649</v>
      </c>
      <c r="T154" s="127">
        <v>74779.75</v>
      </c>
      <c r="U154" s="128">
        <f t="shared" si="1"/>
        <v>0</v>
      </c>
      <c r="V154" s="79" t="s">
        <v>64</v>
      </c>
      <c r="W154" s="79" t="s">
        <v>64</v>
      </c>
      <c r="X154" s="79" t="s">
        <v>66</v>
      </c>
      <c r="Y154" s="130"/>
      <c r="Z154" s="111"/>
      <c r="AA154" s="133"/>
      <c r="AB154" s="133"/>
      <c r="AC154" s="133"/>
      <c r="AD154" s="133"/>
      <c r="AE154" s="133"/>
      <c r="AF154" s="111"/>
      <c r="AG154" s="134" t="s">
        <v>796</v>
      </c>
      <c r="AH154" s="73"/>
      <c r="AI154" s="135"/>
      <c r="AJ154" s="136"/>
      <c r="AK154" s="76"/>
      <c r="AL154" s="137"/>
      <c r="AM154" s="139" t="s">
        <v>71</v>
      </c>
      <c r="AN154" s="139">
        <v>531.0</v>
      </c>
      <c r="AO154" s="140">
        <v>96.37</v>
      </c>
      <c r="AP154" s="142">
        <v>31215.0</v>
      </c>
      <c r="AQ154" s="142">
        <v>235.0</v>
      </c>
      <c r="AR154" s="143"/>
      <c r="AS154" s="144">
        <v>0.9644789806453813</v>
      </c>
      <c r="AT154" s="144">
        <v>4.210193546186902E-4</v>
      </c>
      <c r="AU154" s="146" t="s">
        <v>800</v>
      </c>
      <c r="AV154" s="146" t="s">
        <v>800</v>
      </c>
      <c r="AW154" s="148" t="s">
        <v>800</v>
      </c>
      <c r="AX154" s="151"/>
      <c r="AY154" s="105"/>
      <c r="AZ154" s="186"/>
      <c r="BA154" s="186"/>
      <c r="BB154" s="146"/>
      <c r="BC154" s="155"/>
      <c r="BD154" s="155"/>
      <c r="BE154" s="155"/>
      <c r="BF154" s="45"/>
    </row>
    <row r="155" ht="16.5" customHeight="1">
      <c r="A155" s="111">
        <v>152.0</v>
      </c>
      <c r="B155" s="112" t="s">
        <v>761</v>
      </c>
      <c r="C155" s="115" t="s">
        <v>60</v>
      </c>
      <c r="D155" s="117">
        <v>42097.0</v>
      </c>
      <c r="E155" s="117">
        <v>42122.0</v>
      </c>
      <c r="F155" s="79" t="s">
        <v>90</v>
      </c>
      <c r="G155" s="118">
        <v>3272.0</v>
      </c>
      <c r="H155" s="114">
        <v>125.8</v>
      </c>
      <c r="I155" s="120">
        <v>406.0</v>
      </c>
      <c r="J155" s="111" t="s">
        <v>62</v>
      </c>
      <c r="K155" s="121">
        <v>406.0</v>
      </c>
      <c r="L155" s="120" t="s">
        <v>63</v>
      </c>
      <c r="M155" s="120"/>
      <c r="N155" s="123"/>
      <c r="O155" s="124">
        <v>3272.0</v>
      </c>
      <c r="P155" s="124">
        <v>26.0</v>
      </c>
      <c r="Q155" s="111">
        <v>246.0</v>
      </c>
      <c r="R155" s="125">
        <v>408.0</v>
      </c>
      <c r="S155" s="126">
        <v>0.9951</v>
      </c>
      <c r="T155" s="127">
        <v>77120.25</v>
      </c>
      <c r="U155" s="128">
        <f t="shared" si="1"/>
        <v>0</v>
      </c>
      <c r="V155" s="79" t="s">
        <v>67</v>
      </c>
      <c r="W155" s="79" t="s">
        <v>65</v>
      </c>
      <c r="X155" s="79" t="s">
        <v>68</v>
      </c>
      <c r="Y155" s="130"/>
      <c r="Z155" s="111">
        <v>11.0</v>
      </c>
      <c r="AA155" s="111">
        <v>406.0</v>
      </c>
      <c r="AB155" s="111" t="s">
        <v>62</v>
      </c>
      <c r="AC155" s="133"/>
      <c r="AD155" s="133"/>
      <c r="AE155" s="133"/>
      <c r="AF155" s="111"/>
      <c r="AG155" s="134" t="s">
        <v>763</v>
      </c>
      <c r="AH155" s="73"/>
      <c r="AI155" s="135"/>
      <c r="AJ155" s="136"/>
      <c r="AK155" s="76"/>
      <c r="AL155" s="137"/>
      <c r="AM155" s="139">
        <v>406.0</v>
      </c>
      <c r="AN155" s="139">
        <v>26.0</v>
      </c>
      <c r="AO155" s="140">
        <v>10.41</v>
      </c>
      <c r="AP155" s="142">
        <v>3272.0</v>
      </c>
      <c r="AQ155" s="142">
        <v>246.0</v>
      </c>
      <c r="AR155" s="143"/>
      <c r="AS155" s="144">
        <v>0.993801819732151</v>
      </c>
      <c r="AT155" s="144">
        <v>0.0012981802678490029</v>
      </c>
      <c r="AU155" s="146" t="s">
        <v>805</v>
      </c>
      <c r="AV155" s="146" t="s">
        <v>805</v>
      </c>
      <c r="AW155" s="148" t="s">
        <v>805</v>
      </c>
      <c r="AX155" s="151"/>
      <c r="AY155" s="105"/>
      <c r="AZ155" s="186"/>
      <c r="BA155" s="186"/>
      <c r="BB155" s="146"/>
      <c r="BC155" s="155"/>
      <c r="BD155" s="155"/>
      <c r="BE155" s="155"/>
      <c r="BF155" s="45"/>
    </row>
    <row r="156" ht="16.5" customHeight="1">
      <c r="A156" s="111">
        <v>153.0</v>
      </c>
      <c r="B156" s="112" t="s">
        <v>140</v>
      </c>
      <c r="C156" s="115" t="s">
        <v>60</v>
      </c>
      <c r="D156" s="117">
        <v>41867.0</v>
      </c>
      <c r="E156" s="117">
        <v>42121.0</v>
      </c>
      <c r="F156" s="79" t="s">
        <v>79</v>
      </c>
      <c r="G156" s="118">
        <v>20539.0</v>
      </c>
      <c r="H156" s="114">
        <v>80.5</v>
      </c>
      <c r="I156" s="120">
        <v>378.0</v>
      </c>
      <c r="J156" s="111" t="s">
        <v>61</v>
      </c>
      <c r="K156" s="121">
        <v>382.78</v>
      </c>
      <c r="L156" s="120" t="s">
        <v>63</v>
      </c>
      <c r="M156" s="120"/>
      <c r="N156" s="123"/>
      <c r="O156" s="124">
        <v>20539.0</v>
      </c>
      <c r="P156" s="124">
        <v>255.0</v>
      </c>
      <c r="Q156" s="111">
        <v>244.0</v>
      </c>
      <c r="R156" s="125">
        <v>399.0</v>
      </c>
      <c r="S156" s="126">
        <v>0.9593</v>
      </c>
      <c r="T156" s="127">
        <v>74345.75</v>
      </c>
      <c r="U156" s="128">
        <f t="shared" si="1"/>
        <v>0</v>
      </c>
      <c r="V156" s="79" t="s">
        <v>65</v>
      </c>
      <c r="W156" s="79" t="s">
        <v>65</v>
      </c>
      <c r="X156" s="79" t="s">
        <v>69</v>
      </c>
      <c r="Y156" s="130"/>
      <c r="Z156" s="111"/>
      <c r="AA156" s="133"/>
      <c r="AB156" s="133"/>
      <c r="AC156" s="133"/>
      <c r="AD156" s="133"/>
      <c r="AE156" s="133"/>
      <c r="AF156" s="111"/>
      <c r="AG156" s="147"/>
      <c r="AH156" s="73"/>
      <c r="AI156" s="135"/>
      <c r="AJ156" s="136"/>
      <c r="AK156" s="76"/>
      <c r="AL156" s="137"/>
      <c r="AM156" s="139" t="s">
        <v>71</v>
      </c>
      <c r="AN156" s="139">
        <v>255.0</v>
      </c>
      <c r="AO156" s="140">
        <v>66.02</v>
      </c>
      <c r="AP156" s="142">
        <v>20539.0</v>
      </c>
      <c r="AQ156" s="142">
        <v>244.0</v>
      </c>
      <c r="AR156" s="143"/>
      <c r="AS156" s="144">
        <v>0.9721183548886476</v>
      </c>
      <c r="AT156" s="144">
        <v>-0.012818354888647576</v>
      </c>
      <c r="AU156" s="146" t="s">
        <v>808</v>
      </c>
      <c r="AV156" s="146" t="s">
        <v>808</v>
      </c>
      <c r="AW156" s="148" t="s">
        <v>808</v>
      </c>
      <c r="AX156" s="151"/>
      <c r="AY156" s="105"/>
      <c r="AZ156" s="186"/>
      <c r="BA156" s="186"/>
      <c r="BB156" s="146"/>
      <c r="BC156" s="155"/>
      <c r="BD156" s="155"/>
      <c r="BE156" s="155"/>
      <c r="BF156" s="45"/>
    </row>
    <row r="157" ht="16.5" customHeight="1">
      <c r="A157" s="111">
        <v>154.0</v>
      </c>
      <c r="B157" s="112" t="s">
        <v>640</v>
      </c>
      <c r="C157" s="115" t="s">
        <v>60</v>
      </c>
      <c r="D157" s="117">
        <v>41927.0</v>
      </c>
      <c r="E157" s="117">
        <v>42123.0</v>
      </c>
      <c r="F157" s="79" t="s">
        <v>59</v>
      </c>
      <c r="G157" s="118">
        <v>11234.0</v>
      </c>
      <c r="H157" s="114">
        <v>57.0</v>
      </c>
      <c r="I157" s="120">
        <v>389.0</v>
      </c>
      <c r="J157" s="111" t="s">
        <v>61</v>
      </c>
      <c r="K157" s="121">
        <v>393.92</v>
      </c>
      <c r="L157" s="120" t="s">
        <v>63</v>
      </c>
      <c r="M157" s="120"/>
      <c r="N157" s="123"/>
      <c r="O157" s="124">
        <v>11234.0</v>
      </c>
      <c r="P157" s="124">
        <v>197.0</v>
      </c>
      <c r="Q157" s="111">
        <v>228.0</v>
      </c>
      <c r="R157" s="125">
        <v>399.0</v>
      </c>
      <c r="S157" s="126">
        <v>0.9873</v>
      </c>
      <c r="T157" s="127">
        <v>76515.75</v>
      </c>
      <c r="U157" s="128">
        <f t="shared" si="1"/>
        <v>0</v>
      </c>
      <c r="V157" s="79" t="s">
        <v>80</v>
      </c>
      <c r="W157" s="79" t="s">
        <v>64</v>
      </c>
      <c r="X157" s="79" t="s">
        <v>65</v>
      </c>
      <c r="Y157" s="130"/>
      <c r="Z157" s="111">
        <v>3.7</v>
      </c>
      <c r="AA157" s="133"/>
      <c r="AB157" s="133"/>
      <c r="AC157" s="133"/>
      <c r="AD157" s="133"/>
      <c r="AE157" s="133"/>
      <c r="AF157" s="111"/>
      <c r="AG157" s="134" t="s">
        <v>810</v>
      </c>
      <c r="AH157" s="73"/>
      <c r="AI157" s="135"/>
      <c r="AJ157" s="136"/>
      <c r="AK157" s="76"/>
      <c r="AL157" s="137"/>
      <c r="AM157" s="139" t="s">
        <v>71</v>
      </c>
      <c r="AN157" s="139">
        <v>197.0</v>
      </c>
      <c r="AO157" s="140">
        <v>33.27</v>
      </c>
      <c r="AP157" s="142">
        <v>11234.0</v>
      </c>
      <c r="AQ157" s="142">
        <v>228.0</v>
      </c>
      <c r="AR157" s="143"/>
      <c r="AS157" s="144">
        <v>0.9818882943268123</v>
      </c>
      <c r="AT157" s="144">
        <v>0.005411705673187606</v>
      </c>
      <c r="AU157" s="146" t="s">
        <v>812</v>
      </c>
      <c r="AV157" s="146" t="s">
        <v>812</v>
      </c>
      <c r="AW157" s="148" t="s">
        <v>812</v>
      </c>
      <c r="AX157" s="151"/>
      <c r="AY157" s="105"/>
      <c r="AZ157" s="186"/>
      <c r="BA157" s="186"/>
      <c r="BB157" s="146"/>
      <c r="BC157" s="155"/>
      <c r="BD157" s="155"/>
      <c r="BE157" s="155"/>
      <c r="BF157" s="45"/>
    </row>
    <row r="158" ht="16.5" customHeight="1">
      <c r="A158" s="111">
        <v>155.0</v>
      </c>
      <c r="B158" s="112" t="s">
        <v>813</v>
      </c>
      <c r="C158" s="115" t="s">
        <v>60</v>
      </c>
      <c r="D158" s="117">
        <v>42084.0</v>
      </c>
      <c r="E158" s="117">
        <v>42131.0</v>
      </c>
      <c r="F158" s="79" t="s">
        <v>59</v>
      </c>
      <c r="G158" s="118">
        <v>8192.0</v>
      </c>
      <c r="H158" s="114">
        <v>170.7</v>
      </c>
      <c r="I158" s="120">
        <v>393.0</v>
      </c>
      <c r="J158" s="111" t="s">
        <v>61</v>
      </c>
      <c r="K158" s="121">
        <v>397.97</v>
      </c>
      <c r="L158" s="120" t="s">
        <v>63</v>
      </c>
      <c r="M158" s="120"/>
      <c r="N158" s="123"/>
      <c r="O158" s="124">
        <v>8192.0</v>
      </c>
      <c r="P158" s="124">
        <v>48.0</v>
      </c>
      <c r="Q158" s="111">
        <v>224.0</v>
      </c>
      <c r="R158" s="125">
        <v>399.0</v>
      </c>
      <c r="S158" s="126">
        <v>0.9974</v>
      </c>
      <c r="T158" s="127">
        <v>77298.5</v>
      </c>
      <c r="U158" s="128">
        <f t="shared" si="1"/>
        <v>0</v>
      </c>
      <c r="V158" s="79" t="s">
        <v>67</v>
      </c>
      <c r="W158" s="79" t="s">
        <v>65</v>
      </c>
      <c r="X158" s="79" t="s">
        <v>68</v>
      </c>
      <c r="Y158" s="130">
        <v>0.9</v>
      </c>
      <c r="Z158" s="111"/>
      <c r="AA158" s="133"/>
      <c r="AB158" s="133"/>
      <c r="AC158" s="133"/>
      <c r="AD158" s="133"/>
      <c r="AE158" s="133"/>
      <c r="AF158" s="111"/>
      <c r="AG158" s="147"/>
      <c r="AH158" s="73"/>
      <c r="AI158" s="135"/>
      <c r="AJ158" s="136"/>
      <c r="AK158" s="76"/>
      <c r="AL158" s="137"/>
      <c r="AM158" s="139" t="s">
        <v>71</v>
      </c>
      <c r="AN158" s="139">
        <v>48.0</v>
      </c>
      <c r="AO158" s="140">
        <v>23.71</v>
      </c>
      <c r="AP158" s="142">
        <v>8192.0</v>
      </c>
      <c r="AQ158" s="142">
        <v>224.0</v>
      </c>
      <c r="AR158" s="143"/>
      <c r="AS158" s="144">
        <v>0.9859753006755465</v>
      </c>
      <c r="AT158" s="144">
        <v>0.011424699324453447</v>
      </c>
      <c r="AU158" s="146" t="s">
        <v>815</v>
      </c>
      <c r="AV158" s="146" t="s">
        <v>815</v>
      </c>
      <c r="AW158" s="148" t="s">
        <v>815</v>
      </c>
      <c r="AX158" s="151"/>
      <c r="AY158" s="105"/>
      <c r="AZ158" s="186"/>
      <c r="BA158" s="186"/>
      <c r="BB158" s="146"/>
      <c r="BC158" s="155"/>
      <c r="BD158" s="155"/>
      <c r="BE158" s="155"/>
      <c r="BF158" s="45"/>
    </row>
    <row r="159" ht="16.5" customHeight="1">
      <c r="A159" s="111">
        <v>156.0</v>
      </c>
      <c r="B159" s="112" t="s">
        <v>265</v>
      </c>
      <c r="C159" s="115" t="s">
        <v>60</v>
      </c>
      <c r="D159" s="117">
        <v>41794.0</v>
      </c>
      <c r="E159" s="117">
        <v>42124.0</v>
      </c>
      <c r="F159" s="79" t="s">
        <v>79</v>
      </c>
      <c r="G159" s="118">
        <v>16011.0</v>
      </c>
      <c r="H159" s="114">
        <v>48.4</v>
      </c>
      <c r="I159" s="120">
        <v>383.0</v>
      </c>
      <c r="J159" s="111" t="s">
        <v>61</v>
      </c>
      <c r="K159" s="121">
        <v>387.85</v>
      </c>
      <c r="L159" s="120" t="s">
        <v>63</v>
      </c>
      <c r="M159" s="120"/>
      <c r="N159" s="123"/>
      <c r="O159" s="124">
        <v>16011.0</v>
      </c>
      <c r="P159" s="124">
        <v>331.0</v>
      </c>
      <c r="Q159" s="111">
        <v>273.0</v>
      </c>
      <c r="R159" s="125">
        <v>399.0</v>
      </c>
      <c r="S159" s="126">
        <v>0.9721</v>
      </c>
      <c r="T159" s="127">
        <v>75337.75</v>
      </c>
      <c r="U159" s="128">
        <f t="shared" si="1"/>
        <v>0</v>
      </c>
      <c r="V159" s="79" t="s">
        <v>64</v>
      </c>
      <c r="W159" s="79" t="s">
        <v>64</v>
      </c>
      <c r="X159" s="79" t="s">
        <v>69</v>
      </c>
      <c r="Y159" s="130"/>
      <c r="Z159" s="111"/>
      <c r="AA159" s="133"/>
      <c r="AB159" s="133"/>
      <c r="AC159" s="133"/>
      <c r="AD159" s="133"/>
      <c r="AE159" s="133"/>
      <c r="AF159" s="111"/>
      <c r="AG159" s="147"/>
      <c r="AH159" s="73"/>
      <c r="AI159" s="135"/>
      <c r="AJ159" s="136"/>
      <c r="AK159" s="76"/>
      <c r="AL159" s="137"/>
      <c r="AM159" s="139" t="s">
        <v>71</v>
      </c>
      <c r="AN159" s="139">
        <v>331.0</v>
      </c>
      <c r="AO159" s="140">
        <v>57.21</v>
      </c>
      <c r="AP159" s="142">
        <v>16011.0</v>
      </c>
      <c r="AQ159" s="142">
        <v>273.0</v>
      </c>
      <c r="AR159" s="143"/>
      <c r="AS159" s="144">
        <v>0.9764194172209556</v>
      </c>
      <c r="AT159" s="144">
        <v>-0.004319417220955635</v>
      </c>
      <c r="AU159" s="146" t="s">
        <v>822</v>
      </c>
      <c r="AV159" s="146" t="s">
        <v>822</v>
      </c>
      <c r="AW159" s="148" t="s">
        <v>822</v>
      </c>
      <c r="AX159" s="151"/>
      <c r="AY159" s="105"/>
      <c r="AZ159" s="186"/>
      <c r="BA159" s="186"/>
      <c r="BB159" s="146"/>
      <c r="BC159" s="155"/>
      <c r="BD159" s="155"/>
      <c r="BE159" s="155"/>
      <c r="BF159" s="45"/>
    </row>
    <row r="160" ht="16.5" customHeight="1">
      <c r="A160" s="111">
        <v>157.0</v>
      </c>
      <c r="B160" s="112" t="s">
        <v>717</v>
      </c>
      <c r="C160" s="115" t="s">
        <v>60</v>
      </c>
      <c r="D160" s="117">
        <v>42093.0</v>
      </c>
      <c r="E160" s="117">
        <v>42125.0</v>
      </c>
      <c r="F160" s="79" t="s">
        <v>90</v>
      </c>
      <c r="G160" s="118">
        <v>1875.0</v>
      </c>
      <c r="H160" s="114">
        <v>56.8</v>
      </c>
      <c r="I160" s="120">
        <v>405.0</v>
      </c>
      <c r="J160" s="111" t="s">
        <v>61</v>
      </c>
      <c r="K160" s="121">
        <v>410.13</v>
      </c>
      <c r="L160" s="120" t="s">
        <v>63</v>
      </c>
      <c r="M160" s="120"/>
      <c r="N160" s="123"/>
      <c r="O160" s="124">
        <v>1875.0</v>
      </c>
      <c r="P160" s="124">
        <v>33.0</v>
      </c>
      <c r="Q160" s="111">
        <v>212.0</v>
      </c>
      <c r="R160" s="125">
        <v>408.0</v>
      </c>
      <c r="S160" s="126">
        <v>1.0052</v>
      </c>
      <c r="T160" s="127">
        <v>77903.0</v>
      </c>
      <c r="U160" s="128">
        <f t="shared" si="1"/>
        <v>0</v>
      </c>
      <c r="V160" s="79" t="s">
        <v>65</v>
      </c>
      <c r="W160" s="79" t="s">
        <v>65</v>
      </c>
      <c r="X160" s="79" t="s">
        <v>68</v>
      </c>
      <c r="Y160" s="130">
        <v>0.8</v>
      </c>
      <c r="Z160" s="111"/>
      <c r="AA160" s="133"/>
      <c r="AB160" s="133"/>
      <c r="AC160" s="133"/>
      <c r="AD160" s="133"/>
      <c r="AE160" s="133"/>
      <c r="AF160" s="111"/>
      <c r="AG160" s="147"/>
      <c r="AH160" s="73"/>
      <c r="AI160" s="135"/>
      <c r="AJ160" s="136"/>
      <c r="AK160" s="76"/>
      <c r="AL160" s="137"/>
      <c r="AM160" s="139" t="s">
        <v>71</v>
      </c>
      <c r="AN160" s="139">
        <v>33.0</v>
      </c>
      <c r="AO160" s="140">
        <v>5.12</v>
      </c>
      <c r="AP160" s="142">
        <v>1875.0</v>
      </c>
      <c r="AQ160" s="142">
        <v>212.0</v>
      </c>
      <c r="AR160" s="143"/>
      <c r="AS160" s="144">
        <v>0.9963412559935011</v>
      </c>
      <c r="AT160" s="144">
        <v>0.008858744006498998</v>
      </c>
      <c r="AU160" s="146" t="s">
        <v>826</v>
      </c>
      <c r="AV160" s="146" t="s">
        <v>826</v>
      </c>
      <c r="AW160" s="148" t="s">
        <v>826</v>
      </c>
      <c r="AX160" s="151"/>
      <c r="AY160" s="105"/>
      <c r="AZ160" s="186"/>
      <c r="BA160" s="186"/>
      <c r="BB160" s="146"/>
      <c r="BC160" s="155"/>
      <c r="BD160" s="155"/>
      <c r="BE160" s="155"/>
      <c r="BF160" s="45"/>
    </row>
    <row r="161" ht="16.5" customHeight="1">
      <c r="A161" s="111">
        <v>158.0</v>
      </c>
      <c r="B161" s="112" t="s">
        <v>595</v>
      </c>
      <c r="C161" s="115" t="s">
        <v>60</v>
      </c>
      <c r="D161" s="157">
        <v>41621.0</v>
      </c>
      <c r="E161" s="117">
        <v>42128.0</v>
      </c>
      <c r="F161" s="79" t="s">
        <v>59</v>
      </c>
      <c r="G161" s="118">
        <v>34786.0</v>
      </c>
      <c r="H161" s="114">
        <v>68.5</v>
      </c>
      <c r="I161" s="120">
        <v>382.0</v>
      </c>
      <c r="J161" s="111" t="s">
        <v>61</v>
      </c>
      <c r="K161" s="121">
        <v>386.84</v>
      </c>
      <c r="L161" s="120" t="s">
        <v>63</v>
      </c>
      <c r="M161" s="120"/>
      <c r="N161" s="123"/>
      <c r="O161" s="124">
        <v>34786.0</v>
      </c>
      <c r="P161" s="124">
        <v>508.0</v>
      </c>
      <c r="Q161" s="159">
        <v>218.0</v>
      </c>
      <c r="R161" s="125">
        <v>399.0</v>
      </c>
      <c r="S161" s="126">
        <v>0.9695</v>
      </c>
      <c r="T161" s="127">
        <v>75136.25</v>
      </c>
      <c r="U161" s="128">
        <f t="shared" si="1"/>
        <v>0</v>
      </c>
      <c r="V161" s="79" t="s">
        <v>65</v>
      </c>
      <c r="W161" s="79" t="s">
        <v>64</v>
      </c>
      <c r="X161" s="79" t="s">
        <v>69</v>
      </c>
      <c r="Y161" s="130">
        <v>0.8</v>
      </c>
      <c r="Z161" s="111"/>
      <c r="AA161" s="133"/>
      <c r="AB161" s="133"/>
      <c r="AC161" s="133"/>
      <c r="AD161" s="133"/>
      <c r="AE161" s="133"/>
      <c r="AF161" s="111"/>
      <c r="AG161" s="134" t="s">
        <v>830</v>
      </c>
      <c r="AH161" s="73"/>
      <c r="AI161" s="135"/>
      <c r="AJ161" s="136"/>
      <c r="AK161" s="76"/>
      <c r="AL161" s="137"/>
      <c r="AM161" s="139" t="s">
        <v>71</v>
      </c>
      <c r="AN161" s="139">
        <v>508.0</v>
      </c>
      <c r="AO161" s="140">
        <v>99.39</v>
      </c>
      <c r="AP161" s="142">
        <v>34786.0</v>
      </c>
      <c r="AQ161" s="142">
        <v>218.0</v>
      </c>
      <c r="AR161" s="143"/>
      <c r="AS161" s="144">
        <v>0.9625069366388482</v>
      </c>
      <c r="AT161" s="144">
        <v>0.006993063361151797</v>
      </c>
      <c r="AU161" s="146" t="s">
        <v>831</v>
      </c>
      <c r="AV161" s="234" t="s">
        <v>831</v>
      </c>
      <c r="AW161" s="148" t="s">
        <v>831</v>
      </c>
      <c r="AX161" s="151"/>
      <c r="AY161" s="105"/>
      <c r="AZ161" s="186"/>
      <c r="BA161" s="186"/>
      <c r="BB161" s="146"/>
      <c r="BC161" s="155"/>
      <c r="BD161" s="155"/>
      <c r="BE161" s="155"/>
      <c r="BF161" s="45"/>
    </row>
    <row r="162" ht="16.5" customHeight="1">
      <c r="A162" s="111">
        <v>159.0</v>
      </c>
      <c r="B162" s="112" t="s">
        <v>328</v>
      </c>
      <c r="C162" s="115" t="s">
        <v>60</v>
      </c>
      <c r="D162" s="117">
        <v>41599.0</v>
      </c>
      <c r="E162" s="117">
        <v>42125.0</v>
      </c>
      <c r="F162" s="79" t="s">
        <v>59</v>
      </c>
      <c r="G162" s="118">
        <v>36800.0</v>
      </c>
      <c r="H162" s="114">
        <v>69.8</v>
      </c>
      <c r="I162" s="120">
        <v>380.0</v>
      </c>
      <c r="J162" s="111" t="s">
        <v>61</v>
      </c>
      <c r="K162" s="121">
        <v>384.81</v>
      </c>
      <c r="L162" s="120" t="s">
        <v>63</v>
      </c>
      <c r="M162" s="120"/>
      <c r="N162" s="123"/>
      <c r="O162" s="124">
        <v>36800.0</v>
      </c>
      <c r="P162" s="124">
        <v>527.0</v>
      </c>
      <c r="Q162" s="111">
        <v>211.0</v>
      </c>
      <c r="R162" s="125">
        <v>399.0</v>
      </c>
      <c r="S162" s="126">
        <v>0.9644</v>
      </c>
      <c r="T162" s="127">
        <v>74741.0</v>
      </c>
      <c r="U162" s="128">
        <f t="shared" si="1"/>
        <v>0</v>
      </c>
      <c r="V162" s="79" t="s">
        <v>64</v>
      </c>
      <c r="W162" s="79" t="s">
        <v>66</v>
      </c>
      <c r="X162" s="79" t="s">
        <v>66</v>
      </c>
      <c r="Y162" s="130">
        <v>0.8</v>
      </c>
      <c r="Z162" s="111"/>
      <c r="AA162" s="133"/>
      <c r="AB162" s="133"/>
      <c r="AC162" s="133"/>
      <c r="AD162" s="133"/>
      <c r="AE162" s="133"/>
      <c r="AF162" s="111"/>
      <c r="AG162" s="134" t="s">
        <v>833</v>
      </c>
      <c r="AH162" s="73"/>
      <c r="AI162" s="135"/>
      <c r="AJ162" s="136"/>
      <c r="AK162" s="76"/>
      <c r="AL162" s="137"/>
      <c r="AM162" s="139" t="s">
        <v>71</v>
      </c>
      <c r="AN162" s="139">
        <v>527.0</v>
      </c>
      <c r="AO162" s="140">
        <v>102.03</v>
      </c>
      <c r="AP162" s="142">
        <v>36800.0</v>
      </c>
      <c r="AQ162" s="142">
        <v>211.0</v>
      </c>
      <c r="AR162" s="143"/>
      <c r="AS162" s="144">
        <v>0.961493700911036</v>
      </c>
      <c r="AT162" s="144">
        <v>0.002906299088964004</v>
      </c>
      <c r="AU162" s="146" t="s">
        <v>834</v>
      </c>
      <c r="AV162" s="146" t="s">
        <v>834</v>
      </c>
      <c r="AW162" s="148" t="s">
        <v>834</v>
      </c>
      <c r="AX162" s="151"/>
      <c r="AY162" s="105"/>
      <c r="AZ162" s="186"/>
      <c r="BA162" s="186"/>
      <c r="BB162" s="146"/>
      <c r="BC162" s="155"/>
      <c r="BD162" s="155"/>
      <c r="BE162" s="155"/>
      <c r="BF162" s="45"/>
    </row>
    <row r="163" ht="16.5" customHeight="1">
      <c r="A163" s="111">
        <v>160.0</v>
      </c>
      <c r="B163" s="112" t="s">
        <v>381</v>
      </c>
      <c r="C163" s="115" t="s">
        <v>60</v>
      </c>
      <c r="D163" s="117">
        <v>41540.0</v>
      </c>
      <c r="E163" s="117">
        <v>42125.0</v>
      </c>
      <c r="F163" s="79" t="s">
        <v>79</v>
      </c>
      <c r="G163" s="118">
        <v>80101.0</v>
      </c>
      <c r="H163" s="114">
        <v>136.7</v>
      </c>
      <c r="I163" s="120">
        <v>378.0</v>
      </c>
      <c r="J163" s="111" t="s">
        <v>61</v>
      </c>
      <c r="K163" s="121">
        <v>382.78</v>
      </c>
      <c r="L163" s="120" t="s">
        <v>195</v>
      </c>
      <c r="M163" s="120" t="s">
        <v>281</v>
      </c>
      <c r="N163" s="120">
        <v>18000.0</v>
      </c>
      <c r="O163" s="124">
        <v>62101.0</v>
      </c>
      <c r="P163" s="124">
        <v>454.0</v>
      </c>
      <c r="Q163" s="111">
        <v>224.0</v>
      </c>
      <c r="R163" s="125">
        <v>399.0</v>
      </c>
      <c r="S163" s="126">
        <v>0.9593</v>
      </c>
      <c r="T163" s="127">
        <v>74345.75</v>
      </c>
      <c r="U163" s="128">
        <f t="shared" si="1"/>
        <v>0</v>
      </c>
      <c r="V163" s="79" t="s">
        <v>64</v>
      </c>
      <c r="W163" s="79" t="s">
        <v>69</v>
      </c>
      <c r="X163" s="79" t="s">
        <v>66</v>
      </c>
      <c r="Y163" s="130">
        <v>0.8</v>
      </c>
      <c r="Z163" s="111"/>
      <c r="AA163" s="133"/>
      <c r="AB163" s="133"/>
      <c r="AC163" s="133"/>
      <c r="AD163" s="133"/>
      <c r="AE163" s="133"/>
      <c r="AF163" s="111"/>
      <c r="AG163" s="134" t="s">
        <v>838</v>
      </c>
      <c r="AH163" s="73"/>
      <c r="AI163" s="135"/>
      <c r="AJ163" s="136"/>
      <c r="AK163" s="76"/>
      <c r="AL163" s="137"/>
      <c r="AM163" s="139" t="s">
        <v>71</v>
      </c>
      <c r="AN163" s="139">
        <v>586.0</v>
      </c>
      <c r="AO163" s="140">
        <v>183.24</v>
      </c>
      <c r="AP163" s="142">
        <v>62101.0</v>
      </c>
      <c r="AQ163" s="142">
        <v>224.0</v>
      </c>
      <c r="AR163" s="143"/>
      <c r="AS163" s="144">
        <v>0.9526553605487253</v>
      </c>
      <c r="AT163" s="144">
        <v>0.006644639451274692</v>
      </c>
      <c r="AU163" s="146" t="s">
        <v>840</v>
      </c>
      <c r="AV163" s="146" t="s">
        <v>840</v>
      </c>
      <c r="AW163" s="148" t="s">
        <v>840</v>
      </c>
      <c r="AX163" s="151"/>
      <c r="AY163" s="105"/>
      <c r="AZ163" s="186"/>
      <c r="BA163" s="186"/>
      <c r="BB163" s="146"/>
      <c r="BC163" s="155"/>
      <c r="BD163" s="155"/>
      <c r="BE163" s="155"/>
      <c r="BF163" s="45"/>
    </row>
    <row r="164" ht="16.5" customHeight="1">
      <c r="A164" s="111">
        <v>161.0</v>
      </c>
      <c r="B164" s="112" t="s">
        <v>324</v>
      </c>
      <c r="C164" s="115" t="s">
        <v>60</v>
      </c>
      <c r="D164" s="117">
        <v>41618.0</v>
      </c>
      <c r="E164" s="117">
        <v>42129.0</v>
      </c>
      <c r="F164" s="79" t="s">
        <v>79</v>
      </c>
      <c r="G164" s="118">
        <v>45025.0</v>
      </c>
      <c r="H164" s="114">
        <v>87.9</v>
      </c>
      <c r="I164" s="120">
        <v>378.0</v>
      </c>
      <c r="J164" s="111" t="s">
        <v>61</v>
      </c>
      <c r="K164" s="121">
        <v>382.78</v>
      </c>
      <c r="L164" s="120" t="s">
        <v>63</v>
      </c>
      <c r="M164" s="120"/>
      <c r="N164" s="123"/>
      <c r="O164" s="124">
        <v>45025.0</v>
      </c>
      <c r="P164" s="124">
        <v>512.0</v>
      </c>
      <c r="Q164" s="111">
        <v>207.0</v>
      </c>
      <c r="R164" s="125">
        <v>399.0</v>
      </c>
      <c r="S164" s="126">
        <v>0.9593</v>
      </c>
      <c r="T164" s="127">
        <v>74345.75</v>
      </c>
      <c r="U164" s="128">
        <f t="shared" si="1"/>
        <v>0</v>
      </c>
      <c r="V164" s="79" t="s">
        <v>80</v>
      </c>
      <c r="W164" s="79" t="s">
        <v>69</v>
      </c>
      <c r="X164" s="79" t="s">
        <v>69</v>
      </c>
      <c r="Y164" s="130">
        <v>0.8</v>
      </c>
      <c r="Z164" s="111"/>
      <c r="AA164" s="133"/>
      <c r="AB164" s="133"/>
      <c r="AC164" s="133"/>
      <c r="AD164" s="133"/>
      <c r="AE164" s="133"/>
      <c r="AF164" s="111"/>
      <c r="AG164" s="134" t="s">
        <v>111</v>
      </c>
      <c r="AH164" s="73"/>
      <c r="AI164" s="135"/>
      <c r="AJ164" s="136"/>
      <c r="AK164" s="76"/>
      <c r="AL164" s="137"/>
      <c r="AM164" s="139" t="s">
        <v>71</v>
      </c>
      <c r="AN164" s="139">
        <v>512.0</v>
      </c>
      <c r="AO164" s="140">
        <v>122.78</v>
      </c>
      <c r="AP164" s="142">
        <v>45025.0</v>
      </c>
      <c r="AQ164" s="142">
        <v>207.0</v>
      </c>
      <c r="AR164" s="143"/>
      <c r="AS164" s="144">
        <v>0.957954430412745</v>
      </c>
      <c r="AT164" s="144">
        <v>0.0013455695872550688</v>
      </c>
      <c r="AU164" s="146" t="s">
        <v>842</v>
      </c>
      <c r="AV164" s="146" t="s">
        <v>842</v>
      </c>
      <c r="AW164" s="148" t="s">
        <v>842</v>
      </c>
      <c r="AX164" s="151"/>
      <c r="AY164" s="105"/>
      <c r="AZ164" s="186"/>
      <c r="BA164" s="186"/>
      <c r="BB164" s="146"/>
      <c r="BC164" s="155"/>
      <c r="BD164" s="155"/>
      <c r="BE164" s="155"/>
      <c r="BF164" s="45"/>
    </row>
    <row r="165" ht="16.5" customHeight="1">
      <c r="A165" s="111">
        <v>162.0</v>
      </c>
      <c r="B165" s="112" t="s">
        <v>843</v>
      </c>
      <c r="C165" s="115" t="s">
        <v>60</v>
      </c>
      <c r="D165" s="117">
        <v>42090.0</v>
      </c>
      <c r="E165" s="117">
        <v>42132.0</v>
      </c>
      <c r="F165" s="79" t="s">
        <v>90</v>
      </c>
      <c r="G165" s="118">
        <v>3503.0</v>
      </c>
      <c r="H165" s="114">
        <v>81.5</v>
      </c>
      <c r="I165" s="120">
        <v>405.0</v>
      </c>
      <c r="J165" s="111" t="s">
        <v>61</v>
      </c>
      <c r="K165" s="121">
        <v>410.13</v>
      </c>
      <c r="L165" s="120" t="s">
        <v>63</v>
      </c>
      <c r="M165" s="120"/>
      <c r="N165" s="123"/>
      <c r="O165" s="124">
        <v>3503.0</v>
      </c>
      <c r="P165" s="124">
        <v>43.0</v>
      </c>
      <c r="Q165" s="111">
        <v>268.0</v>
      </c>
      <c r="R165" s="125">
        <v>408.0</v>
      </c>
      <c r="S165" s="126">
        <v>1.0052</v>
      </c>
      <c r="T165" s="127">
        <v>77903.0</v>
      </c>
      <c r="U165" s="128">
        <f t="shared" si="1"/>
        <v>0</v>
      </c>
      <c r="V165" s="79" t="s">
        <v>65</v>
      </c>
      <c r="W165" s="79" t="s">
        <v>65</v>
      </c>
      <c r="X165" s="79" t="s">
        <v>64</v>
      </c>
      <c r="Y165" s="130">
        <v>0.9</v>
      </c>
      <c r="Z165" s="111"/>
      <c r="AA165" s="133"/>
      <c r="AB165" s="133"/>
      <c r="AC165" s="133"/>
      <c r="AD165" s="133"/>
      <c r="AE165" s="133"/>
      <c r="AF165" s="111"/>
      <c r="AG165" s="134" t="s">
        <v>111</v>
      </c>
      <c r="AH165" s="73"/>
      <c r="AI165" s="135"/>
      <c r="AJ165" s="136"/>
      <c r="AK165" s="76"/>
      <c r="AL165" s="137"/>
      <c r="AM165" s="139" t="s">
        <v>71</v>
      </c>
      <c r="AN165" s="139">
        <v>43.0</v>
      </c>
      <c r="AO165" s="140">
        <v>12.08</v>
      </c>
      <c r="AP165" s="142">
        <v>3503.0</v>
      </c>
      <c r="AQ165" s="142">
        <v>268.0</v>
      </c>
      <c r="AR165" s="143"/>
      <c r="AS165" s="144">
        <v>0.9933964349998166</v>
      </c>
      <c r="AT165" s="144">
        <v>0.011803565000183536</v>
      </c>
      <c r="AU165" s="146" t="s">
        <v>846</v>
      </c>
      <c r="AV165" s="146" t="s">
        <v>846</v>
      </c>
      <c r="AW165" s="148" t="s">
        <v>846</v>
      </c>
      <c r="AX165" s="151"/>
      <c r="AY165" s="105"/>
      <c r="AZ165" s="186"/>
      <c r="BA165" s="186"/>
      <c r="BB165" s="146"/>
      <c r="BC165" s="155"/>
      <c r="BD165" s="155"/>
      <c r="BE165" s="155"/>
      <c r="BF165" s="45"/>
    </row>
    <row r="166" ht="16.5" customHeight="1">
      <c r="A166" s="111">
        <v>163.0</v>
      </c>
      <c r="B166" s="112" t="s">
        <v>761</v>
      </c>
      <c r="C166" s="115" t="s">
        <v>60</v>
      </c>
      <c r="D166" s="117">
        <v>42097.0</v>
      </c>
      <c r="E166" s="117">
        <v>42131.0</v>
      </c>
      <c r="F166" s="79" t="s">
        <v>90</v>
      </c>
      <c r="G166" s="118">
        <v>4144.0</v>
      </c>
      <c r="H166" s="114">
        <v>118.4</v>
      </c>
      <c r="I166" s="120">
        <v>406.0</v>
      </c>
      <c r="J166" s="111" t="s">
        <v>62</v>
      </c>
      <c r="K166" s="121">
        <v>406.0</v>
      </c>
      <c r="L166" s="120" t="s">
        <v>63</v>
      </c>
      <c r="M166" s="120"/>
      <c r="N166" s="123"/>
      <c r="O166" s="124">
        <v>4144.0</v>
      </c>
      <c r="P166" s="124">
        <v>35.0</v>
      </c>
      <c r="Q166" s="111">
        <v>244.0</v>
      </c>
      <c r="R166" s="125">
        <v>408.0</v>
      </c>
      <c r="S166" s="126">
        <v>0.9951</v>
      </c>
      <c r="T166" s="127">
        <v>77120.25</v>
      </c>
      <c r="U166" s="128">
        <f t="shared" si="1"/>
        <v>0</v>
      </c>
      <c r="V166" s="79" t="s">
        <v>67</v>
      </c>
      <c r="W166" s="79" t="s">
        <v>65</v>
      </c>
      <c r="X166" s="79" t="s">
        <v>68</v>
      </c>
      <c r="Y166" s="130">
        <v>0.8</v>
      </c>
      <c r="Z166" s="111">
        <v>11.0</v>
      </c>
      <c r="AA166" s="111">
        <v>406.0</v>
      </c>
      <c r="AB166" s="111" t="s">
        <v>62</v>
      </c>
      <c r="AC166" s="133"/>
      <c r="AD166" s="133"/>
      <c r="AE166" s="133"/>
      <c r="AF166" s="111"/>
      <c r="AG166" s="134" t="s">
        <v>763</v>
      </c>
      <c r="AH166" s="73"/>
      <c r="AI166" s="135"/>
      <c r="AJ166" s="136"/>
      <c r="AK166" s="76"/>
      <c r="AL166" s="137"/>
      <c r="AM166" s="139">
        <v>406.0</v>
      </c>
      <c r="AN166" s="139">
        <v>35.0</v>
      </c>
      <c r="AO166" s="140">
        <v>13.08</v>
      </c>
      <c r="AP166" s="142">
        <v>4144.0</v>
      </c>
      <c r="AQ166" s="142">
        <v>244.0</v>
      </c>
      <c r="AR166" s="143"/>
      <c r="AS166" s="144">
        <v>0.992292361763209</v>
      </c>
      <c r="AT166" s="144">
        <v>0.002807638236790977</v>
      </c>
      <c r="AU166" s="146" t="s">
        <v>851</v>
      </c>
      <c r="AV166" s="146" t="s">
        <v>851</v>
      </c>
      <c r="AW166" s="148" t="s">
        <v>851</v>
      </c>
      <c r="AX166" s="151"/>
      <c r="AY166" s="105"/>
      <c r="AZ166" s="186"/>
      <c r="BA166" s="186"/>
      <c r="BB166" s="146"/>
      <c r="BC166" s="155"/>
      <c r="BD166" s="155"/>
      <c r="BE166" s="155"/>
      <c r="BF166" s="45"/>
    </row>
    <row r="167" ht="16.5" customHeight="1">
      <c r="A167" s="111">
        <v>164.0</v>
      </c>
      <c r="B167" s="112" t="s">
        <v>761</v>
      </c>
      <c r="C167" s="115" t="s">
        <v>60</v>
      </c>
      <c r="D167" s="117">
        <v>42097.0</v>
      </c>
      <c r="E167" s="117">
        <v>42134.0</v>
      </c>
      <c r="F167" s="79" t="s">
        <v>90</v>
      </c>
      <c r="G167" s="118">
        <v>5903.0</v>
      </c>
      <c r="H167" s="114">
        <v>155.3</v>
      </c>
      <c r="I167" s="120">
        <v>406.0</v>
      </c>
      <c r="J167" s="111" t="s">
        <v>62</v>
      </c>
      <c r="K167" s="121">
        <v>406.0</v>
      </c>
      <c r="L167" s="120" t="s">
        <v>63</v>
      </c>
      <c r="M167" s="120"/>
      <c r="N167" s="123"/>
      <c r="O167" s="124">
        <v>5903.0</v>
      </c>
      <c r="P167" s="124">
        <v>38.0</v>
      </c>
      <c r="Q167" s="111">
        <v>237.0</v>
      </c>
      <c r="R167" s="125">
        <v>408.0</v>
      </c>
      <c r="S167" s="126">
        <v>0.9951</v>
      </c>
      <c r="T167" s="127">
        <v>77120.25</v>
      </c>
      <c r="U167" s="128">
        <f t="shared" si="1"/>
        <v>0</v>
      </c>
      <c r="V167" s="79" t="s">
        <v>80</v>
      </c>
      <c r="W167" s="79" t="s">
        <v>65</v>
      </c>
      <c r="X167" s="79" t="s">
        <v>68</v>
      </c>
      <c r="Y167" s="130">
        <v>0.8</v>
      </c>
      <c r="Z167" s="111">
        <v>11.0</v>
      </c>
      <c r="AA167" s="111">
        <v>406.0</v>
      </c>
      <c r="AB167" s="111" t="s">
        <v>62</v>
      </c>
      <c r="AC167" s="133"/>
      <c r="AD167" s="133"/>
      <c r="AE167" s="133"/>
      <c r="AF167" s="111"/>
      <c r="AG167" s="134" t="s">
        <v>763</v>
      </c>
      <c r="AH167" s="73"/>
      <c r="AI167" s="135"/>
      <c r="AJ167" s="136"/>
      <c r="AK167" s="76"/>
      <c r="AL167" s="137"/>
      <c r="AM167" s="139">
        <v>406.0</v>
      </c>
      <c r="AN167" s="139">
        <v>38.0</v>
      </c>
      <c r="AO167" s="140">
        <v>18.1</v>
      </c>
      <c r="AP167" s="142">
        <v>5903.0</v>
      </c>
      <c r="AQ167" s="142">
        <v>237.0</v>
      </c>
      <c r="AR167" s="143"/>
      <c r="AS167" s="144">
        <v>0.9894135718917971</v>
      </c>
      <c r="AT167" s="144">
        <v>0.005686428108202857</v>
      </c>
      <c r="AU167" s="146" t="s">
        <v>854</v>
      </c>
      <c r="AV167" s="146" t="s">
        <v>854</v>
      </c>
      <c r="AW167" s="148" t="s">
        <v>854</v>
      </c>
      <c r="AX167" s="151"/>
      <c r="AY167" s="105"/>
      <c r="AZ167" s="186"/>
      <c r="BA167" s="186"/>
      <c r="BB167" s="146"/>
      <c r="BC167" s="155"/>
      <c r="BD167" s="155"/>
      <c r="BE167" s="155"/>
      <c r="BF167" s="45"/>
    </row>
    <row r="168" ht="16.5" customHeight="1">
      <c r="A168" s="111">
        <v>165.0</v>
      </c>
      <c r="B168" s="112" t="s">
        <v>285</v>
      </c>
      <c r="C168" s="115" t="s">
        <v>60</v>
      </c>
      <c r="D168" s="117">
        <v>41530.0</v>
      </c>
      <c r="E168" s="117">
        <v>42134.0</v>
      </c>
      <c r="F168" s="79" t="s">
        <v>57</v>
      </c>
      <c r="G168" s="118">
        <v>50000.0</v>
      </c>
      <c r="H168" s="114">
        <v>82.6</v>
      </c>
      <c r="I168" s="120">
        <v>390.0</v>
      </c>
      <c r="J168" s="111" t="s">
        <v>62</v>
      </c>
      <c r="K168" s="121">
        <v>390.0</v>
      </c>
      <c r="L168" s="120" t="s">
        <v>195</v>
      </c>
      <c r="M168" s="120" t="s">
        <v>281</v>
      </c>
      <c r="N168" s="120">
        <v>22600.0</v>
      </c>
      <c r="O168" s="124">
        <v>32143.0</v>
      </c>
      <c r="P168" s="124">
        <v>389.0</v>
      </c>
      <c r="Q168" s="111">
        <v>225.0</v>
      </c>
      <c r="R168" s="125">
        <v>399.0</v>
      </c>
      <c r="S168" s="126">
        <v>0.9774</v>
      </c>
      <c r="T168" s="127">
        <v>75748.5</v>
      </c>
      <c r="U168" s="128">
        <f t="shared" si="1"/>
        <v>0</v>
      </c>
      <c r="V168" s="79" t="s">
        <v>64</v>
      </c>
      <c r="W168" s="79" t="s">
        <v>65</v>
      </c>
      <c r="X168" s="79" t="s">
        <v>66</v>
      </c>
      <c r="Y168" s="130">
        <v>0.9</v>
      </c>
      <c r="Z168" s="111"/>
      <c r="AA168" s="133"/>
      <c r="AB168" s="133"/>
      <c r="AC168" s="133"/>
      <c r="AD168" s="133"/>
      <c r="AE168" s="133"/>
      <c r="AF168" s="111"/>
      <c r="AG168" s="134" t="s">
        <v>859</v>
      </c>
      <c r="AH168" s="73"/>
      <c r="AI168" s="135"/>
      <c r="AJ168" s="136"/>
      <c r="AK168" s="76"/>
      <c r="AL168" s="137"/>
      <c r="AM168" s="139" t="s">
        <v>71</v>
      </c>
      <c r="AN168" s="139">
        <v>605.0</v>
      </c>
      <c r="AO168" s="140">
        <v>94.4</v>
      </c>
      <c r="AP168" s="142">
        <v>32143.0</v>
      </c>
      <c r="AQ168" s="142">
        <v>225.0</v>
      </c>
      <c r="AR168" s="143"/>
      <c r="AS168" s="144">
        <v>0.9639433022329197</v>
      </c>
      <c r="AT168" s="144">
        <v>0.013456697767080361</v>
      </c>
      <c r="AU168" s="146" t="s">
        <v>860</v>
      </c>
      <c r="AV168" s="146" t="s">
        <v>860</v>
      </c>
      <c r="AW168" s="148" t="s">
        <v>860</v>
      </c>
      <c r="AX168" s="151"/>
      <c r="AY168" s="105"/>
      <c r="AZ168" s="186"/>
      <c r="BA168" s="186"/>
      <c r="BB168" s="146"/>
      <c r="BC168" s="155"/>
      <c r="BD168" s="155"/>
      <c r="BE168" s="155"/>
      <c r="BF168" s="45"/>
    </row>
    <row r="169" ht="16.5" customHeight="1">
      <c r="A169" s="111">
        <v>166.0</v>
      </c>
      <c r="B169" s="112" t="s">
        <v>717</v>
      </c>
      <c r="C169" s="115" t="s">
        <v>60</v>
      </c>
      <c r="D169" s="117">
        <v>42093.0</v>
      </c>
      <c r="E169" s="117">
        <v>42134.0</v>
      </c>
      <c r="F169" s="79" t="s">
        <v>90</v>
      </c>
      <c r="G169" s="118">
        <v>3772.0</v>
      </c>
      <c r="H169" s="114">
        <v>89.8</v>
      </c>
      <c r="I169" s="120">
        <v>410.0</v>
      </c>
      <c r="J169" s="111" t="s">
        <v>62</v>
      </c>
      <c r="K169" s="121">
        <v>410.0</v>
      </c>
      <c r="L169" s="120" t="s">
        <v>63</v>
      </c>
      <c r="M169" s="120"/>
      <c r="N169" s="123"/>
      <c r="O169" s="124">
        <v>3772.0</v>
      </c>
      <c r="P169" s="124">
        <v>42.0</v>
      </c>
      <c r="Q169" s="111">
        <v>205.0</v>
      </c>
      <c r="R169" s="125">
        <v>408.0</v>
      </c>
      <c r="S169" s="126">
        <v>1.0049</v>
      </c>
      <c r="T169" s="127">
        <v>77879.74999999999</v>
      </c>
      <c r="U169" s="128">
        <f t="shared" si="1"/>
        <v>0</v>
      </c>
      <c r="V169" s="79" t="s">
        <v>80</v>
      </c>
      <c r="W169" s="79" t="s">
        <v>67</v>
      </c>
      <c r="X169" s="79" t="s">
        <v>66</v>
      </c>
      <c r="Y169" s="130">
        <v>0.8</v>
      </c>
      <c r="Z169" s="111"/>
      <c r="AA169" s="133"/>
      <c r="AB169" s="133"/>
      <c r="AC169" s="133"/>
      <c r="AD169" s="133"/>
      <c r="AE169" s="133"/>
      <c r="AF169" s="111"/>
      <c r="AG169" s="134" t="s">
        <v>111</v>
      </c>
      <c r="AH169" s="73"/>
      <c r="AI169" s="135"/>
      <c r="AJ169" s="136"/>
      <c r="AK169" s="76"/>
      <c r="AL169" s="137"/>
      <c r="AM169" s="139" t="s">
        <v>71</v>
      </c>
      <c r="AN169" s="139">
        <v>42.0</v>
      </c>
      <c r="AO169" s="140">
        <v>9.95</v>
      </c>
      <c r="AP169" s="142">
        <v>3772.0</v>
      </c>
      <c r="AQ169" s="142">
        <v>205.0</v>
      </c>
      <c r="AR169" s="143"/>
      <c r="AS169" s="144">
        <v>0.9929294040888188</v>
      </c>
      <c r="AT169" s="144">
        <v>0.011970595911181103</v>
      </c>
      <c r="AU169" s="146" t="s">
        <v>863</v>
      </c>
      <c r="AV169" s="146" t="s">
        <v>863</v>
      </c>
      <c r="AW169" s="148" t="s">
        <v>863</v>
      </c>
      <c r="AX169" s="151"/>
      <c r="AY169" s="105"/>
      <c r="AZ169" s="186"/>
      <c r="BA169" s="186"/>
      <c r="BB169" s="146"/>
      <c r="BC169" s="155"/>
      <c r="BD169" s="155"/>
      <c r="BE169" s="155"/>
      <c r="BF169" s="45"/>
    </row>
    <row r="170" ht="16.5" customHeight="1">
      <c r="A170" s="111">
        <v>167.0</v>
      </c>
      <c r="B170" s="112" t="s">
        <v>449</v>
      </c>
      <c r="C170" s="115" t="s">
        <v>60</v>
      </c>
      <c r="D170" s="117">
        <v>41598.0</v>
      </c>
      <c r="E170" s="117">
        <v>42141.0</v>
      </c>
      <c r="F170" s="79" t="s">
        <v>59</v>
      </c>
      <c r="G170" s="118">
        <v>71820.0</v>
      </c>
      <c r="H170" s="114">
        <v>132.0</v>
      </c>
      <c r="I170" s="120">
        <v>370.0</v>
      </c>
      <c r="J170" s="111" t="s">
        <v>61</v>
      </c>
      <c r="K170" s="121">
        <v>374.68</v>
      </c>
      <c r="L170" s="120" t="s">
        <v>63</v>
      </c>
      <c r="M170" s="120"/>
      <c r="N170" s="123"/>
      <c r="O170" s="124">
        <v>71820.0</v>
      </c>
      <c r="P170" s="124">
        <v>544.0</v>
      </c>
      <c r="Q170" s="111">
        <v>191.0</v>
      </c>
      <c r="R170" s="125">
        <v>399.0</v>
      </c>
      <c r="S170" s="126">
        <v>0.939</v>
      </c>
      <c r="T170" s="127">
        <v>72772.5</v>
      </c>
      <c r="U170" s="128">
        <f t="shared" si="1"/>
        <v>0</v>
      </c>
      <c r="V170" s="79" t="s">
        <v>80</v>
      </c>
      <c r="W170" s="79" t="s">
        <v>64</v>
      </c>
      <c r="X170" s="79" t="s">
        <v>68</v>
      </c>
      <c r="Y170" s="130">
        <v>0.7</v>
      </c>
      <c r="Z170" s="111"/>
      <c r="AA170" s="133"/>
      <c r="AB170" s="133"/>
      <c r="AC170" s="133"/>
      <c r="AD170" s="133"/>
      <c r="AE170" s="133"/>
      <c r="AF170" s="111"/>
      <c r="AG170" s="134" t="s">
        <v>865</v>
      </c>
      <c r="AH170" s="73"/>
      <c r="AI170" s="135"/>
      <c r="AJ170" s="136"/>
      <c r="AK170" s="76"/>
      <c r="AL170" s="137"/>
      <c r="AM170" s="139" t="s">
        <v>71</v>
      </c>
      <c r="AN170" s="139">
        <v>544.0</v>
      </c>
      <c r="AO170" s="140">
        <v>182.59</v>
      </c>
      <c r="AP170" s="142">
        <v>71820.0</v>
      </c>
      <c r="AQ170" s="142">
        <v>191.0</v>
      </c>
      <c r="AR170" s="143"/>
      <c r="AS170" s="144">
        <v>0.950354812713689</v>
      </c>
      <c r="AT170" s="144">
        <v>-0.0113548127136891</v>
      </c>
      <c r="AU170" s="146" t="s">
        <v>866</v>
      </c>
      <c r="AV170" s="146" t="s">
        <v>866</v>
      </c>
      <c r="AW170" s="148" t="s">
        <v>866</v>
      </c>
      <c r="AX170" s="151"/>
      <c r="AY170" s="105"/>
      <c r="AZ170" s="186"/>
      <c r="BA170" s="186"/>
      <c r="BB170" s="146"/>
      <c r="BC170" s="155"/>
      <c r="BD170" s="155"/>
      <c r="BE170" s="155"/>
      <c r="BF170" s="45"/>
    </row>
    <row r="171" ht="16.5" customHeight="1">
      <c r="A171" s="111">
        <v>168.0</v>
      </c>
      <c r="B171" s="112" t="s">
        <v>212</v>
      </c>
      <c r="C171" s="115" t="s">
        <v>60</v>
      </c>
      <c r="D171" s="117">
        <v>41543.0</v>
      </c>
      <c r="E171" s="117">
        <v>42142.0</v>
      </c>
      <c r="F171" s="79" t="s">
        <v>59</v>
      </c>
      <c r="G171" s="118">
        <v>78500.0</v>
      </c>
      <c r="H171" s="114">
        <v>130.8</v>
      </c>
      <c r="I171" s="120">
        <v>375.0</v>
      </c>
      <c r="J171" s="111" t="s">
        <v>61</v>
      </c>
      <c r="K171" s="121">
        <v>379.75</v>
      </c>
      <c r="L171" s="120" t="s">
        <v>195</v>
      </c>
      <c r="M171" s="120" t="s">
        <v>196</v>
      </c>
      <c r="N171" s="120">
        <v>65000.0</v>
      </c>
      <c r="O171" s="124">
        <v>78500.0</v>
      </c>
      <c r="P171" s="124">
        <v>600.0</v>
      </c>
      <c r="Q171" s="111">
        <v>224.0</v>
      </c>
      <c r="R171" s="125">
        <v>399.0</v>
      </c>
      <c r="S171" s="126">
        <v>0.9518</v>
      </c>
      <c r="T171" s="127">
        <v>73764.5</v>
      </c>
      <c r="U171" s="128">
        <f t="shared" si="1"/>
        <v>0</v>
      </c>
      <c r="V171" s="79" t="s">
        <v>65</v>
      </c>
      <c r="W171" s="79" t="s">
        <v>64</v>
      </c>
      <c r="X171" s="79" t="s">
        <v>66</v>
      </c>
      <c r="Y171" s="130">
        <v>0.9</v>
      </c>
      <c r="Z171" s="111"/>
      <c r="AA171" s="133"/>
      <c r="AB171" s="133"/>
      <c r="AC171" s="133"/>
      <c r="AD171" s="133"/>
      <c r="AE171" s="133"/>
      <c r="AF171" s="111"/>
      <c r="AG171" s="134"/>
      <c r="AH171" s="73"/>
      <c r="AI171" s="135"/>
      <c r="AJ171" s="136"/>
      <c r="AK171" s="76"/>
      <c r="AL171" s="137"/>
      <c r="AM171" s="139" t="s">
        <v>71</v>
      </c>
      <c r="AN171" s="139">
        <v>600.0</v>
      </c>
      <c r="AO171" s="140">
        <v>232.52</v>
      </c>
      <c r="AP171" s="142">
        <v>78500.0</v>
      </c>
      <c r="AQ171" s="142">
        <v>224.0</v>
      </c>
      <c r="AR171" s="143"/>
      <c r="AS171" s="144">
        <v>0.948947537954861</v>
      </c>
      <c r="AT171" s="144">
        <v>0.0028524620451390037</v>
      </c>
      <c r="AU171" s="146" t="s">
        <v>871</v>
      </c>
      <c r="AV171" s="146" t="s">
        <v>871</v>
      </c>
      <c r="AW171" s="148" t="s">
        <v>871</v>
      </c>
      <c r="AX171" s="151"/>
      <c r="AY171" s="105"/>
      <c r="AZ171" s="186"/>
      <c r="BA171" s="186"/>
      <c r="BB171" s="146"/>
      <c r="BC171" s="155"/>
      <c r="BD171" s="155"/>
      <c r="BE171" s="155"/>
      <c r="BF171" s="45"/>
    </row>
    <row r="172" ht="16.5" customHeight="1">
      <c r="A172" s="111">
        <v>169.0</v>
      </c>
      <c r="B172" s="112" t="s">
        <v>872</v>
      </c>
      <c r="C172" s="115" t="s">
        <v>60</v>
      </c>
      <c r="D172" s="117">
        <v>41729.0</v>
      </c>
      <c r="E172" s="117">
        <v>42143.0</v>
      </c>
      <c r="F172" s="79" t="s">
        <v>59</v>
      </c>
      <c r="G172" s="118">
        <v>57500.0</v>
      </c>
      <c r="H172" s="114">
        <v>138.6</v>
      </c>
      <c r="I172" s="120">
        <v>375.0</v>
      </c>
      <c r="J172" s="111" t="s">
        <v>61</v>
      </c>
      <c r="K172" s="121">
        <v>379.75</v>
      </c>
      <c r="L172" s="120" t="s">
        <v>195</v>
      </c>
      <c r="M172" s="120" t="s">
        <v>196</v>
      </c>
      <c r="N172" s="120">
        <v>31500.0</v>
      </c>
      <c r="O172" s="124">
        <v>57500.0</v>
      </c>
      <c r="P172" s="124">
        <v>415.0</v>
      </c>
      <c r="Q172" s="111">
        <v>254.0</v>
      </c>
      <c r="R172" s="125">
        <v>399.0</v>
      </c>
      <c r="S172" s="126">
        <v>0.9518</v>
      </c>
      <c r="T172" s="127">
        <v>73764.5</v>
      </c>
      <c r="U172" s="128">
        <f t="shared" si="1"/>
        <v>0</v>
      </c>
      <c r="V172" s="79" t="s">
        <v>80</v>
      </c>
      <c r="W172" s="79" t="s">
        <v>65</v>
      </c>
      <c r="X172" s="79" t="s">
        <v>69</v>
      </c>
      <c r="Y172" s="130">
        <v>0.9</v>
      </c>
      <c r="Z172" s="111"/>
      <c r="AA172" s="133"/>
      <c r="AB172" s="133"/>
      <c r="AC172" s="133"/>
      <c r="AD172" s="133"/>
      <c r="AE172" s="133"/>
      <c r="AF172" s="111"/>
      <c r="AG172" s="134" t="s">
        <v>151</v>
      </c>
      <c r="AH172" s="73"/>
      <c r="AI172" s="135"/>
      <c r="AJ172" s="136"/>
      <c r="AK172" s="76"/>
      <c r="AL172" s="137"/>
      <c r="AM172" s="139" t="s">
        <v>71</v>
      </c>
      <c r="AN172" s="139">
        <v>415.0</v>
      </c>
      <c r="AO172" s="140">
        <v>193.12</v>
      </c>
      <c r="AP172" s="142">
        <v>57500.0</v>
      </c>
      <c r="AQ172" s="142">
        <v>254.0</v>
      </c>
      <c r="AR172" s="143"/>
      <c r="AS172" s="144">
        <v>0.9538895472537051</v>
      </c>
      <c r="AT172" s="144">
        <v>-0.0020895472537051374</v>
      </c>
      <c r="AU172" s="146" t="s">
        <v>873</v>
      </c>
      <c r="AV172" s="146" t="s">
        <v>873</v>
      </c>
      <c r="AW172" s="148" t="s">
        <v>873</v>
      </c>
      <c r="AX172" s="151"/>
      <c r="AY172" s="105"/>
      <c r="AZ172" s="186"/>
      <c r="BA172" s="186"/>
      <c r="BB172" s="146"/>
      <c r="BC172" s="155"/>
      <c r="BD172" s="155"/>
      <c r="BE172" s="155"/>
      <c r="BF172" s="45"/>
    </row>
    <row r="173" ht="16.5" customHeight="1">
      <c r="A173" s="111">
        <v>170.0</v>
      </c>
      <c r="B173" s="112" t="s">
        <v>147</v>
      </c>
      <c r="C173" s="115" t="s">
        <v>60</v>
      </c>
      <c r="D173" s="117">
        <v>41639.0</v>
      </c>
      <c r="E173" s="117">
        <v>42143.0</v>
      </c>
      <c r="F173" s="79" t="s">
        <v>79</v>
      </c>
      <c r="G173" s="118">
        <v>80150.0</v>
      </c>
      <c r="H173" s="114">
        <v>158.7</v>
      </c>
      <c r="I173" s="120">
        <v>369.0</v>
      </c>
      <c r="J173" s="111" t="s">
        <v>61</v>
      </c>
      <c r="K173" s="121">
        <v>373.67</v>
      </c>
      <c r="L173" s="120" t="s">
        <v>63</v>
      </c>
      <c r="M173" s="120"/>
      <c r="N173" s="123"/>
      <c r="O173" s="124">
        <v>80150.0</v>
      </c>
      <c r="P173" s="124">
        <v>505.0</v>
      </c>
      <c r="Q173" s="111">
        <v>229.0</v>
      </c>
      <c r="R173" s="125">
        <v>399.0</v>
      </c>
      <c r="S173" s="126">
        <v>0.9365</v>
      </c>
      <c r="T173" s="127">
        <v>72578.75</v>
      </c>
      <c r="U173" s="128">
        <f t="shared" si="1"/>
        <v>0</v>
      </c>
      <c r="V173" s="79"/>
      <c r="W173" s="79"/>
      <c r="X173" s="79"/>
      <c r="Y173" s="130"/>
      <c r="Z173" s="111"/>
      <c r="AA173" s="133"/>
      <c r="AB173" s="133"/>
      <c r="AC173" s="133"/>
      <c r="AD173" s="133"/>
      <c r="AE173" s="133"/>
      <c r="AF173" s="111"/>
      <c r="AG173" s="147"/>
      <c r="AH173" s="73"/>
      <c r="AI173" s="135"/>
      <c r="AJ173" s="136"/>
      <c r="AK173" s="76"/>
      <c r="AL173" s="137"/>
      <c r="AM173" s="139" t="s">
        <v>71</v>
      </c>
      <c r="AN173" s="139">
        <v>505.0</v>
      </c>
      <c r="AO173" s="140">
        <v>244.62</v>
      </c>
      <c r="AP173" s="142">
        <v>80150.0</v>
      </c>
      <c r="AQ173" s="142">
        <v>229.0</v>
      </c>
      <c r="AR173" s="143"/>
      <c r="AS173" s="144">
        <v>0.948616214773123</v>
      </c>
      <c r="AT173" s="144">
        <v>-0.012116214773122969</v>
      </c>
      <c r="AU173" s="146" t="s">
        <v>875</v>
      </c>
      <c r="AV173" s="146" t="s">
        <v>875</v>
      </c>
      <c r="AW173" s="148" t="s">
        <v>875</v>
      </c>
      <c r="AX173" s="151"/>
      <c r="AY173" s="105"/>
      <c r="AZ173" s="186"/>
      <c r="BA173" s="186"/>
      <c r="BB173" s="146"/>
      <c r="BC173" s="155"/>
      <c r="BD173" s="155"/>
      <c r="BE173" s="155"/>
      <c r="BF173" s="45"/>
    </row>
    <row r="174" ht="16.5" customHeight="1">
      <c r="A174" s="111">
        <v>171.0</v>
      </c>
      <c r="B174" s="112" t="s">
        <v>876</v>
      </c>
      <c r="C174" s="115" t="s">
        <v>60</v>
      </c>
      <c r="D174" s="117">
        <v>41613.0</v>
      </c>
      <c r="E174" s="117">
        <v>42138.0</v>
      </c>
      <c r="F174" s="79" t="s">
        <v>79</v>
      </c>
      <c r="G174" s="118">
        <v>78527.0</v>
      </c>
      <c r="H174" s="114">
        <v>149.3</v>
      </c>
      <c r="I174" s="120">
        <v>372.0</v>
      </c>
      <c r="J174" s="111" t="s">
        <v>61</v>
      </c>
      <c r="K174" s="121">
        <v>376.71</v>
      </c>
      <c r="L174" s="120" t="s">
        <v>63</v>
      </c>
      <c r="M174" s="120"/>
      <c r="N174" s="123"/>
      <c r="O174" s="124">
        <v>78527.0</v>
      </c>
      <c r="P174" s="124">
        <v>526.0</v>
      </c>
      <c r="Q174" s="111">
        <v>218.0</v>
      </c>
      <c r="R174" s="125">
        <v>399.0</v>
      </c>
      <c r="S174" s="126">
        <v>0.9441</v>
      </c>
      <c r="T174" s="127">
        <v>73167.75</v>
      </c>
      <c r="U174" s="128">
        <f t="shared" si="1"/>
        <v>0</v>
      </c>
      <c r="V174" s="79" t="s">
        <v>65</v>
      </c>
      <c r="W174" s="79" t="s">
        <v>69</v>
      </c>
      <c r="X174" s="79" t="s">
        <v>68</v>
      </c>
      <c r="Y174" s="130">
        <v>0.7</v>
      </c>
      <c r="Z174" s="111"/>
      <c r="AA174" s="133"/>
      <c r="AB174" s="133"/>
      <c r="AC174" s="133"/>
      <c r="AD174" s="133"/>
      <c r="AE174" s="133"/>
      <c r="AF174" s="111"/>
      <c r="AG174" s="147"/>
      <c r="AH174" s="73"/>
      <c r="AI174" s="135"/>
      <c r="AJ174" s="136"/>
      <c r="AK174" s="76"/>
      <c r="AL174" s="137"/>
      <c r="AM174" s="139" t="s">
        <v>71</v>
      </c>
      <c r="AN174" s="139">
        <v>526.0</v>
      </c>
      <c r="AO174" s="140">
        <v>227.26</v>
      </c>
      <c r="AP174" s="142">
        <v>78527.0</v>
      </c>
      <c r="AQ174" s="142">
        <v>218.0</v>
      </c>
      <c r="AR174" s="143"/>
      <c r="AS174" s="144">
        <v>0.9489420697496035</v>
      </c>
      <c r="AT174" s="144">
        <v>-0.004842069749603439</v>
      </c>
      <c r="AU174" s="146" t="s">
        <v>877</v>
      </c>
      <c r="AV174" s="146" t="s">
        <v>877</v>
      </c>
      <c r="AW174" s="148" t="s">
        <v>877</v>
      </c>
      <c r="AX174" s="151"/>
      <c r="AY174" s="105"/>
      <c r="AZ174" s="186"/>
      <c r="BA174" s="186"/>
      <c r="BB174" s="146"/>
      <c r="BC174" s="155"/>
      <c r="BD174" s="155"/>
      <c r="BE174" s="155"/>
      <c r="BF174" s="45"/>
    </row>
    <row r="175" ht="16.5" customHeight="1">
      <c r="A175" s="111">
        <v>172.0</v>
      </c>
      <c r="B175" s="112" t="s">
        <v>878</v>
      </c>
      <c r="C175" s="115" t="s">
        <v>60</v>
      </c>
      <c r="D175" s="117">
        <v>41999.0</v>
      </c>
      <c r="E175" s="117">
        <v>42142.0</v>
      </c>
      <c r="F175" s="79" t="s">
        <v>79</v>
      </c>
      <c r="G175" s="118">
        <v>18450.0</v>
      </c>
      <c r="H175" s="114">
        <v>128.1</v>
      </c>
      <c r="I175" s="120">
        <v>394.0</v>
      </c>
      <c r="J175" s="111" t="s">
        <v>62</v>
      </c>
      <c r="K175" s="121">
        <v>394.0</v>
      </c>
      <c r="L175" s="120" t="s">
        <v>63</v>
      </c>
      <c r="M175" s="120"/>
      <c r="N175" s="123"/>
      <c r="O175" s="124">
        <v>18450.0</v>
      </c>
      <c r="P175" s="124">
        <v>144.0</v>
      </c>
      <c r="Q175" s="111">
        <v>242.0</v>
      </c>
      <c r="R175" s="125">
        <v>399.0</v>
      </c>
      <c r="S175" s="126">
        <v>0.9875</v>
      </c>
      <c r="T175" s="127">
        <v>76531.25</v>
      </c>
      <c r="U175" s="128">
        <f t="shared" si="1"/>
        <v>0</v>
      </c>
      <c r="V175" s="79" t="s">
        <v>80</v>
      </c>
      <c r="W175" s="79" t="s">
        <v>69</v>
      </c>
      <c r="X175" s="79" t="s">
        <v>65</v>
      </c>
      <c r="Y175" s="130">
        <v>0.7</v>
      </c>
      <c r="Z175" s="111"/>
      <c r="AA175" s="133"/>
      <c r="AB175" s="133"/>
      <c r="AC175" s="133"/>
      <c r="AD175" s="133"/>
      <c r="AE175" s="133"/>
      <c r="AF175" s="111"/>
      <c r="AG175" s="147"/>
      <c r="AH175" s="73"/>
      <c r="AI175" s="135"/>
      <c r="AJ175" s="136"/>
      <c r="AK175" s="76"/>
      <c r="AL175" s="137"/>
      <c r="AM175" s="139" t="s">
        <v>71</v>
      </c>
      <c r="AN175" s="139">
        <v>144.0</v>
      </c>
      <c r="AO175" s="140">
        <v>57.98</v>
      </c>
      <c r="AP175" s="142">
        <v>18450.0</v>
      </c>
      <c r="AQ175" s="142">
        <v>242.0</v>
      </c>
      <c r="AR175" s="143"/>
      <c r="AS175" s="144">
        <v>0.9740076486997107</v>
      </c>
      <c r="AT175" s="144">
        <v>0.013492351300289362</v>
      </c>
      <c r="AU175" s="146" t="s">
        <v>879</v>
      </c>
      <c r="AV175" s="146" t="s">
        <v>879</v>
      </c>
      <c r="AW175" s="148" t="s">
        <v>879</v>
      </c>
      <c r="AX175" s="151"/>
      <c r="AY175" s="105"/>
      <c r="AZ175" s="186"/>
      <c r="BA175" s="186"/>
      <c r="BB175" s="146"/>
      <c r="BC175" s="155"/>
      <c r="BD175" s="155"/>
      <c r="BE175" s="155"/>
      <c r="BF175" s="45"/>
    </row>
    <row r="176" ht="16.5" customHeight="1">
      <c r="A176" s="111">
        <v>173.0</v>
      </c>
      <c r="B176" s="112" t="s">
        <v>126</v>
      </c>
      <c r="C176" s="115" t="s">
        <v>60</v>
      </c>
      <c r="D176" s="157">
        <v>41527.0</v>
      </c>
      <c r="E176" s="117">
        <v>42146.0</v>
      </c>
      <c r="F176" s="79" t="s">
        <v>79</v>
      </c>
      <c r="G176" s="118">
        <v>105000.0</v>
      </c>
      <c r="H176" s="114">
        <v>169.4</v>
      </c>
      <c r="I176" s="120">
        <v>376.0</v>
      </c>
      <c r="J176" s="111" t="s">
        <v>61</v>
      </c>
      <c r="K176" s="121">
        <v>380.76</v>
      </c>
      <c r="L176" s="120" t="s">
        <v>63</v>
      </c>
      <c r="M176" s="120"/>
      <c r="N176" s="123"/>
      <c r="O176" s="124">
        <v>105000.0</v>
      </c>
      <c r="P176" s="124">
        <v>620.0</v>
      </c>
      <c r="Q176" s="111">
        <v>218.0</v>
      </c>
      <c r="R176" s="125">
        <v>399.0</v>
      </c>
      <c r="S176" s="126">
        <v>0.9543</v>
      </c>
      <c r="T176" s="127">
        <v>73958.25</v>
      </c>
      <c r="U176" s="128">
        <f t="shared" si="1"/>
        <v>0</v>
      </c>
      <c r="V176" s="79" t="s">
        <v>65</v>
      </c>
      <c r="W176" s="79" t="s">
        <v>127</v>
      </c>
      <c r="X176" s="79" t="s">
        <v>66</v>
      </c>
      <c r="Y176" s="130">
        <v>1.0</v>
      </c>
      <c r="Z176" s="111">
        <v>22.0</v>
      </c>
      <c r="AA176" s="133"/>
      <c r="AB176" s="133"/>
      <c r="AC176" s="133"/>
      <c r="AD176" s="133"/>
      <c r="AE176" s="133"/>
      <c r="AF176" s="111"/>
      <c r="AG176" s="147" t="s">
        <v>128</v>
      </c>
      <c r="AH176" s="73"/>
      <c r="AI176" s="135"/>
      <c r="AJ176" s="136"/>
      <c r="AK176" s="76"/>
      <c r="AL176" s="137"/>
      <c r="AM176" s="139" t="s">
        <v>71</v>
      </c>
      <c r="AN176" s="139">
        <v>620.0</v>
      </c>
      <c r="AO176" s="140">
        <v>302.29</v>
      </c>
      <c r="AP176" s="142">
        <v>105000.0</v>
      </c>
      <c r="AQ176" s="142">
        <v>218.0</v>
      </c>
      <c r="AR176" s="143"/>
      <c r="AS176" s="144">
        <v>0.9441057389688929</v>
      </c>
      <c r="AT176" s="144">
        <v>0.0101942610311071</v>
      </c>
      <c r="AU176" s="146" t="s">
        <v>882</v>
      </c>
      <c r="AV176" s="146" t="s">
        <v>882</v>
      </c>
      <c r="AW176" s="148" t="s">
        <v>882</v>
      </c>
      <c r="AX176" s="151"/>
      <c r="AY176" s="105"/>
      <c r="AZ176" s="186"/>
      <c r="BA176" s="186"/>
      <c r="BB176" s="146"/>
      <c r="BC176" s="155"/>
      <c r="BD176" s="155"/>
      <c r="BE176" s="155"/>
      <c r="BF176" s="45"/>
    </row>
    <row r="177" ht="16.5" customHeight="1">
      <c r="A177" s="111">
        <v>174.0</v>
      </c>
      <c r="B177" s="112" t="s">
        <v>717</v>
      </c>
      <c r="C177" s="115" t="s">
        <v>60</v>
      </c>
      <c r="D177" s="117">
        <v>42093.0</v>
      </c>
      <c r="E177" s="117">
        <v>42146.0</v>
      </c>
      <c r="F177" s="79" t="s">
        <v>90</v>
      </c>
      <c r="G177" s="118">
        <v>4815.0</v>
      </c>
      <c r="H177" s="114">
        <v>89.2</v>
      </c>
      <c r="I177" s="120">
        <v>409.0</v>
      </c>
      <c r="J177" s="111" t="s">
        <v>62</v>
      </c>
      <c r="K177" s="121">
        <v>409.0</v>
      </c>
      <c r="L177" s="120" t="s">
        <v>63</v>
      </c>
      <c r="M177" s="120"/>
      <c r="N177" s="123"/>
      <c r="O177" s="124">
        <v>4815.0</v>
      </c>
      <c r="P177" s="124">
        <v>54.0</v>
      </c>
      <c r="Q177" s="111">
        <v>208.0</v>
      </c>
      <c r="R177" s="125">
        <v>408.0</v>
      </c>
      <c r="S177" s="126">
        <v>1.0025</v>
      </c>
      <c r="T177" s="127">
        <v>77693.75</v>
      </c>
      <c r="U177" s="128">
        <f t="shared" si="1"/>
        <v>0</v>
      </c>
      <c r="V177" s="79" t="s">
        <v>67</v>
      </c>
      <c r="W177" s="79" t="s">
        <v>67</v>
      </c>
      <c r="X177" s="79" t="s">
        <v>68</v>
      </c>
      <c r="Y177" s="130">
        <v>0.8</v>
      </c>
      <c r="Z177" s="111"/>
      <c r="AA177" s="133"/>
      <c r="AB177" s="133"/>
      <c r="AC177" s="133"/>
      <c r="AD177" s="133"/>
      <c r="AE177" s="133"/>
      <c r="AF177" s="111"/>
      <c r="AG177" s="134" t="s">
        <v>883</v>
      </c>
      <c r="AH177" s="73"/>
      <c r="AI177" s="135"/>
      <c r="AJ177" s="136"/>
      <c r="AK177" s="76"/>
      <c r="AL177" s="137"/>
      <c r="AM177" s="139" t="s">
        <v>71</v>
      </c>
      <c r="AN177" s="139">
        <v>54.0</v>
      </c>
      <c r="AO177" s="140">
        <v>12.91</v>
      </c>
      <c r="AP177" s="142">
        <v>4815.0</v>
      </c>
      <c r="AQ177" s="142">
        <v>208.0</v>
      </c>
      <c r="AR177" s="143"/>
      <c r="AS177" s="144">
        <v>0.9911686312793583</v>
      </c>
      <c r="AT177" s="144">
        <v>0.011331368720641666</v>
      </c>
      <c r="AU177" s="146" t="s">
        <v>884</v>
      </c>
      <c r="AV177" s="146" t="s">
        <v>884</v>
      </c>
      <c r="AW177" s="148" t="s">
        <v>884</v>
      </c>
      <c r="AX177" s="151"/>
      <c r="AY177" s="105"/>
      <c r="AZ177" s="186"/>
      <c r="BA177" s="186"/>
      <c r="BB177" s="146"/>
      <c r="BC177" s="155"/>
      <c r="BD177" s="155"/>
      <c r="BE177" s="155"/>
      <c r="BF177" s="45"/>
    </row>
    <row r="178" ht="16.5" customHeight="1">
      <c r="A178" s="111">
        <v>175.0</v>
      </c>
      <c r="B178" s="112" t="s">
        <v>885</v>
      </c>
      <c r="C178" s="115" t="s">
        <v>60</v>
      </c>
      <c r="D178" s="117">
        <v>42090.0</v>
      </c>
      <c r="E178" s="117">
        <v>42146.0</v>
      </c>
      <c r="F178" s="79" t="s">
        <v>86</v>
      </c>
      <c r="G178" s="118">
        <v>4700.0</v>
      </c>
      <c r="H178" s="114">
        <v>82.5</v>
      </c>
      <c r="I178" s="120">
        <v>405.0</v>
      </c>
      <c r="J178" s="111" t="s">
        <v>62</v>
      </c>
      <c r="K178" s="121">
        <v>405.0</v>
      </c>
      <c r="L178" s="120" t="s">
        <v>63</v>
      </c>
      <c r="M178" s="120"/>
      <c r="N178" s="123"/>
      <c r="O178" s="124">
        <v>4700.0</v>
      </c>
      <c r="P178" s="124">
        <v>57.0</v>
      </c>
      <c r="Q178" s="111">
        <v>222.0</v>
      </c>
      <c r="R178" s="125">
        <v>430.0</v>
      </c>
      <c r="S178" s="126">
        <v>0.9419</v>
      </c>
      <c r="T178" s="127">
        <v>72997.25</v>
      </c>
      <c r="U178" s="128">
        <f t="shared" si="1"/>
        <v>0</v>
      </c>
      <c r="V178" s="79" t="s">
        <v>65</v>
      </c>
      <c r="W178" s="79" t="s">
        <v>64</v>
      </c>
      <c r="X178" s="79" t="s">
        <v>68</v>
      </c>
      <c r="Y178" s="130">
        <v>0.9</v>
      </c>
      <c r="Z178" s="111"/>
      <c r="AA178" s="133"/>
      <c r="AB178" s="133"/>
      <c r="AC178" s="133"/>
      <c r="AD178" s="133"/>
      <c r="AE178" s="133"/>
      <c r="AF178" s="111"/>
      <c r="AG178" s="134" t="s">
        <v>888</v>
      </c>
      <c r="AH178" s="73"/>
      <c r="AI178" s="135"/>
      <c r="AJ178" s="136"/>
      <c r="AK178" s="76"/>
      <c r="AL178" s="137"/>
      <c r="AM178" s="139" t="s">
        <v>71</v>
      </c>
      <c r="AN178" s="139">
        <v>57.0</v>
      </c>
      <c r="AO178" s="140">
        <v>13.87</v>
      </c>
      <c r="AP178" s="142">
        <v>4700.0</v>
      </c>
      <c r="AQ178" s="142">
        <v>222.0</v>
      </c>
      <c r="AR178" s="143"/>
      <c r="AS178" s="144">
        <v>0.9913589411407109</v>
      </c>
      <c r="AT178" s="144">
        <v>-0.04945894114071092</v>
      </c>
      <c r="AU178" s="146" t="s">
        <v>889</v>
      </c>
      <c r="AV178" s="146" t="s">
        <v>889</v>
      </c>
      <c r="AW178" s="148" t="s">
        <v>889</v>
      </c>
      <c r="AX178" s="151"/>
      <c r="AY178" s="105"/>
      <c r="AZ178" s="186"/>
      <c r="BA178" s="186"/>
      <c r="BB178" s="146"/>
      <c r="BC178" s="155"/>
      <c r="BD178" s="155"/>
      <c r="BE178" s="155"/>
      <c r="BF178" s="45"/>
    </row>
    <row r="179" ht="16.5" customHeight="1">
      <c r="A179" s="111">
        <v>176.0</v>
      </c>
      <c r="B179" s="112" t="s">
        <v>155</v>
      </c>
      <c r="C179" s="115" t="s">
        <v>60</v>
      </c>
      <c r="D179" s="117">
        <v>41601.0</v>
      </c>
      <c r="E179" s="117">
        <v>42150.0</v>
      </c>
      <c r="F179" s="79" t="s">
        <v>109</v>
      </c>
      <c r="G179" s="118">
        <v>31000.0</v>
      </c>
      <c r="H179" s="114">
        <v>56.4</v>
      </c>
      <c r="I179" s="120">
        <v>277.0</v>
      </c>
      <c r="J179" s="111" t="s">
        <v>62</v>
      </c>
      <c r="K179" s="121">
        <v>277.0</v>
      </c>
      <c r="L179" s="120" t="s">
        <v>63</v>
      </c>
      <c r="M179" s="120"/>
      <c r="N179" s="123"/>
      <c r="O179" s="124">
        <v>31000.0</v>
      </c>
      <c r="P179" s="124">
        <v>550.0</v>
      </c>
      <c r="Q179" s="111">
        <v>210.0</v>
      </c>
      <c r="R179" s="125">
        <v>289.0</v>
      </c>
      <c r="S179" s="126">
        <v>0.9585</v>
      </c>
      <c r="T179" s="127">
        <v>56072.25</v>
      </c>
      <c r="U179" s="128">
        <f t="shared" si="1"/>
        <v>0</v>
      </c>
      <c r="V179" s="79" t="s">
        <v>80</v>
      </c>
      <c r="W179" s="79" t="s">
        <v>67</v>
      </c>
      <c r="X179" s="79" t="s">
        <v>66</v>
      </c>
      <c r="Y179" s="130">
        <v>0.9</v>
      </c>
      <c r="Z179" s="111"/>
      <c r="AA179" s="183"/>
      <c r="AB179" s="133"/>
      <c r="AC179" s="133"/>
      <c r="AD179" s="133"/>
      <c r="AE179" s="133"/>
      <c r="AF179" s="111"/>
      <c r="AG179" s="147"/>
      <c r="AH179" s="73"/>
      <c r="AI179" s="135"/>
      <c r="AJ179" s="136"/>
      <c r="AK179" s="76"/>
      <c r="AL179" s="137"/>
      <c r="AM179" s="139" t="s">
        <v>71</v>
      </c>
      <c r="AN179" s="139">
        <v>550.0</v>
      </c>
      <c r="AO179" s="140">
        <v>113.67</v>
      </c>
      <c r="AP179" s="142">
        <v>31000.0</v>
      </c>
      <c r="AQ179" s="142">
        <v>210.0</v>
      </c>
      <c r="AR179" s="143"/>
      <c r="AS179" s="144">
        <v>0.9646055529502794</v>
      </c>
      <c r="AT179" s="144">
        <v>-0.006105552950279369</v>
      </c>
      <c r="AU179" s="146" t="s">
        <v>890</v>
      </c>
      <c r="AV179" s="146" t="s">
        <v>890</v>
      </c>
      <c r="AW179" s="148" t="s">
        <v>890</v>
      </c>
      <c r="AX179" s="151"/>
      <c r="AY179" s="105"/>
      <c r="AZ179" s="186"/>
      <c r="BA179" s="186"/>
      <c r="BB179" s="146"/>
      <c r="BC179" s="155"/>
      <c r="BD179" s="155"/>
      <c r="BE179" s="155"/>
      <c r="BF179" s="45"/>
    </row>
    <row r="180" ht="16.5" customHeight="1">
      <c r="A180" s="111">
        <v>177.0</v>
      </c>
      <c r="B180" s="112" t="s">
        <v>623</v>
      </c>
      <c r="C180" s="115" t="s">
        <v>60</v>
      </c>
      <c r="D180" s="117">
        <v>41794.0</v>
      </c>
      <c r="E180" s="117">
        <v>42144.0</v>
      </c>
      <c r="F180" s="79" t="s">
        <v>59</v>
      </c>
      <c r="G180" s="118">
        <v>48407.0</v>
      </c>
      <c r="H180" s="114">
        <v>137.9</v>
      </c>
      <c r="I180" s="120">
        <v>377.0</v>
      </c>
      <c r="J180" s="111" t="s">
        <v>62</v>
      </c>
      <c r="K180" s="121">
        <v>377.0</v>
      </c>
      <c r="L180" s="120" t="s">
        <v>63</v>
      </c>
      <c r="M180" s="120"/>
      <c r="N180" s="123"/>
      <c r="O180" s="124">
        <v>48407.0</v>
      </c>
      <c r="P180" s="124">
        <v>351.0</v>
      </c>
      <c r="Q180" s="111">
        <v>192.0</v>
      </c>
      <c r="R180" s="125">
        <v>399.0</v>
      </c>
      <c r="S180" s="126">
        <v>0.9449</v>
      </c>
      <c r="T180" s="127">
        <v>73229.75</v>
      </c>
      <c r="U180" s="128">
        <f t="shared" si="1"/>
        <v>0</v>
      </c>
      <c r="V180" s="79" t="s">
        <v>80</v>
      </c>
      <c r="W180" s="79" t="s">
        <v>127</v>
      </c>
      <c r="X180" s="79" t="s">
        <v>69</v>
      </c>
      <c r="Y180" s="130">
        <v>0.9</v>
      </c>
      <c r="Z180" s="111"/>
      <c r="AA180" s="133"/>
      <c r="AB180" s="133"/>
      <c r="AC180" s="133"/>
      <c r="AD180" s="133"/>
      <c r="AE180" s="133"/>
      <c r="AF180" s="111"/>
      <c r="AG180" s="147"/>
      <c r="AH180" s="73"/>
      <c r="AI180" s="135"/>
      <c r="AJ180" s="136"/>
      <c r="AK180" s="76"/>
      <c r="AL180" s="137"/>
      <c r="AM180" s="139" t="s">
        <v>71</v>
      </c>
      <c r="AN180" s="139">
        <v>351.0</v>
      </c>
      <c r="AO180" s="140">
        <v>123.34</v>
      </c>
      <c r="AP180" s="142">
        <v>48407.0</v>
      </c>
      <c r="AQ180" s="142">
        <v>192.0</v>
      </c>
      <c r="AR180" s="143"/>
      <c r="AS180" s="144">
        <v>0.9567247003338525</v>
      </c>
      <c r="AT180" s="144">
        <v>-0.011824700333852523</v>
      </c>
      <c r="AU180" s="146" t="s">
        <v>892</v>
      </c>
      <c r="AV180" s="146" t="s">
        <v>892</v>
      </c>
      <c r="AW180" s="148" t="s">
        <v>892</v>
      </c>
      <c r="AX180" s="151"/>
      <c r="AY180" s="105"/>
      <c r="AZ180" s="186"/>
      <c r="BA180" s="186"/>
      <c r="BB180" s="146"/>
      <c r="BC180" s="155"/>
      <c r="BD180" s="155"/>
      <c r="BE180" s="155"/>
      <c r="BF180" s="45"/>
    </row>
    <row r="181" ht="16.5" customHeight="1">
      <c r="A181" s="111">
        <v>178.0</v>
      </c>
      <c r="B181" s="112" t="s">
        <v>623</v>
      </c>
      <c r="C181" s="115" t="s">
        <v>60</v>
      </c>
      <c r="D181" s="117">
        <v>41794.0</v>
      </c>
      <c r="E181" s="117">
        <v>42148.0</v>
      </c>
      <c r="F181" s="79" t="s">
        <v>59</v>
      </c>
      <c r="G181" s="118">
        <v>49693.0</v>
      </c>
      <c r="H181" s="114">
        <v>140.0</v>
      </c>
      <c r="I181" s="120">
        <v>378.0</v>
      </c>
      <c r="J181" s="111" t="s">
        <v>62</v>
      </c>
      <c r="K181" s="121">
        <v>378.0</v>
      </c>
      <c r="L181" s="120" t="s">
        <v>63</v>
      </c>
      <c r="M181" s="120"/>
      <c r="N181" s="123"/>
      <c r="O181" s="124">
        <v>49693.0</v>
      </c>
      <c r="P181" s="124">
        <v>355.0</v>
      </c>
      <c r="Q181" s="111">
        <v>192.0</v>
      </c>
      <c r="R181" s="125">
        <v>399.0</v>
      </c>
      <c r="S181" s="126">
        <v>0.9474</v>
      </c>
      <c r="T181" s="127">
        <v>73423.5</v>
      </c>
      <c r="U181" s="128">
        <f t="shared" si="1"/>
        <v>0</v>
      </c>
      <c r="V181" s="79" t="s">
        <v>80</v>
      </c>
      <c r="W181" s="79"/>
      <c r="X181" s="79" t="s">
        <v>69</v>
      </c>
      <c r="Y181" s="130">
        <v>0.9</v>
      </c>
      <c r="Z181" s="111"/>
      <c r="AA181" s="133"/>
      <c r="AB181" s="133"/>
      <c r="AC181" s="133"/>
      <c r="AD181" s="133"/>
      <c r="AE181" s="133"/>
      <c r="AF181" s="111"/>
      <c r="AG181" s="147"/>
      <c r="AH181" s="73"/>
      <c r="AI181" s="135"/>
      <c r="AJ181" s="136"/>
      <c r="AK181" s="76"/>
      <c r="AL181" s="137"/>
      <c r="AM181" s="139" t="s">
        <v>71</v>
      </c>
      <c r="AN181" s="139">
        <v>355.0</v>
      </c>
      <c r="AO181" s="140">
        <v>126.45</v>
      </c>
      <c r="AP181" s="142">
        <v>49693.0</v>
      </c>
      <c r="AQ181" s="142">
        <v>192.0</v>
      </c>
      <c r="AR181" s="143"/>
      <c r="AS181" s="144">
        <v>0.9562851050222143</v>
      </c>
      <c r="AT181" s="144">
        <v>-0.00888510502221429</v>
      </c>
      <c r="AU181" s="146" t="s">
        <v>894</v>
      </c>
      <c r="AV181" s="146" t="s">
        <v>894</v>
      </c>
      <c r="AW181" s="148" t="s">
        <v>894</v>
      </c>
      <c r="AX181" s="151"/>
      <c r="AY181" s="105"/>
      <c r="AZ181" s="186"/>
      <c r="BA181" s="186"/>
      <c r="BB181" s="146"/>
      <c r="BC181" s="155"/>
      <c r="BD181" s="155"/>
      <c r="BE181" s="155"/>
      <c r="BF181" s="45"/>
    </row>
    <row r="182" ht="16.5" customHeight="1">
      <c r="A182" s="111">
        <v>179.0</v>
      </c>
      <c r="B182" s="112" t="s">
        <v>640</v>
      </c>
      <c r="C182" s="115" t="s">
        <v>60</v>
      </c>
      <c r="D182" s="117">
        <v>41927.0</v>
      </c>
      <c r="E182" s="117">
        <v>42151.0</v>
      </c>
      <c r="F182" s="79" t="s">
        <v>59</v>
      </c>
      <c r="G182" s="118">
        <v>14472.0</v>
      </c>
      <c r="H182" s="114">
        <v>64.3</v>
      </c>
      <c r="I182" s="120">
        <v>386.0</v>
      </c>
      <c r="J182" s="111" t="s">
        <v>61</v>
      </c>
      <c r="K182" s="121">
        <v>390.89</v>
      </c>
      <c r="L182" s="120" t="s">
        <v>63</v>
      </c>
      <c r="M182" s="120"/>
      <c r="N182" s="123"/>
      <c r="O182" s="124">
        <v>14472.0</v>
      </c>
      <c r="P182" s="124">
        <v>225.0</v>
      </c>
      <c r="Q182" s="111">
        <v>225.0</v>
      </c>
      <c r="R182" s="125">
        <v>399.0</v>
      </c>
      <c r="S182" s="126">
        <v>0.9797</v>
      </c>
      <c r="T182" s="127">
        <v>75926.75</v>
      </c>
      <c r="U182" s="128">
        <f t="shared" si="1"/>
        <v>0</v>
      </c>
      <c r="V182" s="79" t="s">
        <v>80</v>
      </c>
      <c r="W182" s="79" t="s">
        <v>64</v>
      </c>
      <c r="X182" s="79" t="s">
        <v>69</v>
      </c>
      <c r="Y182" s="130">
        <v>0.9</v>
      </c>
      <c r="Z182" s="111">
        <v>3.7</v>
      </c>
      <c r="AA182" s="133"/>
      <c r="AB182" s="133"/>
      <c r="AC182" s="133"/>
      <c r="AD182" s="133"/>
      <c r="AE182" s="133"/>
      <c r="AF182" s="111"/>
      <c r="AG182" s="185" t="s">
        <v>896</v>
      </c>
      <c r="AH182" s="73"/>
      <c r="AI182" s="135"/>
      <c r="AJ182" s="136"/>
      <c r="AK182" s="76"/>
      <c r="AL182" s="137"/>
      <c r="AM182" s="139" t="s">
        <v>71</v>
      </c>
      <c r="AN182" s="139">
        <v>225.0</v>
      </c>
      <c r="AO182" s="140">
        <v>42.46</v>
      </c>
      <c r="AP182" s="142">
        <v>14472.0</v>
      </c>
      <c r="AQ182" s="142">
        <v>225.0</v>
      </c>
      <c r="AR182" s="143"/>
      <c r="AS182" s="144">
        <v>0.9780667943833123</v>
      </c>
      <c r="AT182" s="144">
        <v>0.0016332056166876718</v>
      </c>
      <c r="AU182" s="146" t="s">
        <v>897</v>
      </c>
      <c r="AV182" s="146" t="s">
        <v>897</v>
      </c>
      <c r="AW182" s="148" t="s">
        <v>897</v>
      </c>
      <c r="AX182" s="151"/>
      <c r="AY182" s="105"/>
      <c r="AZ182" s="186"/>
      <c r="BA182" s="186"/>
      <c r="BB182" s="146"/>
      <c r="BC182" s="155"/>
      <c r="BD182" s="155"/>
      <c r="BE182" s="155"/>
      <c r="BF182" s="45"/>
    </row>
    <row r="183" ht="16.5" customHeight="1">
      <c r="A183" s="111">
        <v>180.0</v>
      </c>
      <c r="B183" s="112" t="s">
        <v>84</v>
      </c>
      <c r="C183" s="115" t="s">
        <v>60</v>
      </c>
      <c r="D183" s="117">
        <v>41814.0</v>
      </c>
      <c r="E183" s="117">
        <v>42152.0</v>
      </c>
      <c r="F183" s="79" t="s">
        <v>59</v>
      </c>
      <c r="G183" s="118">
        <v>28500.0</v>
      </c>
      <c r="H183" s="114">
        <v>84.1</v>
      </c>
      <c r="I183" s="120">
        <v>387.0</v>
      </c>
      <c r="J183" s="111" t="s">
        <v>62</v>
      </c>
      <c r="K183" s="121">
        <v>387.0</v>
      </c>
      <c r="L183" s="120" t="s">
        <v>63</v>
      </c>
      <c r="M183" s="120"/>
      <c r="N183" s="123"/>
      <c r="O183" s="124">
        <v>28500.0</v>
      </c>
      <c r="P183" s="124">
        <v>339.0</v>
      </c>
      <c r="Q183" s="111">
        <v>224.0</v>
      </c>
      <c r="R183" s="125">
        <v>399.0</v>
      </c>
      <c r="S183" s="126">
        <v>0.9699</v>
      </c>
      <c r="T183" s="127">
        <v>75167.25</v>
      </c>
      <c r="U183" s="128">
        <f t="shared" si="1"/>
        <v>0</v>
      </c>
      <c r="V183" s="79" t="s">
        <v>69</v>
      </c>
      <c r="W183" s="79" t="s">
        <v>64</v>
      </c>
      <c r="X183" s="79" t="s">
        <v>68</v>
      </c>
      <c r="Y183" s="130">
        <v>0.9</v>
      </c>
      <c r="Z183" s="111"/>
      <c r="AA183" s="133"/>
      <c r="AB183" s="133"/>
      <c r="AC183" s="133"/>
      <c r="AD183" s="133"/>
      <c r="AE183" s="133"/>
      <c r="AF183" s="111"/>
      <c r="AG183" s="147"/>
      <c r="AH183" s="73"/>
      <c r="AI183" s="135"/>
      <c r="AJ183" s="136"/>
      <c r="AK183" s="76"/>
      <c r="AL183" s="137"/>
      <c r="AM183" s="139" t="s">
        <v>71</v>
      </c>
      <c r="AN183" s="139">
        <v>339.0</v>
      </c>
      <c r="AO183" s="140">
        <v>83.65</v>
      </c>
      <c r="AP183" s="142">
        <v>28500.0</v>
      </c>
      <c r="AQ183" s="142">
        <v>224.0</v>
      </c>
      <c r="AR183" s="143"/>
      <c r="AS183" s="144">
        <v>0.9661494695426888</v>
      </c>
      <c r="AT183" s="144">
        <v>0.0037505304573112186</v>
      </c>
      <c r="AU183" s="146" t="s">
        <v>899</v>
      </c>
      <c r="AV183" s="146" t="s">
        <v>899</v>
      </c>
      <c r="AW183" s="148" t="s">
        <v>899</v>
      </c>
      <c r="AX183" s="151"/>
      <c r="AY183" s="105"/>
      <c r="AZ183" s="186"/>
      <c r="BA183" s="186"/>
      <c r="BB183" s="146"/>
      <c r="BC183" s="155"/>
      <c r="BD183" s="155"/>
      <c r="BE183" s="155"/>
      <c r="BF183" s="45"/>
    </row>
    <row r="184" ht="16.5" customHeight="1">
      <c r="A184" s="111">
        <v>181.0</v>
      </c>
      <c r="B184" s="112" t="s">
        <v>717</v>
      </c>
      <c r="C184" s="115" t="s">
        <v>60</v>
      </c>
      <c r="D184" s="117">
        <v>42093.0</v>
      </c>
      <c r="E184" s="117">
        <v>42151.0</v>
      </c>
      <c r="F184" s="79" t="s">
        <v>90</v>
      </c>
      <c r="G184" s="118">
        <v>5012.0</v>
      </c>
      <c r="H184" s="114">
        <v>84.9</v>
      </c>
      <c r="I184" s="120">
        <v>410.0</v>
      </c>
      <c r="J184" s="111" t="s">
        <v>62</v>
      </c>
      <c r="K184" s="121">
        <v>410.0</v>
      </c>
      <c r="L184" s="120" t="s">
        <v>63</v>
      </c>
      <c r="M184" s="120"/>
      <c r="N184" s="123"/>
      <c r="O184" s="124">
        <v>5012.0</v>
      </c>
      <c r="P184" s="124">
        <v>59.0</v>
      </c>
      <c r="Q184" s="111">
        <v>206.0</v>
      </c>
      <c r="R184" s="125">
        <v>408.0</v>
      </c>
      <c r="S184" s="126">
        <v>1.0049</v>
      </c>
      <c r="T184" s="127">
        <v>77879.74999999999</v>
      </c>
      <c r="U184" s="128">
        <f t="shared" si="1"/>
        <v>0</v>
      </c>
      <c r="V184" s="79" t="s">
        <v>67</v>
      </c>
      <c r="W184" s="79" t="s">
        <v>67</v>
      </c>
      <c r="X184" s="79" t="s">
        <v>68</v>
      </c>
      <c r="Y184" s="130">
        <v>0.8</v>
      </c>
      <c r="Z184" s="111"/>
      <c r="AA184" s="133"/>
      <c r="AB184" s="133"/>
      <c r="AC184" s="133"/>
      <c r="AD184" s="133"/>
      <c r="AE184" s="133"/>
      <c r="AF184" s="111"/>
      <c r="AG184" s="147"/>
      <c r="AH184" s="73"/>
      <c r="AI184" s="135"/>
      <c r="AJ184" s="136"/>
      <c r="AK184" s="76"/>
      <c r="AL184" s="137"/>
      <c r="AM184" s="139" t="s">
        <v>71</v>
      </c>
      <c r="AN184" s="139">
        <v>59.0</v>
      </c>
      <c r="AO184" s="140">
        <v>13.29</v>
      </c>
      <c r="AP184" s="142">
        <v>5012.0</v>
      </c>
      <c r="AQ184" s="142">
        <v>206.0</v>
      </c>
      <c r="AR184" s="143"/>
      <c r="AS184" s="144">
        <v>0.990844785879772</v>
      </c>
      <c r="AT184" s="144">
        <v>0.014055214120227921</v>
      </c>
      <c r="AU184" s="146" t="s">
        <v>900</v>
      </c>
      <c r="AV184" s="146" t="s">
        <v>900</v>
      </c>
      <c r="AW184" s="148" t="s">
        <v>900</v>
      </c>
      <c r="AX184" s="151"/>
      <c r="AY184" s="105"/>
      <c r="AZ184" s="186"/>
      <c r="BA184" s="186"/>
      <c r="BB184" s="146"/>
      <c r="BC184" s="155"/>
      <c r="BD184" s="155"/>
      <c r="BE184" s="155"/>
      <c r="BF184" s="45"/>
    </row>
    <row r="185" ht="16.5" customHeight="1">
      <c r="A185" s="111">
        <v>182.0</v>
      </c>
      <c r="B185" s="112" t="s">
        <v>339</v>
      </c>
      <c r="C185" s="115" t="s">
        <v>60</v>
      </c>
      <c r="D185" s="117">
        <v>41912.0</v>
      </c>
      <c r="E185" s="117">
        <v>42112.0</v>
      </c>
      <c r="F185" s="79" t="s">
        <v>59</v>
      </c>
      <c r="G185" s="118">
        <v>21957.0</v>
      </c>
      <c r="H185" s="114">
        <v>109.2</v>
      </c>
      <c r="I185" s="120">
        <v>382.0</v>
      </c>
      <c r="J185" s="111" t="s">
        <v>61</v>
      </c>
      <c r="K185" s="121">
        <v>386.84</v>
      </c>
      <c r="L185" s="120" t="s">
        <v>63</v>
      </c>
      <c r="M185" s="120"/>
      <c r="N185" s="123"/>
      <c r="O185" s="124">
        <v>21957.0</v>
      </c>
      <c r="P185" s="124">
        <v>201.0</v>
      </c>
      <c r="Q185" s="111">
        <v>267.0</v>
      </c>
      <c r="R185" s="125">
        <v>399.0</v>
      </c>
      <c r="S185" s="126">
        <v>0.9695</v>
      </c>
      <c r="T185" s="127">
        <v>75136.25</v>
      </c>
      <c r="U185" s="128">
        <f t="shared" si="1"/>
        <v>0</v>
      </c>
      <c r="V185" s="79" t="s">
        <v>69</v>
      </c>
      <c r="W185" s="79" t="s">
        <v>65</v>
      </c>
      <c r="X185" s="79" t="s">
        <v>68</v>
      </c>
      <c r="Y185" s="130">
        <v>0.7</v>
      </c>
      <c r="Z185" s="111"/>
      <c r="AA185" s="133"/>
      <c r="AB185" s="133"/>
      <c r="AC185" s="133"/>
      <c r="AD185" s="133"/>
      <c r="AE185" s="133"/>
      <c r="AF185" s="111"/>
      <c r="AG185" s="147"/>
      <c r="AH185" s="73"/>
      <c r="AI185" s="135"/>
      <c r="AJ185" s="136"/>
      <c r="AK185" s="76"/>
      <c r="AL185" s="137"/>
      <c r="AM185" s="139" t="s">
        <v>71</v>
      </c>
      <c r="AN185" s="139">
        <v>201.0</v>
      </c>
      <c r="AO185" s="140">
        <v>76.83</v>
      </c>
      <c r="AP185" s="142">
        <v>21957.0</v>
      </c>
      <c r="AQ185" s="142">
        <v>267.0</v>
      </c>
      <c r="AR185" s="143"/>
      <c r="AS185" s="144">
        <v>0.9709203365017803</v>
      </c>
      <c r="AT185" s="144">
        <v>-0.001420336501780306</v>
      </c>
      <c r="AU185" s="146" t="s">
        <v>901</v>
      </c>
      <c r="AV185" s="146" t="s">
        <v>901</v>
      </c>
      <c r="AW185" s="148" t="s">
        <v>901</v>
      </c>
      <c r="AX185" s="151"/>
      <c r="AY185" s="105"/>
      <c r="AZ185" s="186"/>
      <c r="BA185" s="186"/>
      <c r="BB185" s="146"/>
      <c r="BC185" s="155"/>
      <c r="BD185" s="155"/>
      <c r="BE185" s="155"/>
      <c r="BF185" s="45"/>
    </row>
    <row r="186" ht="16.5" customHeight="1">
      <c r="A186" s="111">
        <v>183.0</v>
      </c>
      <c r="B186" s="112" t="s">
        <v>339</v>
      </c>
      <c r="C186" s="115" t="s">
        <v>60</v>
      </c>
      <c r="D186" s="117">
        <v>41912.0</v>
      </c>
      <c r="E186" s="117">
        <v>42149.0</v>
      </c>
      <c r="F186" s="79" t="s">
        <v>59</v>
      </c>
      <c r="G186" s="118">
        <v>25069.0</v>
      </c>
      <c r="H186" s="114">
        <v>105.3</v>
      </c>
      <c r="I186" s="120">
        <v>381.0</v>
      </c>
      <c r="J186" s="111" t="s">
        <v>61</v>
      </c>
      <c r="K186" s="121">
        <v>385.82</v>
      </c>
      <c r="L186" s="120" t="s">
        <v>63</v>
      </c>
      <c r="M186" s="120"/>
      <c r="N186" s="123"/>
      <c r="O186" s="124">
        <v>25069.0</v>
      </c>
      <c r="P186" s="124">
        <v>238.0</v>
      </c>
      <c r="Q186" s="111">
        <v>265.0</v>
      </c>
      <c r="R186" s="125">
        <v>399.0</v>
      </c>
      <c r="S186" s="126">
        <v>0.967</v>
      </c>
      <c r="T186" s="127">
        <v>74942.5</v>
      </c>
      <c r="U186" s="128">
        <f>IF(isblank(B186),,COUNTBLANK(B186:E186,F186:G186,I186:J186,L186:N186,Q188)-If(L186="No",2,0))
</f>
        <v>0</v>
      </c>
      <c r="V186" s="79" t="s">
        <v>69</v>
      </c>
      <c r="W186" s="79" t="s">
        <v>65</v>
      </c>
      <c r="X186" s="79" t="s">
        <v>68</v>
      </c>
      <c r="Y186" s="130">
        <v>0.7</v>
      </c>
      <c r="Z186" s="111"/>
      <c r="AA186" s="133"/>
      <c r="AB186" s="133"/>
      <c r="AC186" s="111">
        <v>381.0</v>
      </c>
      <c r="AD186" s="111">
        <v>94.0</v>
      </c>
      <c r="AE186" s="111" t="s">
        <v>903</v>
      </c>
      <c r="AF186" s="111" t="s">
        <v>61</v>
      </c>
      <c r="AG186" s="134" t="s">
        <v>904</v>
      </c>
      <c r="AH186" s="73">
        <v>287.0</v>
      </c>
      <c r="AI186" s="135">
        <v>290.6329113924051</v>
      </c>
      <c r="AJ186" s="136">
        <v>72.88065862369336</v>
      </c>
      <c r="AK186" s="76">
        <v>0.9403955951444305</v>
      </c>
      <c r="AL186" s="137" t="s">
        <v>905</v>
      </c>
      <c r="AM186" s="139" t="s">
        <v>71</v>
      </c>
      <c r="AN186" s="139">
        <v>238.0</v>
      </c>
      <c r="AO186" s="140">
        <v>87.17</v>
      </c>
      <c r="AP186" s="142">
        <v>25069.0</v>
      </c>
      <c r="AQ186" s="142">
        <v>265.0</v>
      </c>
      <c r="AR186" s="143"/>
      <c r="AS186" s="144">
        <v>0.9685068736016617</v>
      </c>
      <c r="AT186" s="144">
        <v>-0.0015068736016616846</v>
      </c>
      <c r="AU186" s="146" t="s">
        <v>906</v>
      </c>
      <c r="AV186" s="146" t="s">
        <v>906</v>
      </c>
      <c r="AW186" s="148" t="s">
        <v>906</v>
      </c>
      <c r="AX186" s="151"/>
      <c r="AY186" s="105"/>
      <c r="AZ186" s="186"/>
      <c r="BA186" s="186"/>
      <c r="BB186" s="146"/>
      <c r="BC186" s="155"/>
      <c r="BD186" s="155"/>
      <c r="BE186" s="155"/>
      <c r="BF186" s="45"/>
    </row>
    <row r="187" ht="16.5" customHeight="1">
      <c r="A187" s="111">
        <v>184.0</v>
      </c>
      <c r="B187" s="112" t="s">
        <v>361</v>
      </c>
      <c r="C187" s="115" t="s">
        <v>60</v>
      </c>
      <c r="D187" s="117">
        <v>41604.0</v>
      </c>
      <c r="E187" s="117">
        <v>42142.0</v>
      </c>
      <c r="F187" s="79" t="s">
        <v>59</v>
      </c>
      <c r="G187" s="118">
        <v>60476.0</v>
      </c>
      <c r="H187" s="114">
        <v>112.2</v>
      </c>
      <c r="I187" s="120">
        <v>384.0</v>
      </c>
      <c r="J187" s="111" t="s">
        <v>61</v>
      </c>
      <c r="K187" s="121">
        <v>388.86</v>
      </c>
      <c r="L187" s="120" t="s">
        <v>195</v>
      </c>
      <c r="M187" s="120" t="s">
        <v>909</v>
      </c>
      <c r="N187" s="120">
        <v>58000.0</v>
      </c>
      <c r="O187" s="124">
        <v>40504.0</v>
      </c>
      <c r="P187" s="124">
        <v>361.0</v>
      </c>
      <c r="Q187" s="111">
        <v>230.0</v>
      </c>
      <c r="R187" s="125">
        <v>399.0</v>
      </c>
      <c r="S187" s="126">
        <v>0.9746</v>
      </c>
      <c r="T187" s="127">
        <v>75531.5</v>
      </c>
      <c r="U187" s="128">
        <f>IF(isblank(B187),,COUNTBLANK(B187:E187,F187:G187,I187:J187,L187:N187,Q187)-If(L187="No",2,0))
</f>
        <v>0</v>
      </c>
      <c r="V187" s="79" t="s">
        <v>69</v>
      </c>
      <c r="W187" s="79" t="s">
        <v>69</v>
      </c>
      <c r="X187" s="79" t="s">
        <v>69</v>
      </c>
      <c r="Y187" s="130">
        <v>0.7</v>
      </c>
      <c r="Z187" s="111"/>
      <c r="AA187" s="133"/>
      <c r="AB187" s="133"/>
      <c r="AC187" s="133"/>
      <c r="AD187" s="133"/>
      <c r="AE187" s="133"/>
      <c r="AF187" s="111"/>
      <c r="AG187" s="147"/>
      <c r="AH187" s="73"/>
      <c r="AI187" s="135"/>
      <c r="AJ187" s="136"/>
      <c r="AK187" s="76"/>
      <c r="AL187" s="137"/>
      <c r="AM187" s="139" t="s">
        <v>71</v>
      </c>
      <c r="AN187" s="139">
        <v>539.0</v>
      </c>
      <c r="AO187" s="140">
        <v>121.77</v>
      </c>
      <c r="AP187" s="142">
        <v>40504.0</v>
      </c>
      <c r="AQ187" s="142">
        <v>230.0</v>
      </c>
      <c r="AR187" s="143"/>
      <c r="AS187" s="144">
        <v>0.9597912766939116</v>
      </c>
      <c r="AT187" s="144">
        <v>0.0148087233060884</v>
      </c>
      <c r="AU187" s="146" t="s">
        <v>911</v>
      </c>
      <c r="AV187" s="146" t="s">
        <v>911</v>
      </c>
      <c r="AW187" s="148" t="s">
        <v>911</v>
      </c>
      <c r="AX187" s="151"/>
      <c r="AY187" s="105"/>
      <c r="AZ187" s="186"/>
      <c r="BA187" s="186"/>
      <c r="BB187" s="146"/>
      <c r="BC187" s="155"/>
      <c r="BD187" s="155"/>
      <c r="BE187" s="155"/>
      <c r="BF187" s="45"/>
    </row>
    <row r="188" ht="16.5" customHeight="1">
      <c r="A188" s="111">
        <v>185.0</v>
      </c>
      <c r="B188" s="112" t="s">
        <v>192</v>
      </c>
      <c r="C188" s="115" t="s">
        <v>60</v>
      </c>
      <c r="D188" s="117">
        <v>41607.0</v>
      </c>
      <c r="E188" s="117">
        <v>42153.0</v>
      </c>
      <c r="F188" s="79" t="s">
        <v>79</v>
      </c>
      <c r="G188" s="118">
        <v>42850.0</v>
      </c>
      <c r="H188" s="114">
        <v>78.3</v>
      </c>
      <c r="I188" s="120">
        <v>378.0</v>
      </c>
      <c r="J188" s="111" t="s">
        <v>61</v>
      </c>
      <c r="K188" s="121">
        <v>382.78</v>
      </c>
      <c r="L188" s="120" t="s">
        <v>195</v>
      </c>
      <c r="M188" s="120" t="s">
        <v>196</v>
      </c>
      <c r="N188" s="120">
        <v>2100.0</v>
      </c>
      <c r="O188" s="124">
        <v>42850.0</v>
      </c>
      <c r="P188" s="124">
        <v>547.0</v>
      </c>
      <c r="Q188" s="111">
        <v>250.0</v>
      </c>
      <c r="R188" s="125">
        <v>399.0</v>
      </c>
      <c r="S188" s="126">
        <v>0.9593</v>
      </c>
      <c r="T188" s="127">
        <v>74345.75</v>
      </c>
      <c r="U188" s="128">
        <f>IF(isblank(B188),,COUNTBLANK(B188:E188,F188:G188,I188:J188,L188:N188,#REF!)-If(L188="No",2,0))
</f>
        <v>0</v>
      </c>
      <c r="V188" s="79" t="s">
        <v>80</v>
      </c>
      <c r="W188" s="79" t="s">
        <v>65</v>
      </c>
      <c r="X188" s="79" t="s">
        <v>66</v>
      </c>
      <c r="Y188" s="130">
        <v>0.9</v>
      </c>
      <c r="Z188" s="111"/>
      <c r="AA188" s="133"/>
      <c r="AB188" s="133"/>
      <c r="AC188" s="133"/>
      <c r="AD188" s="133"/>
      <c r="AE188" s="133"/>
      <c r="AF188" s="111"/>
      <c r="AG188" s="147"/>
      <c r="AH188" s="73"/>
      <c r="AI188" s="135"/>
      <c r="AJ188" s="136"/>
      <c r="AK188" s="76"/>
      <c r="AL188" s="137"/>
      <c r="AM188" s="139" t="s">
        <v>71</v>
      </c>
      <c r="AN188" s="139">
        <v>547.0</v>
      </c>
      <c r="AO188" s="140">
        <v>141.12</v>
      </c>
      <c r="AP188" s="142">
        <v>42850.0</v>
      </c>
      <c r="AQ188" s="142">
        <v>250.0</v>
      </c>
      <c r="AR188" s="143"/>
      <c r="AS188" s="144">
        <v>0.9588081015058619</v>
      </c>
      <c r="AT188" s="144">
        <v>4.918984941381099E-4</v>
      </c>
      <c r="AU188" s="146" t="s">
        <v>912</v>
      </c>
      <c r="AV188" s="146" t="s">
        <v>912</v>
      </c>
      <c r="AW188" s="148" t="s">
        <v>912</v>
      </c>
      <c r="AX188" s="151"/>
      <c r="AY188" s="105"/>
      <c r="AZ188" s="186"/>
      <c r="BA188" s="186"/>
      <c r="BB188" s="146"/>
      <c r="BC188" s="155"/>
      <c r="BD188" s="155"/>
      <c r="BE188" s="155"/>
      <c r="BF188" s="45"/>
    </row>
    <row r="189" ht="16.5" customHeight="1">
      <c r="A189" s="111">
        <v>186.0</v>
      </c>
      <c r="B189" s="112" t="s">
        <v>457</v>
      </c>
      <c r="C189" s="115" t="s">
        <v>60</v>
      </c>
      <c r="D189" s="117">
        <v>41986.0</v>
      </c>
      <c r="E189" s="117">
        <v>42153.0</v>
      </c>
      <c r="F189" s="79" t="s">
        <v>59</v>
      </c>
      <c r="G189" s="118">
        <v>12440.0</v>
      </c>
      <c r="H189" s="114">
        <v>74.0</v>
      </c>
      <c r="I189" s="120">
        <v>388.0</v>
      </c>
      <c r="J189" s="111" t="s">
        <v>61</v>
      </c>
      <c r="K189" s="121">
        <v>392.91</v>
      </c>
      <c r="L189" s="120" t="s">
        <v>63</v>
      </c>
      <c r="M189" s="120"/>
      <c r="N189" s="123"/>
      <c r="O189" s="124">
        <v>12440.0</v>
      </c>
      <c r="P189" s="124">
        <v>168.0</v>
      </c>
      <c r="Q189" s="111">
        <v>250.0</v>
      </c>
      <c r="R189" s="125">
        <v>399.0</v>
      </c>
      <c r="S189" s="126">
        <v>0.9847</v>
      </c>
      <c r="T189" s="127">
        <v>76314.25</v>
      </c>
      <c r="U189" s="128">
        <f t="shared" ref="U189:U955" si="2">IF(isblank(B189),,COUNTBLANK(B189:E189,F189:G189,I189:J189,L189:N189,Q189)-If(L189="No",2,0))
</f>
        <v>0</v>
      </c>
      <c r="V189" s="79" t="s">
        <v>64</v>
      </c>
      <c r="W189" s="79" t="s">
        <v>65</v>
      </c>
      <c r="X189" s="79" t="s">
        <v>66</v>
      </c>
      <c r="Y189" s="130">
        <v>0.9</v>
      </c>
      <c r="Z189" s="111"/>
      <c r="AA189" s="133"/>
      <c r="AB189" s="133"/>
      <c r="AC189" s="133"/>
      <c r="AD189" s="133"/>
      <c r="AE189" s="133"/>
      <c r="AF189" s="111"/>
      <c r="AG189" s="147"/>
      <c r="AH189" s="73"/>
      <c r="AI189" s="135"/>
      <c r="AJ189" s="136"/>
      <c r="AK189" s="76"/>
      <c r="AL189" s="137"/>
      <c r="AM189" s="139" t="s">
        <v>71</v>
      </c>
      <c r="AN189" s="139">
        <v>168.0</v>
      </c>
      <c r="AO189" s="140">
        <v>40.45</v>
      </c>
      <c r="AP189" s="142">
        <v>12440.0</v>
      </c>
      <c r="AQ189" s="142">
        <v>250.0</v>
      </c>
      <c r="AR189" s="143"/>
      <c r="AS189" s="144">
        <v>0.9804054337551749</v>
      </c>
      <c r="AT189" s="144">
        <v>0.00429456624482516</v>
      </c>
      <c r="AU189" s="146" t="s">
        <v>915</v>
      </c>
      <c r="AV189" s="146" t="s">
        <v>915</v>
      </c>
      <c r="AW189" s="148" t="s">
        <v>915</v>
      </c>
      <c r="AX189" s="151"/>
      <c r="AY189" s="105"/>
      <c r="AZ189" s="186"/>
      <c r="BA189" s="186"/>
      <c r="BB189" s="146"/>
      <c r="BC189" s="155"/>
      <c r="BD189" s="155"/>
      <c r="BE189" s="155"/>
      <c r="BF189" s="45"/>
    </row>
    <row r="190" ht="16.5" customHeight="1">
      <c r="A190" s="111">
        <v>187.0</v>
      </c>
      <c r="B190" s="112" t="s">
        <v>761</v>
      </c>
      <c r="C190" s="115" t="s">
        <v>60</v>
      </c>
      <c r="D190" s="117">
        <v>42097.0</v>
      </c>
      <c r="E190" s="117">
        <v>42153.0</v>
      </c>
      <c r="F190" s="79" t="s">
        <v>90</v>
      </c>
      <c r="G190" s="118">
        <v>6832.0</v>
      </c>
      <c r="H190" s="114">
        <v>119.9</v>
      </c>
      <c r="I190" s="120">
        <v>403.0</v>
      </c>
      <c r="J190" s="111" t="s">
        <v>62</v>
      </c>
      <c r="K190" s="121">
        <v>403.0</v>
      </c>
      <c r="L190" s="120" t="s">
        <v>63</v>
      </c>
      <c r="M190" s="120"/>
      <c r="N190" s="123"/>
      <c r="O190" s="124">
        <v>6832.0</v>
      </c>
      <c r="P190" s="124">
        <v>57.0</v>
      </c>
      <c r="Q190" s="111">
        <v>237.0</v>
      </c>
      <c r="R190" s="125">
        <v>408.0</v>
      </c>
      <c r="S190" s="126">
        <v>0.9877</v>
      </c>
      <c r="T190" s="127">
        <v>76546.75</v>
      </c>
      <c r="U190" s="128">
        <f t="shared" si="2"/>
        <v>0</v>
      </c>
      <c r="V190" s="79" t="s">
        <v>67</v>
      </c>
      <c r="W190" s="79" t="s">
        <v>65</v>
      </c>
      <c r="X190" s="79" t="s">
        <v>68</v>
      </c>
      <c r="Y190" s="130">
        <v>0.8</v>
      </c>
      <c r="Z190" s="111">
        <v>11.0</v>
      </c>
      <c r="AA190" s="111">
        <v>406.0</v>
      </c>
      <c r="AB190" s="111" t="s">
        <v>62</v>
      </c>
      <c r="AC190" s="133"/>
      <c r="AD190" s="133"/>
      <c r="AE190" s="133"/>
      <c r="AF190" s="111"/>
      <c r="AG190" s="134" t="s">
        <v>763</v>
      </c>
      <c r="AH190" s="73"/>
      <c r="AI190" s="135"/>
      <c r="AJ190" s="136"/>
      <c r="AK190" s="76"/>
      <c r="AL190" s="137"/>
      <c r="AM190" s="139">
        <v>406.0</v>
      </c>
      <c r="AN190" s="139">
        <v>57.0</v>
      </c>
      <c r="AO190" s="140">
        <v>21.02</v>
      </c>
      <c r="AP190" s="142">
        <v>6832.0</v>
      </c>
      <c r="AQ190" s="142">
        <v>237.0</v>
      </c>
      <c r="AR190" s="143"/>
      <c r="AS190" s="144">
        <v>0.9879779076762281</v>
      </c>
      <c r="AT190" s="144">
        <v>-2.779076762280397E-4</v>
      </c>
      <c r="AU190" s="146" t="s">
        <v>917</v>
      </c>
      <c r="AV190" s="146" t="s">
        <v>917</v>
      </c>
      <c r="AW190" s="148" t="s">
        <v>917</v>
      </c>
      <c r="AX190" s="151"/>
      <c r="AY190" s="105"/>
      <c r="AZ190" s="186"/>
      <c r="BA190" s="186"/>
      <c r="BB190" s="146"/>
      <c r="BC190" s="155"/>
      <c r="BD190" s="155"/>
      <c r="BE190" s="155"/>
      <c r="BF190" s="45"/>
    </row>
    <row r="191" ht="16.5" customHeight="1">
      <c r="A191" s="111">
        <v>188.0</v>
      </c>
      <c r="B191" s="112" t="s">
        <v>918</v>
      </c>
      <c r="C191" s="115" t="s">
        <v>60</v>
      </c>
      <c r="D191" s="117">
        <v>41619.0</v>
      </c>
      <c r="E191" s="117">
        <v>42155.0</v>
      </c>
      <c r="F191" s="79" t="s">
        <v>59</v>
      </c>
      <c r="G191" s="118">
        <v>26000.0</v>
      </c>
      <c r="H191" s="114">
        <v>48.4</v>
      </c>
      <c r="I191" s="120">
        <v>378.0</v>
      </c>
      <c r="J191" s="111" t="s">
        <v>61</v>
      </c>
      <c r="K191" s="121">
        <v>382.78</v>
      </c>
      <c r="L191" s="120" t="s">
        <v>63</v>
      </c>
      <c r="M191" s="120"/>
      <c r="N191" s="123"/>
      <c r="O191" s="124">
        <v>26000.0</v>
      </c>
      <c r="P191" s="124">
        <v>537.0</v>
      </c>
      <c r="Q191" s="111">
        <v>239.0</v>
      </c>
      <c r="R191" s="125">
        <v>399.0</v>
      </c>
      <c r="S191" s="126">
        <v>0.9593</v>
      </c>
      <c r="T191" s="127">
        <v>74345.75</v>
      </c>
      <c r="U191" s="128">
        <f t="shared" si="2"/>
        <v>0</v>
      </c>
      <c r="V191" s="79" t="s">
        <v>64</v>
      </c>
      <c r="W191" s="79" t="s">
        <v>64</v>
      </c>
      <c r="X191" s="79" t="s">
        <v>69</v>
      </c>
      <c r="Y191" s="130">
        <v>0.9</v>
      </c>
      <c r="Z191" s="111"/>
      <c r="AA191" s="133"/>
      <c r="AB191" s="133"/>
      <c r="AC191" s="133"/>
      <c r="AD191" s="133"/>
      <c r="AE191" s="133"/>
      <c r="AF191" s="111"/>
      <c r="AG191" s="147"/>
      <c r="AH191" s="73"/>
      <c r="AI191" s="135"/>
      <c r="AJ191" s="136"/>
      <c r="AK191" s="76"/>
      <c r="AL191" s="137"/>
      <c r="AM191" s="139" t="s">
        <v>71</v>
      </c>
      <c r="AN191" s="139">
        <v>537.0</v>
      </c>
      <c r="AO191" s="140">
        <v>81.87</v>
      </c>
      <c r="AP191" s="142">
        <v>26000.0</v>
      </c>
      <c r="AQ191" s="142">
        <v>239.0</v>
      </c>
      <c r="AR191" s="143"/>
      <c r="AS191" s="144">
        <v>0.9678377104995197</v>
      </c>
      <c r="AT191" s="144">
        <v>-0.00853771049951968</v>
      </c>
      <c r="AU191" s="146" t="s">
        <v>919</v>
      </c>
      <c r="AV191" s="146" t="s">
        <v>919</v>
      </c>
      <c r="AW191" s="148" t="s">
        <v>919</v>
      </c>
      <c r="AX191" s="151"/>
      <c r="AY191" s="105"/>
      <c r="AZ191" s="186"/>
      <c r="BA191" s="186"/>
      <c r="BB191" s="146"/>
      <c r="BC191" s="155"/>
      <c r="BD191" s="155"/>
      <c r="BE191" s="155"/>
      <c r="BF191" s="45"/>
    </row>
    <row r="192" ht="16.5" customHeight="1">
      <c r="A192" s="111">
        <v>189.0</v>
      </c>
      <c r="B192" s="112" t="s">
        <v>212</v>
      </c>
      <c r="C192" s="115" t="s">
        <v>60</v>
      </c>
      <c r="D192" s="117">
        <v>41543.0</v>
      </c>
      <c r="E192" s="117">
        <v>42159.0</v>
      </c>
      <c r="F192" s="79" t="s">
        <v>59</v>
      </c>
      <c r="G192" s="118">
        <v>81000.0</v>
      </c>
      <c r="H192" s="114">
        <v>131.3</v>
      </c>
      <c r="I192" s="120">
        <v>375.0</v>
      </c>
      <c r="J192" s="111" t="s">
        <v>61</v>
      </c>
      <c r="K192" s="121">
        <v>379.75</v>
      </c>
      <c r="L192" s="120" t="s">
        <v>195</v>
      </c>
      <c r="M192" s="120" t="s">
        <v>196</v>
      </c>
      <c r="N192" s="120">
        <v>62000.0</v>
      </c>
      <c r="O192" s="124">
        <v>81000.0</v>
      </c>
      <c r="P192" s="124">
        <v>617.0</v>
      </c>
      <c r="Q192" s="111">
        <v>223.0</v>
      </c>
      <c r="R192" s="125">
        <v>399.0</v>
      </c>
      <c r="S192" s="126">
        <v>0.9518</v>
      </c>
      <c r="T192" s="127">
        <v>73764.5</v>
      </c>
      <c r="U192" s="128">
        <f t="shared" si="2"/>
        <v>0</v>
      </c>
      <c r="V192" s="79" t="s">
        <v>64</v>
      </c>
      <c r="W192" s="79" t="s">
        <v>65</v>
      </c>
      <c r="X192" s="79" t="s">
        <v>69</v>
      </c>
      <c r="Y192" s="130">
        <v>0.9</v>
      </c>
      <c r="Z192" s="111"/>
      <c r="AA192" s="133"/>
      <c r="AB192" s="133"/>
      <c r="AC192" s="133"/>
      <c r="AD192" s="133"/>
      <c r="AE192" s="133"/>
      <c r="AF192" s="111"/>
      <c r="AG192" s="147"/>
      <c r="AH192" s="73"/>
      <c r="AI192" s="135"/>
      <c r="AJ192" s="136"/>
      <c r="AK192" s="76"/>
      <c r="AL192" s="137"/>
      <c r="AM192" s="139" t="s">
        <v>71</v>
      </c>
      <c r="AN192" s="139">
        <v>617.0</v>
      </c>
      <c r="AO192" s="140">
        <v>238.85</v>
      </c>
      <c r="AP192" s="142">
        <v>81000.0</v>
      </c>
      <c r="AQ192" s="142">
        <v>223.0</v>
      </c>
      <c r="AR192" s="143"/>
      <c r="AS192" s="144">
        <v>0.9484477048245845</v>
      </c>
      <c r="AT192" s="144">
        <v>0.003352295175415465</v>
      </c>
      <c r="AU192" s="146" t="s">
        <v>922</v>
      </c>
      <c r="AV192" s="146" t="s">
        <v>922</v>
      </c>
      <c r="AW192" s="148" t="s">
        <v>922</v>
      </c>
      <c r="AX192" s="151"/>
      <c r="AY192" s="105"/>
      <c r="AZ192" s="186"/>
      <c r="BA192" s="186"/>
      <c r="BB192" s="146"/>
      <c r="BC192" s="155"/>
      <c r="BD192" s="155"/>
      <c r="BE192" s="155"/>
      <c r="BF192" s="45"/>
    </row>
    <row r="193" ht="16.5" customHeight="1">
      <c r="A193" s="111">
        <v>190.0</v>
      </c>
      <c r="B193" s="112" t="s">
        <v>761</v>
      </c>
      <c r="C193" s="115" t="s">
        <v>60</v>
      </c>
      <c r="D193" s="117">
        <v>42097.0</v>
      </c>
      <c r="E193" s="117">
        <v>42159.0</v>
      </c>
      <c r="F193" s="79" t="s">
        <v>90</v>
      </c>
      <c r="G193" s="118">
        <v>7882.0</v>
      </c>
      <c r="H193" s="114">
        <v>125.1</v>
      </c>
      <c r="I193" s="120">
        <v>403.0</v>
      </c>
      <c r="J193" s="111" t="s">
        <v>62</v>
      </c>
      <c r="K193" s="121">
        <v>403.0</v>
      </c>
      <c r="L193" s="120" t="s">
        <v>63</v>
      </c>
      <c r="M193" s="120"/>
      <c r="N193" s="123"/>
      <c r="O193" s="124">
        <v>7882.0</v>
      </c>
      <c r="P193" s="124">
        <v>63.0</v>
      </c>
      <c r="Q193" s="111">
        <v>237.0</v>
      </c>
      <c r="R193" s="125">
        <v>408.0</v>
      </c>
      <c r="S193" s="126">
        <v>0.9877</v>
      </c>
      <c r="T193" s="127">
        <v>76546.75</v>
      </c>
      <c r="U193" s="128">
        <f t="shared" si="2"/>
        <v>0</v>
      </c>
      <c r="V193" s="79" t="s">
        <v>80</v>
      </c>
      <c r="W193" s="79" t="s">
        <v>65</v>
      </c>
      <c r="X193" s="79" t="s">
        <v>68</v>
      </c>
      <c r="Y193" s="130">
        <v>0.8</v>
      </c>
      <c r="Z193" s="111">
        <v>11.0</v>
      </c>
      <c r="AA193" s="111">
        <v>406.0</v>
      </c>
      <c r="AB193" s="111" t="s">
        <v>62</v>
      </c>
      <c r="AC193" s="133"/>
      <c r="AD193" s="133"/>
      <c r="AE193" s="133"/>
      <c r="AF193" s="111"/>
      <c r="AG193" s="134" t="s">
        <v>763</v>
      </c>
      <c r="AH193" s="73"/>
      <c r="AI193" s="135"/>
      <c r="AJ193" s="136"/>
      <c r="AK193" s="76"/>
      <c r="AL193" s="137"/>
      <c r="AM193" s="139">
        <v>406.0</v>
      </c>
      <c r="AN193" s="139">
        <v>63.0</v>
      </c>
      <c r="AO193" s="140">
        <v>24.26</v>
      </c>
      <c r="AP193" s="142">
        <v>7882.0</v>
      </c>
      <c r="AQ193" s="142">
        <v>237.0</v>
      </c>
      <c r="AR193" s="143"/>
      <c r="AS193" s="144">
        <v>0.9864217324229542</v>
      </c>
      <c r="AT193" s="144">
        <v>0.0012782675770458551</v>
      </c>
      <c r="AU193" s="146" t="s">
        <v>924</v>
      </c>
      <c r="AV193" s="146" t="s">
        <v>924</v>
      </c>
      <c r="AW193" s="148" t="s">
        <v>924</v>
      </c>
      <c r="AX193" s="151"/>
      <c r="AY193" s="105"/>
      <c r="AZ193" s="186"/>
      <c r="BA193" s="186"/>
      <c r="BB193" s="146"/>
      <c r="BC193" s="155"/>
      <c r="BD193" s="155"/>
      <c r="BE193" s="155"/>
      <c r="BF193" s="45"/>
    </row>
    <row r="194" ht="16.5" customHeight="1">
      <c r="A194" s="111">
        <v>191.0</v>
      </c>
      <c r="B194" s="112" t="s">
        <v>717</v>
      </c>
      <c r="C194" s="115" t="s">
        <v>60</v>
      </c>
      <c r="D194" s="117">
        <v>42093.0</v>
      </c>
      <c r="E194" s="117">
        <v>42164.0</v>
      </c>
      <c r="F194" s="79" t="s">
        <v>90</v>
      </c>
      <c r="G194" s="118">
        <v>5579.0</v>
      </c>
      <c r="H194" s="114">
        <v>77.5</v>
      </c>
      <c r="I194" s="120">
        <v>410.0</v>
      </c>
      <c r="J194" s="111" t="s">
        <v>62</v>
      </c>
      <c r="K194" s="121">
        <v>410.0</v>
      </c>
      <c r="L194" s="120" t="s">
        <v>63</v>
      </c>
      <c r="M194" s="120"/>
      <c r="N194" s="120"/>
      <c r="O194" s="124">
        <v>5579.0</v>
      </c>
      <c r="P194" s="124">
        <v>72.0</v>
      </c>
      <c r="Q194" s="111">
        <v>205.0</v>
      </c>
      <c r="R194" s="125">
        <v>408.0</v>
      </c>
      <c r="S194" s="126">
        <v>1.0049</v>
      </c>
      <c r="T194" s="127">
        <v>77879.74999999999</v>
      </c>
      <c r="U194" s="128">
        <f t="shared" si="2"/>
        <v>0</v>
      </c>
      <c r="V194" s="79" t="s">
        <v>67</v>
      </c>
      <c r="W194" s="79" t="s">
        <v>67</v>
      </c>
      <c r="X194" s="79" t="s">
        <v>68</v>
      </c>
      <c r="Y194" s="130">
        <v>0.8</v>
      </c>
      <c r="Z194" s="111"/>
      <c r="AA194" s="133"/>
      <c r="AB194" s="133"/>
      <c r="AC194" s="133"/>
      <c r="AD194" s="133"/>
      <c r="AE194" s="133"/>
      <c r="AF194" s="111"/>
      <c r="AG194" s="134" t="s">
        <v>927</v>
      </c>
      <c r="AH194" s="73"/>
      <c r="AI194" s="135"/>
      <c r="AJ194" s="136"/>
      <c r="AK194" s="76"/>
      <c r="AL194" s="137"/>
      <c r="AM194" s="139" t="s">
        <v>71</v>
      </c>
      <c r="AN194" s="139">
        <v>72.0</v>
      </c>
      <c r="AO194" s="140">
        <v>14.72</v>
      </c>
      <c r="AP194" s="142">
        <v>5579.0</v>
      </c>
      <c r="AQ194" s="142">
        <v>205.0</v>
      </c>
      <c r="AR194" s="143"/>
      <c r="AS194" s="144">
        <v>0.9899277431564745</v>
      </c>
      <c r="AT194" s="144">
        <v>0.014972256843525433</v>
      </c>
      <c r="AU194" s="146" t="s">
        <v>930</v>
      </c>
      <c r="AV194" s="146" t="s">
        <v>930</v>
      </c>
      <c r="AW194" s="148" t="s">
        <v>930</v>
      </c>
      <c r="AX194" s="151"/>
      <c r="AY194" s="105"/>
      <c r="AZ194" s="186"/>
      <c r="BA194" s="186"/>
      <c r="BB194" s="146"/>
      <c r="BC194" s="155"/>
      <c r="BD194" s="155"/>
      <c r="BE194" s="155"/>
      <c r="BF194" s="45"/>
    </row>
    <row r="195" ht="16.5" customHeight="1">
      <c r="A195" s="111">
        <v>192.0</v>
      </c>
      <c r="B195" s="112" t="s">
        <v>513</v>
      </c>
      <c r="C195" s="115" t="s">
        <v>60</v>
      </c>
      <c r="D195" s="117">
        <v>41990.0</v>
      </c>
      <c r="E195" s="117">
        <v>42153.0</v>
      </c>
      <c r="F195" s="79" t="s">
        <v>59</v>
      </c>
      <c r="G195" s="118">
        <v>17000.0</v>
      </c>
      <c r="H195" s="114">
        <v>103.7</v>
      </c>
      <c r="I195" s="120">
        <v>390.0</v>
      </c>
      <c r="J195" s="111" t="s">
        <v>61</v>
      </c>
      <c r="K195" s="121">
        <v>394.94</v>
      </c>
      <c r="L195" s="120" t="s">
        <v>63</v>
      </c>
      <c r="M195" s="120"/>
      <c r="N195" s="120"/>
      <c r="O195" s="124">
        <v>17000.0</v>
      </c>
      <c r="P195" s="124">
        <v>164.0</v>
      </c>
      <c r="Q195" s="111">
        <v>233.0</v>
      </c>
      <c r="R195" s="125">
        <v>399.0</v>
      </c>
      <c r="S195" s="126">
        <v>0.9898</v>
      </c>
      <c r="T195" s="127">
        <v>76709.5</v>
      </c>
      <c r="U195" s="128">
        <f t="shared" si="2"/>
        <v>0</v>
      </c>
      <c r="V195" s="79" t="s">
        <v>64</v>
      </c>
      <c r="W195" s="79" t="s">
        <v>69</v>
      </c>
      <c r="X195" s="79" t="s">
        <v>68</v>
      </c>
      <c r="Y195" s="130">
        <v>0.8</v>
      </c>
      <c r="Z195" s="111"/>
      <c r="AA195" s="133"/>
      <c r="AB195" s="133"/>
      <c r="AC195" s="133"/>
      <c r="AD195" s="133"/>
      <c r="AE195" s="133"/>
      <c r="AF195" s="111"/>
      <c r="AG195" s="134" t="s">
        <v>931</v>
      </c>
      <c r="AH195" s="73"/>
      <c r="AI195" s="135"/>
      <c r="AJ195" s="136"/>
      <c r="AK195" s="76"/>
      <c r="AL195" s="137"/>
      <c r="AM195" s="139" t="s">
        <v>71</v>
      </c>
      <c r="AN195" s="139">
        <v>164.0</v>
      </c>
      <c r="AO195" s="140">
        <v>51.38</v>
      </c>
      <c r="AP195" s="142">
        <v>17000.0</v>
      </c>
      <c r="AQ195" s="142">
        <v>233.0</v>
      </c>
      <c r="AR195" s="143"/>
      <c r="AS195" s="144">
        <v>0.9754132074993472</v>
      </c>
      <c r="AT195" s="144">
        <v>0.014386792500652779</v>
      </c>
      <c r="AU195" s="146" t="s">
        <v>932</v>
      </c>
      <c r="AV195" s="146" t="s">
        <v>932</v>
      </c>
      <c r="AW195" s="148" t="s">
        <v>932</v>
      </c>
      <c r="AX195" s="151"/>
      <c r="AY195" s="105"/>
      <c r="AZ195" s="186"/>
      <c r="BA195" s="186"/>
      <c r="BB195" s="146"/>
      <c r="BC195" s="155"/>
      <c r="BD195" s="155"/>
      <c r="BE195" s="155"/>
      <c r="BF195" s="45"/>
    </row>
    <row r="196" ht="16.5" customHeight="1">
      <c r="A196" s="111">
        <v>193.0</v>
      </c>
      <c r="B196" s="112" t="s">
        <v>513</v>
      </c>
      <c r="C196" s="115" t="s">
        <v>60</v>
      </c>
      <c r="D196" s="117">
        <v>41990.0</v>
      </c>
      <c r="E196" s="117">
        <v>42161.0</v>
      </c>
      <c r="F196" s="79" t="s">
        <v>59</v>
      </c>
      <c r="G196" s="118">
        <v>17500.0</v>
      </c>
      <c r="H196" s="114">
        <v>101.7</v>
      </c>
      <c r="I196" s="120">
        <v>388.0</v>
      </c>
      <c r="J196" s="111" t="s">
        <v>61</v>
      </c>
      <c r="K196" s="121">
        <v>392.91</v>
      </c>
      <c r="L196" s="120" t="s">
        <v>63</v>
      </c>
      <c r="M196" s="120"/>
      <c r="N196" s="120"/>
      <c r="O196" s="124">
        <v>17500.0</v>
      </c>
      <c r="P196" s="124">
        <v>172.0</v>
      </c>
      <c r="Q196" s="111">
        <v>233.0</v>
      </c>
      <c r="R196" s="125">
        <v>399.0</v>
      </c>
      <c r="S196" s="126">
        <v>0.9847</v>
      </c>
      <c r="T196" s="127">
        <v>76314.25</v>
      </c>
      <c r="U196" s="128">
        <f t="shared" si="2"/>
        <v>0</v>
      </c>
      <c r="V196" s="79" t="s">
        <v>64</v>
      </c>
      <c r="W196" s="79" t="s">
        <v>69</v>
      </c>
      <c r="X196" s="79" t="s">
        <v>68</v>
      </c>
      <c r="Y196" s="130">
        <v>0.8</v>
      </c>
      <c r="Z196" s="111"/>
      <c r="AA196" s="133"/>
      <c r="AB196" s="133"/>
      <c r="AC196" s="133"/>
      <c r="AD196" s="133"/>
      <c r="AE196" s="133"/>
      <c r="AF196" s="111"/>
      <c r="AG196" s="134" t="s">
        <v>934</v>
      </c>
      <c r="AH196" s="73"/>
      <c r="AI196" s="135"/>
      <c r="AJ196" s="136"/>
      <c r="AK196" s="76"/>
      <c r="AL196" s="137"/>
      <c r="AM196" s="139" t="s">
        <v>71</v>
      </c>
      <c r="AN196" s="139">
        <v>172.0</v>
      </c>
      <c r="AO196" s="140">
        <v>53.03</v>
      </c>
      <c r="AP196" s="142">
        <v>17500.0</v>
      </c>
      <c r="AQ196" s="142">
        <v>233.0</v>
      </c>
      <c r="AR196" s="143"/>
      <c r="AS196" s="144">
        <v>0.9749193923438486</v>
      </c>
      <c r="AT196" s="144">
        <v>0.009780607656151408</v>
      </c>
      <c r="AU196" s="146" t="s">
        <v>935</v>
      </c>
      <c r="AV196" s="146" t="s">
        <v>935</v>
      </c>
      <c r="AW196" s="148" t="s">
        <v>935</v>
      </c>
      <c r="AX196" s="151"/>
      <c r="AY196" s="105"/>
      <c r="AZ196" s="186"/>
      <c r="BA196" s="186"/>
      <c r="BB196" s="146"/>
      <c r="BC196" s="155"/>
      <c r="BD196" s="155"/>
      <c r="BE196" s="155"/>
      <c r="BF196" s="45"/>
    </row>
    <row r="197" ht="16.5" customHeight="1">
      <c r="A197" s="111">
        <v>194.0</v>
      </c>
      <c r="B197" s="112" t="s">
        <v>936</v>
      </c>
      <c r="C197" s="115" t="s">
        <v>60</v>
      </c>
      <c r="D197" s="117">
        <v>42108.0</v>
      </c>
      <c r="E197" s="117">
        <v>42165.0</v>
      </c>
      <c r="F197" s="79" t="s">
        <v>59</v>
      </c>
      <c r="G197" s="118">
        <v>3400.0</v>
      </c>
      <c r="H197" s="114">
        <v>58.6</v>
      </c>
      <c r="I197" s="120">
        <v>401.0</v>
      </c>
      <c r="J197" s="111" t="s">
        <v>61</v>
      </c>
      <c r="K197" s="121">
        <v>406.08</v>
      </c>
      <c r="L197" s="120" t="s">
        <v>63</v>
      </c>
      <c r="M197" s="120"/>
      <c r="N197" s="120"/>
      <c r="O197" s="124">
        <v>3400.0</v>
      </c>
      <c r="P197" s="124">
        <v>58.0</v>
      </c>
      <c r="Q197" s="111">
        <v>225.0</v>
      </c>
      <c r="R197" s="125">
        <v>399.0</v>
      </c>
      <c r="S197" s="126">
        <v>1.0177</v>
      </c>
      <c r="T197" s="127">
        <v>78871.75</v>
      </c>
      <c r="U197" s="128">
        <f t="shared" si="2"/>
        <v>0</v>
      </c>
      <c r="V197" s="79" t="s">
        <v>68</v>
      </c>
      <c r="W197" s="79" t="s">
        <v>65</v>
      </c>
      <c r="X197" s="79" t="s">
        <v>68</v>
      </c>
      <c r="Y197" s="130"/>
      <c r="Z197" s="111"/>
      <c r="AA197" s="133"/>
      <c r="AB197" s="133"/>
      <c r="AC197" s="133"/>
      <c r="AD197" s="133"/>
      <c r="AE197" s="133"/>
      <c r="AF197" s="111"/>
      <c r="AG197" s="147"/>
      <c r="AH197" s="73"/>
      <c r="AI197" s="135"/>
      <c r="AJ197" s="136"/>
      <c r="AK197" s="76"/>
      <c r="AL197" s="137"/>
      <c r="AM197" s="139" t="s">
        <v>71</v>
      </c>
      <c r="AN197" s="139">
        <v>58.0</v>
      </c>
      <c r="AO197" s="140">
        <v>9.79</v>
      </c>
      <c r="AP197" s="142">
        <v>3400.0</v>
      </c>
      <c r="AQ197" s="142">
        <v>225.0</v>
      </c>
      <c r="AR197" s="143"/>
      <c r="AS197" s="144">
        <v>0.9935766939887044</v>
      </c>
      <c r="AT197" s="144">
        <v>0.024123306011295642</v>
      </c>
      <c r="AU197" s="146" t="s">
        <v>937</v>
      </c>
      <c r="AV197" s="146" t="s">
        <v>937</v>
      </c>
      <c r="AW197" s="148" t="s">
        <v>937</v>
      </c>
      <c r="AX197" s="151"/>
      <c r="AY197" s="105"/>
      <c r="AZ197" s="186"/>
      <c r="BA197" s="186"/>
      <c r="BB197" s="146"/>
      <c r="BC197" s="155"/>
      <c r="BD197" s="155"/>
      <c r="BE197" s="155"/>
      <c r="BF197" s="45"/>
    </row>
    <row r="198" ht="16.5" customHeight="1">
      <c r="A198" s="111">
        <v>195.0</v>
      </c>
      <c r="B198" s="112" t="s">
        <v>449</v>
      </c>
      <c r="C198" s="115" t="s">
        <v>60</v>
      </c>
      <c r="D198" s="117">
        <v>41598.0</v>
      </c>
      <c r="E198" s="117">
        <v>42164.0</v>
      </c>
      <c r="F198" s="79" t="s">
        <v>59</v>
      </c>
      <c r="G198" s="118">
        <v>76550.0</v>
      </c>
      <c r="H198" s="114">
        <v>135.0</v>
      </c>
      <c r="I198" s="120">
        <v>378.0</v>
      </c>
      <c r="J198" s="111" t="s">
        <v>62</v>
      </c>
      <c r="K198" s="121">
        <v>378.0</v>
      </c>
      <c r="L198" s="120" t="s">
        <v>63</v>
      </c>
      <c r="M198" s="120"/>
      <c r="N198" s="120"/>
      <c r="O198" s="124">
        <v>76550.0</v>
      </c>
      <c r="P198" s="124">
        <v>567.0</v>
      </c>
      <c r="Q198" s="111">
        <v>190.0</v>
      </c>
      <c r="R198" s="125">
        <v>399.0</v>
      </c>
      <c r="S198" s="126">
        <v>0.9474</v>
      </c>
      <c r="T198" s="127">
        <v>73423.5</v>
      </c>
      <c r="U198" s="128">
        <f t="shared" si="2"/>
        <v>0</v>
      </c>
      <c r="V198" s="79" t="s">
        <v>80</v>
      </c>
      <c r="W198" s="79" t="s">
        <v>64</v>
      </c>
      <c r="X198" s="79" t="s">
        <v>68</v>
      </c>
      <c r="Y198" s="130">
        <v>0.7</v>
      </c>
      <c r="Z198" s="111"/>
      <c r="AA198" s="133"/>
      <c r="AB198" s="133"/>
      <c r="AC198" s="133"/>
      <c r="AD198" s="133"/>
      <c r="AE198" s="133"/>
      <c r="AF198" s="111"/>
      <c r="AG198" s="134" t="s">
        <v>940</v>
      </c>
      <c r="AH198" s="73"/>
      <c r="AI198" s="135"/>
      <c r="AJ198" s="136"/>
      <c r="AK198" s="76"/>
      <c r="AL198" s="137"/>
      <c r="AM198" s="139" t="s">
        <v>71</v>
      </c>
      <c r="AN198" s="139">
        <v>567.0</v>
      </c>
      <c r="AO198" s="140">
        <v>192.76</v>
      </c>
      <c r="AP198" s="142">
        <v>76550.0</v>
      </c>
      <c r="AQ198" s="142">
        <v>190.0</v>
      </c>
      <c r="AR198" s="143"/>
      <c r="AS198" s="144">
        <v>0.9493467982347901</v>
      </c>
      <c r="AT198" s="144">
        <v>-0.001946798234790048</v>
      </c>
      <c r="AU198" s="146" t="s">
        <v>941</v>
      </c>
      <c r="AV198" s="146" t="s">
        <v>941</v>
      </c>
      <c r="AW198" s="148" t="s">
        <v>941</v>
      </c>
      <c r="AX198" s="151"/>
      <c r="AY198" s="105"/>
      <c r="AZ198" s="186"/>
      <c r="BA198" s="186"/>
      <c r="BB198" s="146"/>
      <c r="BC198" s="155"/>
      <c r="BD198" s="155"/>
      <c r="BE198" s="155"/>
      <c r="BF198" s="45"/>
    </row>
    <row r="199" ht="16.5" customHeight="1">
      <c r="A199" s="111">
        <v>196.0</v>
      </c>
      <c r="B199" s="112" t="s">
        <v>942</v>
      </c>
      <c r="C199" s="115" t="s">
        <v>60</v>
      </c>
      <c r="D199" s="117">
        <v>41584.0</v>
      </c>
      <c r="E199" s="117">
        <v>42166.0</v>
      </c>
      <c r="F199" s="79" t="s">
        <v>109</v>
      </c>
      <c r="G199" s="118">
        <v>37069.0</v>
      </c>
      <c r="H199" s="114">
        <v>63.6</v>
      </c>
      <c r="I199" s="120">
        <v>275.0</v>
      </c>
      <c r="J199" s="111" t="s">
        <v>61</v>
      </c>
      <c r="K199" s="121">
        <v>278.48</v>
      </c>
      <c r="L199" s="120" t="s">
        <v>63</v>
      </c>
      <c r="M199" s="120"/>
      <c r="N199" s="120"/>
      <c r="O199" s="124">
        <v>37069.0</v>
      </c>
      <c r="P199" s="124">
        <v>583.0</v>
      </c>
      <c r="Q199" s="111">
        <v>213.0</v>
      </c>
      <c r="R199" s="125">
        <v>289.0</v>
      </c>
      <c r="S199" s="126">
        <v>0.9636</v>
      </c>
      <c r="T199" s="127">
        <v>56370.6</v>
      </c>
      <c r="U199" s="128">
        <f t="shared" si="2"/>
        <v>0</v>
      </c>
      <c r="V199" s="79" t="s">
        <v>68</v>
      </c>
      <c r="W199" s="79" t="s">
        <v>69</v>
      </c>
      <c r="X199" s="79" t="s">
        <v>69</v>
      </c>
      <c r="Y199" s="130">
        <v>0.8</v>
      </c>
      <c r="Z199" s="111"/>
      <c r="AA199" s="183"/>
      <c r="AB199" s="133"/>
      <c r="AC199" s="133"/>
      <c r="AD199" s="133"/>
      <c r="AE199" s="133"/>
      <c r="AF199" s="111"/>
      <c r="AG199" s="134" t="s">
        <v>943</v>
      </c>
      <c r="AH199" s="73"/>
      <c r="AI199" s="135"/>
      <c r="AJ199" s="136"/>
      <c r="AK199" s="76"/>
      <c r="AL199" s="137"/>
      <c r="AM199" s="139" t="s">
        <v>71</v>
      </c>
      <c r="AN199" s="139">
        <v>583.0</v>
      </c>
      <c r="AO199" s="140">
        <v>137.5</v>
      </c>
      <c r="AP199" s="142">
        <v>37069.0</v>
      </c>
      <c r="AQ199" s="142">
        <v>213.0</v>
      </c>
      <c r="AR199" s="143"/>
      <c r="AS199" s="144">
        <v>0.9613632906511034</v>
      </c>
      <c r="AT199" s="144">
        <v>0.002236709348896637</v>
      </c>
      <c r="AU199" s="146" t="s">
        <v>945</v>
      </c>
      <c r="AV199" s="146" t="s">
        <v>945</v>
      </c>
      <c r="AW199" s="148" t="s">
        <v>945</v>
      </c>
      <c r="AX199" s="151"/>
      <c r="AY199" s="105"/>
      <c r="AZ199" s="186"/>
      <c r="BA199" s="186"/>
      <c r="BB199" s="146"/>
      <c r="BC199" s="155"/>
      <c r="BD199" s="155"/>
      <c r="BE199" s="155"/>
      <c r="BF199" s="45"/>
    </row>
    <row r="200" ht="16.5" customHeight="1">
      <c r="A200" s="111">
        <v>197.0</v>
      </c>
      <c r="B200" s="112" t="s">
        <v>541</v>
      </c>
      <c r="C200" s="115" t="s">
        <v>60</v>
      </c>
      <c r="D200" s="157">
        <v>41603.0</v>
      </c>
      <c r="E200" s="117">
        <v>42167.0</v>
      </c>
      <c r="F200" s="79" t="s">
        <v>57</v>
      </c>
      <c r="G200" s="118">
        <v>54000.0</v>
      </c>
      <c r="H200" s="114">
        <v>95.6</v>
      </c>
      <c r="I200" s="120">
        <v>384.0</v>
      </c>
      <c r="J200" s="111" t="s">
        <v>61</v>
      </c>
      <c r="K200" s="121">
        <v>388.86</v>
      </c>
      <c r="L200" s="120" t="s">
        <v>63</v>
      </c>
      <c r="M200" s="120"/>
      <c r="N200" s="120"/>
      <c r="O200" s="124">
        <v>54000.0</v>
      </c>
      <c r="P200" s="124">
        <v>565.0</v>
      </c>
      <c r="Q200" s="111">
        <v>220.0</v>
      </c>
      <c r="R200" s="125">
        <v>399.0</v>
      </c>
      <c r="S200" s="126">
        <v>0.9746</v>
      </c>
      <c r="T200" s="127">
        <v>75531.5</v>
      </c>
      <c r="U200" s="128">
        <f t="shared" si="2"/>
        <v>0</v>
      </c>
      <c r="V200" s="79" t="s">
        <v>69</v>
      </c>
      <c r="W200" s="79" t="s">
        <v>67</v>
      </c>
      <c r="X200" s="79" t="s">
        <v>68</v>
      </c>
      <c r="Y200" s="130">
        <v>0.8</v>
      </c>
      <c r="Z200" s="111"/>
      <c r="AA200" s="111">
        <v>400.0</v>
      </c>
      <c r="AB200" s="111" t="s">
        <v>61</v>
      </c>
      <c r="AC200" s="133"/>
      <c r="AD200" s="133"/>
      <c r="AE200" s="133"/>
      <c r="AF200" s="111"/>
      <c r="AG200" s="134" t="s">
        <v>948</v>
      </c>
      <c r="AH200" s="73"/>
      <c r="AI200" s="135"/>
      <c r="AJ200" s="136"/>
      <c r="AK200" s="76"/>
      <c r="AL200" s="137"/>
      <c r="AM200" s="139">
        <v>405.0</v>
      </c>
      <c r="AN200" s="139">
        <v>565.0</v>
      </c>
      <c r="AO200" s="140">
        <v>155.29</v>
      </c>
      <c r="AP200" s="142">
        <v>54000.0</v>
      </c>
      <c r="AQ200" s="142">
        <v>220.0</v>
      </c>
      <c r="AR200" s="143"/>
      <c r="AS200" s="144">
        <v>0.9549104819935579</v>
      </c>
      <c r="AT200" s="144">
        <v>0.01968951800644214</v>
      </c>
      <c r="AU200" s="146" t="s">
        <v>951</v>
      </c>
      <c r="AV200" s="146" t="s">
        <v>951</v>
      </c>
      <c r="AW200" s="148" t="s">
        <v>951</v>
      </c>
      <c r="AX200" s="151"/>
      <c r="AY200" s="105"/>
      <c r="AZ200" s="186"/>
      <c r="BA200" s="186"/>
      <c r="BB200" s="234"/>
      <c r="BC200" s="238"/>
      <c r="BD200" s="238"/>
      <c r="BE200" s="238"/>
      <c r="BF200" s="77"/>
    </row>
    <row r="201" ht="16.5" customHeight="1">
      <c r="A201" s="111">
        <v>198.0</v>
      </c>
      <c r="B201" s="165" t="s">
        <v>58</v>
      </c>
      <c r="C201" s="115" t="s">
        <v>60</v>
      </c>
      <c r="D201" s="157">
        <v>41597.0</v>
      </c>
      <c r="E201" s="117">
        <v>42167.0</v>
      </c>
      <c r="F201" s="79" t="s">
        <v>59</v>
      </c>
      <c r="G201" s="118">
        <v>60000.0</v>
      </c>
      <c r="H201" s="114">
        <v>105.1</v>
      </c>
      <c r="I201" s="120">
        <v>388.0</v>
      </c>
      <c r="J201" s="111" t="s">
        <v>62</v>
      </c>
      <c r="K201" s="121">
        <v>388.0</v>
      </c>
      <c r="L201" s="120" t="s">
        <v>63</v>
      </c>
      <c r="M201" s="120"/>
      <c r="N201" s="120"/>
      <c r="O201" s="124">
        <v>60000.0</v>
      </c>
      <c r="P201" s="124">
        <v>571.0</v>
      </c>
      <c r="Q201" s="111">
        <v>217.0</v>
      </c>
      <c r="R201" s="125">
        <v>399.0</v>
      </c>
      <c r="S201" s="126">
        <v>0.9724</v>
      </c>
      <c r="T201" s="127">
        <v>75361.0</v>
      </c>
      <c r="U201" s="128">
        <f t="shared" si="2"/>
        <v>0</v>
      </c>
      <c r="V201" s="79" t="s">
        <v>65</v>
      </c>
      <c r="W201" s="79" t="s">
        <v>67</v>
      </c>
      <c r="X201" s="79" t="s">
        <v>66</v>
      </c>
      <c r="Y201" s="130">
        <v>0.8</v>
      </c>
      <c r="Z201" s="111"/>
      <c r="AA201" s="133"/>
      <c r="AB201" s="133"/>
      <c r="AC201" s="133"/>
      <c r="AD201" s="111"/>
      <c r="AE201" s="111"/>
      <c r="AF201" s="111"/>
      <c r="AG201" s="134"/>
      <c r="AH201" s="73"/>
      <c r="AI201" s="135"/>
      <c r="AJ201" s="136"/>
      <c r="AK201" s="76"/>
      <c r="AL201" s="137"/>
      <c r="AM201" s="139" t="s">
        <v>71</v>
      </c>
      <c r="AN201" s="139">
        <v>571.0</v>
      </c>
      <c r="AO201" s="140">
        <v>170.37</v>
      </c>
      <c r="AP201" s="142">
        <v>60000.0</v>
      </c>
      <c r="AQ201" s="142">
        <v>217.0</v>
      </c>
      <c r="AR201" s="143"/>
      <c r="AS201" s="144">
        <v>0.9532051308229729</v>
      </c>
      <c r="AT201" s="144">
        <v>0.019194869177027174</v>
      </c>
      <c r="AU201" s="146" t="s">
        <v>952</v>
      </c>
      <c r="AV201" s="146" t="s">
        <v>952</v>
      </c>
      <c r="AW201" s="148" t="s">
        <v>952</v>
      </c>
      <c r="AX201" s="151"/>
      <c r="AY201" s="105"/>
      <c r="AZ201" s="186"/>
      <c r="BA201" s="186"/>
      <c r="BB201" s="299"/>
      <c r="BC201" s="300"/>
      <c r="BD201" s="300"/>
      <c r="BE201" s="300"/>
      <c r="BF201" s="302"/>
    </row>
    <row r="202" ht="16.5" customHeight="1">
      <c r="A202" s="111">
        <v>199.0</v>
      </c>
      <c r="B202" s="112" t="s">
        <v>513</v>
      </c>
      <c r="C202" s="115" t="s">
        <v>60</v>
      </c>
      <c r="D202" s="117">
        <v>41990.0</v>
      </c>
      <c r="E202" s="117">
        <v>42167.0</v>
      </c>
      <c r="F202" s="79" t="s">
        <v>59</v>
      </c>
      <c r="G202" s="118">
        <v>19015.0</v>
      </c>
      <c r="H202" s="114">
        <v>106.8</v>
      </c>
      <c r="I202" s="120">
        <v>388.0</v>
      </c>
      <c r="J202" s="111" t="s">
        <v>61</v>
      </c>
      <c r="K202" s="121">
        <v>392.91</v>
      </c>
      <c r="L202" s="120" t="s">
        <v>63</v>
      </c>
      <c r="M202" s="120"/>
      <c r="N202" s="120"/>
      <c r="O202" s="124">
        <v>19015.0</v>
      </c>
      <c r="P202" s="124">
        <v>178.0</v>
      </c>
      <c r="Q202" s="111">
        <v>233.0</v>
      </c>
      <c r="R202" s="125">
        <v>399.0</v>
      </c>
      <c r="S202" s="126">
        <v>0.9847</v>
      </c>
      <c r="T202" s="127">
        <v>76314.25</v>
      </c>
      <c r="U202" s="128">
        <f t="shared" si="2"/>
        <v>0</v>
      </c>
      <c r="V202" s="79" t="s">
        <v>64</v>
      </c>
      <c r="W202" s="79" t="s">
        <v>69</v>
      </c>
      <c r="X202" s="79" t="s">
        <v>68</v>
      </c>
      <c r="Y202" s="130">
        <v>0.8</v>
      </c>
      <c r="Z202" s="111"/>
      <c r="AA202" s="133"/>
      <c r="AB202" s="111"/>
      <c r="AC202" s="133"/>
      <c r="AD202" s="133"/>
      <c r="AE202" s="133"/>
      <c r="AF202" s="111"/>
      <c r="AG202" s="147"/>
      <c r="AH202" s="73"/>
      <c r="AI202" s="135"/>
      <c r="AJ202" s="136"/>
      <c r="AK202" s="76"/>
      <c r="AL202" s="137"/>
      <c r="AM202" s="139" t="s">
        <v>71</v>
      </c>
      <c r="AN202" s="139">
        <v>178.0</v>
      </c>
      <c r="AO202" s="140">
        <v>57.62</v>
      </c>
      <c r="AP202" s="142">
        <v>19015.0</v>
      </c>
      <c r="AQ202" s="142">
        <v>233.0</v>
      </c>
      <c r="AR202" s="143"/>
      <c r="AS202" s="144">
        <v>0.9734813578942667</v>
      </c>
      <c r="AT202" s="144">
        <v>0.011218642105733312</v>
      </c>
      <c r="AU202" s="146" t="s">
        <v>955</v>
      </c>
      <c r="AV202" s="146" t="s">
        <v>955</v>
      </c>
      <c r="AW202" s="148" t="s">
        <v>955</v>
      </c>
      <c r="AX202" s="151"/>
      <c r="AY202" s="105"/>
      <c r="AZ202" s="186"/>
      <c r="BA202" s="186"/>
      <c r="BB202" s="146"/>
      <c r="BC202" s="155"/>
      <c r="BD202" s="155"/>
      <c r="BE202" s="155"/>
      <c r="BF202" s="45"/>
    </row>
    <row r="203" ht="16.5" customHeight="1">
      <c r="A203" s="111">
        <v>200.0</v>
      </c>
      <c r="B203" s="112" t="s">
        <v>885</v>
      </c>
      <c r="C203" s="115" t="s">
        <v>60</v>
      </c>
      <c r="D203" s="117">
        <v>42090.0</v>
      </c>
      <c r="E203" s="117">
        <v>42168.0</v>
      </c>
      <c r="F203" s="79" t="s">
        <v>86</v>
      </c>
      <c r="G203" s="118">
        <v>6950.0</v>
      </c>
      <c r="H203" s="114">
        <v>88.0</v>
      </c>
      <c r="I203" s="120">
        <v>403.0</v>
      </c>
      <c r="J203" s="111" t="s">
        <v>62</v>
      </c>
      <c r="K203" s="121">
        <v>403.0</v>
      </c>
      <c r="L203" s="120" t="s">
        <v>63</v>
      </c>
      <c r="M203" s="120"/>
      <c r="N203" s="120"/>
      <c r="O203" s="124">
        <v>6950.0</v>
      </c>
      <c r="P203" s="124">
        <v>79.0</v>
      </c>
      <c r="Q203" s="111">
        <v>220.0</v>
      </c>
      <c r="R203" s="125">
        <v>430.0</v>
      </c>
      <c r="S203" s="126">
        <v>0.9372</v>
      </c>
      <c r="T203" s="127">
        <v>72633.0</v>
      </c>
      <c r="U203" s="128">
        <f t="shared" si="2"/>
        <v>0</v>
      </c>
      <c r="V203" s="79" t="s">
        <v>65</v>
      </c>
      <c r="W203" s="79" t="s">
        <v>64</v>
      </c>
      <c r="X203" s="79" t="s">
        <v>68</v>
      </c>
      <c r="Y203" s="130">
        <v>0.9</v>
      </c>
      <c r="Z203" s="111"/>
      <c r="AA203" s="133"/>
      <c r="AB203" s="133"/>
      <c r="AC203" s="133"/>
      <c r="AD203" s="133"/>
      <c r="AE203" s="133"/>
      <c r="AF203" s="111"/>
      <c r="AG203" s="147"/>
      <c r="AH203" s="73"/>
      <c r="AI203" s="135"/>
      <c r="AJ203" s="136"/>
      <c r="AK203" s="76"/>
      <c r="AL203" s="137"/>
      <c r="AM203" s="139" t="s">
        <v>71</v>
      </c>
      <c r="AN203" s="139">
        <v>79.0</v>
      </c>
      <c r="AO203" s="140">
        <v>20.37</v>
      </c>
      <c r="AP203" s="142">
        <v>6950.0</v>
      </c>
      <c r="AQ203" s="142">
        <v>220.0</v>
      </c>
      <c r="AR203" s="143"/>
      <c r="AS203" s="144">
        <v>0.9877995625750813</v>
      </c>
      <c r="AT203" s="144">
        <v>-0.05059956257508125</v>
      </c>
      <c r="AU203" s="146" t="s">
        <v>961</v>
      </c>
      <c r="AV203" s="146" t="s">
        <v>961</v>
      </c>
      <c r="AW203" s="148" t="s">
        <v>961</v>
      </c>
      <c r="AX203" s="151"/>
      <c r="AY203" s="105"/>
      <c r="AZ203" s="186"/>
      <c r="BA203" s="186"/>
      <c r="BB203" s="146"/>
      <c r="BC203" s="155"/>
      <c r="BD203" s="155"/>
      <c r="BE203" s="155"/>
      <c r="BF203" s="45"/>
    </row>
    <row r="204" ht="16.5" customHeight="1">
      <c r="A204" s="111">
        <v>201.0</v>
      </c>
      <c r="B204" s="112" t="s">
        <v>201</v>
      </c>
      <c r="C204" s="115" t="s">
        <v>60</v>
      </c>
      <c r="D204" s="117">
        <v>41724.0</v>
      </c>
      <c r="E204" s="117">
        <v>42168.0</v>
      </c>
      <c r="F204" s="79" t="s">
        <v>79</v>
      </c>
      <c r="G204" s="118">
        <v>38128.0</v>
      </c>
      <c r="H204" s="114">
        <v>85.7</v>
      </c>
      <c r="I204" s="120">
        <v>384.0</v>
      </c>
      <c r="J204" s="111" t="s">
        <v>62</v>
      </c>
      <c r="K204" s="121">
        <v>384.0</v>
      </c>
      <c r="L204" s="120" t="s">
        <v>63</v>
      </c>
      <c r="M204" s="120"/>
      <c r="N204" s="120"/>
      <c r="O204" s="124">
        <v>38128.0</v>
      </c>
      <c r="P204" s="124">
        <v>445.0</v>
      </c>
      <c r="Q204" s="111">
        <v>173.0</v>
      </c>
      <c r="R204" s="125">
        <v>399.0</v>
      </c>
      <c r="S204" s="126">
        <v>0.9624</v>
      </c>
      <c r="T204" s="127">
        <v>74586.0</v>
      </c>
      <c r="U204" s="128">
        <f t="shared" si="2"/>
        <v>0</v>
      </c>
      <c r="V204" s="79" t="s">
        <v>65</v>
      </c>
      <c r="W204" s="79" t="s">
        <v>69</v>
      </c>
      <c r="X204" s="79" t="s">
        <v>68</v>
      </c>
      <c r="Y204" s="130">
        <v>0.8</v>
      </c>
      <c r="Z204" s="111"/>
      <c r="AA204" s="133"/>
      <c r="AB204" s="133"/>
      <c r="AC204" s="133"/>
      <c r="AD204" s="133"/>
      <c r="AE204" s="133"/>
      <c r="AF204" s="111"/>
      <c r="AG204" s="134" t="s">
        <v>111</v>
      </c>
      <c r="AH204" s="73"/>
      <c r="AI204" s="135"/>
      <c r="AJ204" s="136"/>
      <c r="AK204" s="76"/>
      <c r="AL204" s="137"/>
      <c r="AM204" s="139" t="s">
        <v>71</v>
      </c>
      <c r="AN204" s="139">
        <v>445.0</v>
      </c>
      <c r="AO204" s="140">
        <v>86.76</v>
      </c>
      <c r="AP204" s="142">
        <v>38128.0</v>
      </c>
      <c r="AQ204" s="142">
        <v>173.0</v>
      </c>
      <c r="AR204" s="143"/>
      <c r="AS204" s="144">
        <v>0.9608605847661118</v>
      </c>
      <c r="AT204" s="144">
        <v>0.0015394152338882305</v>
      </c>
      <c r="AU204" s="146" t="s">
        <v>962</v>
      </c>
      <c r="AV204" s="146" t="s">
        <v>962</v>
      </c>
      <c r="AW204" s="148" t="s">
        <v>962</v>
      </c>
      <c r="AX204" s="151"/>
      <c r="AY204" s="105"/>
      <c r="AZ204" s="186"/>
      <c r="BA204" s="186"/>
      <c r="BB204" s="146"/>
      <c r="BC204" s="155"/>
      <c r="BD204" s="155"/>
      <c r="BE204" s="155"/>
      <c r="BF204" s="45"/>
    </row>
    <row r="205" ht="16.5" customHeight="1">
      <c r="A205" s="111">
        <v>202.0</v>
      </c>
      <c r="B205" s="112" t="s">
        <v>717</v>
      </c>
      <c r="C205" s="115" t="s">
        <v>60</v>
      </c>
      <c r="D205" s="117">
        <v>42093.0</v>
      </c>
      <c r="E205" s="117">
        <v>42175.0</v>
      </c>
      <c r="F205" s="79" t="s">
        <v>90</v>
      </c>
      <c r="G205" s="118">
        <v>7339.0</v>
      </c>
      <c r="H205" s="114">
        <v>88.4</v>
      </c>
      <c r="I205" s="120">
        <v>410.0</v>
      </c>
      <c r="J205" s="111" t="s">
        <v>62</v>
      </c>
      <c r="K205" s="121">
        <v>410.0</v>
      </c>
      <c r="L205" s="120" t="s">
        <v>63</v>
      </c>
      <c r="M205" s="120"/>
      <c r="N205" s="120"/>
      <c r="O205" s="124">
        <v>7339.0</v>
      </c>
      <c r="P205" s="124">
        <v>83.0</v>
      </c>
      <c r="Q205" s="111">
        <v>203.0</v>
      </c>
      <c r="R205" s="125">
        <v>408.0</v>
      </c>
      <c r="S205" s="126">
        <v>1.0049</v>
      </c>
      <c r="T205" s="127">
        <v>77879.74999999999</v>
      </c>
      <c r="U205" s="128">
        <f t="shared" si="2"/>
        <v>0</v>
      </c>
      <c r="V205" s="79" t="s">
        <v>67</v>
      </c>
      <c r="W205" s="79" t="s">
        <v>67</v>
      </c>
      <c r="X205" s="79" t="s">
        <v>66</v>
      </c>
      <c r="Y205" s="130">
        <v>0.8</v>
      </c>
      <c r="Z205" s="111"/>
      <c r="AA205" s="133"/>
      <c r="AB205" s="133"/>
      <c r="AC205" s="133"/>
      <c r="AD205" s="133"/>
      <c r="AE205" s="133"/>
      <c r="AF205" s="111"/>
      <c r="AG205" s="147"/>
      <c r="AH205" s="73"/>
      <c r="AI205" s="135"/>
      <c r="AJ205" s="136"/>
      <c r="AK205" s="76"/>
      <c r="AL205" s="137"/>
      <c r="AM205" s="139" t="s">
        <v>71</v>
      </c>
      <c r="AN205" s="139">
        <v>83.0</v>
      </c>
      <c r="AO205" s="140">
        <v>19.18</v>
      </c>
      <c r="AP205" s="142">
        <v>7339.0</v>
      </c>
      <c r="AQ205" s="142">
        <v>203.0</v>
      </c>
      <c r="AR205" s="143"/>
      <c r="AS205" s="144">
        <v>0.9872178872807241</v>
      </c>
      <c r="AT205" s="144">
        <v>0.017682112719275778</v>
      </c>
      <c r="AU205" s="146" t="s">
        <v>963</v>
      </c>
      <c r="AV205" s="146" t="s">
        <v>963</v>
      </c>
      <c r="AW205" s="148" t="s">
        <v>963</v>
      </c>
      <c r="AX205" s="151"/>
      <c r="AY205" s="105"/>
      <c r="AZ205" s="186"/>
      <c r="BA205" s="186"/>
      <c r="BB205" s="146"/>
      <c r="BC205" s="155"/>
      <c r="BD205" s="155"/>
      <c r="BE205" s="155"/>
      <c r="BF205" s="45"/>
    </row>
    <row r="206" ht="16.5" customHeight="1">
      <c r="A206" s="111">
        <v>203.0</v>
      </c>
      <c r="B206" s="112" t="s">
        <v>640</v>
      </c>
      <c r="C206" s="115" t="s">
        <v>60</v>
      </c>
      <c r="D206" s="117">
        <v>41927.0</v>
      </c>
      <c r="E206" s="117">
        <v>42184.0</v>
      </c>
      <c r="F206" s="79" t="s">
        <v>59</v>
      </c>
      <c r="G206" s="118">
        <v>18412.0</v>
      </c>
      <c r="H206" s="114">
        <v>71.4</v>
      </c>
      <c r="I206" s="120">
        <v>382.0</v>
      </c>
      <c r="J206" s="111" t="s">
        <v>61</v>
      </c>
      <c r="K206" s="121">
        <v>386.84</v>
      </c>
      <c r="L206" s="120" t="s">
        <v>63</v>
      </c>
      <c r="M206" s="120"/>
      <c r="N206" s="120"/>
      <c r="O206" s="124">
        <v>18412.0</v>
      </c>
      <c r="P206" s="124">
        <v>258.0</v>
      </c>
      <c r="Q206" s="111">
        <v>223.0</v>
      </c>
      <c r="R206" s="125">
        <v>399.0</v>
      </c>
      <c r="S206" s="126">
        <v>0.9695</v>
      </c>
      <c r="T206" s="127">
        <v>75136.25</v>
      </c>
      <c r="U206" s="128">
        <f t="shared" si="2"/>
        <v>0</v>
      </c>
      <c r="V206" s="79" t="s">
        <v>67</v>
      </c>
      <c r="W206" s="79" t="s">
        <v>64</v>
      </c>
      <c r="X206" s="79" t="s">
        <v>69</v>
      </c>
      <c r="Y206" s="130">
        <v>0.8</v>
      </c>
      <c r="Z206" s="111">
        <v>3.7</v>
      </c>
      <c r="AA206" s="133"/>
      <c r="AB206" s="133"/>
      <c r="AC206" s="133"/>
      <c r="AD206" s="133"/>
      <c r="AE206" s="133"/>
      <c r="AF206" s="111"/>
      <c r="AG206" s="134"/>
      <c r="AH206" s="73"/>
      <c r="AI206" s="135"/>
      <c r="AJ206" s="136"/>
      <c r="AK206" s="76"/>
      <c r="AL206" s="137"/>
      <c r="AM206" s="139" t="s">
        <v>71</v>
      </c>
      <c r="AN206" s="139">
        <v>258.0</v>
      </c>
      <c r="AO206" s="140">
        <v>53.81</v>
      </c>
      <c r="AP206" s="142">
        <v>18412.0</v>
      </c>
      <c r="AQ206" s="142">
        <v>223.0</v>
      </c>
      <c r="AR206" s="143"/>
      <c r="AS206" s="144">
        <v>0.9740434662842933</v>
      </c>
      <c r="AT206" s="144">
        <v>-0.004543466284293252</v>
      </c>
      <c r="AU206" s="146" t="s">
        <v>966</v>
      </c>
      <c r="AV206" s="146" t="s">
        <v>966</v>
      </c>
      <c r="AW206" s="148" t="s">
        <v>966</v>
      </c>
      <c r="AX206" s="151"/>
      <c r="AY206" s="105"/>
      <c r="AZ206" s="186"/>
      <c r="BA206" s="186"/>
      <c r="BB206" s="146"/>
      <c r="BC206" s="155"/>
      <c r="BD206" s="155"/>
      <c r="BE206" s="155"/>
      <c r="BF206" s="45"/>
    </row>
    <row r="207" ht="16.5" customHeight="1">
      <c r="A207" s="111">
        <v>204.0</v>
      </c>
      <c r="B207" s="112" t="s">
        <v>449</v>
      </c>
      <c r="C207" s="115" t="s">
        <v>60</v>
      </c>
      <c r="D207" s="117">
        <v>41598.0</v>
      </c>
      <c r="E207" s="117">
        <v>42183.0</v>
      </c>
      <c r="F207" s="79" t="s">
        <v>59</v>
      </c>
      <c r="G207" s="118">
        <v>80840.0</v>
      </c>
      <c r="H207" s="114">
        <v>138.0</v>
      </c>
      <c r="I207" s="120">
        <v>383.0</v>
      </c>
      <c r="J207" s="111" t="s">
        <v>62</v>
      </c>
      <c r="K207" s="121">
        <v>383.0</v>
      </c>
      <c r="L207" s="120" t="s">
        <v>63</v>
      </c>
      <c r="M207" s="120"/>
      <c r="N207" s="120"/>
      <c r="O207" s="124">
        <v>80840.0</v>
      </c>
      <c r="P207" s="124">
        <v>586.0</v>
      </c>
      <c r="Q207" s="111">
        <v>189.0</v>
      </c>
      <c r="R207" s="125">
        <v>399.0</v>
      </c>
      <c r="S207" s="126">
        <v>0.9599</v>
      </c>
      <c r="T207" s="127">
        <v>74392.25</v>
      </c>
      <c r="U207" s="128">
        <f t="shared" si="2"/>
        <v>0</v>
      </c>
      <c r="V207" s="79" t="s">
        <v>80</v>
      </c>
      <c r="W207" s="79" t="s">
        <v>64</v>
      </c>
      <c r="X207" s="79" t="s">
        <v>68</v>
      </c>
      <c r="Y207" s="130">
        <v>0.7</v>
      </c>
      <c r="Z207" s="111"/>
      <c r="AA207" s="133"/>
      <c r="AB207" s="133"/>
      <c r="AC207" s="133"/>
      <c r="AD207" s="133"/>
      <c r="AE207" s="133"/>
      <c r="AF207" s="111"/>
      <c r="AG207" s="147"/>
      <c r="AH207" s="73"/>
      <c r="AI207" s="135"/>
      <c r="AJ207" s="136"/>
      <c r="AK207" s="76"/>
      <c r="AL207" s="137"/>
      <c r="AM207" s="139" t="s">
        <v>71</v>
      </c>
      <c r="AN207" s="139">
        <v>586.0</v>
      </c>
      <c r="AO207" s="140">
        <v>201.2</v>
      </c>
      <c r="AP207" s="142">
        <v>80840.0</v>
      </c>
      <c r="AQ207" s="142">
        <v>189.0</v>
      </c>
      <c r="AR207" s="143"/>
      <c r="AS207" s="144">
        <v>0.9484793156228314</v>
      </c>
      <c r="AT207" s="144">
        <v>0.011420684377168588</v>
      </c>
      <c r="AU207" s="146" t="s">
        <v>969</v>
      </c>
      <c r="AV207" s="146" t="s">
        <v>969</v>
      </c>
      <c r="AW207" s="148" t="s">
        <v>969</v>
      </c>
      <c r="AX207" s="151"/>
      <c r="AY207" s="105"/>
      <c r="AZ207" s="186"/>
      <c r="BA207" s="186"/>
      <c r="BB207" s="146"/>
      <c r="BC207" s="155"/>
      <c r="BD207" s="155"/>
      <c r="BE207" s="155"/>
      <c r="BF207" s="45"/>
    </row>
    <row r="208" ht="16.5" customHeight="1">
      <c r="A208" s="111">
        <v>205.0</v>
      </c>
      <c r="B208" s="112" t="s">
        <v>126</v>
      </c>
      <c r="C208" s="115" t="s">
        <v>60</v>
      </c>
      <c r="D208" s="157">
        <v>41527.0</v>
      </c>
      <c r="E208" s="117">
        <v>42184.0</v>
      </c>
      <c r="F208" s="79" t="s">
        <v>79</v>
      </c>
      <c r="G208" s="118">
        <v>111000.0</v>
      </c>
      <c r="H208" s="114">
        <v>168.7</v>
      </c>
      <c r="I208" s="120">
        <v>372.0</v>
      </c>
      <c r="J208" s="111" t="s">
        <v>61</v>
      </c>
      <c r="K208" s="121">
        <v>376.71</v>
      </c>
      <c r="L208" s="120" t="s">
        <v>63</v>
      </c>
      <c r="M208" s="120"/>
      <c r="N208" s="120"/>
      <c r="O208" s="124">
        <v>111000.0</v>
      </c>
      <c r="P208" s="124">
        <v>658.0</v>
      </c>
      <c r="Q208" s="111">
        <v>218.0</v>
      </c>
      <c r="R208" s="125">
        <v>399.0</v>
      </c>
      <c r="S208" s="126">
        <v>0.9441</v>
      </c>
      <c r="T208" s="127">
        <v>73167.75</v>
      </c>
      <c r="U208" s="128">
        <f t="shared" si="2"/>
        <v>0</v>
      </c>
      <c r="V208" s="79" t="s">
        <v>65</v>
      </c>
      <c r="W208" s="79" t="s">
        <v>127</v>
      </c>
      <c r="X208" s="79" t="s">
        <v>66</v>
      </c>
      <c r="Y208" s="130">
        <v>1.0</v>
      </c>
      <c r="Z208" s="111">
        <v>22.0</v>
      </c>
      <c r="AA208" s="111">
        <v>400.0</v>
      </c>
      <c r="AB208" s="111" t="s">
        <v>62</v>
      </c>
      <c r="AC208" s="111">
        <v>372.0</v>
      </c>
      <c r="AD208" s="111">
        <v>281.0</v>
      </c>
      <c r="AE208" s="111">
        <v>17.1</v>
      </c>
      <c r="AF208" s="111" t="s">
        <v>61</v>
      </c>
      <c r="AG208" s="147" t="s">
        <v>128</v>
      </c>
      <c r="AH208" s="73">
        <v>91.0</v>
      </c>
      <c r="AI208" s="135">
        <v>92.15189873417722</v>
      </c>
      <c r="AJ208" s="136">
        <v>69.9035081043956</v>
      </c>
      <c r="AK208" s="76">
        <v>0.9019807497341368</v>
      </c>
      <c r="AL208" s="137" t="s">
        <v>976</v>
      </c>
      <c r="AM208" s="139">
        <v>400.0</v>
      </c>
      <c r="AN208" s="139">
        <v>658.0</v>
      </c>
      <c r="AO208" s="140">
        <v>321.24</v>
      </c>
      <c r="AP208" s="142">
        <v>111000.0</v>
      </c>
      <c r="AQ208" s="142">
        <v>218.0</v>
      </c>
      <c r="AR208" s="143"/>
      <c r="AS208" s="144">
        <v>0.9430986135190931</v>
      </c>
      <c r="AT208" s="144">
        <v>0.001001386480906974</v>
      </c>
      <c r="AU208" s="146" t="s">
        <v>978</v>
      </c>
      <c r="AV208" s="146" t="s">
        <v>978</v>
      </c>
      <c r="AW208" s="148" t="s">
        <v>978</v>
      </c>
      <c r="AX208" s="151"/>
      <c r="AY208" s="105"/>
      <c r="AZ208" s="186"/>
      <c r="BA208" s="186"/>
      <c r="BB208" s="146"/>
      <c r="BC208" s="155"/>
      <c r="BD208" s="155"/>
      <c r="BE208" s="155"/>
      <c r="BF208" s="45"/>
    </row>
    <row r="209" ht="16.5" customHeight="1">
      <c r="A209" s="111">
        <v>206.0</v>
      </c>
      <c r="B209" s="112" t="s">
        <v>980</v>
      </c>
      <c r="C209" s="115" t="s">
        <v>60</v>
      </c>
      <c r="D209" s="117">
        <v>42143.0</v>
      </c>
      <c r="E209" s="117">
        <v>42181.0</v>
      </c>
      <c r="F209" s="79" t="s">
        <v>109</v>
      </c>
      <c r="G209" s="118">
        <v>2300.0</v>
      </c>
      <c r="H209" s="114">
        <v>59.0</v>
      </c>
      <c r="I209" s="120">
        <v>286.0</v>
      </c>
      <c r="J209" s="111" t="s">
        <v>61</v>
      </c>
      <c r="K209" s="121">
        <v>289.62</v>
      </c>
      <c r="L209" s="120" t="s">
        <v>63</v>
      </c>
      <c r="M209" s="120"/>
      <c r="N209" s="120"/>
      <c r="O209" s="124">
        <v>2300.0</v>
      </c>
      <c r="P209" s="124">
        <v>39.0</v>
      </c>
      <c r="Q209" s="111">
        <v>200.0</v>
      </c>
      <c r="R209" s="125">
        <v>289.0</v>
      </c>
      <c r="S209" s="126">
        <v>1.0021</v>
      </c>
      <c r="T209" s="127">
        <v>58622.85</v>
      </c>
      <c r="U209" s="128">
        <f t="shared" si="2"/>
        <v>0</v>
      </c>
      <c r="V209" s="79" t="s">
        <v>64</v>
      </c>
      <c r="W209" s="79" t="s">
        <v>64</v>
      </c>
      <c r="X209" s="79" t="s">
        <v>68</v>
      </c>
      <c r="Y209" s="130">
        <v>0.8</v>
      </c>
      <c r="Z209" s="111"/>
      <c r="AA209" s="183"/>
      <c r="AB209" s="133"/>
      <c r="AC209" s="133"/>
      <c r="AD209" s="133"/>
      <c r="AE209" s="133"/>
      <c r="AF209" s="111"/>
      <c r="AG209" s="147"/>
      <c r="AH209" s="73"/>
      <c r="AI209" s="135"/>
      <c r="AJ209" s="136"/>
      <c r="AK209" s="76"/>
      <c r="AL209" s="137"/>
      <c r="AM209" s="139" t="s">
        <v>71</v>
      </c>
      <c r="AN209" s="139">
        <v>39.0</v>
      </c>
      <c r="AO209" s="140">
        <v>7.86</v>
      </c>
      <c r="AP209" s="142">
        <v>2300.0</v>
      </c>
      <c r="AQ209" s="142">
        <v>200.0</v>
      </c>
      <c r="AR209" s="143"/>
      <c r="AS209" s="144">
        <v>0.9955524443590704</v>
      </c>
      <c r="AT209" s="144">
        <v>0.00654755564092957</v>
      </c>
      <c r="AU209" s="146" t="s">
        <v>989</v>
      </c>
      <c r="AV209" s="146" t="s">
        <v>989</v>
      </c>
      <c r="AW209" s="148" t="s">
        <v>989</v>
      </c>
      <c r="AX209" s="151"/>
      <c r="AY209" s="105"/>
      <c r="AZ209" s="186"/>
      <c r="BA209" s="186"/>
      <c r="BB209" s="146"/>
      <c r="BC209" s="155"/>
      <c r="BD209" s="155"/>
      <c r="BE209" s="155"/>
      <c r="BF209" s="45"/>
    </row>
    <row r="210" ht="16.5" customHeight="1">
      <c r="A210" s="111">
        <v>207.0</v>
      </c>
      <c r="B210" s="112" t="s">
        <v>376</v>
      </c>
      <c r="C210" s="115" t="s">
        <v>60</v>
      </c>
      <c r="D210" s="117">
        <v>41600.0</v>
      </c>
      <c r="E210" s="117">
        <v>42192.0</v>
      </c>
      <c r="F210" s="79" t="s">
        <v>59</v>
      </c>
      <c r="G210" s="118">
        <v>63372.0</v>
      </c>
      <c r="H210" s="114">
        <v>106.9</v>
      </c>
      <c r="I210" s="120">
        <v>375.0</v>
      </c>
      <c r="J210" s="111" t="s">
        <v>62</v>
      </c>
      <c r="K210" s="121">
        <v>375.0</v>
      </c>
      <c r="L210" s="120" t="s">
        <v>63</v>
      </c>
      <c r="M210" s="120"/>
      <c r="N210" s="120"/>
      <c r="O210" s="124">
        <v>63372.0</v>
      </c>
      <c r="P210" s="124">
        <v>593.0</v>
      </c>
      <c r="Q210" s="111">
        <v>203.0</v>
      </c>
      <c r="R210" s="125">
        <v>399.0</v>
      </c>
      <c r="S210" s="126">
        <v>0.9398</v>
      </c>
      <c r="T210" s="127">
        <v>72834.5</v>
      </c>
      <c r="U210" s="128">
        <f t="shared" si="2"/>
        <v>0</v>
      </c>
      <c r="V210" s="79" t="s">
        <v>69</v>
      </c>
      <c r="W210" s="79" t="s">
        <v>69</v>
      </c>
      <c r="X210" s="79" t="s">
        <v>68</v>
      </c>
      <c r="Y210" s="130">
        <v>0.9</v>
      </c>
      <c r="Z210" s="111"/>
      <c r="AA210" s="111">
        <v>383.0</v>
      </c>
      <c r="AB210" s="111" t="s">
        <v>61</v>
      </c>
      <c r="AC210" s="111">
        <v>335.0</v>
      </c>
      <c r="AD210" s="111">
        <v>283.0</v>
      </c>
      <c r="AE210" s="111">
        <v>9.7</v>
      </c>
      <c r="AF210" s="111" t="s">
        <v>62</v>
      </c>
      <c r="AG210" s="147"/>
      <c r="AH210" s="73">
        <v>52.0</v>
      </c>
      <c r="AI210" s="135">
        <v>52.0</v>
      </c>
      <c r="AJ210" s="136">
        <v>69.95192307692307</v>
      </c>
      <c r="AK210" s="76">
        <v>0.9026054590570718</v>
      </c>
      <c r="AL210" s="137" t="s">
        <v>997</v>
      </c>
      <c r="AM210" s="139">
        <v>388.0</v>
      </c>
      <c r="AN210" s="139">
        <v>593.0</v>
      </c>
      <c r="AO210" s="140">
        <v>171.17</v>
      </c>
      <c r="AP210" s="142">
        <v>63372.0</v>
      </c>
      <c r="AQ210" s="142">
        <v>203.0</v>
      </c>
      <c r="AR210" s="143"/>
      <c r="AS210" s="144">
        <v>0.952333045934814</v>
      </c>
      <c r="AT210" s="144">
        <v>-0.01253304593481408</v>
      </c>
      <c r="AU210" s="146" t="s">
        <v>998</v>
      </c>
      <c r="AV210" s="146" t="s">
        <v>998</v>
      </c>
      <c r="AW210" s="148" t="s">
        <v>998</v>
      </c>
      <c r="AX210" s="151"/>
      <c r="AY210" s="105"/>
      <c r="AZ210" s="186"/>
      <c r="BA210" s="186"/>
      <c r="BB210" s="146"/>
      <c r="BC210" s="155"/>
      <c r="BD210" s="155"/>
      <c r="BE210" s="155"/>
      <c r="BF210" s="45"/>
    </row>
    <row r="211" ht="16.5" customHeight="1">
      <c r="A211" s="111">
        <v>208.0</v>
      </c>
      <c r="B211" s="112" t="s">
        <v>1001</v>
      </c>
      <c r="C211" s="115" t="s">
        <v>60</v>
      </c>
      <c r="D211" s="117">
        <v>41984.0</v>
      </c>
      <c r="E211" s="117">
        <v>42196.0</v>
      </c>
      <c r="F211" s="79" t="s">
        <v>59</v>
      </c>
      <c r="G211" s="118">
        <v>48500.0</v>
      </c>
      <c r="H211" s="114">
        <v>227.7</v>
      </c>
      <c r="I211" s="120">
        <v>385.0</v>
      </c>
      <c r="J211" s="111" t="s">
        <v>62</v>
      </c>
      <c r="K211" s="121">
        <v>385.0</v>
      </c>
      <c r="L211" s="120" t="s">
        <v>63</v>
      </c>
      <c r="M211" s="120"/>
      <c r="N211" s="120"/>
      <c r="O211" s="124">
        <v>48500.0</v>
      </c>
      <c r="P211" s="124">
        <v>213.0</v>
      </c>
      <c r="Q211" s="111">
        <v>225.0</v>
      </c>
      <c r="R211" s="125">
        <v>399.0</v>
      </c>
      <c r="S211" s="126">
        <v>0.9649</v>
      </c>
      <c r="T211" s="127">
        <v>74779.75</v>
      </c>
      <c r="U211" s="128">
        <f t="shared" si="2"/>
        <v>0</v>
      </c>
      <c r="V211" s="79" t="s">
        <v>127</v>
      </c>
      <c r="W211" s="79" t="s">
        <v>65</v>
      </c>
      <c r="X211" s="79" t="s">
        <v>66</v>
      </c>
      <c r="Y211" s="130">
        <v>0.8</v>
      </c>
      <c r="Z211" s="111"/>
      <c r="AA211" s="111">
        <v>396.0</v>
      </c>
      <c r="AB211" s="111" t="s">
        <v>62</v>
      </c>
      <c r="AC211" s="111">
        <v>345.0</v>
      </c>
      <c r="AD211" s="111">
        <v>215.0</v>
      </c>
      <c r="AE211" s="133"/>
      <c r="AF211" s="111" t="s">
        <v>62</v>
      </c>
      <c r="AG211" s="147"/>
      <c r="AH211" s="73" t="s">
        <v>74</v>
      </c>
      <c r="AI211" s="135"/>
      <c r="AJ211" s="136"/>
      <c r="AK211" s="76"/>
      <c r="AL211" s="137"/>
      <c r="AM211" s="139">
        <v>396.0</v>
      </c>
      <c r="AN211" s="139">
        <v>213.0</v>
      </c>
      <c r="AO211" s="140">
        <v>143.33</v>
      </c>
      <c r="AP211" s="142">
        <v>48500.0</v>
      </c>
      <c r="AQ211" s="142">
        <v>225.0</v>
      </c>
      <c r="AR211" s="143"/>
      <c r="AS211" s="144">
        <v>0.9566924203742314</v>
      </c>
      <c r="AT211" s="144">
        <v>0.008207579625768568</v>
      </c>
      <c r="AU211" s="146" t="s">
        <v>1010</v>
      </c>
      <c r="AV211" s="146" t="s">
        <v>1010</v>
      </c>
      <c r="AW211" s="148" t="s">
        <v>1010</v>
      </c>
      <c r="AX211" s="151"/>
      <c r="AY211" s="105"/>
      <c r="AZ211" s="186"/>
      <c r="BA211" s="186"/>
      <c r="BB211" s="146"/>
      <c r="BC211" s="155"/>
      <c r="BD211" s="155"/>
      <c r="BE211" s="155"/>
      <c r="BF211" s="45"/>
    </row>
    <row r="212" ht="16.5" customHeight="1">
      <c r="A212" s="111">
        <v>209.0</v>
      </c>
      <c r="B212" s="112" t="s">
        <v>1013</v>
      </c>
      <c r="C212" s="115" t="s">
        <v>60</v>
      </c>
      <c r="D212" s="117">
        <v>41814.0</v>
      </c>
      <c r="E212" s="117">
        <v>42204.0</v>
      </c>
      <c r="F212" s="79" t="s">
        <v>59</v>
      </c>
      <c r="G212" s="118">
        <v>52221.0</v>
      </c>
      <c r="H212" s="114">
        <v>133.6</v>
      </c>
      <c r="I212" s="120">
        <v>382.0</v>
      </c>
      <c r="J212" s="111" t="s">
        <v>62</v>
      </c>
      <c r="K212" s="121">
        <v>382.0</v>
      </c>
      <c r="L212" s="120" t="s">
        <v>63</v>
      </c>
      <c r="M212" s="120"/>
      <c r="N212" s="120"/>
      <c r="O212" s="124">
        <v>52221.0</v>
      </c>
      <c r="P212" s="124">
        <v>391.0</v>
      </c>
      <c r="Q212" s="111">
        <v>225.0</v>
      </c>
      <c r="R212" s="125">
        <v>399.0</v>
      </c>
      <c r="S212" s="126">
        <v>0.9574</v>
      </c>
      <c r="T212" s="127">
        <v>74198.5</v>
      </c>
      <c r="U212" s="128">
        <f t="shared" si="2"/>
        <v>0</v>
      </c>
      <c r="V212" s="79" t="s">
        <v>64</v>
      </c>
      <c r="W212" s="79" t="s">
        <v>69</v>
      </c>
      <c r="X212" s="79" t="s">
        <v>66</v>
      </c>
      <c r="Y212" s="130">
        <v>0.9</v>
      </c>
      <c r="Z212" s="111">
        <v>17.25</v>
      </c>
      <c r="AA212" s="111">
        <v>398.0</v>
      </c>
      <c r="AB212" s="111" t="s">
        <v>62</v>
      </c>
      <c r="AC212" s="133"/>
      <c r="AD212" s="133"/>
      <c r="AE212" s="133"/>
      <c r="AF212" s="111"/>
      <c r="AG212" s="147"/>
      <c r="AH212" s="73"/>
      <c r="AI212" s="135"/>
      <c r="AJ212" s="136"/>
      <c r="AK212" s="76"/>
      <c r="AL212" s="137"/>
      <c r="AM212" s="139">
        <v>398.0</v>
      </c>
      <c r="AN212" s="139">
        <v>391.0</v>
      </c>
      <c r="AO212" s="140">
        <v>154.93</v>
      </c>
      <c r="AP212" s="142">
        <v>52221.0</v>
      </c>
      <c r="AQ212" s="142">
        <v>225.0</v>
      </c>
      <c r="AR212" s="143"/>
      <c r="AS212" s="144">
        <v>0.9554611113229745</v>
      </c>
      <c r="AT212" s="144">
        <v>0.0019388886770255187</v>
      </c>
      <c r="AU212" s="146" t="s">
        <v>1022</v>
      </c>
      <c r="AV212" s="146" t="s">
        <v>1022</v>
      </c>
      <c r="AW212" s="148" t="s">
        <v>1022</v>
      </c>
      <c r="AX212" s="151"/>
      <c r="AY212" s="105"/>
      <c r="AZ212" s="186"/>
      <c r="BA212" s="186"/>
      <c r="BB212" s="146"/>
      <c r="BC212" s="155"/>
      <c r="BD212" s="155"/>
      <c r="BE212" s="155"/>
      <c r="BF212" s="45"/>
    </row>
    <row r="213" ht="16.5" customHeight="1">
      <c r="A213" s="111">
        <v>210.0</v>
      </c>
      <c r="B213" s="112" t="s">
        <v>126</v>
      </c>
      <c r="C213" s="115" t="s">
        <v>60</v>
      </c>
      <c r="D213" s="157">
        <v>41527.0</v>
      </c>
      <c r="E213" s="117">
        <v>42214.0</v>
      </c>
      <c r="F213" s="79" t="s">
        <v>79</v>
      </c>
      <c r="G213" s="118">
        <v>120000.0</v>
      </c>
      <c r="H213" s="114">
        <v>174.4</v>
      </c>
      <c r="I213" s="120">
        <v>372.0</v>
      </c>
      <c r="J213" s="111" t="s">
        <v>61</v>
      </c>
      <c r="K213" s="121">
        <v>376.71</v>
      </c>
      <c r="L213" s="120" t="s">
        <v>63</v>
      </c>
      <c r="M213" s="120"/>
      <c r="N213" s="120"/>
      <c r="O213" s="124">
        <v>120000.0</v>
      </c>
      <c r="P213" s="124">
        <v>688.0</v>
      </c>
      <c r="Q213" s="111">
        <v>218.0</v>
      </c>
      <c r="R213" s="125">
        <v>399.0</v>
      </c>
      <c r="S213" s="126">
        <v>0.9441</v>
      </c>
      <c r="T213" s="127">
        <v>73167.75</v>
      </c>
      <c r="U213" s="128">
        <f t="shared" si="2"/>
        <v>0</v>
      </c>
      <c r="V213" s="79" t="s">
        <v>65</v>
      </c>
      <c r="W213" s="79" t="s">
        <v>127</v>
      </c>
      <c r="X213" s="79" t="s">
        <v>66</v>
      </c>
      <c r="Y213" s="130">
        <v>1.0</v>
      </c>
      <c r="Z213" s="111">
        <v>22.0</v>
      </c>
      <c r="AA213" s="111">
        <v>400.0</v>
      </c>
      <c r="AB213" s="111" t="s">
        <v>62</v>
      </c>
      <c r="AC213" s="111">
        <v>370.0</v>
      </c>
      <c r="AD213" s="111">
        <v>270.0</v>
      </c>
      <c r="AE213" s="111">
        <v>18.7</v>
      </c>
      <c r="AF213" s="111" t="s">
        <v>61</v>
      </c>
      <c r="AG213" s="147" t="s">
        <v>128</v>
      </c>
      <c r="AH213" s="73">
        <v>100.0</v>
      </c>
      <c r="AI213" s="135">
        <v>101.26582278481013</v>
      </c>
      <c r="AJ213" s="136">
        <v>69.56421037499999</v>
      </c>
      <c r="AK213" s="76">
        <v>0.8976027145161288</v>
      </c>
      <c r="AL213" s="137" t="s">
        <v>1030</v>
      </c>
      <c r="AM213" s="139">
        <v>400.0</v>
      </c>
      <c r="AN213" s="139">
        <v>688.0</v>
      </c>
      <c r="AO213" s="140">
        <v>347.28</v>
      </c>
      <c r="AP213" s="142">
        <v>120000.0</v>
      </c>
      <c r="AQ213" s="142">
        <v>218.0</v>
      </c>
      <c r="AR213" s="143"/>
      <c r="AS213" s="144">
        <v>0.9416185630516702</v>
      </c>
      <c r="AT213" s="144">
        <v>0.002481436948329807</v>
      </c>
      <c r="AU213" s="146" t="s">
        <v>1033</v>
      </c>
      <c r="AV213" s="146" t="s">
        <v>1033</v>
      </c>
      <c r="AW213" s="148" t="s">
        <v>1033</v>
      </c>
      <c r="AX213" s="151"/>
      <c r="AY213" s="105"/>
      <c r="AZ213" s="186"/>
      <c r="BA213" s="186"/>
      <c r="BB213" s="146"/>
      <c r="BC213" s="155"/>
      <c r="BD213" s="155"/>
      <c r="BE213" s="155"/>
      <c r="BF213" s="45"/>
    </row>
    <row r="214" ht="16.5" customHeight="1">
      <c r="A214" s="111">
        <v>211.0</v>
      </c>
      <c r="B214" s="112" t="s">
        <v>761</v>
      </c>
      <c r="C214" s="115" t="s">
        <v>60</v>
      </c>
      <c r="D214" s="117">
        <v>42097.0</v>
      </c>
      <c r="E214" s="117">
        <v>42215.0</v>
      </c>
      <c r="F214" s="79" t="s">
        <v>90</v>
      </c>
      <c r="G214" s="118">
        <v>11053.0</v>
      </c>
      <c r="H214" s="114">
        <v>92.9</v>
      </c>
      <c r="I214" s="120">
        <v>396.0</v>
      </c>
      <c r="J214" s="111" t="s">
        <v>62</v>
      </c>
      <c r="K214" s="121">
        <v>396.0</v>
      </c>
      <c r="L214" s="120" t="s">
        <v>63</v>
      </c>
      <c r="M214" s="120"/>
      <c r="N214" s="120"/>
      <c r="O214" s="124">
        <v>11053.0</v>
      </c>
      <c r="P214" s="124">
        <v>119.0</v>
      </c>
      <c r="Q214" s="111">
        <v>237.0</v>
      </c>
      <c r="R214" s="125">
        <v>408.0</v>
      </c>
      <c r="S214" s="126">
        <v>0.9706</v>
      </c>
      <c r="T214" s="127">
        <v>75221.5</v>
      </c>
      <c r="U214" s="128">
        <f t="shared" si="2"/>
        <v>0</v>
      </c>
      <c r="V214" s="79" t="s">
        <v>65</v>
      </c>
      <c r="W214" s="79" t="s">
        <v>65</v>
      </c>
      <c r="X214" s="79" t="s">
        <v>68</v>
      </c>
      <c r="Y214" s="130">
        <v>0.7</v>
      </c>
      <c r="Z214" s="111">
        <v>11.0</v>
      </c>
      <c r="AA214" s="111">
        <v>406.0</v>
      </c>
      <c r="AB214" s="111" t="s">
        <v>62</v>
      </c>
      <c r="AC214" s="111">
        <v>396.0</v>
      </c>
      <c r="AD214" s="111">
        <v>201.0</v>
      </c>
      <c r="AE214" s="111">
        <v>36.9</v>
      </c>
      <c r="AF214" s="111" t="s">
        <v>61</v>
      </c>
      <c r="AG214" s="134" t="s">
        <v>763</v>
      </c>
      <c r="AH214" s="73">
        <v>195.0</v>
      </c>
      <c r="AI214" s="135">
        <v>197.46835443037975</v>
      </c>
      <c r="AJ214" s="136">
        <v>73.99869230769231</v>
      </c>
      <c r="AK214" s="76">
        <v>0.9548218362282879</v>
      </c>
      <c r="AL214" s="137" t="s">
        <v>1047</v>
      </c>
      <c r="AM214" s="139">
        <v>406.0</v>
      </c>
      <c r="AN214" s="139">
        <v>119.0</v>
      </c>
      <c r="AO214" s="140">
        <v>34.31</v>
      </c>
      <c r="AP214" s="142">
        <v>11053.0</v>
      </c>
      <c r="AQ214" s="142">
        <v>237.0</v>
      </c>
      <c r="AR214" s="143"/>
      <c r="AS214" s="144">
        <v>0.9821172796434468</v>
      </c>
      <c r="AT214" s="144">
        <v>-0.011517279643446732</v>
      </c>
      <c r="AU214" s="146" t="s">
        <v>1049</v>
      </c>
      <c r="AV214" s="146" t="s">
        <v>1049</v>
      </c>
      <c r="AW214" s="148" t="s">
        <v>1049</v>
      </c>
      <c r="AX214" s="151"/>
      <c r="AY214" s="105"/>
      <c r="AZ214" s="186"/>
      <c r="BA214" s="186"/>
      <c r="BB214" s="146"/>
      <c r="BC214" s="155"/>
      <c r="BD214" s="155"/>
      <c r="BE214" s="155"/>
      <c r="BF214" s="45"/>
    </row>
    <row r="215" ht="16.5" customHeight="1">
      <c r="A215" s="111">
        <v>212.0</v>
      </c>
      <c r="B215" s="112" t="s">
        <v>717</v>
      </c>
      <c r="C215" s="115" t="s">
        <v>60</v>
      </c>
      <c r="D215" s="117">
        <v>42093.0</v>
      </c>
      <c r="E215" s="117">
        <v>42218.0</v>
      </c>
      <c r="F215" s="79" t="s">
        <v>90</v>
      </c>
      <c r="G215" s="118">
        <v>9484.0</v>
      </c>
      <c r="H215" s="114">
        <v>75.3</v>
      </c>
      <c r="I215" s="120">
        <v>409.0</v>
      </c>
      <c r="J215" s="111" t="s">
        <v>62</v>
      </c>
      <c r="K215" s="121">
        <v>409.0</v>
      </c>
      <c r="L215" s="120" t="s">
        <v>63</v>
      </c>
      <c r="M215" s="120"/>
      <c r="N215" s="120"/>
      <c r="O215" s="124">
        <v>9484.0</v>
      </c>
      <c r="P215" s="124">
        <v>126.0</v>
      </c>
      <c r="Q215" s="111">
        <v>200.0</v>
      </c>
      <c r="R215" s="125">
        <v>408.0</v>
      </c>
      <c r="S215" s="126">
        <v>1.0025</v>
      </c>
      <c r="T215" s="127">
        <v>77693.75</v>
      </c>
      <c r="U215" s="128">
        <f t="shared" si="2"/>
        <v>0</v>
      </c>
      <c r="V215" s="79" t="s">
        <v>65</v>
      </c>
      <c r="W215" s="79" t="s">
        <v>64</v>
      </c>
      <c r="X215" s="79" t="s">
        <v>66</v>
      </c>
      <c r="Y215" s="130">
        <v>0.8</v>
      </c>
      <c r="Z215" s="111">
        <v>11.0</v>
      </c>
      <c r="AA215" s="111">
        <v>404.0</v>
      </c>
      <c r="AB215" s="111" t="s">
        <v>61</v>
      </c>
      <c r="AC215" s="111">
        <v>409.0</v>
      </c>
      <c r="AD215" s="111">
        <v>345.0</v>
      </c>
      <c r="AE215" s="111">
        <v>12.1</v>
      </c>
      <c r="AF215" s="111" t="s">
        <v>62</v>
      </c>
      <c r="AG215" s="147"/>
      <c r="AH215" s="73">
        <v>64.0</v>
      </c>
      <c r="AI215" s="135">
        <v>64.0</v>
      </c>
      <c r="AJ215" s="136">
        <v>77.3265625</v>
      </c>
      <c r="AK215" s="76">
        <v>0.9977620967741936</v>
      </c>
      <c r="AL215" s="137" t="s">
        <v>1059</v>
      </c>
      <c r="AM215" s="139">
        <v>409.0</v>
      </c>
      <c r="AN215" s="139">
        <v>126.0</v>
      </c>
      <c r="AO215" s="140">
        <v>24.45</v>
      </c>
      <c r="AP215" s="142">
        <v>9484.0</v>
      </c>
      <c r="AQ215" s="142">
        <v>200.0</v>
      </c>
      <c r="AR215" s="143"/>
      <c r="AS215" s="144">
        <v>0.9841759551531983</v>
      </c>
      <c r="AT215" s="144">
        <v>0.018324044846801613</v>
      </c>
      <c r="AU215" s="146" t="s">
        <v>1061</v>
      </c>
      <c r="AV215" s="146" t="s">
        <v>1061</v>
      </c>
      <c r="AW215" s="148" t="s">
        <v>1061</v>
      </c>
      <c r="AX215" s="151"/>
      <c r="AY215" s="105"/>
      <c r="AZ215" s="186"/>
      <c r="BA215" s="186"/>
      <c r="BB215" s="146"/>
      <c r="BC215" s="155"/>
      <c r="BD215" s="155"/>
      <c r="BE215" s="155"/>
      <c r="BF215" s="45"/>
    </row>
    <row r="216" ht="16.5" customHeight="1">
      <c r="A216" s="111">
        <v>213.0</v>
      </c>
      <c r="B216" s="112" t="s">
        <v>1063</v>
      </c>
      <c r="C216" s="115" t="s">
        <v>60</v>
      </c>
      <c r="D216" s="117">
        <v>41331.0</v>
      </c>
      <c r="E216" s="117">
        <v>42216.0</v>
      </c>
      <c r="F216" s="79" t="s">
        <v>79</v>
      </c>
      <c r="G216" s="118">
        <v>63067.0</v>
      </c>
      <c r="H216" s="114">
        <v>71.2</v>
      </c>
      <c r="I216" s="120">
        <v>379.0</v>
      </c>
      <c r="J216" s="111" t="s">
        <v>61</v>
      </c>
      <c r="K216" s="121">
        <v>383.8</v>
      </c>
      <c r="L216" s="120" t="s">
        <v>63</v>
      </c>
      <c r="M216" s="120"/>
      <c r="N216" s="120"/>
      <c r="O216" s="124">
        <v>63067.0</v>
      </c>
      <c r="P216" s="124">
        <v>886.0</v>
      </c>
      <c r="Q216" s="111">
        <v>200.0</v>
      </c>
      <c r="R216" s="125">
        <v>399.0</v>
      </c>
      <c r="S216" s="126">
        <v>0.9619</v>
      </c>
      <c r="T216" s="127">
        <v>74547.25</v>
      </c>
      <c r="U216" s="128">
        <f t="shared" si="2"/>
        <v>0</v>
      </c>
      <c r="V216" s="79" t="s">
        <v>68</v>
      </c>
      <c r="W216" s="79"/>
      <c r="X216" s="79"/>
      <c r="Y216" s="130"/>
      <c r="Z216" s="111"/>
      <c r="AA216" s="133"/>
      <c r="AB216" s="133"/>
      <c r="AC216" s="133"/>
      <c r="AD216" s="133"/>
      <c r="AE216" s="133"/>
      <c r="AF216" s="111"/>
      <c r="AG216" s="134" t="s">
        <v>1068</v>
      </c>
      <c r="AH216" s="73"/>
      <c r="AI216" s="135"/>
      <c r="AJ216" s="136"/>
      <c r="AK216" s="76"/>
      <c r="AL216" s="137"/>
      <c r="AM216" s="139" t="s">
        <v>71</v>
      </c>
      <c r="AN216" s="139">
        <v>886.0</v>
      </c>
      <c r="AO216" s="140">
        <v>165.95</v>
      </c>
      <c r="AP216" s="142">
        <v>63067.0</v>
      </c>
      <c r="AQ216" s="142">
        <v>200.0</v>
      </c>
      <c r="AR216" s="143"/>
      <c r="AS216" s="144">
        <v>0.9524097188992616</v>
      </c>
      <c r="AT216" s="144">
        <v>0.009490281100738351</v>
      </c>
      <c r="AU216" s="146" t="s">
        <v>1070</v>
      </c>
      <c r="AV216" s="146" t="s">
        <v>1070</v>
      </c>
      <c r="AW216" s="148" t="s">
        <v>1070</v>
      </c>
      <c r="AX216" s="151"/>
      <c r="AY216" s="105"/>
      <c r="AZ216" s="186"/>
      <c r="BA216" s="186"/>
      <c r="BB216" s="146"/>
      <c r="BC216" s="155"/>
      <c r="BD216" s="155"/>
      <c r="BE216" s="155"/>
      <c r="BF216" s="45"/>
    </row>
    <row r="217" ht="16.5" customHeight="1">
      <c r="A217" s="111">
        <v>214.0</v>
      </c>
      <c r="B217" s="112" t="s">
        <v>201</v>
      </c>
      <c r="C217" s="115" t="s">
        <v>60</v>
      </c>
      <c r="D217" s="117">
        <v>41724.0</v>
      </c>
      <c r="E217" s="117">
        <v>42217.0</v>
      </c>
      <c r="F217" s="79" t="s">
        <v>79</v>
      </c>
      <c r="G217" s="118">
        <v>41924.0</v>
      </c>
      <c r="H217" s="114">
        <v>84.9</v>
      </c>
      <c r="I217" s="120">
        <v>384.0</v>
      </c>
      <c r="J217" s="111" t="s">
        <v>62</v>
      </c>
      <c r="K217" s="121">
        <v>384.0</v>
      </c>
      <c r="L217" s="120" t="s">
        <v>63</v>
      </c>
      <c r="M217" s="120"/>
      <c r="N217" s="120"/>
      <c r="O217" s="124">
        <v>41924.0</v>
      </c>
      <c r="P217" s="124">
        <v>494.0</v>
      </c>
      <c r="Q217" s="111">
        <v>171.0</v>
      </c>
      <c r="R217" s="125">
        <v>399.0</v>
      </c>
      <c r="S217" s="126">
        <v>0.9624</v>
      </c>
      <c r="T217" s="127">
        <v>74586.0</v>
      </c>
      <c r="U217" s="128">
        <f t="shared" si="2"/>
        <v>0</v>
      </c>
      <c r="V217" s="79" t="s">
        <v>65</v>
      </c>
      <c r="W217" s="79" t="s">
        <v>69</v>
      </c>
      <c r="X217" s="79" t="s">
        <v>68</v>
      </c>
      <c r="Y217" s="130">
        <v>0.8</v>
      </c>
      <c r="Z217" s="111"/>
      <c r="AA217" s="133"/>
      <c r="AB217" s="133"/>
      <c r="AC217" s="133"/>
      <c r="AD217" s="133"/>
      <c r="AE217" s="133"/>
      <c r="AF217" s="111"/>
      <c r="AG217" s="134" t="s">
        <v>111</v>
      </c>
      <c r="AH217" s="73"/>
      <c r="AI217" s="135"/>
      <c r="AJ217" s="136"/>
      <c r="AK217" s="76"/>
      <c r="AL217" s="137"/>
      <c r="AM217" s="139" t="s">
        <v>71</v>
      </c>
      <c r="AN217" s="139">
        <v>494.0</v>
      </c>
      <c r="AO217" s="140">
        <v>94.3</v>
      </c>
      <c r="AP217" s="142">
        <v>41924.0</v>
      </c>
      <c r="AQ217" s="142">
        <v>171.0</v>
      </c>
      <c r="AR217" s="143"/>
      <c r="AS217" s="144">
        <v>0.959188059458445</v>
      </c>
      <c r="AT217" s="144">
        <v>0.0032119405415550473</v>
      </c>
      <c r="AU217" s="146" t="s">
        <v>1073</v>
      </c>
      <c r="AV217" s="146" t="s">
        <v>1073</v>
      </c>
      <c r="AW217" s="148" t="s">
        <v>1073</v>
      </c>
      <c r="AX217" s="151"/>
      <c r="AY217" s="105"/>
      <c r="AZ217" s="186"/>
      <c r="BA217" s="186"/>
      <c r="BB217" s="146"/>
      <c r="BC217" s="155"/>
      <c r="BD217" s="155"/>
      <c r="BE217" s="155"/>
      <c r="BF217" s="45"/>
    </row>
    <row r="218" ht="16.5" customHeight="1">
      <c r="A218" s="111">
        <v>215.0</v>
      </c>
      <c r="B218" s="112" t="s">
        <v>640</v>
      </c>
      <c r="C218" s="115" t="s">
        <v>60</v>
      </c>
      <c r="D218" s="117">
        <v>41927.0</v>
      </c>
      <c r="E218" s="117">
        <v>42224.0</v>
      </c>
      <c r="F218" s="79" t="s">
        <v>59</v>
      </c>
      <c r="G218" s="118">
        <v>25412.0</v>
      </c>
      <c r="H218" s="114">
        <v>85.3</v>
      </c>
      <c r="I218" s="120">
        <v>381.0</v>
      </c>
      <c r="J218" s="111" t="s">
        <v>61</v>
      </c>
      <c r="K218" s="121">
        <v>385.82</v>
      </c>
      <c r="L218" s="120" t="s">
        <v>63</v>
      </c>
      <c r="M218" s="120"/>
      <c r="N218" s="120"/>
      <c r="O218" s="124">
        <v>25412.0</v>
      </c>
      <c r="P218" s="124">
        <v>298.0</v>
      </c>
      <c r="Q218" s="111">
        <v>220.0</v>
      </c>
      <c r="R218" s="125">
        <v>399.0</v>
      </c>
      <c r="S218" s="126">
        <v>0.967</v>
      </c>
      <c r="T218" s="127">
        <v>74942.5</v>
      </c>
      <c r="U218" s="128">
        <f t="shared" si="2"/>
        <v>0</v>
      </c>
      <c r="V218" s="79" t="s">
        <v>67</v>
      </c>
      <c r="W218" s="79" t="s">
        <v>64</v>
      </c>
      <c r="X218" s="79" t="s">
        <v>69</v>
      </c>
      <c r="Y218" s="130">
        <v>0.9</v>
      </c>
      <c r="Z218" s="111">
        <v>3.7</v>
      </c>
      <c r="AA218" s="111">
        <v>393.0</v>
      </c>
      <c r="AB218" s="111" t="s">
        <v>61</v>
      </c>
      <c r="AC218" s="111"/>
      <c r="AD218" s="133"/>
      <c r="AE218" s="133"/>
      <c r="AF218" s="111"/>
      <c r="AG218" s="147"/>
      <c r="AH218" s="73"/>
      <c r="AI218" s="135"/>
      <c r="AJ218" s="136"/>
      <c r="AK218" s="76"/>
      <c r="AL218" s="137"/>
      <c r="AM218" s="139">
        <v>398.0</v>
      </c>
      <c r="AN218" s="139">
        <v>298.0</v>
      </c>
      <c r="AO218" s="140">
        <v>73.36</v>
      </c>
      <c r="AP218" s="142">
        <v>25412.0</v>
      </c>
      <c r="AQ218" s="142">
        <v>220.0</v>
      </c>
      <c r="AR218" s="143"/>
      <c r="AS218" s="144">
        <v>0.9682576594111378</v>
      </c>
      <c r="AT218" s="144">
        <v>-0.001257659411137868</v>
      </c>
      <c r="AU218" s="146" t="s">
        <v>1075</v>
      </c>
      <c r="AV218" s="146" t="s">
        <v>1075</v>
      </c>
      <c r="AW218" s="148" t="s">
        <v>1075</v>
      </c>
      <c r="AX218" s="151"/>
      <c r="AY218" s="105"/>
      <c r="AZ218" s="186"/>
      <c r="BA218" s="186"/>
      <c r="BB218" s="146"/>
      <c r="BC218" s="155"/>
      <c r="BD218" s="155"/>
      <c r="BE218" s="155"/>
      <c r="BF218" s="45"/>
    </row>
    <row r="219" ht="16.5" customHeight="1">
      <c r="A219" s="111">
        <v>216.0</v>
      </c>
      <c r="B219" s="112" t="s">
        <v>761</v>
      </c>
      <c r="C219" s="115" t="s">
        <v>60</v>
      </c>
      <c r="D219" s="117">
        <v>42097.0</v>
      </c>
      <c r="E219" s="117">
        <v>42224.0</v>
      </c>
      <c r="F219" s="79" t="s">
        <v>90</v>
      </c>
      <c r="G219" s="118">
        <v>11403.0</v>
      </c>
      <c r="H219" s="114">
        <v>89.1</v>
      </c>
      <c r="I219" s="120">
        <v>395.0</v>
      </c>
      <c r="J219" s="111" t="s">
        <v>62</v>
      </c>
      <c r="K219" s="121">
        <v>395.0</v>
      </c>
      <c r="L219" s="120" t="s">
        <v>63</v>
      </c>
      <c r="M219" s="120"/>
      <c r="N219" s="120"/>
      <c r="O219" s="124">
        <v>11403.0</v>
      </c>
      <c r="P219" s="124">
        <v>128.0</v>
      </c>
      <c r="Q219" s="111">
        <v>236.0</v>
      </c>
      <c r="R219" s="125">
        <v>408.0</v>
      </c>
      <c r="S219" s="126">
        <v>0.9681</v>
      </c>
      <c r="T219" s="127">
        <v>75027.75</v>
      </c>
      <c r="U219" s="128">
        <f t="shared" si="2"/>
        <v>0</v>
      </c>
      <c r="V219" s="79" t="s">
        <v>65</v>
      </c>
      <c r="W219" s="79" t="s">
        <v>64</v>
      </c>
      <c r="X219" s="79" t="s">
        <v>68</v>
      </c>
      <c r="Y219" s="130">
        <v>0.7</v>
      </c>
      <c r="Z219" s="111">
        <v>11.0</v>
      </c>
      <c r="AA219" s="111">
        <v>406.0</v>
      </c>
      <c r="AB219" s="111" t="s">
        <v>62</v>
      </c>
      <c r="AC219" s="111">
        <v>395.0</v>
      </c>
      <c r="AD219" s="111">
        <v>164.0</v>
      </c>
      <c r="AE219" s="111">
        <v>42.9</v>
      </c>
      <c r="AF219" s="111" t="s">
        <v>62</v>
      </c>
      <c r="AG219" s="134" t="s">
        <v>763</v>
      </c>
      <c r="AH219" s="73">
        <v>231.0</v>
      </c>
      <c r="AI219" s="135">
        <v>231.0</v>
      </c>
      <c r="AJ219" s="136">
        <v>73.35714285714286</v>
      </c>
      <c r="AK219" s="76">
        <v>0.9465437788018433</v>
      </c>
      <c r="AL219" s="137" t="s">
        <v>1078</v>
      </c>
      <c r="AM219" s="139">
        <v>406.0</v>
      </c>
      <c r="AN219" s="139">
        <v>128.0</v>
      </c>
      <c r="AO219" s="140">
        <v>35.29</v>
      </c>
      <c r="AP219" s="142">
        <v>11403.0</v>
      </c>
      <c r="AQ219" s="142">
        <v>236.0</v>
      </c>
      <c r="AR219" s="143"/>
      <c r="AS219" s="144">
        <v>0.9816760308856863</v>
      </c>
      <c r="AT219" s="144">
        <v>-0.013576030885686374</v>
      </c>
      <c r="AU219" s="146" t="s">
        <v>1080</v>
      </c>
      <c r="AV219" s="146" t="s">
        <v>1080</v>
      </c>
      <c r="AW219" s="148" t="s">
        <v>1080</v>
      </c>
      <c r="AX219" s="151"/>
      <c r="AY219" s="105"/>
      <c r="AZ219" s="186"/>
      <c r="BA219" s="186"/>
      <c r="BB219" s="146"/>
      <c r="BC219" s="155"/>
      <c r="BD219" s="155"/>
      <c r="BE219" s="155"/>
      <c r="BF219" s="45"/>
    </row>
    <row r="220" ht="16.5" customHeight="1">
      <c r="A220" s="111">
        <v>217.0</v>
      </c>
      <c r="B220" s="112" t="s">
        <v>761</v>
      </c>
      <c r="C220" s="115" t="s">
        <v>60</v>
      </c>
      <c r="D220" s="117">
        <v>42097.0</v>
      </c>
      <c r="E220" s="117">
        <v>42225.0</v>
      </c>
      <c r="F220" s="79" t="s">
        <v>90</v>
      </c>
      <c r="G220" s="118">
        <v>11743.0</v>
      </c>
      <c r="H220" s="114">
        <v>91.0</v>
      </c>
      <c r="I220" s="120">
        <v>394.0</v>
      </c>
      <c r="J220" s="111" t="s">
        <v>62</v>
      </c>
      <c r="K220" s="121">
        <v>394.0</v>
      </c>
      <c r="L220" s="120" t="s">
        <v>63</v>
      </c>
      <c r="M220" s="120"/>
      <c r="N220" s="120"/>
      <c r="O220" s="124">
        <v>11743.0</v>
      </c>
      <c r="P220" s="124">
        <v>129.0</v>
      </c>
      <c r="Q220" s="111">
        <v>235.0</v>
      </c>
      <c r="R220" s="125">
        <v>408.0</v>
      </c>
      <c r="S220" s="126">
        <v>0.9657</v>
      </c>
      <c r="T220" s="127">
        <v>74841.75</v>
      </c>
      <c r="U220" s="128">
        <f t="shared" si="2"/>
        <v>0</v>
      </c>
      <c r="V220" s="79" t="s">
        <v>65</v>
      </c>
      <c r="W220" s="79" t="s">
        <v>64</v>
      </c>
      <c r="X220" s="79" t="s">
        <v>68</v>
      </c>
      <c r="Y220" s="130">
        <v>0.7</v>
      </c>
      <c r="Z220" s="111">
        <v>11.0</v>
      </c>
      <c r="AA220" s="111">
        <v>406.0</v>
      </c>
      <c r="AB220" s="111" t="s">
        <v>62</v>
      </c>
      <c r="AC220" s="111">
        <v>394.0</v>
      </c>
      <c r="AD220" s="111">
        <v>165.0</v>
      </c>
      <c r="AE220" s="111">
        <v>43.8</v>
      </c>
      <c r="AF220" s="111" t="s">
        <v>62</v>
      </c>
      <c r="AG220" s="134" t="s">
        <v>763</v>
      </c>
      <c r="AH220" s="73">
        <v>229.0</v>
      </c>
      <c r="AI220" s="135">
        <v>229.0</v>
      </c>
      <c r="AJ220" s="136">
        <v>75.35895196506549</v>
      </c>
      <c r="AK220" s="76">
        <v>0.9723735737427804</v>
      </c>
      <c r="AL220" s="137" t="s">
        <v>1088</v>
      </c>
      <c r="AM220" s="139">
        <v>406.0</v>
      </c>
      <c r="AN220" s="139">
        <v>129.0</v>
      </c>
      <c r="AO220" s="140">
        <v>36.23</v>
      </c>
      <c r="AP220" s="142">
        <v>11743.0</v>
      </c>
      <c r="AQ220" s="142">
        <v>235.0</v>
      </c>
      <c r="AR220" s="143"/>
      <c r="AS220" s="144">
        <v>0.9812534506556959</v>
      </c>
      <c r="AT220" s="144">
        <v>-0.01555345065569591</v>
      </c>
      <c r="AU220" s="146" t="s">
        <v>1090</v>
      </c>
      <c r="AV220" s="146" t="s">
        <v>1090</v>
      </c>
      <c r="AW220" s="148" t="s">
        <v>1090</v>
      </c>
      <c r="AX220" s="151"/>
      <c r="AY220" s="105"/>
      <c r="AZ220" s="186"/>
      <c r="BA220" s="186"/>
      <c r="BB220" s="146"/>
      <c r="BC220" s="155"/>
      <c r="BD220" s="155"/>
      <c r="BE220" s="155"/>
      <c r="BF220" s="45"/>
    </row>
    <row r="221" ht="16.5" customHeight="1">
      <c r="A221" s="111">
        <v>218.0</v>
      </c>
      <c r="B221" s="112" t="s">
        <v>155</v>
      </c>
      <c r="C221" s="115" t="s">
        <v>60</v>
      </c>
      <c r="D221" s="117">
        <v>41601.0</v>
      </c>
      <c r="E221" s="117">
        <v>42225.0</v>
      </c>
      <c r="F221" s="79" t="s">
        <v>109</v>
      </c>
      <c r="G221" s="118">
        <v>35900.0</v>
      </c>
      <c r="H221" s="114">
        <v>57.4</v>
      </c>
      <c r="I221" s="120">
        <v>276.0</v>
      </c>
      <c r="J221" s="111" t="s">
        <v>61</v>
      </c>
      <c r="K221" s="121">
        <v>279.49</v>
      </c>
      <c r="L221" s="120" t="s">
        <v>63</v>
      </c>
      <c r="M221" s="120"/>
      <c r="N221" s="120"/>
      <c r="O221" s="124">
        <v>35900.0</v>
      </c>
      <c r="P221" s="124">
        <v>625.0</v>
      </c>
      <c r="Q221" s="111">
        <v>209.0</v>
      </c>
      <c r="R221" s="125">
        <v>289.0</v>
      </c>
      <c r="S221" s="126">
        <v>0.9671</v>
      </c>
      <c r="T221" s="127">
        <v>56575.35</v>
      </c>
      <c r="U221" s="128">
        <f t="shared" si="2"/>
        <v>0</v>
      </c>
      <c r="V221" s="79" t="s">
        <v>80</v>
      </c>
      <c r="W221" s="79" t="s">
        <v>69</v>
      </c>
      <c r="X221" s="79" t="s">
        <v>66</v>
      </c>
      <c r="Y221" s="130">
        <v>0.7</v>
      </c>
      <c r="Z221" s="111"/>
      <c r="AA221" s="111">
        <v>286.0</v>
      </c>
      <c r="AB221" s="111" t="s">
        <v>61</v>
      </c>
      <c r="AC221" s="133"/>
      <c r="AD221" s="133"/>
      <c r="AE221" s="133"/>
      <c r="AF221" s="111"/>
      <c r="AG221" s="147"/>
      <c r="AH221" s="73"/>
      <c r="AI221" s="135"/>
      <c r="AJ221" s="136"/>
      <c r="AK221" s="76"/>
      <c r="AL221" s="137"/>
      <c r="AM221" s="139">
        <v>290.0</v>
      </c>
      <c r="AN221" s="139">
        <v>625.0</v>
      </c>
      <c r="AO221" s="140">
        <v>130.44</v>
      </c>
      <c r="AP221" s="142">
        <v>35900.0</v>
      </c>
      <c r="AQ221" s="142">
        <v>209.0</v>
      </c>
      <c r="AR221" s="143"/>
      <c r="AS221" s="144">
        <v>0.9619383027577265</v>
      </c>
      <c r="AT221" s="144">
        <v>0.005161697242273444</v>
      </c>
      <c r="AU221" s="146" t="s">
        <v>1093</v>
      </c>
      <c r="AV221" s="146" t="s">
        <v>1093</v>
      </c>
      <c r="AW221" s="148" t="s">
        <v>1093</v>
      </c>
      <c r="AX221" s="151"/>
      <c r="AY221" s="105"/>
      <c r="AZ221" s="186"/>
      <c r="BA221" s="186"/>
      <c r="BB221" s="146"/>
      <c r="BC221" s="155"/>
      <c r="BD221" s="155"/>
      <c r="BE221" s="155"/>
      <c r="BF221" s="45"/>
    </row>
    <row r="222" ht="16.5" customHeight="1">
      <c r="A222" s="111">
        <v>219.0</v>
      </c>
      <c r="B222" s="112" t="s">
        <v>1095</v>
      </c>
      <c r="C222" s="115" t="s">
        <v>60</v>
      </c>
      <c r="D222" s="345"/>
      <c r="E222" s="117">
        <v>42216.0</v>
      </c>
      <c r="F222" s="79" t="s">
        <v>59</v>
      </c>
      <c r="G222" s="118">
        <v>13200.0</v>
      </c>
      <c r="H222" s="114"/>
      <c r="I222" s="120">
        <v>384.0</v>
      </c>
      <c r="J222" s="111" t="s">
        <v>61</v>
      </c>
      <c r="K222" s="121">
        <v>388.86</v>
      </c>
      <c r="L222" s="120" t="s">
        <v>63</v>
      </c>
      <c r="M222" s="120"/>
      <c r="N222" s="120"/>
      <c r="O222" s="124">
        <v>13200.0</v>
      </c>
      <c r="P222" s="124"/>
      <c r="Q222" s="111">
        <v>197.0</v>
      </c>
      <c r="R222" s="125">
        <v>399.0</v>
      </c>
      <c r="S222" s="126">
        <v>0.9746</v>
      </c>
      <c r="T222" s="127">
        <v>75531.5</v>
      </c>
      <c r="U222" s="128">
        <f t="shared" si="2"/>
        <v>1</v>
      </c>
      <c r="V222" s="79"/>
      <c r="W222" s="79"/>
      <c r="X222" s="79"/>
      <c r="Y222" s="130"/>
      <c r="Z222" s="111"/>
      <c r="AA222" s="133"/>
      <c r="AB222" s="133"/>
      <c r="AC222" s="133"/>
      <c r="AD222" s="133"/>
      <c r="AE222" s="133"/>
      <c r="AF222" s="111"/>
      <c r="AG222" s="147"/>
      <c r="AH222" s="73"/>
      <c r="AI222" s="135"/>
      <c r="AJ222" s="136"/>
      <c r="AK222" s="76"/>
      <c r="AL222" s="137"/>
      <c r="AM222" s="139" t="s">
        <v>71</v>
      </c>
      <c r="AN222" s="139"/>
      <c r="AO222" s="140">
        <v>33.99</v>
      </c>
      <c r="AP222" s="142">
        <v>13200.0</v>
      </c>
      <c r="AQ222" s="142">
        <v>197.0</v>
      </c>
      <c r="AR222" s="143"/>
      <c r="AS222" s="144">
        <v>0.9795079819797791</v>
      </c>
      <c r="AT222" s="144">
        <v>-0.004907981979779041</v>
      </c>
      <c r="AU222" s="146" t="s">
        <v>1101</v>
      </c>
      <c r="AV222" s="146" t="s">
        <v>1101</v>
      </c>
      <c r="AW222" s="148" t="s">
        <v>1101</v>
      </c>
      <c r="AX222" s="151"/>
      <c r="AY222" s="105"/>
      <c r="AZ222" s="186"/>
      <c r="BA222" s="186"/>
      <c r="BB222" s="146"/>
      <c r="BC222" s="155"/>
      <c r="BD222" s="155"/>
      <c r="BE222" s="155"/>
      <c r="BF222" s="45"/>
    </row>
    <row r="223" ht="16.5" customHeight="1">
      <c r="A223" s="111">
        <v>220.0</v>
      </c>
      <c r="B223" s="165" t="s">
        <v>477</v>
      </c>
      <c r="C223" s="115" t="s">
        <v>60</v>
      </c>
      <c r="D223" s="157">
        <v>42003.0</v>
      </c>
      <c r="E223" s="117">
        <v>42227.0</v>
      </c>
      <c r="F223" s="79" t="s">
        <v>59</v>
      </c>
      <c r="G223" s="118">
        <v>11500.0</v>
      </c>
      <c r="H223" s="114">
        <v>51.1</v>
      </c>
      <c r="I223" s="120">
        <v>394.0</v>
      </c>
      <c r="J223" s="111" t="s">
        <v>61</v>
      </c>
      <c r="K223" s="121">
        <v>398.99</v>
      </c>
      <c r="L223" s="120" t="s">
        <v>63</v>
      </c>
      <c r="M223" s="120"/>
      <c r="N223" s="120"/>
      <c r="O223" s="124">
        <v>11500.0</v>
      </c>
      <c r="P223" s="124">
        <v>225.0</v>
      </c>
      <c r="Q223" s="111">
        <v>230.0</v>
      </c>
      <c r="R223" s="125">
        <v>399.0</v>
      </c>
      <c r="S223" s="126">
        <v>1.0</v>
      </c>
      <c r="T223" s="127">
        <v>77500.0</v>
      </c>
      <c r="U223" s="128">
        <f t="shared" si="2"/>
        <v>0</v>
      </c>
      <c r="V223" s="79" t="s">
        <v>67</v>
      </c>
      <c r="W223" s="79" t="s">
        <v>69</v>
      </c>
      <c r="X223" s="347" t="s">
        <v>66</v>
      </c>
      <c r="Y223" s="130">
        <v>0.7</v>
      </c>
      <c r="Z223" s="111"/>
      <c r="AA223" s="111">
        <v>394.0</v>
      </c>
      <c r="AB223" s="111" t="s">
        <v>61</v>
      </c>
      <c r="AC223" s="133"/>
      <c r="AD223" s="133"/>
      <c r="AE223" s="133"/>
      <c r="AF223" s="111"/>
      <c r="AG223" s="134" t="s">
        <v>151</v>
      </c>
      <c r="AH223" s="73"/>
      <c r="AI223" s="135"/>
      <c r="AJ223" s="136"/>
      <c r="AK223" s="76"/>
      <c r="AL223" s="137"/>
      <c r="AM223" s="139">
        <v>399.0</v>
      </c>
      <c r="AN223" s="139">
        <v>225.0</v>
      </c>
      <c r="AO223" s="140">
        <v>34.14</v>
      </c>
      <c r="AP223" s="142">
        <v>11500.0</v>
      </c>
      <c r="AQ223" s="142">
        <v>230.0</v>
      </c>
      <c r="AR223" s="143"/>
      <c r="AS223" s="144">
        <v>0.9815548664970688</v>
      </c>
      <c r="AT223" s="144">
        <v>0.0184451335029312</v>
      </c>
      <c r="AU223" s="146" t="s">
        <v>1106</v>
      </c>
      <c r="AV223" s="146" t="s">
        <v>1106</v>
      </c>
      <c r="AW223" s="148" t="s">
        <v>1106</v>
      </c>
      <c r="AX223" s="151"/>
      <c r="AY223" s="105"/>
      <c r="AZ223" s="186"/>
      <c r="BA223" s="186"/>
      <c r="BB223" s="146"/>
      <c r="BC223" s="155"/>
      <c r="BD223" s="155"/>
      <c r="BE223" s="155"/>
      <c r="BF223" s="45"/>
    </row>
    <row r="224" ht="16.5" customHeight="1">
      <c r="A224" s="111">
        <v>221.0</v>
      </c>
      <c r="B224" s="112" t="s">
        <v>231</v>
      </c>
      <c r="C224" s="115" t="s">
        <v>60</v>
      </c>
      <c r="D224" s="117">
        <v>41536.0</v>
      </c>
      <c r="E224" s="117">
        <v>42227.0</v>
      </c>
      <c r="F224" s="79" t="s">
        <v>59</v>
      </c>
      <c r="G224" s="118">
        <v>77500.0</v>
      </c>
      <c r="H224" s="114">
        <v>112.0</v>
      </c>
      <c r="I224" s="120">
        <v>382.0</v>
      </c>
      <c r="J224" s="111" t="s">
        <v>62</v>
      </c>
      <c r="K224" s="121">
        <v>382.0</v>
      </c>
      <c r="L224" s="120" t="s">
        <v>195</v>
      </c>
      <c r="M224" s="120" t="s">
        <v>196</v>
      </c>
      <c r="N224" s="120">
        <v>53982.0</v>
      </c>
      <c r="O224" s="124">
        <v>77500.0</v>
      </c>
      <c r="P224" s="124">
        <v>692.0</v>
      </c>
      <c r="Q224" s="159">
        <v>238.0</v>
      </c>
      <c r="R224" s="125">
        <v>399.0</v>
      </c>
      <c r="S224" s="126">
        <v>0.9574</v>
      </c>
      <c r="T224" s="127">
        <v>74198.5</v>
      </c>
      <c r="U224" s="128">
        <f t="shared" si="2"/>
        <v>0</v>
      </c>
      <c r="V224" s="79" t="s">
        <v>65</v>
      </c>
      <c r="W224" s="79" t="s">
        <v>64</v>
      </c>
      <c r="X224" s="348" t="s">
        <v>66</v>
      </c>
      <c r="Y224" s="130">
        <v>0.9</v>
      </c>
      <c r="Z224" s="111">
        <v>11.0</v>
      </c>
      <c r="AA224" s="111">
        <v>395.0</v>
      </c>
      <c r="AB224" s="111" t="s">
        <v>62</v>
      </c>
      <c r="AC224" s="133"/>
      <c r="AD224" s="133"/>
      <c r="AE224" s="133"/>
      <c r="AF224" s="111"/>
      <c r="AG224" s="147"/>
      <c r="AH224" s="73"/>
      <c r="AI224" s="135"/>
      <c r="AJ224" s="136"/>
      <c r="AK224" s="76"/>
      <c r="AL224" s="137"/>
      <c r="AM224" s="139">
        <v>395.0</v>
      </c>
      <c r="AN224" s="139">
        <v>692.0</v>
      </c>
      <c r="AO224" s="140">
        <v>243.21</v>
      </c>
      <c r="AP224" s="142">
        <v>77500.0</v>
      </c>
      <c r="AQ224" s="142">
        <v>238.0</v>
      </c>
      <c r="AR224" s="143"/>
      <c r="AS224" s="144">
        <v>0.9491512014126606</v>
      </c>
      <c r="AT224" s="144">
        <v>0.008248798587339401</v>
      </c>
      <c r="AU224" s="146" t="s">
        <v>1110</v>
      </c>
      <c r="AV224" s="146" t="s">
        <v>1110</v>
      </c>
      <c r="AW224" s="148" t="s">
        <v>1110</v>
      </c>
      <c r="AX224" s="151"/>
      <c r="AY224" s="105"/>
      <c r="AZ224" s="186"/>
      <c r="BA224" s="186"/>
      <c r="BB224" s="146"/>
      <c r="BC224" s="155"/>
      <c r="BD224" s="155"/>
      <c r="BE224" s="155"/>
      <c r="BF224" s="45"/>
    </row>
    <row r="225" ht="16.5" customHeight="1">
      <c r="A225" s="111">
        <v>222.0</v>
      </c>
      <c r="B225" s="112" t="s">
        <v>1111</v>
      </c>
      <c r="C225" s="115" t="s">
        <v>60</v>
      </c>
      <c r="D225" s="117">
        <v>42192.0</v>
      </c>
      <c r="E225" s="117">
        <v>42227.0</v>
      </c>
      <c r="F225" s="79" t="s">
        <v>59</v>
      </c>
      <c r="G225" s="118">
        <v>5650.0</v>
      </c>
      <c r="H225" s="114">
        <v>156.9</v>
      </c>
      <c r="I225" s="120">
        <v>399.0</v>
      </c>
      <c r="J225" s="111" t="s">
        <v>61</v>
      </c>
      <c r="K225" s="121">
        <v>404.05</v>
      </c>
      <c r="L225" s="120" t="s">
        <v>63</v>
      </c>
      <c r="M225" s="120"/>
      <c r="N225" s="120"/>
      <c r="O225" s="124">
        <v>5650.0</v>
      </c>
      <c r="P225" s="124">
        <v>36.0</v>
      </c>
      <c r="Q225" s="111">
        <v>205.0</v>
      </c>
      <c r="R225" s="125">
        <v>399.0</v>
      </c>
      <c r="S225" s="126">
        <v>1.0127</v>
      </c>
      <c r="T225" s="127">
        <v>78484.25</v>
      </c>
      <c r="U225" s="128">
        <f t="shared" si="2"/>
        <v>0</v>
      </c>
      <c r="V225" s="79" t="s">
        <v>80</v>
      </c>
      <c r="W225" s="79" t="s">
        <v>65</v>
      </c>
      <c r="X225" s="79" t="s">
        <v>66</v>
      </c>
      <c r="Y225" s="130">
        <v>0.9</v>
      </c>
      <c r="Z225" s="111">
        <v>11.0</v>
      </c>
      <c r="AA225" s="111">
        <v>399.0</v>
      </c>
      <c r="AB225" s="111" t="s">
        <v>61</v>
      </c>
      <c r="AC225" s="133"/>
      <c r="AD225" s="133"/>
      <c r="AE225" s="133"/>
      <c r="AF225" s="111"/>
      <c r="AG225" s="147"/>
      <c r="AH225" s="73"/>
      <c r="AI225" s="135"/>
      <c r="AJ225" s="136"/>
      <c r="AK225" s="76"/>
      <c r="AL225" s="137"/>
      <c r="AM225" s="139">
        <v>404.0</v>
      </c>
      <c r="AN225" s="139">
        <v>36.0</v>
      </c>
      <c r="AO225" s="140">
        <v>14.85</v>
      </c>
      <c r="AP225" s="142">
        <v>5650.0</v>
      </c>
      <c r="AQ225" s="142">
        <v>205.0</v>
      </c>
      <c r="AR225" s="143"/>
      <c r="AS225" s="144">
        <v>0.9898144628631382</v>
      </c>
      <c r="AT225" s="144">
        <v>0.0228855371368617</v>
      </c>
      <c r="AU225" s="146" t="s">
        <v>1115</v>
      </c>
      <c r="AV225" s="146" t="s">
        <v>1115</v>
      </c>
      <c r="AW225" s="148" t="s">
        <v>1115</v>
      </c>
      <c r="AX225" s="151"/>
      <c r="AY225" s="105"/>
      <c r="AZ225" s="186"/>
      <c r="BA225" s="186"/>
      <c r="BB225" s="146"/>
      <c r="BC225" s="155"/>
      <c r="BD225" s="155"/>
      <c r="BE225" s="155"/>
      <c r="BF225" s="45"/>
    </row>
    <row r="226" ht="16.5" customHeight="1">
      <c r="A226" s="111">
        <v>223.0</v>
      </c>
      <c r="B226" s="112" t="s">
        <v>548</v>
      </c>
      <c r="C226" s="115" t="s">
        <v>60</v>
      </c>
      <c r="D226" s="117">
        <v>41631.0</v>
      </c>
      <c r="E226" s="117">
        <v>42225.0</v>
      </c>
      <c r="F226" s="79" t="s">
        <v>79</v>
      </c>
      <c r="G226" s="118">
        <v>52500.0</v>
      </c>
      <c r="H226" s="114">
        <v>88.2</v>
      </c>
      <c r="I226" s="120">
        <v>373.0</v>
      </c>
      <c r="J226" s="111" t="s">
        <v>61</v>
      </c>
      <c r="K226" s="121">
        <v>377.72</v>
      </c>
      <c r="L226" s="120" t="s">
        <v>63</v>
      </c>
      <c r="M226" s="120"/>
      <c r="N226" s="120"/>
      <c r="O226" s="124">
        <v>52500.0</v>
      </c>
      <c r="P226" s="124">
        <v>595.0</v>
      </c>
      <c r="Q226" s="111">
        <v>233.0</v>
      </c>
      <c r="R226" s="125">
        <v>399.0</v>
      </c>
      <c r="S226" s="126">
        <v>0.9467</v>
      </c>
      <c r="T226" s="127">
        <v>73369.25</v>
      </c>
      <c r="U226" s="128">
        <f t="shared" si="2"/>
        <v>0</v>
      </c>
      <c r="V226" s="79" t="s">
        <v>69</v>
      </c>
      <c r="W226" s="79" t="s">
        <v>69</v>
      </c>
      <c r="X226" s="79" t="s">
        <v>69</v>
      </c>
      <c r="Y226" s="130">
        <v>0.9</v>
      </c>
      <c r="Z226" s="111"/>
      <c r="AA226" s="111">
        <v>396.0</v>
      </c>
      <c r="AB226" s="111" t="s">
        <v>61</v>
      </c>
      <c r="AC226" s="133"/>
      <c r="AD226" s="133"/>
      <c r="AE226" s="133"/>
      <c r="AF226" s="111"/>
      <c r="AG226" s="134" t="s">
        <v>111</v>
      </c>
      <c r="AH226" s="73"/>
      <c r="AI226" s="135"/>
      <c r="AJ226" s="136"/>
      <c r="AK226" s="76"/>
      <c r="AL226" s="137"/>
      <c r="AM226" s="139">
        <v>401.0</v>
      </c>
      <c r="AN226" s="139">
        <v>595.0</v>
      </c>
      <c r="AO226" s="140">
        <v>162.19</v>
      </c>
      <c r="AP226" s="142">
        <v>52500.0</v>
      </c>
      <c r="AQ226" s="142">
        <v>233.0</v>
      </c>
      <c r="AR226" s="143"/>
      <c r="AS226" s="144">
        <v>0.9553732297778037</v>
      </c>
      <c r="AT226" s="144">
        <v>-0.008673229777803715</v>
      </c>
      <c r="AU226" s="146" t="s">
        <v>1119</v>
      </c>
      <c r="AV226" s="146" t="s">
        <v>1119</v>
      </c>
      <c r="AW226" s="148" t="s">
        <v>1119</v>
      </c>
      <c r="AX226" s="151"/>
      <c r="AY226" s="105"/>
      <c r="AZ226" s="186"/>
      <c r="BA226" s="186"/>
      <c r="BB226" s="146"/>
      <c r="BC226" s="155"/>
      <c r="BD226" s="155"/>
      <c r="BE226" s="155"/>
      <c r="BF226" s="45"/>
    </row>
    <row r="227" ht="16.5" customHeight="1">
      <c r="A227" s="111">
        <v>224.0</v>
      </c>
      <c r="B227" s="112" t="s">
        <v>212</v>
      </c>
      <c r="C227" s="115" t="s">
        <v>60</v>
      </c>
      <c r="D227" s="117">
        <v>41543.0</v>
      </c>
      <c r="E227" s="117">
        <v>42228.0</v>
      </c>
      <c r="F227" s="79" t="s">
        <v>59</v>
      </c>
      <c r="G227" s="118">
        <v>90600.0</v>
      </c>
      <c r="H227" s="114">
        <v>132.1</v>
      </c>
      <c r="I227" s="120">
        <v>378.0</v>
      </c>
      <c r="J227" s="111" t="s">
        <v>62</v>
      </c>
      <c r="K227" s="121">
        <v>378.0</v>
      </c>
      <c r="L227" s="120" t="s">
        <v>195</v>
      </c>
      <c r="M227" s="120" t="s">
        <v>196</v>
      </c>
      <c r="N227" s="120">
        <v>65000.0</v>
      </c>
      <c r="O227" s="124">
        <v>90600.0</v>
      </c>
      <c r="P227" s="124">
        <v>686.0</v>
      </c>
      <c r="Q227" s="111">
        <v>219.0</v>
      </c>
      <c r="R227" s="125">
        <v>399.0</v>
      </c>
      <c r="S227" s="126">
        <v>0.9474</v>
      </c>
      <c r="T227" s="127">
        <v>73423.5</v>
      </c>
      <c r="U227" s="128">
        <f t="shared" si="2"/>
        <v>0</v>
      </c>
      <c r="V227" s="79" t="s">
        <v>64</v>
      </c>
      <c r="W227" s="79" t="s">
        <v>65</v>
      </c>
      <c r="X227" s="79" t="s">
        <v>69</v>
      </c>
      <c r="Y227" s="130">
        <v>0.9</v>
      </c>
      <c r="Z227" s="111">
        <v>22.0</v>
      </c>
      <c r="AA227" s="111">
        <v>399.0</v>
      </c>
      <c r="AB227" s="111" t="s">
        <v>61</v>
      </c>
      <c r="AC227" s="133"/>
      <c r="AD227" s="133"/>
      <c r="AE227" s="133"/>
      <c r="AF227" s="111"/>
      <c r="AG227" s="134" t="s">
        <v>1124</v>
      </c>
      <c r="AH227" s="73"/>
      <c r="AI227" s="135"/>
      <c r="AJ227" s="136"/>
      <c r="AK227" s="76"/>
      <c r="AL227" s="137"/>
      <c r="AM227" s="139">
        <v>404.0</v>
      </c>
      <c r="AN227" s="139">
        <v>686.0</v>
      </c>
      <c r="AO227" s="140">
        <v>262.96</v>
      </c>
      <c r="AP227" s="142">
        <v>90600.0</v>
      </c>
      <c r="AQ227" s="142">
        <v>219.0</v>
      </c>
      <c r="AR227" s="143"/>
      <c r="AS227" s="144">
        <v>0.9466297897928895</v>
      </c>
      <c r="AT227" s="144">
        <v>7.702102071105443E-4</v>
      </c>
      <c r="AU227" s="146" t="s">
        <v>1125</v>
      </c>
      <c r="AV227" s="146" t="s">
        <v>1125</v>
      </c>
      <c r="AW227" s="148" t="s">
        <v>1125</v>
      </c>
      <c r="AX227" s="151"/>
      <c r="AY227" s="105"/>
      <c r="AZ227" s="186"/>
      <c r="BA227" s="186"/>
      <c r="BB227" s="146"/>
      <c r="BC227" s="155"/>
      <c r="BD227" s="155"/>
      <c r="BE227" s="155"/>
      <c r="BF227" s="45"/>
    </row>
    <row r="228" ht="16.5" customHeight="1">
      <c r="A228" s="111">
        <v>225.0</v>
      </c>
      <c r="B228" s="112" t="s">
        <v>1127</v>
      </c>
      <c r="C228" s="115" t="s">
        <v>60</v>
      </c>
      <c r="D228" s="117">
        <v>42160.0</v>
      </c>
      <c r="E228" s="117">
        <v>42228.0</v>
      </c>
      <c r="F228" s="79" t="s">
        <v>86</v>
      </c>
      <c r="G228" s="118">
        <v>18650.0</v>
      </c>
      <c r="H228" s="114">
        <v>270.3</v>
      </c>
      <c r="I228" s="120">
        <v>398.0</v>
      </c>
      <c r="J228" s="111" t="s">
        <v>61</v>
      </c>
      <c r="K228" s="121">
        <v>403.04</v>
      </c>
      <c r="L228" s="120" t="s">
        <v>63</v>
      </c>
      <c r="M228" s="120"/>
      <c r="N228" s="120"/>
      <c r="O228" s="124">
        <v>18650.0</v>
      </c>
      <c r="P228" s="124">
        <v>69.0</v>
      </c>
      <c r="Q228" s="111">
        <v>207.0</v>
      </c>
      <c r="R228" s="125">
        <v>430.0</v>
      </c>
      <c r="S228" s="126">
        <v>0.9373</v>
      </c>
      <c r="T228" s="127">
        <v>72640.75</v>
      </c>
      <c r="U228" s="128">
        <f t="shared" si="2"/>
        <v>0</v>
      </c>
      <c r="V228" s="79" t="s">
        <v>80</v>
      </c>
      <c r="W228" s="79" t="s">
        <v>65</v>
      </c>
      <c r="X228" s="79" t="s">
        <v>68</v>
      </c>
      <c r="Y228" s="130">
        <v>0.9</v>
      </c>
      <c r="Z228" s="111">
        <v>11.0</v>
      </c>
      <c r="AA228" s="111">
        <v>404.0</v>
      </c>
      <c r="AB228" s="111" t="s">
        <v>61</v>
      </c>
      <c r="AC228" s="133"/>
      <c r="AD228" s="133"/>
      <c r="AE228" s="133"/>
      <c r="AF228" s="111"/>
      <c r="AG228" s="134" t="s">
        <v>111</v>
      </c>
      <c r="AH228" s="73"/>
      <c r="AI228" s="135"/>
      <c r="AJ228" s="136"/>
      <c r="AK228" s="76"/>
      <c r="AL228" s="137"/>
      <c r="AM228" s="139">
        <v>409.0</v>
      </c>
      <c r="AN228" s="139">
        <v>69.0</v>
      </c>
      <c r="AO228" s="140">
        <v>51.43</v>
      </c>
      <c r="AP228" s="142">
        <v>18650.0</v>
      </c>
      <c r="AQ228" s="142">
        <v>207.0</v>
      </c>
      <c r="AR228" s="143"/>
      <c r="AS228" s="144">
        <v>0.9738200147440602</v>
      </c>
      <c r="AT228" s="144">
        <v>-0.03652001474406019</v>
      </c>
      <c r="AU228" s="146" t="s">
        <v>1135</v>
      </c>
      <c r="AV228" s="146" t="s">
        <v>1135</v>
      </c>
      <c r="AW228" s="148" t="s">
        <v>1135</v>
      </c>
      <c r="AX228" s="151"/>
      <c r="AY228" s="105"/>
      <c r="AZ228" s="186"/>
      <c r="BA228" s="186"/>
      <c r="BB228" s="146"/>
      <c r="BC228" s="155"/>
      <c r="BD228" s="155"/>
      <c r="BE228" s="155"/>
      <c r="BF228" s="45"/>
    </row>
    <row r="229" ht="16.5" customHeight="1">
      <c r="A229" s="111">
        <v>226.0</v>
      </c>
      <c r="B229" s="112" t="s">
        <v>114</v>
      </c>
      <c r="C229" s="115" t="s">
        <v>60</v>
      </c>
      <c r="D229" s="117">
        <v>41604.0</v>
      </c>
      <c r="E229" s="117">
        <v>42228.0</v>
      </c>
      <c r="F229" s="79" t="s">
        <v>79</v>
      </c>
      <c r="G229" s="118">
        <v>102000.0</v>
      </c>
      <c r="H229" s="114">
        <v>163.2</v>
      </c>
      <c r="I229" s="120">
        <v>362.0</v>
      </c>
      <c r="J229" s="111" t="s">
        <v>61</v>
      </c>
      <c r="K229" s="121">
        <v>366.58</v>
      </c>
      <c r="L229" s="120" t="s">
        <v>195</v>
      </c>
      <c r="M229" s="120" t="s">
        <v>1138</v>
      </c>
      <c r="N229" s="120">
        <v>80000.0</v>
      </c>
      <c r="O229" s="124">
        <v>86071.0</v>
      </c>
      <c r="P229" s="124">
        <v>527.0</v>
      </c>
      <c r="Q229" s="111">
        <v>215.0</v>
      </c>
      <c r="R229" s="125">
        <v>399.0</v>
      </c>
      <c r="S229" s="126">
        <v>0.9187</v>
      </c>
      <c r="T229" s="127">
        <v>71199.25</v>
      </c>
      <c r="U229" s="128">
        <f t="shared" si="2"/>
        <v>0</v>
      </c>
      <c r="V229" s="79" t="s">
        <v>65</v>
      </c>
      <c r="W229" s="79" t="s">
        <v>64</v>
      </c>
      <c r="X229" s="79" t="s">
        <v>66</v>
      </c>
      <c r="Y229" s="130">
        <v>0.8</v>
      </c>
      <c r="Z229" s="111">
        <v>22.0</v>
      </c>
      <c r="AA229" s="111">
        <v>399.0</v>
      </c>
      <c r="AB229" s="111" t="s">
        <v>61</v>
      </c>
      <c r="AC229" s="111">
        <v>362.0</v>
      </c>
      <c r="AD229" s="111">
        <v>280.0</v>
      </c>
      <c r="AE229" s="111">
        <v>17.1</v>
      </c>
      <c r="AF229" s="111" t="s">
        <v>61</v>
      </c>
      <c r="AG229" s="134" t="s">
        <v>111</v>
      </c>
      <c r="AH229" s="73">
        <v>82.0</v>
      </c>
      <c r="AI229" s="135">
        <v>83.0379746835443</v>
      </c>
      <c r="AJ229" s="136">
        <v>75.48977469512195</v>
      </c>
      <c r="AK229" s="76">
        <v>0.9740616089693154</v>
      </c>
      <c r="AL229" s="137" t="s">
        <v>1141</v>
      </c>
      <c r="AM229" s="139">
        <v>404.0</v>
      </c>
      <c r="AN229" s="139">
        <v>625.0</v>
      </c>
      <c r="AO229" s="140">
        <v>248.92</v>
      </c>
      <c r="AP229" s="142">
        <v>86071.0</v>
      </c>
      <c r="AQ229" s="142">
        <v>215.0</v>
      </c>
      <c r="AR229" s="143"/>
      <c r="AS229" s="144">
        <v>0.9474696787204324</v>
      </c>
      <c r="AT229" s="144">
        <v>-0.028769678720432457</v>
      </c>
      <c r="AU229" s="146" t="s">
        <v>1144</v>
      </c>
      <c r="AV229" s="146" t="s">
        <v>1144</v>
      </c>
      <c r="AW229" s="148" t="s">
        <v>1144</v>
      </c>
      <c r="AX229" s="151"/>
      <c r="AY229" s="105"/>
      <c r="AZ229" s="186"/>
      <c r="BA229" s="186"/>
      <c r="BB229" s="146"/>
      <c r="BC229" s="155"/>
      <c r="BD229" s="155"/>
      <c r="BE229" s="155"/>
      <c r="BF229" s="45"/>
    </row>
    <row r="230" ht="16.5" customHeight="1">
      <c r="A230" s="111">
        <v>227.0</v>
      </c>
      <c r="B230" s="112" t="s">
        <v>339</v>
      </c>
      <c r="C230" s="115" t="s">
        <v>60</v>
      </c>
      <c r="D230" s="117">
        <v>41912.0</v>
      </c>
      <c r="E230" s="117">
        <v>42227.0</v>
      </c>
      <c r="F230" s="79" t="s">
        <v>59</v>
      </c>
      <c r="G230" s="118">
        <v>31500.0</v>
      </c>
      <c r="H230" s="114">
        <v>99.7</v>
      </c>
      <c r="I230" s="120">
        <v>376.0</v>
      </c>
      <c r="J230" s="111" t="s">
        <v>61</v>
      </c>
      <c r="K230" s="121">
        <v>380.76</v>
      </c>
      <c r="L230" s="120" t="s">
        <v>63</v>
      </c>
      <c r="M230" s="120"/>
      <c r="N230" s="120"/>
      <c r="O230" s="124">
        <v>31500.0</v>
      </c>
      <c r="P230" s="124">
        <v>316.0</v>
      </c>
      <c r="Q230" s="111">
        <v>262.0</v>
      </c>
      <c r="R230" s="125">
        <v>399.0</v>
      </c>
      <c r="S230" s="126">
        <v>0.9543</v>
      </c>
      <c r="T230" s="127">
        <v>73958.25</v>
      </c>
      <c r="U230" s="128">
        <f t="shared" si="2"/>
        <v>0</v>
      </c>
      <c r="V230" s="79" t="s">
        <v>64</v>
      </c>
      <c r="W230" s="79" t="s">
        <v>65</v>
      </c>
      <c r="X230" s="79" t="s">
        <v>66</v>
      </c>
      <c r="Y230" s="130">
        <v>0.8</v>
      </c>
      <c r="Z230" s="111" t="s">
        <v>1148</v>
      </c>
      <c r="AA230" s="111">
        <v>399.0</v>
      </c>
      <c r="AB230" s="111" t="s">
        <v>61</v>
      </c>
      <c r="AC230" s="111">
        <v>376.0</v>
      </c>
      <c r="AD230" s="111">
        <v>243.0</v>
      </c>
      <c r="AE230" s="111">
        <v>26.0</v>
      </c>
      <c r="AF230" s="111" t="s">
        <v>61</v>
      </c>
      <c r="AG230" s="134" t="s">
        <v>111</v>
      </c>
      <c r="AH230" s="73">
        <v>133.0</v>
      </c>
      <c r="AI230" s="135">
        <v>134.68354430379748</v>
      </c>
      <c r="AJ230" s="136">
        <v>73.50385714285714</v>
      </c>
      <c r="AK230" s="76">
        <v>0.948436866359447</v>
      </c>
      <c r="AL230" s="137" t="s">
        <v>1149</v>
      </c>
      <c r="AM230" s="139">
        <v>404.0</v>
      </c>
      <c r="AN230" s="139">
        <v>316.0</v>
      </c>
      <c r="AO230" s="140">
        <v>108.99</v>
      </c>
      <c r="AP230" s="142">
        <v>31500.0</v>
      </c>
      <c r="AQ230" s="142">
        <v>262.0</v>
      </c>
      <c r="AR230" s="143"/>
      <c r="AS230" s="144">
        <v>0.9643126430281129</v>
      </c>
      <c r="AT230" s="144">
        <v>-0.010012643028112889</v>
      </c>
      <c r="AU230" s="146" t="s">
        <v>1151</v>
      </c>
      <c r="AV230" s="146" t="s">
        <v>1151</v>
      </c>
      <c r="AW230" s="148" t="s">
        <v>1151</v>
      </c>
      <c r="AX230" s="151"/>
      <c r="AY230" s="105"/>
      <c r="AZ230" s="186"/>
      <c r="BA230" s="186"/>
      <c r="BB230" s="146"/>
      <c r="BC230" s="155"/>
      <c r="BD230" s="155"/>
      <c r="BE230" s="155"/>
      <c r="BF230" s="45"/>
    </row>
    <row r="231" ht="16.5" customHeight="1">
      <c r="A231" s="111">
        <v>228.0</v>
      </c>
      <c r="B231" s="112" t="s">
        <v>147</v>
      </c>
      <c r="C231" s="115" t="s">
        <v>60</v>
      </c>
      <c r="D231" s="117">
        <v>41639.0</v>
      </c>
      <c r="E231" s="117">
        <v>42228.0</v>
      </c>
      <c r="F231" s="79" t="s">
        <v>79</v>
      </c>
      <c r="G231" s="118">
        <v>94500.0</v>
      </c>
      <c r="H231" s="114">
        <v>160.2</v>
      </c>
      <c r="I231" s="120">
        <v>370.0</v>
      </c>
      <c r="J231" s="111" t="s">
        <v>61</v>
      </c>
      <c r="K231" s="121">
        <v>374.68</v>
      </c>
      <c r="L231" s="120" t="s">
        <v>63</v>
      </c>
      <c r="M231" s="120"/>
      <c r="N231" s="120"/>
      <c r="O231" s="124">
        <v>94500.0</v>
      </c>
      <c r="P231" s="124">
        <v>590.0</v>
      </c>
      <c r="Q231" s="159">
        <v>218.0</v>
      </c>
      <c r="R231" s="125">
        <v>399.0</v>
      </c>
      <c r="S231" s="126">
        <v>0.939</v>
      </c>
      <c r="T231" s="127">
        <v>72772.5</v>
      </c>
      <c r="U231" s="128">
        <f t="shared" si="2"/>
        <v>0</v>
      </c>
      <c r="V231" s="79"/>
      <c r="W231" s="79"/>
      <c r="X231" s="79"/>
      <c r="Y231" s="130"/>
      <c r="Z231" s="111"/>
      <c r="AA231" s="133"/>
      <c r="AB231" s="133"/>
      <c r="AC231" s="133"/>
      <c r="AD231" s="133"/>
      <c r="AE231" s="133"/>
      <c r="AF231" s="111"/>
      <c r="AG231" s="147"/>
      <c r="AH231" s="73"/>
      <c r="AI231" s="135"/>
      <c r="AJ231" s="136"/>
      <c r="AK231" s="76"/>
      <c r="AL231" s="137"/>
      <c r="AM231" s="139" t="s">
        <v>71</v>
      </c>
      <c r="AN231" s="139">
        <v>590.0</v>
      </c>
      <c r="AO231" s="140">
        <v>274.21</v>
      </c>
      <c r="AP231" s="142">
        <v>94500.0</v>
      </c>
      <c r="AQ231" s="142">
        <v>218.0</v>
      </c>
      <c r="AR231" s="143"/>
      <c r="AS231" s="144">
        <v>0.9459270747561674</v>
      </c>
      <c r="AT231" s="144">
        <v>-0.006927074756167495</v>
      </c>
      <c r="AU231" s="146" t="s">
        <v>1156</v>
      </c>
      <c r="AV231" s="146" t="s">
        <v>1156</v>
      </c>
      <c r="AW231" s="148" t="s">
        <v>1156</v>
      </c>
      <c r="AX231" s="151"/>
      <c r="AY231" s="105"/>
      <c r="AZ231" s="186"/>
      <c r="BA231" s="186"/>
      <c r="BB231" s="146"/>
      <c r="BC231" s="155"/>
      <c r="BD231" s="155"/>
      <c r="BE231" s="155"/>
      <c r="BF231" s="45"/>
    </row>
    <row r="232" ht="16.5" customHeight="1">
      <c r="A232" s="111">
        <v>229.0</v>
      </c>
      <c r="B232" s="112" t="s">
        <v>237</v>
      </c>
      <c r="C232" s="115" t="s">
        <v>60</v>
      </c>
      <c r="D232" s="352">
        <v>41591.0</v>
      </c>
      <c r="E232" s="117">
        <v>42229.0</v>
      </c>
      <c r="F232" s="79" t="s">
        <v>57</v>
      </c>
      <c r="G232" s="118">
        <v>37900.0</v>
      </c>
      <c r="H232" s="114">
        <v>59.3</v>
      </c>
      <c r="I232" s="120">
        <v>382.0</v>
      </c>
      <c r="J232" s="111" t="s">
        <v>62</v>
      </c>
      <c r="K232" s="121">
        <v>382.0</v>
      </c>
      <c r="L232" s="120" t="s">
        <v>63</v>
      </c>
      <c r="M232" s="120"/>
      <c r="N232" s="120"/>
      <c r="O232" s="124">
        <v>37900.0</v>
      </c>
      <c r="P232" s="124">
        <v>639.0</v>
      </c>
      <c r="Q232" s="111">
        <v>226.0</v>
      </c>
      <c r="R232" s="125">
        <v>399.0</v>
      </c>
      <c r="S232" s="126">
        <v>0.9574</v>
      </c>
      <c r="T232" s="127">
        <v>74198.5</v>
      </c>
      <c r="U232" s="128">
        <f t="shared" si="2"/>
        <v>0</v>
      </c>
      <c r="V232" s="79" t="s">
        <v>65</v>
      </c>
      <c r="W232" s="79" t="s">
        <v>69</v>
      </c>
      <c r="X232" s="79" t="s">
        <v>66</v>
      </c>
      <c r="Y232" s="130">
        <v>0.6</v>
      </c>
      <c r="Z232" s="111">
        <v>11.0</v>
      </c>
      <c r="AA232" s="111">
        <v>402.0</v>
      </c>
      <c r="AB232" s="111" t="s">
        <v>62</v>
      </c>
      <c r="AC232" s="133"/>
      <c r="AD232" s="133"/>
      <c r="AE232" s="133"/>
      <c r="AF232" s="111"/>
      <c r="AG232" s="134" t="s">
        <v>1163</v>
      </c>
      <c r="AH232" s="73"/>
      <c r="AI232" s="135"/>
      <c r="AJ232" s="136"/>
      <c r="AK232" s="76"/>
      <c r="AL232" s="137"/>
      <c r="AM232" s="139">
        <v>402.0</v>
      </c>
      <c r="AN232" s="139">
        <v>639.0</v>
      </c>
      <c r="AO232" s="140">
        <v>112.95</v>
      </c>
      <c r="AP232" s="142">
        <v>37900.0</v>
      </c>
      <c r="AQ232" s="142">
        <v>226.0</v>
      </c>
      <c r="AR232" s="143"/>
      <c r="AS232" s="144">
        <v>0.9609674001359271</v>
      </c>
      <c r="AT232" s="144">
        <v>-0.0035674001359270457</v>
      </c>
      <c r="AU232" s="146" t="s">
        <v>1164</v>
      </c>
      <c r="AV232" s="146" t="s">
        <v>1164</v>
      </c>
      <c r="AW232" s="148" t="s">
        <v>1164</v>
      </c>
      <c r="AX232" s="151"/>
      <c r="AY232" s="105"/>
      <c r="AZ232" s="186"/>
      <c r="BA232" s="186"/>
      <c r="BB232" s="146"/>
      <c r="BC232" s="155"/>
      <c r="BD232" s="155"/>
      <c r="BE232" s="155"/>
      <c r="BF232" s="45"/>
    </row>
    <row r="233" ht="16.5" customHeight="1">
      <c r="A233" s="111">
        <v>230.0</v>
      </c>
      <c r="B233" s="112" t="s">
        <v>1166</v>
      </c>
      <c r="C233" s="115" t="s">
        <v>60</v>
      </c>
      <c r="D233" s="117">
        <v>42230.0</v>
      </c>
      <c r="E233" s="117">
        <v>42231.0</v>
      </c>
      <c r="F233" s="79" t="s">
        <v>118</v>
      </c>
      <c r="G233" s="118">
        <v>300.0</v>
      </c>
      <c r="H233" s="114">
        <v>150.0</v>
      </c>
      <c r="I233" s="120">
        <v>339.0</v>
      </c>
      <c r="J233" s="111" t="s">
        <v>61</v>
      </c>
      <c r="K233" s="121">
        <v>343.29</v>
      </c>
      <c r="L233" s="120" t="s">
        <v>63</v>
      </c>
      <c r="M233" s="120"/>
      <c r="N233" s="120"/>
      <c r="O233" s="124">
        <v>300.0</v>
      </c>
      <c r="P233" s="124">
        <v>2.0</v>
      </c>
      <c r="Q233" s="111">
        <v>187.0</v>
      </c>
      <c r="R233" s="125">
        <v>365.0</v>
      </c>
      <c r="S233" s="126">
        <v>0.9405</v>
      </c>
      <c r="T233" s="127">
        <v>64706.4</v>
      </c>
      <c r="U233" s="128">
        <f t="shared" si="2"/>
        <v>0</v>
      </c>
      <c r="V233" s="79"/>
      <c r="W233" s="79" t="s">
        <v>65</v>
      </c>
      <c r="X233" s="79" t="s">
        <v>65</v>
      </c>
      <c r="Y233" s="130">
        <v>0.9</v>
      </c>
      <c r="Z233" s="111">
        <v>11.0</v>
      </c>
      <c r="AA233" s="111">
        <v>339.0</v>
      </c>
      <c r="AB233" s="111" t="s">
        <v>61</v>
      </c>
      <c r="AC233" s="133"/>
      <c r="AD233" s="133"/>
      <c r="AE233" s="133"/>
      <c r="AF233" s="111"/>
      <c r="AG233" s="134" t="s">
        <v>1169</v>
      </c>
      <c r="AH233" s="73"/>
      <c r="AI233" s="135"/>
      <c r="AJ233" s="136"/>
      <c r="AK233" s="76"/>
      <c r="AL233" s="137"/>
      <c r="AM233" s="139">
        <v>343.0</v>
      </c>
      <c r="AN233" s="139">
        <v>2.0</v>
      </c>
      <c r="AO233" s="140">
        <v>0.84</v>
      </c>
      <c r="AP233" s="142">
        <v>300.0</v>
      </c>
      <c r="AQ233" s="142">
        <v>187.0</v>
      </c>
      <c r="AR233" s="143"/>
      <c r="AS233" s="144">
        <v>0.9993943988425253</v>
      </c>
      <c r="AT233" s="144">
        <v>-0.05889439884252534</v>
      </c>
      <c r="AU233" s="146" t="s">
        <v>1172</v>
      </c>
      <c r="AV233" s="146" t="s">
        <v>1172</v>
      </c>
      <c r="AW233" s="148" t="s">
        <v>1172</v>
      </c>
      <c r="AX233" s="151"/>
      <c r="AY233" s="105"/>
      <c r="AZ233" s="186"/>
      <c r="BA233" s="186"/>
      <c r="BB233" s="146"/>
      <c r="BC233" s="155"/>
      <c r="BD233" s="155"/>
      <c r="BE233" s="155"/>
      <c r="BF233" s="45"/>
    </row>
    <row r="234" ht="16.5" customHeight="1">
      <c r="A234" s="111">
        <v>231.0</v>
      </c>
      <c r="B234" s="112" t="s">
        <v>1043</v>
      </c>
      <c r="C234" s="115" t="s">
        <v>60</v>
      </c>
      <c r="D234" s="117">
        <v>42231.0</v>
      </c>
      <c r="E234" s="117">
        <v>42232.0</v>
      </c>
      <c r="F234" s="79" t="s">
        <v>118</v>
      </c>
      <c r="G234" s="118">
        <v>130.0</v>
      </c>
      <c r="H234" s="114">
        <v>65.0</v>
      </c>
      <c r="I234" s="120">
        <v>336.0</v>
      </c>
      <c r="J234" s="111" t="s">
        <v>62</v>
      </c>
      <c r="K234" s="121">
        <v>336.0</v>
      </c>
      <c r="L234" s="120" t="s">
        <v>63</v>
      </c>
      <c r="M234" s="120"/>
      <c r="N234" s="120"/>
      <c r="O234" s="124">
        <v>130.0</v>
      </c>
      <c r="P234" s="124">
        <v>2.0</v>
      </c>
      <c r="Q234" s="111">
        <v>208.0</v>
      </c>
      <c r="R234" s="125">
        <v>365.0</v>
      </c>
      <c r="S234" s="126">
        <v>0.9205</v>
      </c>
      <c r="T234" s="127">
        <v>63330.4</v>
      </c>
      <c r="U234" s="128">
        <f t="shared" si="2"/>
        <v>0</v>
      </c>
      <c r="V234" s="79"/>
      <c r="W234" s="79"/>
      <c r="X234" s="79"/>
      <c r="Y234" s="130"/>
      <c r="Z234" s="111"/>
      <c r="AA234" s="183"/>
      <c r="AB234" s="133"/>
      <c r="AC234" s="133"/>
      <c r="AD234" s="133"/>
      <c r="AE234" s="133"/>
      <c r="AF234" s="111"/>
      <c r="AG234" s="147"/>
      <c r="AH234" s="73"/>
      <c r="AI234" s="135"/>
      <c r="AJ234" s="136"/>
      <c r="AK234" s="76"/>
      <c r="AL234" s="137"/>
      <c r="AM234" s="139" t="s">
        <v>71</v>
      </c>
      <c r="AN234" s="139">
        <v>2.0</v>
      </c>
      <c r="AO234" s="140">
        <v>0.41</v>
      </c>
      <c r="AP234" s="142">
        <v>130.0</v>
      </c>
      <c r="AQ234" s="142">
        <v>208.0</v>
      </c>
      <c r="AR234" s="143"/>
      <c r="AS234" s="144">
        <v>0.9997366018221575</v>
      </c>
      <c r="AT234" s="144">
        <v>-0.07923660182215753</v>
      </c>
      <c r="AU234" s="146" t="s">
        <v>1181</v>
      </c>
      <c r="AV234" s="146" t="s">
        <v>1181</v>
      </c>
      <c r="AW234" s="148" t="s">
        <v>1181</v>
      </c>
      <c r="AX234" s="151"/>
      <c r="AY234" s="105"/>
      <c r="AZ234" s="186"/>
      <c r="BA234" s="186"/>
      <c r="BB234" s="146"/>
      <c r="BC234" s="155"/>
      <c r="BD234" s="155"/>
      <c r="BE234" s="155"/>
      <c r="BF234" s="45"/>
    </row>
    <row r="235" ht="16.5" customHeight="1">
      <c r="A235" s="111">
        <v>232.0</v>
      </c>
      <c r="B235" s="112" t="s">
        <v>623</v>
      </c>
      <c r="C235" s="115" t="s">
        <v>60</v>
      </c>
      <c r="D235" s="117">
        <v>41794.0</v>
      </c>
      <c r="E235" s="117">
        <v>42209.0</v>
      </c>
      <c r="F235" s="79" t="s">
        <v>59</v>
      </c>
      <c r="G235" s="118">
        <v>60689.0</v>
      </c>
      <c r="H235" s="114">
        <v>145.9</v>
      </c>
      <c r="I235" s="120">
        <v>374.0</v>
      </c>
      <c r="J235" s="111" t="s">
        <v>62</v>
      </c>
      <c r="K235" s="121">
        <v>374.0</v>
      </c>
      <c r="L235" s="120" t="s">
        <v>63</v>
      </c>
      <c r="M235" s="120"/>
      <c r="N235" s="120"/>
      <c r="O235" s="124">
        <v>60689.0</v>
      </c>
      <c r="P235" s="124">
        <v>416.0</v>
      </c>
      <c r="Q235" s="111">
        <v>189.0</v>
      </c>
      <c r="R235" s="125">
        <v>399.0</v>
      </c>
      <c r="S235" s="126">
        <v>0.9373</v>
      </c>
      <c r="T235" s="127">
        <v>72640.75</v>
      </c>
      <c r="U235" s="128">
        <f t="shared" si="2"/>
        <v>0</v>
      </c>
      <c r="V235" s="79" t="s">
        <v>67</v>
      </c>
      <c r="W235" s="79" t="s">
        <v>69</v>
      </c>
      <c r="X235" s="79" t="s">
        <v>69</v>
      </c>
      <c r="Y235" s="130">
        <v>0.9</v>
      </c>
      <c r="Z235" s="111">
        <v>9.0</v>
      </c>
      <c r="AA235" s="111">
        <v>398.0</v>
      </c>
      <c r="AB235" s="111" t="s">
        <v>62</v>
      </c>
      <c r="AC235" s="133"/>
      <c r="AD235" s="133"/>
      <c r="AE235" s="133"/>
      <c r="AF235" s="111"/>
      <c r="AG235" s="134" t="s">
        <v>1188</v>
      </c>
      <c r="AH235" s="73"/>
      <c r="AI235" s="135"/>
      <c r="AJ235" s="136"/>
      <c r="AK235" s="76"/>
      <c r="AL235" s="137"/>
      <c r="AM235" s="139">
        <v>398.0</v>
      </c>
      <c r="AN235" s="139">
        <v>416.0</v>
      </c>
      <c r="AO235" s="140">
        <v>152.81</v>
      </c>
      <c r="AP235" s="142">
        <v>60689.0</v>
      </c>
      <c r="AQ235" s="142">
        <v>189.0</v>
      </c>
      <c r="AR235" s="143"/>
      <c r="AS235" s="144">
        <v>0.9530224090032529</v>
      </c>
      <c r="AT235" s="144">
        <v>-0.015722409003252835</v>
      </c>
      <c r="AU235" s="146" t="s">
        <v>1190</v>
      </c>
      <c r="AV235" s="146" t="s">
        <v>1190</v>
      </c>
      <c r="AW235" s="148" t="s">
        <v>1190</v>
      </c>
      <c r="AX235" s="151"/>
      <c r="AY235" s="105"/>
      <c r="AZ235" s="186"/>
      <c r="BA235" s="186"/>
      <c r="BB235" s="146"/>
      <c r="BC235" s="155"/>
      <c r="BD235" s="155"/>
      <c r="BE235" s="155"/>
      <c r="BF235" s="45"/>
    </row>
    <row r="236" ht="16.5" customHeight="1">
      <c r="A236" s="111">
        <v>233.0</v>
      </c>
      <c r="B236" s="112" t="s">
        <v>623</v>
      </c>
      <c r="C236" s="115" t="s">
        <v>60</v>
      </c>
      <c r="D236" s="117">
        <v>41794.0</v>
      </c>
      <c r="E236" s="117">
        <v>42216.0</v>
      </c>
      <c r="F236" s="79" t="s">
        <v>59</v>
      </c>
      <c r="G236" s="118">
        <v>61228.0</v>
      </c>
      <c r="H236" s="114">
        <v>144.7</v>
      </c>
      <c r="I236" s="120">
        <v>376.0</v>
      </c>
      <c r="J236" s="111" t="s">
        <v>62</v>
      </c>
      <c r="K236" s="121">
        <v>376.0</v>
      </c>
      <c r="L236" s="120" t="s">
        <v>63</v>
      </c>
      <c r="M236" s="120"/>
      <c r="N236" s="120"/>
      <c r="O236" s="124">
        <v>61228.0</v>
      </c>
      <c r="P236" s="124">
        <v>423.0</v>
      </c>
      <c r="Q236" s="111">
        <v>189.0</v>
      </c>
      <c r="R236" s="125">
        <v>399.0</v>
      </c>
      <c r="S236" s="126">
        <v>0.9424</v>
      </c>
      <c r="T236" s="127">
        <v>73036.0</v>
      </c>
      <c r="U236" s="128">
        <f t="shared" si="2"/>
        <v>0</v>
      </c>
      <c r="V236" s="79" t="s">
        <v>67</v>
      </c>
      <c r="W236" s="79" t="s">
        <v>69</v>
      </c>
      <c r="X236" s="79" t="s">
        <v>69</v>
      </c>
      <c r="Y236" s="130">
        <v>0.9</v>
      </c>
      <c r="Z236" s="111">
        <v>9.0</v>
      </c>
      <c r="AA236" s="111">
        <v>398.0</v>
      </c>
      <c r="AB236" s="111" t="s">
        <v>62</v>
      </c>
      <c r="AC236" s="133"/>
      <c r="AD236" s="133"/>
      <c r="AE236" s="133"/>
      <c r="AF236" s="111"/>
      <c r="AG236" s="134" t="s">
        <v>1188</v>
      </c>
      <c r="AH236" s="73"/>
      <c r="AI236" s="135"/>
      <c r="AJ236" s="136"/>
      <c r="AK236" s="76"/>
      <c r="AL236" s="137"/>
      <c r="AM236" s="139">
        <v>398.0</v>
      </c>
      <c r="AN236" s="139">
        <v>423.0</v>
      </c>
      <c r="AO236" s="140">
        <v>153.76</v>
      </c>
      <c r="AP236" s="142">
        <v>61228.0</v>
      </c>
      <c r="AQ236" s="142">
        <v>189.0</v>
      </c>
      <c r="AR236" s="143"/>
      <c r="AS236" s="144">
        <v>0.9528811432932367</v>
      </c>
      <c r="AT236" s="144">
        <v>-0.010481143293236683</v>
      </c>
      <c r="AU236" s="146" t="s">
        <v>1195</v>
      </c>
      <c r="AV236" s="146" t="s">
        <v>1195</v>
      </c>
      <c r="AW236" s="148" t="s">
        <v>1195</v>
      </c>
      <c r="AX236" s="151"/>
      <c r="AY236" s="105"/>
      <c r="AZ236" s="186"/>
      <c r="BA236" s="186"/>
      <c r="BB236" s="146"/>
      <c r="BC236" s="155"/>
      <c r="BD236" s="155"/>
      <c r="BE236" s="155"/>
      <c r="BF236" s="45"/>
    </row>
    <row r="237" ht="16.5" customHeight="1">
      <c r="A237" s="111">
        <v>234.0</v>
      </c>
      <c r="B237" s="112" t="s">
        <v>623</v>
      </c>
      <c r="C237" s="115" t="s">
        <v>60</v>
      </c>
      <c r="D237" s="117">
        <v>41794.0</v>
      </c>
      <c r="E237" s="117">
        <v>42217.0</v>
      </c>
      <c r="F237" s="79" t="s">
        <v>59</v>
      </c>
      <c r="G237" s="118">
        <v>62102.0</v>
      </c>
      <c r="H237" s="114">
        <v>146.5</v>
      </c>
      <c r="I237" s="120">
        <v>377.0</v>
      </c>
      <c r="J237" s="111" t="s">
        <v>62</v>
      </c>
      <c r="K237" s="121">
        <v>377.0</v>
      </c>
      <c r="L237" s="120" t="s">
        <v>63</v>
      </c>
      <c r="M237" s="120"/>
      <c r="N237" s="120"/>
      <c r="O237" s="124">
        <v>62102.0</v>
      </c>
      <c r="P237" s="124">
        <v>424.0</v>
      </c>
      <c r="Q237" s="111">
        <v>189.0</v>
      </c>
      <c r="R237" s="125">
        <v>399.0</v>
      </c>
      <c r="S237" s="126">
        <v>0.9449</v>
      </c>
      <c r="T237" s="127">
        <v>73229.75</v>
      </c>
      <c r="U237" s="128">
        <f t="shared" si="2"/>
        <v>0</v>
      </c>
      <c r="V237" s="79" t="s">
        <v>67</v>
      </c>
      <c r="W237" s="79" t="s">
        <v>69</v>
      </c>
      <c r="X237" s="79" t="s">
        <v>69</v>
      </c>
      <c r="Y237" s="130">
        <v>0.9</v>
      </c>
      <c r="Z237" s="111">
        <v>9.0</v>
      </c>
      <c r="AA237" s="111">
        <v>398.0</v>
      </c>
      <c r="AB237" s="111" t="s">
        <v>62</v>
      </c>
      <c r="AC237" s="133"/>
      <c r="AD237" s="133"/>
      <c r="AE237" s="133"/>
      <c r="AF237" s="111"/>
      <c r="AG237" s="134" t="s">
        <v>1188</v>
      </c>
      <c r="AH237" s="73"/>
      <c r="AI237" s="135"/>
      <c r="AJ237" s="136"/>
      <c r="AK237" s="76"/>
      <c r="AL237" s="137"/>
      <c r="AM237" s="139">
        <v>398.0</v>
      </c>
      <c r="AN237" s="139">
        <v>424.0</v>
      </c>
      <c r="AO237" s="140">
        <v>155.76</v>
      </c>
      <c r="AP237" s="142">
        <v>62102.0</v>
      </c>
      <c r="AQ237" s="142">
        <v>189.0</v>
      </c>
      <c r="AR237" s="143"/>
      <c r="AS237" s="144">
        <v>0.9526551040146337</v>
      </c>
      <c r="AT237" s="144">
        <v>-0.007755104014633751</v>
      </c>
      <c r="AU237" s="146" t="s">
        <v>1201</v>
      </c>
      <c r="AV237" s="146" t="s">
        <v>1201</v>
      </c>
      <c r="AW237" s="148" t="s">
        <v>1201</v>
      </c>
      <c r="AX237" s="151"/>
      <c r="AY237" s="105"/>
      <c r="AZ237" s="186"/>
      <c r="BA237" s="186"/>
      <c r="BB237" s="146"/>
      <c r="BC237" s="155"/>
      <c r="BD237" s="155"/>
      <c r="BE237" s="155"/>
      <c r="BF237" s="45"/>
    </row>
    <row r="238" ht="16.5" customHeight="1">
      <c r="A238" s="111">
        <v>235.0</v>
      </c>
      <c r="B238" s="112" t="s">
        <v>623</v>
      </c>
      <c r="C238" s="115" t="s">
        <v>60</v>
      </c>
      <c r="D238" s="117">
        <v>41794.0</v>
      </c>
      <c r="E238" s="117">
        <v>42220.0</v>
      </c>
      <c r="F238" s="79" t="s">
        <v>59</v>
      </c>
      <c r="G238" s="118">
        <v>62375.0</v>
      </c>
      <c r="H238" s="114">
        <v>146.1</v>
      </c>
      <c r="I238" s="120">
        <v>376.0</v>
      </c>
      <c r="J238" s="111" t="s">
        <v>62</v>
      </c>
      <c r="K238" s="121">
        <v>376.0</v>
      </c>
      <c r="L238" s="120" t="s">
        <v>63</v>
      </c>
      <c r="M238" s="120"/>
      <c r="N238" s="120"/>
      <c r="O238" s="124">
        <v>62375.0</v>
      </c>
      <c r="P238" s="124">
        <v>427.0</v>
      </c>
      <c r="Q238" s="111">
        <v>189.0</v>
      </c>
      <c r="R238" s="125">
        <v>399.0</v>
      </c>
      <c r="S238" s="126">
        <v>0.9424</v>
      </c>
      <c r="T238" s="127">
        <v>73036.0</v>
      </c>
      <c r="U238" s="128">
        <f t="shared" si="2"/>
        <v>0</v>
      </c>
      <c r="V238" s="79" t="s">
        <v>67</v>
      </c>
      <c r="W238" s="79" t="s">
        <v>69</v>
      </c>
      <c r="X238" s="79" t="s">
        <v>69</v>
      </c>
      <c r="Y238" s="130">
        <v>0.9</v>
      </c>
      <c r="Z238" s="111">
        <v>9.0</v>
      </c>
      <c r="AA238" s="111">
        <v>398.0</v>
      </c>
      <c r="AB238" s="111" t="s">
        <v>62</v>
      </c>
      <c r="AC238" s="133"/>
      <c r="AD238" s="133"/>
      <c r="AE238" s="133"/>
      <c r="AF238" s="111"/>
      <c r="AG238" s="134" t="s">
        <v>1188</v>
      </c>
      <c r="AH238" s="73"/>
      <c r="AI238" s="135"/>
      <c r="AJ238" s="136"/>
      <c r="AK238" s="76"/>
      <c r="AL238" s="137"/>
      <c r="AM238" s="139">
        <v>398.0</v>
      </c>
      <c r="AN238" s="139">
        <v>427.0</v>
      </c>
      <c r="AO238" s="140">
        <v>156.64</v>
      </c>
      <c r="AP238" s="142">
        <v>62375.0</v>
      </c>
      <c r="AQ238" s="142">
        <v>189.0</v>
      </c>
      <c r="AR238" s="143"/>
      <c r="AS238" s="144">
        <v>0.9525852462541798</v>
      </c>
      <c r="AT238" s="144">
        <v>-0.010185246254179825</v>
      </c>
      <c r="AU238" s="146" t="s">
        <v>1210</v>
      </c>
      <c r="AV238" s="146" t="s">
        <v>1210</v>
      </c>
      <c r="AW238" s="148" t="s">
        <v>1210</v>
      </c>
      <c r="AX238" s="151"/>
      <c r="AY238" s="105"/>
      <c r="AZ238" s="186"/>
      <c r="BA238" s="186"/>
      <c r="BB238" s="146"/>
      <c r="BC238" s="155"/>
      <c r="BD238" s="155"/>
      <c r="BE238" s="155"/>
      <c r="BF238" s="45"/>
    </row>
    <row r="239" ht="16.5" customHeight="1">
      <c r="A239" s="111">
        <v>236.0</v>
      </c>
      <c r="B239" s="112" t="s">
        <v>623</v>
      </c>
      <c r="C239" s="115" t="s">
        <v>60</v>
      </c>
      <c r="D239" s="117">
        <v>41794.0</v>
      </c>
      <c r="E239" s="117">
        <v>42221.0</v>
      </c>
      <c r="F239" s="79" t="s">
        <v>59</v>
      </c>
      <c r="G239" s="118">
        <v>62465.0</v>
      </c>
      <c r="H239" s="114">
        <v>145.9</v>
      </c>
      <c r="I239" s="120">
        <v>377.0</v>
      </c>
      <c r="J239" s="111" t="s">
        <v>62</v>
      </c>
      <c r="K239" s="121">
        <v>377.0</v>
      </c>
      <c r="L239" s="120" t="s">
        <v>63</v>
      </c>
      <c r="M239" s="120"/>
      <c r="N239" s="120"/>
      <c r="O239" s="124">
        <v>62465.0</v>
      </c>
      <c r="P239" s="124">
        <v>428.0</v>
      </c>
      <c r="Q239" s="111">
        <v>189.0</v>
      </c>
      <c r="R239" s="125">
        <v>399.0</v>
      </c>
      <c r="S239" s="126">
        <v>0.9449</v>
      </c>
      <c r="T239" s="127">
        <v>73229.75</v>
      </c>
      <c r="U239" s="128">
        <f t="shared" si="2"/>
        <v>0</v>
      </c>
      <c r="V239" s="79" t="s">
        <v>67</v>
      </c>
      <c r="W239" s="79" t="s">
        <v>69</v>
      </c>
      <c r="X239" s="79" t="s">
        <v>69</v>
      </c>
      <c r="Y239" s="130">
        <v>0.9</v>
      </c>
      <c r="Z239" s="111">
        <v>9.0</v>
      </c>
      <c r="AA239" s="111">
        <v>398.0</v>
      </c>
      <c r="AB239" s="111" t="s">
        <v>62</v>
      </c>
      <c r="AC239" s="133"/>
      <c r="AD239" s="133"/>
      <c r="AE239" s="133"/>
      <c r="AF239" s="111"/>
      <c r="AG239" s="134" t="s">
        <v>1188</v>
      </c>
      <c r="AH239" s="73"/>
      <c r="AI239" s="135"/>
      <c r="AJ239" s="136"/>
      <c r="AK239" s="76"/>
      <c r="AL239" s="137"/>
      <c r="AM239" s="139">
        <v>398.0</v>
      </c>
      <c r="AN239" s="139">
        <v>428.0</v>
      </c>
      <c r="AO239" s="140">
        <v>156.67</v>
      </c>
      <c r="AP239" s="142">
        <v>62465.0</v>
      </c>
      <c r="AQ239" s="142">
        <v>189.0</v>
      </c>
      <c r="AR239" s="143"/>
      <c r="AS239" s="144">
        <v>0.9525622926734797</v>
      </c>
      <c r="AT239" s="144">
        <v>-0.007662292673479731</v>
      </c>
      <c r="AU239" s="146" t="s">
        <v>1217</v>
      </c>
      <c r="AV239" s="146" t="s">
        <v>1217</v>
      </c>
      <c r="AW239" s="148" t="s">
        <v>1217</v>
      </c>
      <c r="AX239" s="151"/>
      <c r="AY239" s="105"/>
      <c r="AZ239" s="186"/>
      <c r="BA239" s="186"/>
      <c r="BB239" s="146"/>
      <c r="BC239" s="155"/>
      <c r="BD239" s="155"/>
      <c r="BE239" s="155"/>
      <c r="BF239" s="45"/>
    </row>
    <row r="240" ht="16.5" customHeight="1">
      <c r="A240" s="111">
        <v>237.0</v>
      </c>
      <c r="B240" s="112" t="s">
        <v>623</v>
      </c>
      <c r="C240" s="115" t="s">
        <v>60</v>
      </c>
      <c r="D240" s="117">
        <v>41794.0</v>
      </c>
      <c r="E240" s="117">
        <v>42223.0</v>
      </c>
      <c r="F240" s="79" t="s">
        <v>59</v>
      </c>
      <c r="G240" s="118">
        <v>62669.0</v>
      </c>
      <c r="H240" s="114">
        <v>145.7</v>
      </c>
      <c r="I240" s="120">
        <v>378.0</v>
      </c>
      <c r="J240" s="111" t="s">
        <v>62</v>
      </c>
      <c r="K240" s="121">
        <v>378.0</v>
      </c>
      <c r="L240" s="120" t="s">
        <v>63</v>
      </c>
      <c r="M240" s="120"/>
      <c r="N240" s="120"/>
      <c r="O240" s="124">
        <v>62669.0</v>
      </c>
      <c r="P240" s="124">
        <v>430.0</v>
      </c>
      <c r="Q240" s="111">
        <v>189.0</v>
      </c>
      <c r="R240" s="125">
        <v>399.0</v>
      </c>
      <c r="S240" s="126">
        <v>0.9474</v>
      </c>
      <c r="T240" s="127">
        <v>73423.5</v>
      </c>
      <c r="U240" s="128">
        <f t="shared" si="2"/>
        <v>0</v>
      </c>
      <c r="V240" s="79" t="s">
        <v>67</v>
      </c>
      <c r="W240" s="79" t="s">
        <v>69</v>
      </c>
      <c r="X240" s="79" t="s">
        <v>69</v>
      </c>
      <c r="Y240" s="130">
        <v>0.9</v>
      </c>
      <c r="Z240" s="111">
        <v>9.0</v>
      </c>
      <c r="AA240" s="111">
        <v>398.0</v>
      </c>
      <c r="AB240" s="111" t="s">
        <v>62</v>
      </c>
      <c r="AC240" s="133"/>
      <c r="AD240" s="133"/>
      <c r="AE240" s="133"/>
      <c r="AF240" s="111"/>
      <c r="AG240" s="134" t="s">
        <v>1188</v>
      </c>
      <c r="AH240" s="73"/>
      <c r="AI240" s="135"/>
      <c r="AJ240" s="136"/>
      <c r="AK240" s="76"/>
      <c r="AL240" s="137"/>
      <c r="AM240" s="139">
        <v>398.0</v>
      </c>
      <c r="AN240" s="139">
        <v>430.0</v>
      </c>
      <c r="AO240" s="140">
        <v>156.98</v>
      </c>
      <c r="AP240" s="142">
        <v>62669.0</v>
      </c>
      <c r="AQ240" s="142">
        <v>189.0</v>
      </c>
      <c r="AR240" s="143"/>
      <c r="AS240" s="144">
        <v>0.9525104036595116</v>
      </c>
      <c r="AT240" s="144">
        <v>-0.005110403659511542</v>
      </c>
      <c r="AU240" s="146" t="s">
        <v>1221</v>
      </c>
      <c r="AV240" s="146" t="s">
        <v>1221</v>
      </c>
      <c r="AW240" s="148" t="s">
        <v>1221</v>
      </c>
      <c r="AX240" s="151"/>
      <c r="AY240" s="105"/>
      <c r="AZ240" s="186"/>
      <c r="BA240" s="186"/>
      <c r="BB240" s="146"/>
      <c r="BC240" s="155"/>
      <c r="BD240" s="155"/>
      <c r="BE240" s="155"/>
      <c r="BF240" s="45"/>
    </row>
    <row r="241" ht="16.5" customHeight="1">
      <c r="A241" s="111">
        <v>238.0</v>
      </c>
      <c r="B241" s="112" t="s">
        <v>623</v>
      </c>
      <c r="C241" s="115" t="s">
        <v>60</v>
      </c>
      <c r="D241" s="117">
        <v>41794.0</v>
      </c>
      <c r="E241" s="117">
        <v>42225.0</v>
      </c>
      <c r="F241" s="79" t="s">
        <v>59</v>
      </c>
      <c r="G241" s="118">
        <v>62764.0</v>
      </c>
      <c r="H241" s="114">
        <v>145.3</v>
      </c>
      <c r="I241" s="120">
        <v>378.0</v>
      </c>
      <c r="J241" s="111" t="s">
        <v>62</v>
      </c>
      <c r="K241" s="121">
        <v>378.0</v>
      </c>
      <c r="L241" s="120" t="s">
        <v>63</v>
      </c>
      <c r="M241" s="120"/>
      <c r="N241" s="120"/>
      <c r="O241" s="124">
        <v>62764.0</v>
      </c>
      <c r="P241" s="124">
        <v>432.0</v>
      </c>
      <c r="Q241" s="111">
        <v>189.0</v>
      </c>
      <c r="R241" s="125">
        <v>399.0</v>
      </c>
      <c r="S241" s="126">
        <v>0.9474</v>
      </c>
      <c r="T241" s="127">
        <v>73423.5</v>
      </c>
      <c r="U241" s="128">
        <f t="shared" si="2"/>
        <v>0</v>
      </c>
      <c r="V241" s="79" t="s">
        <v>67</v>
      </c>
      <c r="W241" s="79" t="s">
        <v>69</v>
      </c>
      <c r="X241" s="79" t="s">
        <v>69</v>
      </c>
      <c r="Y241" s="130">
        <v>0.9</v>
      </c>
      <c r="Z241" s="111">
        <v>9.0</v>
      </c>
      <c r="AA241" s="111">
        <v>398.0</v>
      </c>
      <c r="AB241" s="111" t="s">
        <v>62</v>
      </c>
      <c r="AC241" s="133"/>
      <c r="AD241" s="133"/>
      <c r="AE241" s="133"/>
      <c r="AF241" s="111"/>
      <c r="AG241" s="134" t="s">
        <v>1188</v>
      </c>
      <c r="AH241" s="73"/>
      <c r="AI241" s="135"/>
      <c r="AJ241" s="136"/>
      <c r="AK241" s="76"/>
      <c r="AL241" s="137"/>
      <c r="AM241" s="139">
        <v>398.0</v>
      </c>
      <c r="AN241" s="139">
        <v>432.0</v>
      </c>
      <c r="AO241" s="140">
        <v>157.22</v>
      </c>
      <c r="AP241" s="142">
        <v>62764.0</v>
      </c>
      <c r="AQ241" s="142">
        <v>189.0</v>
      </c>
      <c r="AR241" s="143"/>
      <c r="AS241" s="144">
        <v>0.9524863051358955</v>
      </c>
      <c r="AT241" s="144">
        <v>-0.005086305135895475</v>
      </c>
      <c r="AU241" s="146" t="s">
        <v>1225</v>
      </c>
      <c r="AV241" s="146" t="s">
        <v>1225</v>
      </c>
      <c r="AW241" s="148" t="s">
        <v>1225</v>
      </c>
      <c r="AX241" s="151"/>
      <c r="AY241" s="105"/>
      <c r="AZ241" s="186"/>
      <c r="BA241" s="186"/>
      <c r="BB241" s="146"/>
      <c r="BC241" s="155"/>
      <c r="BD241" s="155"/>
      <c r="BE241" s="155"/>
      <c r="BF241" s="45"/>
    </row>
    <row r="242" ht="16.5" customHeight="1">
      <c r="A242" s="111">
        <v>239.0</v>
      </c>
      <c r="B242" s="112" t="s">
        <v>623</v>
      </c>
      <c r="C242" s="115" t="s">
        <v>60</v>
      </c>
      <c r="D242" s="117">
        <v>41794.0</v>
      </c>
      <c r="E242" s="117">
        <v>42229.0</v>
      </c>
      <c r="F242" s="79" t="s">
        <v>59</v>
      </c>
      <c r="G242" s="118">
        <v>63103.0</v>
      </c>
      <c r="H242" s="114">
        <v>144.7</v>
      </c>
      <c r="I242" s="120">
        <v>379.0</v>
      </c>
      <c r="J242" s="111" t="s">
        <v>62</v>
      </c>
      <c r="K242" s="121">
        <v>379.0</v>
      </c>
      <c r="L242" s="120" t="s">
        <v>63</v>
      </c>
      <c r="M242" s="120"/>
      <c r="N242" s="120"/>
      <c r="O242" s="124">
        <v>63103.0</v>
      </c>
      <c r="P242" s="124">
        <v>436.0</v>
      </c>
      <c r="Q242" s="111">
        <v>189.0</v>
      </c>
      <c r="R242" s="125">
        <v>399.0</v>
      </c>
      <c r="S242" s="126">
        <v>0.9499</v>
      </c>
      <c r="T242" s="127">
        <v>73617.25</v>
      </c>
      <c r="U242" s="128">
        <f t="shared" si="2"/>
        <v>0</v>
      </c>
      <c r="V242" s="79" t="s">
        <v>67</v>
      </c>
      <c r="W242" s="79" t="s">
        <v>69</v>
      </c>
      <c r="X242" s="79" t="s">
        <v>69</v>
      </c>
      <c r="Y242" s="130">
        <v>0.9</v>
      </c>
      <c r="Z242" s="111">
        <v>9.0</v>
      </c>
      <c r="AA242" s="111">
        <v>398.0</v>
      </c>
      <c r="AB242" s="111" t="s">
        <v>62</v>
      </c>
      <c r="AC242" s="133"/>
      <c r="AD242" s="133"/>
      <c r="AE242" s="133"/>
      <c r="AF242" s="111"/>
      <c r="AG242" s="134" t="s">
        <v>1228</v>
      </c>
      <c r="AH242" s="73"/>
      <c r="AI242" s="135"/>
      <c r="AJ242" s="136"/>
      <c r="AK242" s="76"/>
      <c r="AL242" s="137"/>
      <c r="AM242" s="139">
        <v>398.0</v>
      </c>
      <c r="AN242" s="139">
        <v>436.0</v>
      </c>
      <c r="AO242" s="140">
        <v>157.86</v>
      </c>
      <c r="AP242" s="142">
        <v>63103.0</v>
      </c>
      <c r="AQ242" s="142">
        <v>189.0</v>
      </c>
      <c r="AR242" s="143"/>
      <c r="AS242" s="144">
        <v>0.9524006472220683</v>
      </c>
      <c r="AT242" s="144">
        <v>-0.0025006472220683307</v>
      </c>
      <c r="AU242" s="146" t="s">
        <v>1230</v>
      </c>
      <c r="AV242" s="146" t="s">
        <v>1230</v>
      </c>
      <c r="AW242" s="148" t="s">
        <v>1230</v>
      </c>
      <c r="AX242" s="151"/>
      <c r="AY242" s="105"/>
      <c r="AZ242" s="186"/>
      <c r="BA242" s="186"/>
      <c r="BB242" s="146"/>
      <c r="BC242" s="155"/>
      <c r="BD242" s="155"/>
      <c r="BE242" s="155"/>
      <c r="BF242" s="45"/>
    </row>
    <row r="243" ht="16.5" customHeight="1">
      <c r="A243" s="111">
        <v>240.0</v>
      </c>
      <c r="B243" s="112" t="s">
        <v>348</v>
      </c>
      <c r="C243" s="115" t="s">
        <v>60</v>
      </c>
      <c r="D243" s="117">
        <v>41608.0</v>
      </c>
      <c r="E243" s="117">
        <v>42234.0</v>
      </c>
      <c r="F243" s="79" t="s">
        <v>59</v>
      </c>
      <c r="G243" s="118">
        <v>54500.0</v>
      </c>
      <c r="H243" s="114">
        <v>86.9</v>
      </c>
      <c r="I243" s="120">
        <v>371.0</v>
      </c>
      <c r="J243" s="111" t="s">
        <v>61</v>
      </c>
      <c r="K243" s="121">
        <v>375.7</v>
      </c>
      <c r="L243" s="120" t="s">
        <v>195</v>
      </c>
      <c r="M243" s="120" t="s">
        <v>1233</v>
      </c>
      <c r="N243" s="120">
        <v>25000.0</v>
      </c>
      <c r="O243" s="124">
        <v>41909.0</v>
      </c>
      <c r="P243" s="124">
        <v>482.0</v>
      </c>
      <c r="Q243" s="111">
        <v>265.0</v>
      </c>
      <c r="R243" s="125">
        <v>399.0</v>
      </c>
      <c r="S243" s="126">
        <v>0.9416</v>
      </c>
      <c r="T243" s="127">
        <v>72974.0</v>
      </c>
      <c r="U243" s="128">
        <f t="shared" si="2"/>
        <v>0</v>
      </c>
      <c r="V243" s="79" t="s">
        <v>65</v>
      </c>
      <c r="W243" s="79" t="s">
        <v>69</v>
      </c>
      <c r="X243" s="79" t="s">
        <v>69</v>
      </c>
      <c r="Y243" s="130">
        <v>0.9</v>
      </c>
      <c r="Z243" s="111">
        <v>9.0</v>
      </c>
      <c r="AA243" s="111">
        <v>399.0</v>
      </c>
      <c r="AB243" s="111" t="s">
        <v>61</v>
      </c>
      <c r="AC243" s="111">
        <v>371.0</v>
      </c>
      <c r="AD243" s="111">
        <v>0.0</v>
      </c>
      <c r="AE243" s="111">
        <v>68.2</v>
      </c>
      <c r="AF243" s="111" t="s">
        <v>61</v>
      </c>
      <c r="AG243" s="134" t="s">
        <v>1238</v>
      </c>
      <c r="AH243" s="73">
        <v>371.0</v>
      </c>
      <c r="AI243" s="135">
        <v>375.6962025316456</v>
      </c>
      <c r="AJ243" s="136">
        <v>68.20068935309973</v>
      </c>
      <c r="AK243" s="76">
        <v>0.8800088948787063</v>
      </c>
      <c r="AL243" s="137" t="s">
        <v>1240</v>
      </c>
      <c r="AM243" s="139">
        <v>404.0</v>
      </c>
      <c r="AN243" s="139">
        <v>627.0</v>
      </c>
      <c r="AO243" s="140">
        <v>147.63</v>
      </c>
      <c r="AP243" s="142">
        <v>41909.0</v>
      </c>
      <c r="AQ243" s="142">
        <v>265.0</v>
      </c>
      <c r="AR243" s="143"/>
      <c r="AS243" s="144">
        <v>0.9591942994793428</v>
      </c>
      <c r="AT243" s="144">
        <v>-0.017594299479342768</v>
      </c>
      <c r="AU243" s="146" t="s">
        <v>1241</v>
      </c>
      <c r="AV243" s="146" t="s">
        <v>1241</v>
      </c>
      <c r="AW243" s="148" t="s">
        <v>1241</v>
      </c>
      <c r="AX243" s="151"/>
      <c r="AY243" s="105"/>
      <c r="AZ243" s="186"/>
      <c r="BA243" s="186"/>
      <c r="BB243" s="146"/>
      <c r="BC243" s="155"/>
      <c r="BD243" s="155"/>
      <c r="BE243" s="155"/>
      <c r="BF243" s="45"/>
    </row>
    <row r="244" ht="16.5" customHeight="1">
      <c r="A244" s="111">
        <v>241.0</v>
      </c>
      <c r="B244" s="112" t="s">
        <v>717</v>
      </c>
      <c r="C244" s="115" t="s">
        <v>60</v>
      </c>
      <c r="D244" s="117">
        <v>42093.0</v>
      </c>
      <c r="E244" s="117">
        <v>42231.0</v>
      </c>
      <c r="F244" s="79" t="s">
        <v>90</v>
      </c>
      <c r="G244" s="118">
        <v>10843.0</v>
      </c>
      <c r="H244" s="114">
        <v>78.0</v>
      </c>
      <c r="I244" s="120">
        <v>408.0</v>
      </c>
      <c r="J244" s="111" t="s">
        <v>62</v>
      </c>
      <c r="K244" s="121">
        <v>408.0</v>
      </c>
      <c r="L244" s="120" t="s">
        <v>63</v>
      </c>
      <c r="M244" s="120"/>
      <c r="N244" s="120"/>
      <c r="O244" s="124">
        <v>10843.0</v>
      </c>
      <c r="P244" s="124">
        <v>139.0</v>
      </c>
      <c r="Q244" s="111">
        <v>199.0</v>
      </c>
      <c r="R244" s="125">
        <v>408.0</v>
      </c>
      <c r="S244" s="126">
        <v>1.0</v>
      </c>
      <c r="T244" s="127">
        <v>77500.0</v>
      </c>
      <c r="U244" s="128">
        <f t="shared" si="2"/>
        <v>0</v>
      </c>
      <c r="V244" s="79" t="s">
        <v>65</v>
      </c>
      <c r="W244" s="79" t="s">
        <v>65</v>
      </c>
      <c r="X244" s="79" t="s">
        <v>69</v>
      </c>
      <c r="Y244" s="130">
        <v>0.8</v>
      </c>
      <c r="Z244" s="111">
        <v>11.0</v>
      </c>
      <c r="AA244" s="111"/>
      <c r="AB244" s="111"/>
      <c r="AC244" s="111">
        <v>410.0</v>
      </c>
      <c r="AD244" s="111">
        <v>360.0</v>
      </c>
      <c r="AE244" s="111">
        <v>9.6</v>
      </c>
      <c r="AF244" s="111" t="s">
        <v>62</v>
      </c>
      <c r="AG244" s="147"/>
      <c r="AH244" s="73">
        <v>50.0</v>
      </c>
      <c r="AI244" s="135">
        <v>50.0</v>
      </c>
      <c r="AJ244" s="136">
        <v>78.336</v>
      </c>
      <c r="AK244" s="76">
        <v>1.0107870967741936</v>
      </c>
      <c r="AL244" s="137" t="s">
        <v>1246</v>
      </c>
      <c r="AM244" s="139" t="s">
        <v>71</v>
      </c>
      <c r="AN244" s="139">
        <v>139.0</v>
      </c>
      <c r="AO244" s="140">
        <v>27.85</v>
      </c>
      <c r="AP244" s="142">
        <v>10843.0</v>
      </c>
      <c r="AQ244" s="142">
        <v>199.0</v>
      </c>
      <c r="AR244" s="143"/>
      <c r="AS244" s="144">
        <v>0.9823851106399362</v>
      </c>
      <c r="AT244" s="144">
        <v>0.017614889360063835</v>
      </c>
      <c r="AU244" s="146" t="s">
        <v>1247</v>
      </c>
      <c r="AV244" s="146" t="s">
        <v>1247</v>
      </c>
      <c r="AW244" s="148" t="s">
        <v>1247</v>
      </c>
      <c r="AX244" s="151"/>
      <c r="AY244" s="105"/>
      <c r="AZ244" s="186"/>
      <c r="BA244" s="186"/>
      <c r="BB244" s="146"/>
      <c r="BC244" s="155"/>
      <c r="BD244" s="155"/>
      <c r="BE244" s="155"/>
      <c r="BF244" s="45"/>
    </row>
    <row r="245" ht="16.5" customHeight="1">
      <c r="A245" s="111">
        <v>242.0</v>
      </c>
      <c r="B245" s="112" t="s">
        <v>207</v>
      </c>
      <c r="C245" s="115" t="s">
        <v>60</v>
      </c>
      <c r="D245" s="117">
        <v>41619.0</v>
      </c>
      <c r="E245" s="117">
        <v>42234.0</v>
      </c>
      <c r="F245" s="79" t="s">
        <v>79</v>
      </c>
      <c r="G245" s="118">
        <v>68000.0</v>
      </c>
      <c r="H245" s="114">
        <v>110.4</v>
      </c>
      <c r="I245" s="120">
        <v>384.0</v>
      </c>
      <c r="J245" s="111" t="s">
        <v>61</v>
      </c>
      <c r="K245" s="121">
        <v>388.86</v>
      </c>
      <c r="L245" s="120" t="s">
        <v>63</v>
      </c>
      <c r="M245" s="120"/>
      <c r="N245" s="120"/>
      <c r="O245" s="124">
        <v>68000.0</v>
      </c>
      <c r="P245" s="124">
        <v>616.0</v>
      </c>
      <c r="Q245" s="111">
        <v>232.0</v>
      </c>
      <c r="R245" s="125">
        <v>399.0</v>
      </c>
      <c r="S245" s="126">
        <v>0.9746</v>
      </c>
      <c r="T245" s="127">
        <v>75531.5</v>
      </c>
      <c r="U245" s="128">
        <f t="shared" si="2"/>
        <v>0</v>
      </c>
      <c r="V245" s="79" t="s">
        <v>65</v>
      </c>
      <c r="W245" s="79" t="s">
        <v>65</v>
      </c>
      <c r="X245" s="79" t="s">
        <v>69</v>
      </c>
      <c r="Y245" s="130">
        <v>0.9</v>
      </c>
      <c r="Z245" s="111">
        <v>11.0</v>
      </c>
      <c r="AA245" s="133"/>
      <c r="AB245" s="133"/>
      <c r="AC245" s="133"/>
      <c r="AD245" s="133"/>
      <c r="AE245" s="133"/>
      <c r="AF245" s="111"/>
      <c r="AG245" s="147"/>
      <c r="AH245" s="73"/>
      <c r="AI245" s="135"/>
      <c r="AJ245" s="136"/>
      <c r="AK245" s="76"/>
      <c r="AL245" s="137"/>
      <c r="AM245" s="139" t="s">
        <v>71</v>
      </c>
      <c r="AN245" s="139">
        <v>616.0</v>
      </c>
      <c r="AO245" s="140">
        <v>206.21</v>
      </c>
      <c r="AP245" s="142">
        <v>68000.0</v>
      </c>
      <c r="AQ245" s="142">
        <v>232.0</v>
      </c>
      <c r="AR245" s="143"/>
      <c r="AS245" s="144">
        <v>0.9512171775634499</v>
      </c>
      <c r="AT245" s="144">
        <v>0.0233828224365501</v>
      </c>
      <c r="AU245" s="146" t="s">
        <v>1250</v>
      </c>
      <c r="AV245" s="146" t="s">
        <v>1250</v>
      </c>
      <c r="AW245" s="148" t="s">
        <v>1250</v>
      </c>
      <c r="AX245" s="151"/>
      <c r="AY245" s="105"/>
      <c r="AZ245" s="186"/>
      <c r="BA245" s="186"/>
      <c r="BB245" s="146"/>
      <c r="BC245" s="155"/>
      <c r="BD245" s="155"/>
      <c r="BE245" s="155"/>
      <c r="BF245" s="45"/>
    </row>
    <row r="246" ht="16.5" customHeight="1">
      <c r="A246" s="111">
        <v>243.0</v>
      </c>
      <c r="B246" s="112" t="s">
        <v>279</v>
      </c>
      <c r="C246" s="115" t="s">
        <v>60</v>
      </c>
      <c r="D246" s="117">
        <v>41592.0</v>
      </c>
      <c r="E246" s="117">
        <v>42231.0</v>
      </c>
      <c r="F246" s="79" t="s">
        <v>59</v>
      </c>
      <c r="G246" s="118">
        <v>52619.0</v>
      </c>
      <c r="H246" s="114">
        <v>82.2</v>
      </c>
      <c r="I246" s="120">
        <v>381.0</v>
      </c>
      <c r="J246" s="111" t="s">
        <v>61</v>
      </c>
      <c r="K246" s="121">
        <v>385.82</v>
      </c>
      <c r="L246" s="120" t="s">
        <v>195</v>
      </c>
      <c r="M246" s="120" t="s">
        <v>281</v>
      </c>
      <c r="N246" s="120">
        <v>12000.0</v>
      </c>
      <c r="O246" s="124">
        <v>40619.0</v>
      </c>
      <c r="P246" s="124">
        <v>494.0</v>
      </c>
      <c r="Q246" s="111">
        <v>238.0</v>
      </c>
      <c r="R246" s="125">
        <v>399.0</v>
      </c>
      <c r="S246" s="126">
        <v>0.967</v>
      </c>
      <c r="T246" s="127">
        <v>74942.5</v>
      </c>
      <c r="U246" s="128">
        <f t="shared" si="2"/>
        <v>0</v>
      </c>
      <c r="V246" s="79" t="s">
        <v>65</v>
      </c>
      <c r="W246" s="79" t="s">
        <v>69</v>
      </c>
      <c r="X246" s="79" t="s">
        <v>66</v>
      </c>
      <c r="Y246" s="130">
        <v>0.9</v>
      </c>
      <c r="Z246" s="111">
        <v>11.0</v>
      </c>
      <c r="AA246" s="111">
        <v>399.0</v>
      </c>
      <c r="AB246" s="111" t="s">
        <v>61</v>
      </c>
      <c r="AC246" s="133"/>
      <c r="AD246" s="133"/>
      <c r="AE246" s="133"/>
      <c r="AF246" s="111"/>
      <c r="AG246" s="134" t="s">
        <v>1253</v>
      </c>
      <c r="AH246" s="73"/>
      <c r="AI246" s="135"/>
      <c r="AJ246" s="136"/>
      <c r="AK246" s="76"/>
      <c r="AL246" s="137"/>
      <c r="AM246" s="139">
        <v>404.0</v>
      </c>
      <c r="AN246" s="139">
        <v>640.0</v>
      </c>
      <c r="AO246" s="140">
        <v>126.85</v>
      </c>
      <c r="AP246" s="142">
        <v>40619.0</v>
      </c>
      <c r="AQ246" s="142">
        <v>238.0</v>
      </c>
      <c r="AR246" s="143"/>
      <c r="AS246" s="144">
        <v>0.9597414654275305</v>
      </c>
      <c r="AT246" s="144">
        <v>0.007258534572469499</v>
      </c>
      <c r="AU246" s="146" t="s">
        <v>1255</v>
      </c>
      <c r="AV246" s="146" t="s">
        <v>1255</v>
      </c>
      <c r="AW246" s="148" t="s">
        <v>1255</v>
      </c>
      <c r="AX246" s="151"/>
      <c r="AY246" s="105"/>
      <c r="AZ246" s="186"/>
      <c r="BA246" s="186"/>
      <c r="BB246" s="146"/>
      <c r="BC246" s="155"/>
      <c r="BD246" s="155"/>
      <c r="BE246" s="155"/>
      <c r="BF246" s="45"/>
    </row>
    <row r="247" ht="16.5" customHeight="1">
      <c r="A247" s="111">
        <v>244.0</v>
      </c>
      <c r="B247" s="112" t="s">
        <v>813</v>
      </c>
      <c r="C247" s="115" t="s">
        <v>60</v>
      </c>
      <c r="D247" s="117">
        <v>42084.0</v>
      </c>
      <c r="E247" s="117">
        <v>42235.0</v>
      </c>
      <c r="F247" s="79" t="s">
        <v>59</v>
      </c>
      <c r="G247" s="118">
        <v>20120.0</v>
      </c>
      <c r="H247" s="114">
        <v>132.4</v>
      </c>
      <c r="I247" s="120">
        <v>389.0</v>
      </c>
      <c r="J247" s="111" t="s">
        <v>61</v>
      </c>
      <c r="K247" s="121">
        <v>393.92</v>
      </c>
      <c r="L247" s="120" t="s">
        <v>63</v>
      </c>
      <c r="M247" s="120"/>
      <c r="N247" s="120"/>
      <c r="O247" s="124">
        <v>20120.0</v>
      </c>
      <c r="P247" s="124">
        <v>152.0</v>
      </c>
      <c r="Q247" s="111">
        <v>216.0</v>
      </c>
      <c r="R247" s="125">
        <v>399.0</v>
      </c>
      <c r="S247" s="126">
        <v>0.9873</v>
      </c>
      <c r="T247" s="127">
        <v>76515.75</v>
      </c>
      <c r="U247" s="128">
        <f t="shared" si="2"/>
        <v>0</v>
      </c>
      <c r="V247" s="79" t="s">
        <v>64</v>
      </c>
      <c r="W247" s="79" t="s">
        <v>69</v>
      </c>
      <c r="X247" s="79" t="s">
        <v>66</v>
      </c>
      <c r="Y247" s="130">
        <v>0.9</v>
      </c>
      <c r="Z247" s="111">
        <v>11.0</v>
      </c>
      <c r="AA247" s="111">
        <v>399.0</v>
      </c>
      <c r="AB247" s="111" t="s">
        <v>61</v>
      </c>
      <c r="AC247" s="133"/>
      <c r="AD247" s="133"/>
      <c r="AE247" s="133"/>
      <c r="AF247" s="111"/>
      <c r="AG247" s="147"/>
      <c r="AH247" s="73"/>
      <c r="AI247" s="135"/>
      <c r="AJ247" s="136"/>
      <c r="AK247" s="76"/>
      <c r="AL247" s="137"/>
      <c r="AM247" s="139">
        <v>404.0</v>
      </c>
      <c r="AN247" s="139">
        <v>152.0</v>
      </c>
      <c r="AO247" s="140">
        <v>56.44</v>
      </c>
      <c r="AP247" s="142">
        <v>20120.0</v>
      </c>
      <c r="AQ247" s="142">
        <v>216.0</v>
      </c>
      <c r="AR247" s="143"/>
      <c r="AS247" s="144">
        <v>0.9724850762274633</v>
      </c>
      <c r="AT247" s="144">
        <v>0.014814923772536681</v>
      </c>
      <c r="AU247" s="146" t="s">
        <v>1262</v>
      </c>
      <c r="AV247" s="146" t="s">
        <v>1262</v>
      </c>
      <c r="AW247" s="148" t="s">
        <v>1262</v>
      </c>
      <c r="AX247" s="151"/>
      <c r="AY247" s="105"/>
      <c r="AZ247" s="186"/>
      <c r="BA247" s="186"/>
      <c r="BB247" s="146"/>
      <c r="BC247" s="155"/>
      <c r="BD247" s="155"/>
      <c r="BE247" s="155"/>
      <c r="BF247" s="45"/>
    </row>
    <row r="248" ht="16.5" customHeight="1">
      <c r="A248" s="111">
        <v>245.0</v>
      </c>
      <c r="B248" s="112" t="s">
        <v>1263</v>
      </c>
      <c r="C248" s="115" t="s">
        <v>60</v>
      </c>
      <c r="D248" s="117">
        <v>42174.0</v>
      </c>
      <c r="E248" s="117">
        <v>42236.0</v>
      </c>
      <c r="F248" s="79" t="s">
        <v>86</v>
      </c>
      <c r="G248" s="118">
        <v>4761.0</v>
      </c>
      <c r="H248" s="114">
        <v>75.6</v>
      </c>
      <c r="I248" s="120">
        <v>402.0</v>
      </c>
      <c r="J248" s="111" t="s">
        <v>61</v>
      </c>
      <c r="K248" s="121">
        <v>407.09</v>
      </c>
      <c r="L248" s="120" t="s">
        <v>63</v>
      </c>
      <c r="M248" s="120"/>
      <c r="N248" s="120"/>
      <c r="O248" s="124">
        <v>4761.0</v>
      </c>
      <c r="P248" s="124">
        <v>63.0</v>
      </c>
      <c r="Q248" s="111">
        <v>227.0</v>
      </c>
      <c r="R248" s="125">
        <v>430.0</v>
      </c>
      <c r="S248" s="126">
        <v>0.9467</v>
      </c>
      <c r="T248" s="127">
        <v>73369.25</v>
      </c>
      <c r="U248" s="128">
        <f t="shared" si="2"/>
        <v>0</v>
      </c>
      <c r="V248" s="79" t="s">
        <v>69</v>
      </c>
      <c r="W248" s="79" t="s">
        <v>69</v>
      </c>
      <c r="X248" s="79" t="s">
        <v>69</v>
      </c>
      <c r="Y248" s="130">
        <v>0.9</v>
      </c>
      <c r="Z248" s="111">
        <v>22.0</v>
      </c>
      <c r="AA248" s="133"/>
      <c r="AB248" s="133"/>
      <c r="AC248" s="111">
        <v>402.0</v>
      </c>
      <c r="AD248" s="111">
        <v>342.0</v>
      </c>
      <c r="AE248" s="111">
        <v>11.9</v>
      </c>
      <c r="AF248" s="111" t="s">
        <v>61</v>
      </c>
      <c r="AG248" s="134" t="s">
        <v>1269</v>
      </c>
      <c r="AH248" s="73">
        <v>60.0</v>
      </c>
      <c r="AI248" s="135">
        <v>60.75949367088608</v>
      </c>
      <c r="AJ248" s="136">
        <v>79.73027270833333</v>
      </c>
      <c r="AK248" s="76">
        <v>1.0287777123655915</v>
      </c>
      <c r="AL248" s="137" t="s">
        <v>1270</v>
      </c>
      <c r="AM248" s="139" t="s">
        <v>71</v>
      </c>
      <c r="AN248" s="139">
        <v>63.0</v>
      </c>
      <c r="AO248" s="140">
        <v>14.33</v>
      </c>
      <c r="AP248" s="142">
        <v>4761.0</v>
      </c>
      <c r="AQ248" s="142">
        <v>227.0</v>
      </c>
      <c r="AR248" s="143"/>
      <c r="AS248" s="144">
        <v>0.9912578777567069</v>
      </c>
      <c r="AT248" s="144">
        <v>-0.04455787775670694</v>
      </c>
      <c r="AU248" s="146" t="s">
        <v>1272</v>
      </c>
      <c r="AV248" s="146" t="s">
        <v>1272</v>
      </c>
      <c r="AW248" s="148" t="s">
        <v>1272</v>
      </c>
      <c r="AX248" s="151"/>
      <c r="AY248" s="105"/>
      <c r="AZ248" s="186"/>
      <c r="BA248" s="186"/>
      <c r="BB248" s="146"/>
      <c r="BC248" s="155"/>
      <c r="BD248" s="155"/>
      <c r="BE248" s="155"/>
      <c r="BF248" s="45"/>
    </row>
    <row r="249" ht="16.5" customHeight="1">
      <c r="A249" s="111">
        <v>246.0</v>
      </c>
      <c r="B249" s="112" t="s">
        <v>449</v>
      </c>
      <c r="C249" s="115" t="s">
        <v>60</v>
      </c>
      <c r="D249" s="117">
        <v>41598.0</v>
      </c>
      <c r="E249" s="117">
        <v>42236.0</v>
      </c>
      <c r="F249" s="79" t="s">
        <v>59</v>
      </c>
      <c r="G249" s="118">
        <v>88160.0</v>
      </c>
      <c r="H249" s="114">
        <v>138.0</v>
      </c>
      <c r="I249" s="120">
        <v>377.0</v>
      </c>
      <c r="J249" s="111" t="s">
        <v>62</v>
      </c>
      <c r="K249" s="121">
        <v>377.0</v>
      </c>
      <c r="L249" s="120" t="s">
        <v>63</v>
      </c>
      <c r="M249" s="120"/>
      <c r="N249" s="120"/>
      <c r="O249" s="124">
        <v>88160.0</v>
      </c>
      <c r="P249" s="124">
        <v>639.0</v>
      </c>
      <c r="Q249" s="111">
        <v>187.0</v>
      </c>
      <c r="R249" s="125">
        <v>399.0</v>
      </c>
      <c r="S249" s="126">
        <v>0.9449</v>
      </c>
      <c r="T249" s="127">
        <v>73229.75</v>
      </c>
      <c r="U249" s="128">
        <f t="shared" si="2"/>
        <v>0</v>
      </c>
      <c r="V249" s="79" t="s">
        <v>80</v>
      </c>
      <c r="W249" s="79" t="s">
        <v>65</v>
      </c>
      <c r="X249" s="79" t="s">
        <v>68</v>
      </c>
      <c r="Y249" s="130">
        <v>0.7</v>
      </c>
      <c r="Z249" s="111"/>
      <c r="AA249" s="133"/>
      <c r="AB249" s="133"/>
      <c r="AC249" s="133"/>
      <c r="AD249" s="133"/>
      <c r="AE249" s="133"/>
      <c r="AF249" s="111"/>
      <c r="AG249" s="147"/>
      <c r="AH249" s="73"/>
      <c r="AI249" s="135"/>
      <c r="AJ249" s="136"/>
      <c r="AK249" s="76"/>
      <c r="AL249" s="137"/>
      <c r="AM249" s="139" t="s">
        <v>71</v>
      </c>
      <c r="AN249" s="139">
        <v>639.0</v>
      </c>
      <c r="AO249" s="140">
        <v>218.78</v>
      </c>
      <c r="AP249" s="142">
        <v>88160.0</v>
      </c>
      <c r="AQ249" s="142">
        <v>187.0</v>
      </c>
      <c r="AR249" s="143"/>
      <c r="AS249" s="144">
        <v>0.9470787718506322</v>
      </c>
      <c r="AT249" s="144">
        <v>-0.0021787718506321996</v>
      </c>
      <c r="AU249" s="146" t="s">
        <v>1281</v>
      </c>
      <c r="AV249" s="146" t="s">
        <v>1281</v>
      </c>
      <c r="AW249" s="148" t="s">
        <v>1281</v>
      </c>
      <c r="AX249" s="151"/>
      <c r="AY249" s="105"/>
      <c r="AZ249" s="186"/>
      <c r="BA249" s="186"/>
      <c r="BB249" s="146"/>
      <c r="BC249" s="155"/>
      <c r="BD249" s="155"/>
      <c r="BE249" s="155"/>
      <c r="BF249" s="45"/>
    </row>
    <row r="250" ht="16.5" customHeight="1">
      <c r="A250" s="111">
        <v>247.0</v>
      </c>
      <c r="B250" s="112" t="s">
        <v>605</v>
      </c>
      <c r="C250" s="115" t="s">
        <v>60</v>
      </c>
      <c r="D250" s="117">
        <v>41631.0</v>
      </c>
      <c r="E250" s="117">
        <v>42240.0</v>
      </c>
      <c r="F250" s="79" t="s">
        <v>59</v>
      </c>
      <c r="G250" s="118">
        <v>49500.0</v>
      </c>
      <c r="H250" s="114">
        <v>81.1</v>
      </c>
      <c r="I250" s="120">
        <v>378.0</v>
      </c>
      <c r="J250" s="111" t="s">
        <v>62</v>
      </c>
      <c r="K250" s="121">
        <v>378.0</v>
      </c>
      <c r="L250" s="120" t="s">
        <v>63</v>
      </c>
      <c r="M250" s="120"/>
      <c r="N250" s="120"/>
      <c r="O250" s="124">
        <v>49500.0</v>
      </c>
      <c r="P250" s="124">
        <v>610.0</v>
      </c>
      <c r="Q250" s="111">
        <v>200.0</v>
      </c>
      <c r="R250" s="125">
        <v>399.0</v>
      </c>
      <c r="S250" s="126">
        <v>0.9474</v>
      </c>
      <c r="T250" s="127">
        <v>73423.5</v>
      </c>
      <c r="U250" s="128">
        <f t="shared" si="2"/>
        <v>0</v>
      </c>
      <c r="V250" s="79" t="s">
        <v>65</v>
      </c>
      <c r="W250" s="79" t="s">
        <v>69</v>
      </c>
      <c r="X250" s="79" t="s">
        <v>68</v>
      </c>
      <c r="Y250" s="130">
        <v>0.7</v>
      </c>
      <c r="Z250" s="111"/>
      <c r="AA250" s="111">
        <v>401.0</v>
      </c>
      <c r="AB250" s="111" t="s">
        <v>61</v>
      </c>
      <c r="AC250" s="133"/>
      <c r="AD250" s="133"/>
      <c r="AE250" s="133"/>
      <c r="AF250" s="111"/>
      <c r="AG250" s="134" t="s">
        <v>111</v>
      </c>
      <c r="AH250" s="73"/>
      <c r="AI250" s="135"/>
      <c r="AJ250" s="136"/>
      <c r="AK250" s="76"/>
      <c r="AL250" s="137"/>
      <c r="AM250" s="139">
        <v>406.0</v>
      </c>
      <c r="AN250" s="139">
        <v>610.0</v>
      </c>
      <c r="AO250" s="140">
        <v>131.22</v>
      </c>
      <c r="AP250" s="142">
        <v>49500.0</v>
      </c>
      <c r="AQ250" s="142">
        <v>200.0</v>
      </c>
      <c r="AR250" s="143"/>
      <c r="AS250" s="144">
        <v>0.9563501620895823</v>
      </c>
      <c r="AT250" s="144">
        <v>-0.008950162089582325</v>
      </c>
      <c r="AU250" s="146" t="s">
        <v>1286</v>
      </c>
      <c r="AV250" s="146" t="s">
        <v>1286</v>
      </c>
      <c r="AW250" s="148" t="s">
        <v>1286</v>
      </c>
      <c r="AX250" s="151"/>
      <c r="AY250" s="105"/>
      <c r="AZ250" s="186"/>
      <c r="BA250" s="186"/>
      <c r="BB250" s="146"/>
      <c r="BC250" s="155"/>
      <c r="BD250" s="155"/>
      <c r="BE250" s="155"/>
      <c r="BF250" s="45"/>
    </row>
    <row r="251" ht="16.5" customHeight="1">
      <c r="A251" s="111">
        <v>248.0</v>
      </c>
      <c r="B251" s="112" t="s">
        <v>361</v>
      </c>
      <c r="C251" s="115" t="s">
        <v>60</v>
      </c>
      <c r="D251" s="157">
        <v>41604.0</v>
      </c>
      <c r="E251" s="117">
        <v>42238.0</v>
      </c>
      <c r="F251" s="79" t="s">
        <v>59</v>
      </c>
      <c r="G251" s="118">
        <v>70030.0</v>
      </c>
      <c r="H251" s="114">
        <v>110.3</v>
      </c>
      <c r="I251" s="120">
        <v>370.0</v>
      </c>
      <c r="J251" s="111" t="s">
        <v>61</v>
      </c>
      <c r="K251" s="121">
        <v>374.68</v>
      </c>
      <c r="L251" s="120" t="s">
        <v>195</v>
      </c>
      <c r="M251" s="120" t="s">
        <v>281</v>
      </c>
      <c r="N251" s="120">
        <v>60000.0</v>
      </c>
      <c r="O251" s="124">
        <v>58088.0</v>
      </c>
      <c r="P251" s="124">
        <v>527.0</v>
      </c>
      <c r="Q251" s="111">
        <v>223.0</v>
      </c>
      <c r="R251" s="125">
        <v>399.0</v>
      </c>
      <c r="S251" s="126">
        <v>0.939</v>
      </c>
      <c r="T251" s="127">
        <v>72772.5</v>
      </c>
      <c r="U251" s="128">
        <f t="shared" si="2"/>
        <v>0</v>
      </c>
      <c r="V251" s="79" t="s">
        <v>64</v>
      </c>
      <c r="W251" s="79" t="s">
        <v>69</v>
      </c>
      <c r="X251" s="79" t="s">
        <v>69</v>
      </c>
      <c r="Y251" s="130">
        <v>0.7</v>
      </c>
      <c r="Z251" s="111">
        <v>14.0</v>
      </c>
      <c r="AA251" s="111">
        <v>399.0</v>
      </c>
      <c r="AB251" s="111" t="s">
        <v>61</v>
      </c>
      <c r="AC251" s="133"/>
      <c r="AD251" s="133"/>
      <c r="AE251" s="133"/>
      <c r="AF251" s="111"/>
      <c r="AG251" s="134" t="s">
        <v>1289</v>
      </c>
      <c r="AH251" s="73"/>
      <c r="AI251" s="135"/>
      <c r="AJ251" s="136"/>
      <c r="AK251" s="76"/>
      <c r="AL251" s="137"/>
      <c r="AM251" s="139">
        <v>404.0</v>
      </c>
      <c r="AN251" s="139">
        <v>635.0</v>
      </c>
      <c r="AO251" s="140">
        <v>172.42</v>
      </c>
      <c r="AP251" s="142">
        <v>58088.0</v>
      </c>
      <c r="AQ251" s="142">
        <v>223.0</v>
      </c>
      <c r="AR251" s="143"/>
      <c r="AS251" s="144">
        <v>0.9537254264989764</v>
      </c>
      <c r="AT251" s="144">
        <v>-0.014725426498976457</v>
      </c>
      <c r="AU251" s="146" t="s">
        <v>1291</v>
      </c>
      <c r="AV251" s="146" t="s">
        <v>1291</v>
      </c>
      <c r="AW251" s="148" t="s">
        <v>1291</v>
      </c>
      <c r="AX251" s="151"/>
      <c r="AY251" s="105"/>
      <c r="AZ251" s="186"/>
      <c r="BA251" s="186"/>
      <c r="BB251" s="146"/>
      <c r="BC251" s="155"/>
      <c r="BD251" s="155"/>
      <c r="BE251" s="155"/>
      <c r="BF251" s="45"/>
    </row>
    <row r="252" ht="16.5" customHeight="1">
      <c r="A252" s="111">
        <v>249.0</v>
      </c>
      <c r="B252" s="112" t="s">
        <v>1292</v>
      </c>
      <c r="C252" s="115" t="s">
        <v>60</v>
      </c>
      <c r="D252" s="117">
        <v>42179.0</v>
      </c>
      <c r="E252" s="117">
        <v>42241.0</v>
      </c>
      <c r="F252" s="79" t="s">
        <v>86</v>
      </c>
      <c r="G252" s="118">
        <v>2200.0</v>
      </c>
      <c r="H252" s="114">
        <v>34.9</v>
      </c>
      <c r="I252" s="120">
        <v>404.0</v>
      </c>
      <c r="J252" s="111" t="s">
        <v>62</v>
      </c>
      <c r="K252" s="121">
        <v>404.0</v>
      </c>
      <c r="L252" s="120" t="s">
        <v>63</v>
      </c>
      <c r="M252" s="120"/>
      <c r="N252" s="120"/>
      <c r="O252" s="124">
        <v>2200.0</v>
      </c>
      <c r="P252" s="124">
        <v>63.0</v>
      </c>
      <c r="Q252" s="111">
        <v>218.0</v>
      </c>
      <c r="R252" s="125">
        <v>430.0</v>
      </c>
      <c r="S252" s="126">
        <v>0.9395</v>
      </c>
      <c r="T252" s="127">
        <v>72811.25</v>
      </c>
      <c r="U252" s="128">
        <f t="shared" si="2"/>
        <v>0</v>
      </c>
      <c r="V252" s="79" t="s">
        <v>69</v>
      </c>
      <c r="W252" s="79" t="s">
        <v>69</v>
      </c>
      <c r="X252" s="79" t="s">
        <v>68</v>
      </c>
      <c r="Y252" s="130">
        <v>0.9</v>
      </c>
      <c r="Z252" s="111">
        <v>16.0</v>
      </c>
      <c r="AA252" s="133"/>
      <c r="AB252" s="133"/>
      <c r="AC252" s="133"/>
      <c r="AD252" s="133"/>
      <c r="AE252" s="133"/>
      <c r="AF252" s="111"/>
      <c r="AG252" s="134" t="s">
        <v>111</v>
      </c>
      <c r="AH252" s="73"/>
      <c r="AI252" s="135"/>
      <c r="AJ252" s="136"/>
      <c r="AK252" s="76"/>
      <c r="AL252" s="137"/>
      <c r="AM252" s="139" t="s">
        <v>71</v>
      </c>
      <c r="AN252" s="139">
        <v>63.0</v>
      </c>
      <c r="AO252" s="140">
        <v>6.38</v>
      </c>
      <c r="AP252" s="142">
        <v>2200.0</v>
      </c>
      <c r="AQ252" s="142">
        <v>218.0</v>
      </c>
      <c r="AR252" s="143"/>
      <c r="AS252" s="144">
        <v>0.9957367465642315</v>
      </c>
      <c r="AT252" s="144">
        <v>-0.0562367465642315</v>
      </c>
      <c r="AU252" s="146" t="s">
        <v>1299</v>
      </c>
      <c r="AV252" s="146" t="s">
        <v>1299</v>
      </c>
      <c r="AW252" s="148" t="s">
        <v>1299</v>
      </c>
      <c r="AX252" s="151"/>
      <c r="AY252" s="105"/>
      <c r="AZ252" s="186"/>
      <c r="BA252" s="186"/>
      <c r="BB252" s="146"/>
      <c r="BC252" s="155"/>
      <c r="BD252" s="155"/>
      <c r="BE252" s="155"/>
      <c r="BF252" s="45"/>
    </row>
    <row r="253" ht="16.5" customHeight="1">
      <c r="A253" s="111">
        <v>250.0</v>
      </c>
      <c r="B253" s="112" t="s">
        <v>1013</v>
      </c>
      <c r="C253" s="115" t="s">
        <v>60</v>
      </c>
      <c r="D253" s="117">
        <v>41814.0</v>
      </c>
      <c r="E253" s="117">
        <v>42242.0</v>
      </c>
      <c r="F253" s="79" t="s">
        <v>59</v>
      </c>
      <c r="G253" s="118">
        <v>60000.0</v>
      </c>
      <c r="H253" s="114">
        <v>139.9</v>
      </c>
      <c r="I253" s="120">
        <v>384.0</v>
      </c>
      <c r="J253" s="111" t="s">
        <v>62</v>
      </c>
      <c r="K253" s="121">
        <v>384.0</v>
      </c>
      <c r="L253" s="120" t="s">
        <v>63</v>
      </c>
      <c r="M253" s="120"/>
      <c r="N253" s="120"/>
      <c r="O253" s="124">
        <v>60000.0</v>
      </c>
      <c r="P253" s="124">
        <v>429.0</v>
      </c>
      <c r="Q253" s="111">
        <v>223.0</v>
      </c>
      <c r="R253" s="125">
        <v>399.0</v>
      </c>
      <c r="S253" s="126">
        <v>0.9624</v>
      </c>
      <c r="T253" s="127">
        <v>74586.0</v>
      </c>
      <c r="U253" s="128">
        <f t="shared" si="2"/>
        <v>0</v>
      </c>
      <c r="V253" s="79" t="s">
        <v>64</v>
      </c>
      <c r="W253" s="79" t="s">
        <v>69</v>
      </c>
      <c r="X253" s="79" t="s">
        <v>66</v>
      </c>
      <c r="Y253" s="130">
        <v>0.9</v>
      </c>
      <c r="Z253" s="111">
        <f>25*3*230/1000</f>
        <v>17.25</v>
      </c>
      <c r="AA253" s="111">
        <v>398.0</v>
      </c>
      <c r="AB253" s="111" t="s">
        <v>62</v>
      </c>
      <c r="AC253" s="111">
        <v>384.0</v>
      </c>
      <c r="AD253" s="111">
        <v>88.0</v>
      </c>
      <c r="AE253" s="111">
        <v>57.1</v>
      </c>
      <c r="AF253" s="111" t="s">
        <v>62</v>
      </c>
      <c r="AG253" s="134" t="s">
        <v>111</v>
      </c>
      <c r="AH253" s="73">
        <v>296.0</v>
      </c>
      <c r="AI253" s="135">
        <v>296.0</v>
      </c>
      <c r="AJ253" s="136">
        <v>74.07567567567568</v>
      </c>
      <c r="AK253" s="76">
        <v>0.9558151700087184</v>
      </c>
      <c r="AL253" s="137" t="s">
        <v>1309</v>
      </c>
      <c r="AM253" s="139">
        <v>398.0</v>
      </c>
      <c r="AN253" s="139">
        <v>429.0</v>
      </c>
      <c r="AO253" s="140">
        <v>175.97</v>
      </c>
      <c r="AP253" s="142">
        <v>60000.0</v>
      </c>
      <c r="AQ253" s="142">
        <v>223.0</v>
      </c>
      <c r="AR253" s="143"/>
      <c r="AS253" s="144">
        <v>0.9532051308229729</v>
      </c>
      <c r="AT253" s="144">
        <v>0.009194869177027165</v>
      </c>
      <c r="AU253" s="146" t="s">
        <v>1310</v>
      </c>
      <c r="AV253" s="146" t="s">
        <v>1310</v>
      </c>
      <c r="AW253" s="148" t="s">
        <v>1310</v>
      </c>
      <c r="AX253" s="151"/>
      <c r="AY253" s="105"/>
      <c r="AZ253" s="186"/>
      <c r="BA253" s="186"/>
      <c r="BB253" s="146"/>
      <c r="BC253" s="155"/>
      <c r="BD253" s="155"/>
      <c r="BE253" s="155"/>
      <c r="BF253" s="45"/>
    </row>
    <row r="254" ht="16.5" customHeight="1">
      <c r="A254" s="111">
        <v>251.0</v>
      </c>
      <c r="B254" s="112" t="s">
        <v>300</v>
      </c>
      <c r="C254" s="115" t="s">
        <v>60</v>
      </c>
      <c r="D254" s="117">
        <v>41593.0</v>
      </c>
      <c r="E254" s="117">
        <v>42246.0</v>
      </c>
      <c r="F254" s="79" t="s">
        <v>59</v>
      </c>
      <c r="G254" s="118">
        <v>79470.0</v>
      </c>
      <c r="H254" s="114">
        <v>121.5</v>
      </c>
      <c r="I254" s="120">
        <v>359.0</v>
      </c>
      <c r="J254" s="111" t="s">
        <v>61</v>
      </c>
      <c r="K254" s="121">
        <v>363.54</v>
      </c>
      <c r="L254" s="120" t="s">
        <v>195</v>
      </c>
      <c r="M254" s="120" t="s">
        <v>196</v>
      </c>
      <c r="N254" s="120">
        <v>30000.0</v>
      </c>
      <c r="O254" s="124">
        <v>79470.0</v>
      </c>
      <c r="P254" s="124">
        <v>654.0</v>
      </c>
      <c r="Q254" s="111">
        <v>225.0</v>
      </c>
      <c r="R254" s="125">
        <v>399.0</v>
      </c>
      <c r="S254" s="126">
        <v>0.9111</v>
      </c>
      <c r="T254" s="127">
        <v>70610.25</v>
      </c>
      <c r="U254" s="128">
        <f t="shared" si="2"/>
        <v>0</v>
      </c>
      <c r="V254" s="79" t="s">
        <v>69</v>
      </c>
      <c r="W254" s="79" t="s">
        <v>69</v>
      </c>
      <c r="X254" s="79" t="s">
        <v>66</v>
      </c>
      <c r="Y254" s="130">
        <v>0.7</v>
      </c>
      <c r="Z254" s="111">
        <v>11.0</v>
      </c>
      <c r="AA254" s="111">
        <v>400.0</v>
      </c>
      <c r="AB254" s="133"/>
      <c r="AC254" s="133"/>
      <c r="AD254" s="133"/>
      <c r="AE254" s="133"/>
      <c r="AF254" s="111"/>
      <c r="AG254" s="134" t="s">
        <v>111</v>
      </c>
      <c r="AH254" s="73"/>
      <c r="AI254" s="135"/>
      <c r="AJ254" s="136"/>
      <c r="AK254" s="76"/>
      <c r="AL254" s="137"/>
      <c r="AM254" s="139">
        <v>400.0</v>
      </c>
      <c r="AN254" s="139">
        <v>654.0</v>
      </c>
      <c r="AO254" s="140">
        <v>241.48</v>
      </c>
      <c r="AP254" s="142">
        <v>79470.0</v>
      </c>
      <c r="AQ254" s="142">
        <v>225.0</v>
      </c>
      <c r="AR254" s="143"/>
      <c r="AS254" s="144">
        <v>0.9487520696978715</v>
      </c>
      <c r="AT254" s="144">
        <v>-0.03765206969787149</v>
      </c>
      <c r="AU254" s="146" t="s">
        <v>1319</v>
      </c>
      <c r="AV254" s="146" t="s">
        <v>1319</v>
      </c>
      <c r="AW254" s="148" t="s">
        <v>1319</v>
      </c>
      <c r="AX254" s="151"/>
      <c r="AY254" s="105"/>
      <c r="AZ254" s="186"/>
      <c r="BA254" s="186"/>
      <c r="BB254" s="146"/>
      <c r="BC254" s="155"/>
      <c r="BD254" s="155"/>
      <c r="BE254" s="155"/>
      <c r="BF254" s="45"/>
    </row>
    <row r="255" ht="16.5" customHeight="1">
      <c r="A255" s="111">
        <v>252.0</v>
      </c>
      <c r="B255" s="112" t="s">
        <v>457</v>
      </c>
      <c r="C255" s="115" t="s">
        <v>60</v>
      </c>
      <c r="D255" s="117">
        <v>41986.0</v>
      </c>
      <c r="E255" s="117">
        <v>42247.0</v>
      </c>
      <c r="F255" s="79" t="s">
        <v>59</v>
      </c>
      <c r="G255" s="118">
        <v>21956.0</v>
      </c>
      <c r="H255" s="114">
        <v>83.8</v>
      </c>
      <c r="I255" s="120">
        <v>386.0</v>
      </c>
      <c r="J255" s="111" t="s">
        <v>61</v>
      </c>
      <c r="K255" s="121">
        <v>390.89</v>
      </c>
      <c r="L255" s="120" t="s">
        <v>63</v>
      </c>
      <c r="M255" s="120"/>
      <c r="N255" s="120"/>
      <c r="O255" s="124">
        <v>21956.0</v>
      </c>
      <c r="P255" s="124">
        <v>262.0</v>
      </c>
      <c r="Q255" s="111">
        <v>225.0</v>
      </c>
      <c r="R255" s="125">
        <v>399.0</v>
      </c>
      <c r="S255" s="126">
        <v>0.9797</v>
      </c>
      <c r="T255" s="127">
        <v>75926.75</v>
      </c>
      <c r="U255" s="128">
        <f t="shared" si="2"/>
        <v>0</v>
      </c>
      <c r="V255" s="79" t="s">
        <v>69</v>
      </c>
      <c r="W255" s="79" t="s">
        <v>69</v>
      </c>
      <c r="X255" s="79" t="s">
        <v>66</v>
      </c>
      <c r="Y255" s="130">
        <v>0.9</v>
      </c>
      <c r="Z255" s="111">
        <v>11.0</v>
      </c>
      <c r="AA255" s="111">
        <v>398.0</v>
      </c>
      <c r="AB255" s="111" t="s">
        <v>61</v>
      </c>
      <c r="AC255" s="133"/>
      <c r="AD255" s="133"/>
      <c r="AE255" s="133"/>
      <c r="AF255" s="111"/>
      <c r="AG255" s="147"/>
      <c r="AH255" s="73"/>
      <c r="AI255" s="135"/>
      <c r="AJ255" s="136"/>
      <c r="AK255" s="76"/>
      <c r="AL255" s="137"/>
      <c r="AM255" s="139">
        <v>403.0</v>
      </c>
      <c r="AN255" s="139">
        <v>262.0</v>
      </c>
      <c r="AO255" s="140">
        <v>64.41</v>
      </c>
      <c r="AP255" s="142">
        <v>21956.0</v>
      </c>
      <c r="AQ255" s="142">
        <v>225.0</v>
      </c>
      <c r="AR255" s="143"/>
      <c r="AS255" s="144">
        <v>0.9709211586116298</v>
      </c>
      <c r="AT255" s="144">
        <v>0.008778841388370262</v>
      </c>
      <c r="AU255" s="146" t="s">
        <v>1324</v>
      </c>
      <c r="AV255" s="146" t="s">
        <v>1324</v>
      </c>
      <c r="AW255" s="148" t="s">
        <v>1324</v>
      </c>
      <c r="AX255" s="151"/>
      <c r="AY255" s="105"/>
      <c r="AZ255" s="186"/>
      <c r="BA255" s="186"/>
      <c r="BB255" s="146"/>
      <c r="BC255" s="155"/>
      <c r="BD255" s="155"/>
      <c r="BE255" s="155"/>
      <c r="BF255" s="45"/>
    </row>
    <row r="256" ht="16.5" customHeight="1">
      <c r="A256" s="111">
        <v>253.0</v>
      </c>
      <c r="B256" s="112" t="s">
        <v>218</v>
      </c>
      <c r="C256" s="115" t="s">
        <v>60</v>
      </c>
      <c r="D256" s="117">
        <v>41601.0</v>
      </c>
      <c r="E256" s="117">
        <v>42247.0</v>
      </c>
      <c r="F256" s="79" t="s">
        <v>59</v>
      </c>
      <c r="G256" s="118">
        <v>31960.0</v>
      </c>
      <c r="H256" s="114">
        <v>49.4</v>
      </c>
      <c r="I256" s="120">
        <v>378.0</v>
      </c>
      <c r="J256" s="111" t="s">
        <v>62</v>
      </c>
      <c r="K256" s="121">
        <v>378.0</v>
      </c>
      <c r="L256" s="120" t="s">
        <v>63</v>
      </c>
      <c r="M256" s="120"/>
      <c r="N256" s="120"/>
      <c r="O256" s="124">
        <v>31960.0</v>
      </c>
      <c r="P256" s="124">
        <v>647.0</v>
      </c>
      <c r="Q256" s="111">
        <v>214.0</v>
      </c>
      <c r="R256" s="125">
        <v>399.0</v>
      </c>
      <c r="S256" s="126">
        <v>0.9474</v>
      </c>
      <c r="T256" s="127">
        <v>73423.5</v>
      </c>
      <c r="U256" s="128">
        <f t="shared" si="2"/>
        <v>0</v>
      </c>
      <c r="V256" s="79" t="s">
        <v>69</v>
      </c>
      <c r="W256" s="79" t="s">
        <v>69</v>
      </c>
      <c r="X256" s="79" t="s">
        <v>66</v>
      </c>
      <c r="Y256" s="130">
        <v>0.8</v>
      </c>
      <c r="Z256" s="111">
        <v>11.0</v>
      </c>
      <c r="AA256" s="111">
        <v>398.0</v>
      </c>
      <c r="AB256" s="111" t="s">
        <v>61</v>
      </c>
      <c r="AC256" s="133"/>
      <c r="AD256" s="133"/>
      <c r="AE256" s="133"/>
      <c r="AF256" s="111"/>
      <c r="AG256" s="134" t="s">
        <v>151</v>
      </c>
      <c r="AH256" s="73"/>
      <c r="AI256" s="135"/>
      <c r="AJ256" s="136"/>
      <c r="AK256" s="76"/>
      <c r="AL256" s="137"/>
      <c r="AM256" s="139">
        <v>403.0</v>
      </c>
      <c r="AN256" s="139">
        <v>647.0</v>
      </c>
      <c r="AO256" s="140">
        <v>90.66</v>
      </c>
      <c r="AP256" s="142">
        <v>31960.0</v>
      </c>
      <c r="AQ256" s="142">
        <v>214.0</v>
      </c>
      <c r="AR256" s="143"/>
      <c r="AS256" s="144">
        <v>0.9640475896481602</v>
      </c>
      <c r="AT256" s="144">
        <v>-0.016647589648160155</v>
      </c>
      <c r="AU256" s="146" t="s">
        <v>1329</v>
      </c>
      <c r="AV256" s="146" t="s">
        <v>1329</v>
      </c>
      <c r="AW256" s="148" t="s">
        <v>1329</v>
      </c>
      <c r="AX256" s="151"/>
      <c r="AY256" s="105"/>
      <c r="AZ256" s="186"/>
      <c r="BA256" s="186"/>
      <c r="BB256" s="146"/>
      <c r="BC256" s="155"/>
      <c r="BD256" s="155"/>
      <c r="BE256" s="155"/>
      <c r="BF256" s="45"/>
    </row>
    <row r="257" ht="16.5" customHeight="1">
      <c r="A257" s="111">
        <v>254.0</v>
      </c>
      <c r="B257" s="112" t="s">
        <v>876</v>
      </c>
      <c r="C257" s="115" t="s">
        <v>60</v>
      </c>
      <c r="D257" s="117">
        <v>41613.0</v>
      </c>
      <c r="E257" s="117">
        <v>42248.0</v>
      </c>
      <c r="F257" s="79" t="s">
        <v>79</v>
      </c>
      <c r="G257" s="118">
        <v>96560.0</v>
      </c>
      <c r="H257" s="114">
        <v>151.8</v>
      </c>
      <c r="I257" s="120">
        <v>370.0</v>
      </c>
      <c r="J257" s="111" t="s">
        <v>61</v>
      </c>
      <c r="K257" s="121">
        <v>374.68</v>
      </c>
      <c r="L257" s="120" t="s">
        <v>63</v>
      </c>
      <c r="M257" s="120"/>
      <c r="N257" s="120"/>
      <c r="O257" s="124">
        <v>96560.0</v>
      </c>
      <c r="P257" s="124">
        <v>636.0</v>
      </c>
      <c r="Q257" s="111">
        <v>216.0</v>
      </c>
      <c r="R257" s="125">
        <v>399.0</v>
      </c>
      <c r="S257" s="126">
        <v>0.939</v>
      </c>
      <c r="T257" s="127">
        <v>72772.5</v>
      </c>
      <c r="U257" s="128">
        <f t="shared" si="2"/>
        <v>0</v>
      </c>
      <c r="V257" s="79" t="s">
        <v>64</v>
      </c>
      <c r="W257" s="79" t="s">
        <v>69</v>
      </c>
      <c r="X257" s="79" t="s">
        <v>68</v>
      </c>
      <c r="Y257" s="130">
        <v>0.6</v>
      </c>
      <c r="Z257" s="111">
        <v>20.0</v>
      </c>
      <c r="AA257" s="133"/>
      <c r="AB257" s="133"/>
      <c r="AC257" s="133"/>
      <c r="AD257" s="133"/>
      <c r="AE257" s="133"/>
      <c r="AF257" s="111"/>
      <c r="AG257" s="134" t="s">
        <v>1334</v>
      </c>
      <c r="AH257" s="73"/>
      <c r="AI257" s="135"/>
      <c r="AJ257" s="136"/>
      <c r="AK257" s="76"/>
      <c r="AL257" s="137"/>
      <c r="AM257" s="139" t="s">
        <v>71</v>
      </c>
      <c r="AN257" s="139">
        <v>636.0</v>
      </c>
      <c r="AO257" s="140">
        <v>277.62</v>
      </c>
      <c r="AP257" s="142">
        <v>96560.0</v>
      </c>
      <c r="AQ257" s="142">
        <v>216.0</v>
      </c>
      <c r="AR257" s="143"/>
      <c r="AS257" s="144">
        <v>0.9455623878564264</v>
      </c>
      <c r="AT257" s="144">
        <v>-0.006562387856426488</v>
      </c>
      <c r="AU257" s="146" t="s">
        <v>1338</v>
      </c>
      <c r="AV257" s="146" t="s">
        <v>1338</v>
      </c>
      <c r="AW257" s="148" t="s">
        <v>1338</v>
      </c>
      <c r="AX257" s="151"/>
      <c r="AY257" s="105"/>
      <c r="AZ257" s="186"/>
      <c r="BA257" s="186"/>
      <c r="BB257" s="146"/>
      <c r="BC257" s="155"/>
      <c r="BD257" s="155"/>
      <c r="BE257" s="155"/>
      <c r="BF257" s="45"/>
    </row>
    <row r="258" ht="16.5" customHeight="1">
      <c r="A258" s="111">
        <v>255.0</v>
      </c>
      <c r="B258" s="112" t="s">
        <v>192</v>
      </c>
      <c r="C258" s="115" t="s">
        <v>60</v>
      </c>
      <c r="D258" s="117">
        <v>41607.0</v>
      </c>
      <c r="E258" s="117">
        <v>42251.0</v>
      </c>
      <c r="F258" s="79" t="s">
        <v>79</v>
      </c>
      <c r="G258" s="118">
        <v>50950.0</v>
      </c>
      <c r="H258" s="114">
        <v>79.0</v>
      </c>
      <c r="I258" s="120">
        <v>379.0</v>
      </c>
      <c r="J258" s="111" t="s">
        <v>62</v>
      </c>
      <c r="K258" s="121">
        <v>379.0</v>
      </c>
      <c r="L258" s="120" t="s">
        <v>195</v>
      </c>
      <c r="M258" s="120" t="s">
        <v>196</v>
      </c>
      <c r="N258" s="120">
        <v>2100.0</v>
      </c>
      <c r="O258" s="124">
        <v>50950.0</v>
      </c>
      <c r="P258" s="124">
        <v>645.0</v>
      </c>
      <c r="Q258" s="159">
        <v>218.0</v>
      </c>
      <c r="R258" s="125">
        <v>399.0</v>
      </c>
      <c r="S258" s="126">
        <v>0.9499</v>
      </c>
      <c r="T258" s="127">
        <v>73617.25</v>
      </c>
      <c r="U258" s="128">
        <f t="shared" si="2"/>
        <v>0</v>
      </c>
      <c r="V258" s="79"/>
      <c r="W258" s="79"/>
      <c r="X258" s="79"/>
      <c r="Y258" s="130"/>
      <c r="Z258" s="111"/>
      <c r="AA258" s="133"/>
      <c r="AB258" s="133"/>
      <c r="AC258" s="133"/>
      <c r="AD258" s="111"/>
      <c r="AE258" s="133"/>
      <c r="AF258" s="111"/>
      <c r="AG258" s="147"/>
      <c r="AH258" s="73"/>
      <c r="AI258" s="135"/>
      <c r="AJ258" s="136"/>
      <c r="AK258" s="76"/>
      <c r="AL258" s="137"/>
      <c r="AM258" s="139" t="s">
        <v>71</v>
      </c>
      <c r="AN258" s="139">
        <v>645.0</v>
      </c>
      <c r="AO258" s="140">
        <v>147.03</v>
      </c>
      <c r="AP258" s="142">
        <v>50950.0</v>
      </c>
      <c r="AQ258" s="142">
        <v>218.0</v>
      </c>
      <c r="AR258" s="143"/>
      <c r="AS258" s="144">
        <v>0.9558689992420756</v>
      </c>
      <c r="AT258" s="144">
        <v>-0.005968999242075612</v>
      </c>
      <c r="AU258" s="146" t="s">
        <v>1345</v>
      </c>
      <c r="AV258" s="146" t="s">
        <v>1345</v>
      </c>
      <c r="AW258" s="148" t="s">
        <v>1345</v>
      </c>
      <c r="AX258" s="151"/>
      <c r="AY258" s="105"/>
      <c r="AZ258" s="186"/>
      <c r="BA258" s="186"/>
      <c r="BB258" s="146"/>
      <c r="BC258" s="155"/>
      <c r="BD258" s="155"/>
      <c r="BE258" s="155"/>
      <c r="BF258" s="45"/>
    </row>
    <row r="259" ht="16.5" customHeight="1">
      <c r="A259" s="111">
        <v>256.0</v>
      </c>
      <c r="B259" s="112" t="s">
        <v>717</v>
      </c>
      <c r="C259" s="115" t="s">
        <v>60</v>
      </c>
      <c r="D259" s="117">
        <v>42093.0</v>
      </c>
      <c r="E259" s="117">
        <v>42255.0</v>
      </c>
      <c r="F259" s="79" t="s">
        <v>90</v>
      </c>
      <c r="G259" s="118">
        <v>13087.0</v>
      </c>
      <c r="H259" s="114">
        <v>80.3</v>
      </c>
      <c r="I259" s="120">
        <v>407.0</v>
      </c>
      <c r="J259" s="111" t="s">
        <v>62</v>
      </c>
      <c r="K259" s="121">
        <v>407.0</v>
      </c>
      <c r="L259" s="120" t="s">
        <v>63</v>
      </c>
      <c r="M259" s="120"/>
      <c r="N259" s="120"/>
      <c r="O259" s="124">
        <v>13087.0</v>
      </c>
      <c r="P259" s="124">
        <v>163.0</v>
      </c>
      <c r="Q259" s="111">
        <v>198.0</v>
      </c>
      <c r="R259" s="125">
        <v>408.0</v>
      </c>
      <c r="S259" s="126">
        <v>0.9975</v>
      </c>
      <c r="T259" s="127">
        <v>77306.25</v>
      </c>
      <c r="U259" s="128">
        <f t="shared" si="2"/>
        <v>0</v>
      </c>
      <c r="V259" s="79"/>
      <c r="W259" s="79"/>
      <c r="X259" s="79"/>
      <c r="Y259" s="130">
        <v>0.8</v>
      </c>
      <c r="Z259" s="111">
        <v>11.0</v>
      </c>
      <c r="AA259" s="133"/>
      <c r="AB259" s="133"/>
      <c r="AC259" s="133"/>
      <c r="AD259" s="133"/>
      <c r="AE259" s="133"/>
      <c r="AF259" s="111"/>
      <c r="AG259" s="147"/>
      <c r="AH259" s="73"/>
      <c r="AI259" s="135"/>
      <c r="AJ259" s="136"/>
      <c r="AK259" s="76"/>
      <c r="AL259" s="137"/>
      <c r="AM259" s="139" t="s">
        <v>71</v>
      </c>
      <c r="AN259" s="139">
        <v>163.0</v>
      </c>
      <c r="AO259" s="140">
        <v>33.48</v>
      </c>
      <c r="AP259" s="142">
        <v>13087.0</v>
      </c>
      <c r="AQ259" s="142">
        <v>198.0</v>
      </c>
      <c r="AR259" s="143"/>
      <c r="AS259" s="144">
        <v>0.9796396596953794</v>
      </c>
      <c r="AT259" s="144">
        <v>0.017860340304620692</v>
      </c>
      <c r="AU259" s="146" t="s">
        <v>1353</v>
      </c>
      <c r="AV259" s="146" t="s">
        <v>1353</v>
      </c>
      <c r="AW259" s="148" t="s">
        <v>1353</v>
      </c>
      <c r="AX259" s="151"/>
      <c r="AY259" s="105"/>
      <c r="AZ259" s="186"/>
      <c r="BA259" s="186"/>
      <c r="BB259" s="146"/>
      <c r="BC259" s="155"/>
      <c r="BD259" s="155"/>
      <c r="BE259" s="155"/>
      <c r="BF259" s="45"/>
    </row>
    <row r="260" ht="16.5" customHeight="1">
      <c r="A260" s="111">
        <v>257.0</v>
      </c>
      <c r="B260" s="112" t="s">
        <v>761</v>
      </c>
      <c r="C260" s="115" t="s">
        <v>60</v>
      </c>
      <c r="D260" s="117">
        <v>42097.0</v>
      </c>
      <c r="E260" s="117">
        <v>42260.0</v>
      </c>
      <c r="F260" s="79" t="s">
        <v>90</v>
      </c>
      <c r="G260" s="118">
        <v>14775.0</v>
      </c>
      <c r="H260" s="114">
        <v>90.1</v>
      </c>
      <c r="I260" s="120">
        <v>388.0</v>
      </c>
      <c r="J260" s="111" t="s">
        <v>62</v>
      </c>
      <c r="K260" s="121">
        <v>388.0</v>
      </c>
      <c r="L260" s="120" t="s">
        <v>63</v>
      </c>
      <c r="M260" s="120"/>
      <c r="N260" s="120"/>
      <c r="O260" s="124">
        <v>14775.0</v>
      </c>
      <c r="P260" s="124">
        <v>164.0</v>
      </c>
      <c r="Q260" s="111">
        <v>230.0</v>
      </c>
      <c r="R260" s="125">
        <v>408.0</v>
      </c>
      <c r="S260" s="126">
        <v>0.951</v>
      </c>
      <c r="T260" s="127">
        <v>73702.5</v>
      </c>
      <c r="U260" s="128">
        <f t="shared" si="2"/>
        <v>0</v>
      </c>
      <c r="V260" s="79" t="s">
        <v>65</v>
      </c>
      <c r="W260" s="79" t="s">
        <v>64</v>
      </c>
      <c r="X260" s="79" t="s">
        <v>68</v>
      </c>
      <c r="Y260" s="130">
        <v>0.7</v>
      </c>
      <c r="Z260" s="111">
        <v>11.0</v>
      </c>
      <c r="AA260" s="111">
        <v>406.0</v>
      </c>
      <c r="AB260" s="111" t="s">
        <v>62</v>
      </c>
      <c r="AC260" s="133"/>
      <c r="AD260" s="133"/>
      <c r="AE260" s="133"/>
      <c r="AF260" s="111"/>
      <c r="AG260" s="134" t="s">
        <v>763</v>
      </c>
      <c r="AH260" s="73"/>
      <c r="AI260" s="135"/>
      <c r="AJ260" s="136"/>
      <c r="AK260" s="76"/>
      <c r="AL260" s="137"/>
      <c r="AM260" s="139">
        <v>406.0</v>
      </c>
      <c r="AN260" s="139">
        <v>164.0</v>
      </c>
      <c r="AO260" s="140">
        <v>44.96</v>
      </c>
      <c r="AP260" s="142">
        <v>14775.0</v>
      </c>
      <c r="AQ260" s="142">
        <v>230.0</v>
      </c>
      <c r="AR260" s="143"/>
      <c r="AS260" s="144">
        <v>0.9777343242722857</v>
      </c>
      <c r="AT260" s="144">
        <v>-0.026734324272285725</v>
      </c>
      <c r="AU260" s="146" t="s">
        <v>1357</v>
      </c>
      <c r="AV260" s="146" t="s">
        <v>1357</v>
      </c>
      <c r="AW260" s="148" t="s">
        <v>1357</v>
      </c>
      <c r="AX260" s="151"/>
      <c r="AY260" s="105"/>
      <c r="AZ260" s="186"/>
      <c r="BA260" s="186"/>
      <c r="BB260" s="146"/>
      <c r="BC260" s="155"/>
      <c r="BD260" s="155"/>
      <c r="BE260" s="155"/>
      <c r="BF260" s="45"/>
    </row>
    <row r="261" ht="16.5" customHeight="1">
      <c r="A261" s="111">
        <v>258.0</v>
      </c>
      <c r="B261" s="112" t="s">
        <v>640</v>
      </c>
      <c r="C261" s="115" t="s">
        <v>60</v>
      </c>
      <c r="D261" s="117">
        <v>41927.0</v>
      </c>
      <c r="E261" s="117">
        <v>42262.0</v>
      </c>
      <c r="F261" s="79" t="s">
        <v>59</v>
      </c>
      <c r="G261" s="118">
        <v>31712.0</v>
      </c>
      <c r="H261" s="114">
        <v>94.4</v>
      </c>
      <c r="I261" s="120">
        <v>378.0</v>
      </c>
      <c r="J261" s="111" t="s">
        <v>61</v>
      </c>
      <c r="K261" s="121">
        <v>382.78</v>
      </c>
      <c r="L261" s="120" t="s">
        <v>63</v>
      </c>
      <c r="M261" s="120"/>
      <c r="N261" s="120"/>
      <c r="O261" s="124">
        <v>31712.0</v>
      </c>
      <c r="P261" s="124">
        <v>336.0</v>
      </c>
      <c r="Q261" s="111">
        <v>218.0</v>
      </c>
      <c r="R261" s="125">
        <v>399.0</v>
      </c>
      <c r="S261" s="126">
        <v>0.9593</v>
      </c>
      <c r="T261" s="127">
        <v>74345.75</v>
      </c>
      <c r="U261" s="128">
        <f t="shared" si="2"/>
        <v>0</v>
      </c>
      <c r="V261" s="79" t="s">
        <v>80</v>
      </c>
      <c r="W261" s="79" t="s">
        <v>69</v>
      </c>
      <c r="X261" s="79" t="s">
        <v>64</v>
      </c>
      <c r="Y261" s="130">
        <v>0.9</v>
      </c>
      <c r="Z261" s="111">
        <v>3.7</v>
      </c>
      <c r="AA261" s="133"/>
      <c r="AB261" s="133"/>
      <c r="AC261" s="133"/>
      <c r="AD261" s="133"/>
      <c r="AE261" s="133"/>
      <c r="AF261" s="111"/>
      <c r="AG261" s="134"/>
      <c r="AH261" s="73"/>
      <c r="AI261" s="135"/>
      <c r="AJ261" s="136"/>
      <c r="AK261" s="76"/>
      <c r="AL261" s="137"/>
      <c r="AM261" s="139" t="s">
        <v>71</v>
      </c>
      <c r="AN261" s="139">
        <v>336.0</v>
      </c>
      <c r="AO261" s="140">
        <v>91.07</v>
      </c>
      <c r="AP261" s="142">
        <v>31712.0</v>
      </c>
      <c r="AQ261" s="142">
        <v>218.0</v>
      </c>
      <c r="AR261" s="143"/>
      <c r="AS261" s="144">
        <v>0.9641899671900805</v>
      </c>
      <c r="AT261" s="144">
        <v>-0.004889967190080502</v>
      </c>
      <c r="AU261" s="146" t="s">
        <v>1365</v>
      </c>
      <c r="AV261" s="146" t="s">
        <v>1365</v>
      </c>
      <c r="AW261" s="148" t="s">
        <v>1365</v>
      </c>
      <c r="AX261" s="151"/>
      <c r="AY261" s="105"/>
      <c r="AZ261" s="186"/>
      <c r="BA261" s="186"/>
      <c r="BB261" s="146"/>
      <c r="BC261" s="155"/>
      <c r="BD261" s="155"/>
      <c r="BE261" s="155"/>
      <c r="BF261" s="45"/>
    </row>
    <row r="262" ht="16.5" customHeight="1">
      <c r="A262" s="111">
        <v>259.0</v>
      </c>
      <c r="B262" s="112" t="s">
        <v>376</v>
      </c>
      <c r="C262" s="115" t="s">
        <v>60</v>
      </c>
      <c r="D262" s="117">
        <v>41600.0</v>
      </c>
      <c r="E262" s="117">
        <v>42263.0</v>
      </c>
      <c r="F262" s="79" t="s">
        <v>59</v>
      </c>
      <c r="G262" s="118">
        <v>69161.0</v>
      </c>
      <c r="H262" s="114">
        <v>104.2</v>
      </c>
      <c r="I262" s="120">
        <v>366.0</v>
      </c>
      <c r="J262" s="111" t="s">
        <v>62</v>
      </c>
      <c r="K262" s="121">
        <v>366.0</v>
      </c>
      <c r="L262" s="120" t="s">
        <v>63</v>
      </c>
      <c r="M262" s="120"/>
      <c r="N262" s="120"/>
      <c r="O262" s="124">
        <v>69161.0</v>
      </c>
      <c r="P262" s="124">
        <v>664.0</v>
      </c>
      <c r="Q262" s="111">
        <v>202.0</v>
      </c>
      <c r="R262" s="125">
        <v>399.0</v>
      </c>
      <c r="S262" s="126">
        <v>0.9173</v>
      </c>
      <c r="T262" s="127">
        <v>71090.75</v>
      </c>
      <c r="U262" s="128">
        <f t="shared" si="2"/>
        <v>0</v>
      </c>
      <c r="V262" s="79" t="s">
        <v>69</v>
      </c>
      <c r="W262" s="79" t="s">
        <v>69</v>
      </c>
      <c r="X262" s="79" t="s">
        <v>68</v>
      </c>
      <c r="Y262" s="130">
        <v>0.9</v>
      </c>
      <c r="Z262" s="111">
        <v>11.0</v>
      </c>
      <c r="AA262" s="111">
        <v>383.0</v>
      </c>
      <c r="AB262" s="111" t="s">
        <v>61</v>
      </c>
      <c r="AC262" s="133"/>
      <c r="AD262" s="133"/>
      <c r="AE262" s="133"/>
      <c r="AF262" s="111"/>
      <c r="AG262" s="147"/>
      <c r="AH262" s="73"/>
      <c r="AI262" s="135"/>
      <c r="AJ262" s="136"/>
      <c r="AK262" s="76"/>
      <c r="AL262" s="137"/>
      <c r="AM262" s="139">
        <v>388.0</v>
      </c>
      <c r="AN262" s="139">
        <v>664.0</v>
      </c>
      <c r="AO262" s="140">
        <v>188.07</v>
      </c>
      <c r="AP262" s="142">
        <v>69161.0</v>
      </c>
      <c r="AQ262" s="142">
        <v>202.0</v>
      </c>
      <c r="AR262" s="143"/>
      <c r="AS262" s="144">
        <v>0.950949969860209</v>
      </c>
      <c r="AT262" s="144">
        <v>-0.03364996986020896</v>
      </c>
      <c r="AU262" s="146" t="s">
        <v>1373</v>
      </c>
      <c r="AV262" s="146" t="s">
        <v>1373</v>
      </c>
      <c r="AW262" s="148" t="s">
        <v>1373</v>
      </c>
      <c r="AX262" s="151"/>
      <c r="AY262" s="105"/>
      <c r="AZ262" s="186"/>
      <c r="BA262" s="186"/>
      <c r="BB262" s="146"/>
      <c r="BC262" s="155"/>
      <c r="BD262" s="155"/>
      <c r="BE262" s="155"/>
      <c r="BF262" s="45"/>
    </row>
    <row r="263" ht="16.5" customHeight="1">
      <c r="A263" s="111">
        <v>260.0</v>
      </c>
      <c r="B263" s="112" t="s">
        <v>623</v>
      </c>
      <c r="C263" s="115" t="s">
        <v>60</v>
      </c>
      <c r="D263" s="117">
        <v>41794.0</v>
      </c>
      <c r="E263" s="117">
        <v>42262.0</v>
      </c>
      <c r="F263" s="79" t="s">
        <v>59</v>
      </c>
      <c r="G263" s="118">
        <v>69239.0</v>
      </c>
      <c r="H263" s="114">
        <v>147.6</v>
      </c>
      <c r="I263" s="120">
        <v>365.0</v>
      </c>
      <c r="J263" s="111" t="s">
        <v>62</v>
      </c>
      <c r="K263" s="121">
        <v>365.0</v>
      </c>
      <c r="L263" s="120" t="s">
        <v>63</v>
      </c>
      <c r="M263" s="120"/>
      <c r="N263" s="120"/>
      <c r="O263" s="124">
        <v>69239.0</v>
      </c>
      <c r="P263" s="124">
        <v>469.0</v>
      </c>
      <c r="Q263" s="111">
        <v>187.0</v>
      </c>
      <c r="R263" s="125">
        <v>399.0</v>
      </c>
      <c r="S263" s="126">
        <v>0.9148</v>
      </c>
      <c r="T263" s="127">
        <v>70897.0</v>
      </c>
      <c r="U263" s="128">
        <f t="shared" si="2"/>
        <v>0</v>
      </c>
      <c r="V263" s="79" t="s">
        <v>65</v>
      </c>
      <c r="W263" s="79" t="s">
        <v>69</v>
      </c>
      <c r="X263" s="79" t="s">
        <v>69</v>
      </c>
      <c r="Y263" s="130">
        <v>0.9</v>
      </c>
      <c r="Z263" s="111">
        <v>9.0</v>
      </c>
      <c r="AA263" s="111"/>
      <c r="AB263" s="111"/>
      <c r="AC263" s="111"/>
      <c r="AD263" s="111"/>
      <c r="AE263" s="111"/>
      <c r="AF263" s="111"/>
      <c r="AG263" s="134" t="s">
        <v>1378</v>
      </c>
      <c r="AH263" s="73"/>
      <c r="AI263" s="135"/>
      <c r="AJ263" s="136"/>
      <c r="AK263" s="76"/>
      <c r="AL263" s="137"/>
      <c r="AM263" s="139" t="s">
        <v>71</v>
      </c>
      <c r="AN263" s="139">
        <v>469.0</v>
      </c>
      <c r="AO263" s="140">
        <v>174.52</v>
      </c>
      <c r="AP263" s="142">
        <v>69239.0</v>
      </c>
      <c r="AQ263" s="142">
        <v>187.0</v>
      </c>
      <c r="AR263" s="143"/>
      <c r="AS263" s="144">
        <v>0.9509321844781368</v>
      </c>
      <c r="AT263" s="144">
        <v>-0.03613218447813682</v>
      </c>
      <c r="AU263" s="146" t="s">
        <v>1380</v>
      </c>
      <c r="AV263" s="146" t="s">
        <v>1380</v>
      </c>
      <c r="AW263" s="148" t="s">
        <v>1380</v>
      </c>
      <c r="AX263" s="151"/>
      <c r="AY263" s="105"/>
      <c r="AZ263" s="186"/>
      <c r="BA263" s="186"/>
      <c r="BB263" s="146"/>
      <c r="BC263" s="155"/>
      <c r="BD263" s="155"/>
      <c r="BE263" s="155"/>
      <c r="BF263" s="45"/>
    </row>
    <row r="264" ht="16.5" customHeight="1">
      <c r="A264" s="111">
        <v>261.0</v>
      </c>
      <c r="B264" s="112" t="s">
        <v>761</v>
      </c>
      <c r="C264" s="115" t="s">
        <v>60</v>
      </c>
      <c r="D264" s="117">
        <v>42097.0</v>
      </c>
      <c r="E264" s="117">
        <v>42264.0</v>
      </c>
      <c r="F264" s="79" t="s">
        <v>90</v>
      </c>
      <c r="G264" s="118">
        <v>15007.0</v>
      </c>
      <c r="H264" s="114">
        <v>89.3</v>
      </c>
      <c r="I264" s="120">
        <v>388.0</v>
      </c>
      <c r="J264" s="111" t="s">
        <v>62</v>
      </c>
      <c r="K264" s="121">
        <v>388.0</v>
      </c>
      <c r="L264" s="120" t="s">
        <v>63</v>
      </c>
      <c r="M264" s="120"/>
      <c r="N264" s="120"/>
      <c r="O264" s="124">
        <v>15007.0</v>
      </c>
      <c r="P264" s="124">
        <v>168.0</v>
      </c>
      <c r="Q264" s="111">
        <v>233.0</v>
      </c>
      <c r="R264" s="125">
        <v>408.0</v>
      </c>
      <c r="S264" s="126">
        <v>0.951</v>
      </c>
      <c r="T264" s="127">
        <v>73702.5</v>
      </c>
      <c r="U264" s="128">
        <f t="shared" si="2"/>
        <v>0</v>
      </c>
      <c r="V264" s="79" t="s">
        <v>65</v>
      </c>
      <c r="W264" s="79" t="s">
        <v>64</v>
      </c>
      <c r="X264" s="79" t="s">
        <v>68</v>
      </c>
      <c r="Y264" s="130">
        <v>0.7</v>
      </c>
      <c r="Z264" s="111">
        <v>11.0</v>
      </c>
      <c r="AA264" s="111">
        <v>406.0</v>
      </c>
      <c r="AB264" s="111" t="s">
        <v>62</v>
      </c>
      <c r="AC264" s="133"/>
      <c r="AD264" s="133"/>
      <c r="AE264" s="133"/>
      <c r="AF264" s="111"/>
      <c r="AG264" s="134" t="s">
        <v>763</v>
      </c>
      <c r="AH264" s="73"/>
      <c r="AI264" s="135"/>
      <c r="AJ264" s="136"/>
      <c r="AK264" s="76"/>
      <c r="AL264" s="137"/>
      <c r="AM264" s="139">
        <v>406.0</v>
      </c>
      <c r="AN264" s="139">
        <v>168.0</v>
      </c>
      <c r="AO264" s="140">
        <v>46.26</v>
      </c>
      <c r="AP264" s="142">
        <v>15007.0</v>
      </c>
      <c r="AQ264" s="142">
        <v>233.0</v>
      </c>
      <c r="AR264" s="143"/>
      <c r="AS264" s="144">
        <v>0.9774824976362155</v>
      </c>
      <c r="AT264" s="144">
        <v>-0.026482497636215574</v>
      </c>
      <c r="AU264" s="146" t="s">
        <v>1383</v>
      </c>
      <c r="AV264" s="146" t="s">
        <v>1383</v>
      </c>
      <c r="AW264" s="148" t="s">
        <v>1383</v>
      </c>
      <c r="AX264" s="151"/>
      <c r="AY264" s="105"/>
      <c r="AZ264" s="186"/>
      <c r="BA264" s="186"/>
      <c r="BB264" s="146"/>
      <c r="BC264" s="155"/>
      <c r="BD264" s="155"/>
      <c r="BE264" s="155"/>
      <c r="BF264" s="45"/>
    </row>
    <row r="265" ht="16.5" customHeight="1">
      <c r="A265" s="111">
        <v>262.0</v>
      </c>
      <c r="B265" s="112" t="s">
        <v>761</v>
      </c>
      <c r="C265" s="115" t="s">
        <v>60</v>
      </c>
      <c r="D265" s="117">
        <v>42097.0</v>
      </c>
      <c r="E265" s="117">
        <v>42264.0</v>
      </c>
      <c r="F265" s="79" t="s">
        <v>90</v>
      </c>
      <c r="G265" s="118">
        <v>15237.0</v>
      </c>
      <c r="H265" s="114">
        <v>90.7</v>
      </c>
      <c r="I265" s="120">
        <v>389.0</v>
      </c>
      <c r="J265" s="111" t="s">
        <v>62</v>
      </c>
      <c r="K265" s="121">
        <v>389.0</v>
      </c>
      <c r="L265" s="120" t="s">
        <v>63</v>
      </c>
      <c r="M265" s="120"/>
      <c r="N265" s="120"/>
      <c r="O265" s="124">
        <v>15237.0</v>
      </c>
      <c r="P265" s="124">
        <v>168.0</v>
      </c>
      <c r="Q265" s="111">
        <v>233.0</v>
      </c>
      <c r="R265" s="125">
        <v>408.0</v>
      </c>
      <c r="S265" s="126">
        <v>0.9534</v>
      </c>
      <c r="T265" s="127">
        <v>73888.5</v>
      </c>
      <c r="U265" s="128">
        <f t="shared" si="2"/>
        <v>0</v>
      </c>
      <c r="V265" s="79" t="s">
        <v>65</v>
      </c>
      <c r="W265" s="79" t="s">
        <v>64</v>
      </c>
      <c r="X265" s="79" t="s">
        <v>68</v>
      </c>
      <c r="Y265" s="130">
        <v>0.7</v>
      </c>
      <c r="Z265" s="111">
        <v>11.0</v>
      </c>
      <c r="AA265" s="111">
        <v>406.0</v>
      </c>
      <c r="AB265" s="111" t="s">
        <v>62</v>
      </c>
      <c r="AC265" s="111">
        <v>389.0</v>
      </c>
      <c r="AD265" s="111">
        <v>9.0</v>
      </c>
      <c r="AE265" s="111">
        <v>68.4</v>
      </c>
      <c r="AF265" s="111" t="s">
        <v>62</v>
      </c>
      <c r="AG265" s="134" t="s">
        <v>763</v>
      </c>
      <c r="AH265" s="73">
        <v>380.0</v>
      </c>
      <c r="AI265" s="135">
        <v>380.0</v>
      </c>
      <c r="AJ265" s="136">
        <v>70.02000000000001</v>
      </c>
      <c r="AK265" s="76">
        <v>0.9034838709677421</v>
      </c>
      <c r="AL265" s="137" t="s">
        <v>1384</v>
      </c>
      <c r="AM265" s="139">
        <v>406.0</v>
      </c>
      <c r="AN265" s="139">
        <v>168.0</v>
      </c>
      <c r="AO265" s="140">
        <v>46.91</v>
      </c>
      <c r="AP265" s="142">
        <v>15237.0</v>
      </c>
      <c r="AQ265" s="142">
        <v>233.0</v>
      </c>
      <c r="AR265" s="143"/>
      <c r="AS265" s="144">
        <v>0.9772351578537055</v>
      </c>
      <c r="AT265" s="144">
        <v>-0.02383515785370549</v>
      </c>
      <c r="AU265" s="146" t="s">
        <v>1385</v>
      </c>
      <c r="AV265" s="146" t="s">
        <v>1385</v>
      </c>
      <c r="AW265" s="148" t="s">
        <v>1385</v>
      </c>
      <c r="AX265" s="151"/>
      <c r="AY265" s="105"/>
      <c r="AZ265" s="186"/>
      <c r="BA265" s="186"/>
      <c r="BB265" s="146"/>
      <c r="BC265" s="155"/>
      <c r="BD265" s="155"/>
      <c r="BE265" s="155"/>
      <c r="BF265" s="45"/>
    </row>
    <row r="266" ht="16.5" customHeight="1">
      <c r="A266" s="111">
        <v>263.0</v>
      </c>
      <c r="B266" s="112" t="s">
        <v>761</v>
      </c>
      <c r="C266" s="115" t="s">
        <v>60</v>
      </c>
      <c r="D266" s="117">
        <v>42097.0</v>
      </c>
      <c r="E266" s="117">
        <v>42264.0</v>
      </c>
      <c r="F266" s="79" t="s">
        <v>90</v>
      </c>
      <c r="G266" s="118">
        <v>15471.0</v>
      </c>
      <c r="H266" s="114">
        <v>92.1</v>
      </c>
      <c r="I266" s="120">
        <v>389.0</v>
      </c>
      <c r="J266" s="111" t="s">
        <v>62</v>
      </c>
      <c r="K266" s="121">
        <v>389.0</v>
      </c>
      <c r="L266" s="120" t="s">
        <v>63</v>
      </c>
      <c r="M266" s="120"/>
      <c r="N266" s="120"/>
      <c r="O266" s="124">
        <v>15471.0</v>
      </c>
      <c r="P266" s="124">
        <v>168.0</v>
      </c>
      <c r="Q266" s="111">
        <v>234.0</v>
      </c>
      <c r="R266" s="125">
        <v>408.0</v>
      </c>
      <c r="S266" s="126">
        <v>0.9534</v>
      </c>
      <c r="T266" s="127">
        <v>73888.5</v>
      </c>
      <c r="U266" s="128">
        <f t="shared" si="2"/>
        <v>0</v>
      </c>
      <c r="V266" s="79" t="s">
        <v>65</v>
      </c>
      <c r="W266" s="79" t="s">
        <v>64</v>
      </c>
      <c r="X266" s="79" t="s">
        <v>68</v>
      </c>
      <c r="Y266" s="130">
        <v>0.7</v>
      </c>
      <c r="Z266" s="111">
        <v>11.0</v>
      </c>
      <c r="AA266" s="111">
        <v>406.0</v>
      </c>
      <c r="AB266" s="111" t="s">
        <v>62</v>
      </c>
      <c r="AC266" s="133"/>
      <c r="AD266" s="133"/>
      <c r="AE266" s="133"/>
      <c r="AF266" s="111"/>
      <c r="AG266" s="134" t="s">
        <v>763</v>
      </c>
      <c r="AH266" s="73"/>
      <c r="AI266" s="135"/>
      <c r="AJ266" s="136"/>
      <c r="AK266" s="76"/>
      <c r="AL266" s="137"/>
      <c r="AM266" s="139">
        <v>406.0</v>
      </c>
      <c r="AN266" s="139">
        <v>168.0</v>
      </c>
      <c r="AO266" s="140">
        <v>47.83</v>
      </c>
      <c r="AP266" s="142">
        <v>15471.0</v>
      </c>
      <c r="AQ266" s="142">
        <v>234.0</v>
      </c>
      <c r="AR266" s="143"/>
      <c r="AS266" s="144">
        <v>0.976985857166017</v>
      </c>
      <c r="AT266" s="144">
        <v>-0.02358585716601702</v>
      </c>
      <c r="AU266" s="146" t="s">
        <v>1386</v>
      </c>
      <c r="AV266" s="146" t="s">
        <v>1386</v>
      </c>
      <c r="AW266" s="148" t="s">
        <v>1386</v>
      </c>
      <c r="AX266" s="151"/>
      <c r="AY266" s="105"/>
      <c r="AZ266" s="186"/>
      <c r="BA266" s="186"/>
      <c r="BB266" s="146"/>
      <c r="BC266" s="155"/>
      <c r="BD266" s="155"/>
      <c r="BE266" s="155"/>
      <c r="BF266" s="45"/>
    </row>
    <row r="267" ht="16.5" customHeight="1">
      <c r="A267" s="111">
        <v>264.0</v>
      </c>
      <c r="B267" s="112" t="s">
        <v>1387</v>
      </c>
      <c r="C267" s="115" t="s">
        <v>60</v>
      </c>
      <c r="D267" s="117">
        <v>41701.0</v>
      </c>
      <c r="E267" s="117">
        <v>42268.0</v>
      </c>
      <c r="F267" s="79" t="s">
        <v>57</v>
      </c>
      <c r="G267" s="118">
        <v>55125.0</v>
      </c>
      <c r="H267" s="114">
        <v>97.1</v>
      </c>
      <c r="I267" s="120">
        <v>365.0</v>
      </c>
      <c r="J267" s="111" t="s">
        <v>62</v>
      </c>
      <c r="K267" s="121">
        <v>365.0</v>
      </c>
      <c r="L267" s="120" t="s">
        <v>63</v>
      </c>
      <c r="M267" s="120"/>
      <c r="N267" s="120"/>
      <c r="O267" s="124">
        <v>55125.0</v>
      </c>
      <c r="P267" s="124">
        <v>568.0</v>
      </c>
      <c r="Q267" s="111">
        <v>239.0</v>
      </c>
      <c r="R267" s="125">
        <v>399.0</v>
      </c>
      <c r="S267" s="126">
        <v>0.9148</v>
      </c>
      <c r="T267" s="127">
        <v>70897.0</v>
      </c>
      <c r="U267" s="128">
        <f t="shared" si="2"/>
        <v>0</v>
      </c>
      <c r="V267" s="79" t="s">
        <v>64</v>
      </c>
      <c r="W267" s="79" t="s">
        <v>69</v>
      </c>
      <c r="X267" s="79" t="s">
        <v>66</v>
      </c>
      <c r="Y267" s="130">
        <v>0.8</v>
      </c>
      <c r="Z267" s="111">
        <v>7.2</v>
      </c>
      <c r="AA267" s="133"/>
      <c r="AB267" s="133"/>
      <c r="AC267" s="133"/>
      <c r="AD267" s="133"/>
      <c r="AE267" s="133"/>
      <c r="AF267" s="111"/>
      <c r="AG267" s="134" t="s">
        <v>1388</v>
      </c>
      <c r="AH267" s="73"/>
      <c r="AI267" s="135"/>
      <c r="AJ267" s="136"/>
      <c r="AK267" s="76"/>
      <c r="AL267" s="137"/>
      <c r="AM267" s="139" t="s">
        <v>71</v>
      </c>
      <c r="AN267" s="139">
        <v>568.0</v>
      </c>
      <c r="AO267" s="140">
        <v>177.59</v>
      </c>
      <c r="AP267" s="142">
        <v>55125.0</v>
      </c>
      <c r="AQ267" s="142">
        <v>239.0</v>
      </c>
      <c r="AR267" s="143"/>
      <c r="AS267" s="144">
        <v>0.95457371378278</v>
      </c>
      <c r="AT267" s="144">
        <v>-0.03977371378278005</v>
      </c>
      <c r="AU267" s="146" t="s">
        <v>1389</v>
      </c>
      <c r="AV267" s="146" t="s">
        <v>1389</v>
      </c>
      <c r="AW267" s="148" t="s">
        <v>1389</v>
      </c>
      <c r="AX267" s="151"/>
      <c r="AY267" s="105"/>
      <c r="AZ267" s="186"/>
      <c r="BA267" s="186"/>
      <c r="BB267" s="146"/>
      <c r="BC267" s="155"/>
      <c r="BD267" s="155"/>
      <c r="BE267" s="155"/>
      <c r="BF267" s="45"/>
    </row>
    <row r="268" ht="16.5" customHeight="1">
      <c r="A268" s="111">
        <v>265.0</v>
      </c>
      <c r="B268" s="112" t="s">
        <v>717</v>
      </c>
      <c r="C268" s="115" t="s">
        <v>60</v>
      </c>
      <c r="D268" s="117">
        <v>42093.0</v>
      </c>
      <c r="E268" s="117">
        <v>42264.0</v>
      </c>
      <c r="F268" s="79" t="s">
        <v>90</v>
      </c>
      <c r="G268" s="118">
        <v>16302.0</v>
      </c>
      <c r="H268" s="114">
        <v>94.8</v>
      </c>
      <c r="I268" s="120">
        <v>406.0</v>
      </c>
      <c r="J268" s="111" t="s">
        <v>62</v>
      </c>
      <c r="K268" s="121">
        <v>406.0</v>
      </c>
      <c r="L268" s="120" t="s">
        <v>63</v>
      </c>
      <c r="M268" s="120"/>
      <c r="N268" s="120"/>
      <c r="O268" s="124">
        <v>16302.0</v>
      </c>
      <c r="P268" s="124">
        <v>172.0</v>
      </c>
      <c r="Q268" s="111">
        <v>197.0</v>
      </c>
      <c r="R268" s="125">
        <v>408.0</v>
      </c>
      <c r="S268" s="126">
        <v>0.9951</v>
      </c>
      <c r="T268" s="127">
        <v>77120.25</v>
      </c>
      <c r="U268" s="128">
        <f t="shared" si="2"/>
        <v>0</v>
      </c>
      <c r="V268" s="79"/>
      <c r="W268" s="79"/>
      <c r="X268" s="79"/>
      <c r="Y268" s="130">
        <v>0.8</v>
      </c>
      <c r="Z268" s="111">
        <v>11.0</v>
      </c>
      <c r="AA268" s="133"/>
      <c r="AB268" s="133"/>
      <c r="AC268" s="133"/>
      <c r="AD268" s="133"/>
      <c r="AE268" s="133"/>
      <c r="AF268" s="111"/>
      <c r="AG268" s="147"/>
      <c r="AH268" s="73"/>
      <c r="AI268" s="135"/>
      <c r="AJ268" s="136"/>
      <c r="AK268" s="76"/>
      <c r="AL268" s="137"/>
      <c r="AM268" s="139" t="s">
        <v>71</v>
      </c>
      <c r="AN268" s="139">
        <v>172.0</v>
      </c>
      <c r="AO268" s="140">
        <v>41.55</v>
      </c>
      <c r="AP268" s="142">
        <v>16302.0</v>
      </c>
      <c r="AQ268" s="142">
        <v>197.0</v>
      </c>
      <c r="AR268" s="143"/>
      <c r="AS268" s="144">
        <v>0.9761192154040395</v>
      </c>
      <c r="AT268" s="144">
        <v>0.01898078459596053</v>
      </c>
      <c r="AU268" s="146" t="s">
        <v>1390</v>
      </c>
      <c r="AV268" s="146" t="s">
        <v>1390</v>
      </c>
      <c r="AW268" s="148" t="s">
        <v>1390</v>
      </c>
      <c r="AX268" s="151"/>
      <c r="AY268" s="105"/>
      <c r="AZ268" s="186"/>
      <c r="BA268" s="186"/>
      <c r="BB268" s="146"/>
      <c r="BC268" s="155"/>
      <c r="BD268" s="155"/>
      <c r="BE268" s="155"/>
      <c r="BF268" s="45"/>
    </row>
    <row r="269" ht="16.5" customHeight="1">
      <c r="A269" s="111">
        <v>266.0</v>
      </c>
      <c r="B269" s="165" t="s">
        <v>605</v>
      </c>
      <c r="C269" s="115" t="s">
        <v>60</v>
      </c>
      <c r="D269" s="230">
        <v>41631.0</v>
      </c>
      <c r="E269" s="117">
        <v>42269.0</v>
      </c>
      <c r="F269" s="79" t="s">
        <v>59</v>
      </c>
      <c r="G269" s="118">
        <v>51815.0</v>
      </c>
      <c r="H269" s="114">
        <v>81.1</v>
      </c>
      <c r="I269" s="120">
        <v>375.0</v>
      </c>
      <c r="J269" s="111" t="s">
        <v>62</v>
      </c>
      <c r="K269" s="121">
        <v>375.0</v>
      </c>
      <c r="L269" s="120" t="s">
        <v>63</v>
      </c>
      <c r="M269" s="120"/>
      <c r="N269" s="120"/>
      <c r="O269" s="124">
        <v>51815.0</v>
      </c>
      <c r="P269" s="124">
        <v>639.0</v>
      </c>
      <c r="Q269" s="111">
        <v>198.0</v>
      </c>
      <c r="R269" s="125">
        <v>399.0</v>
      </c>
      <c r="S269" s="126">
        <v>0.9398</v>
      </c>
      <c r="T269" s="127">
        <v>72834.5</v>
      </c>
      <c r="U269" s="128">
        <f t="shared" si="2"/>
        <v>0</v>
      </c>
      <c r="V269" s="79" t="s">
        <v>65</v>
      </c>
      <c r="W269" s="79" t="s">
        <v>69</v>
      </c>
      <c r="X269" s="79" t="s">
        <v>68</v>
      </c>
      <c r="Y269" s="130">
        <v>0.7</v>
      </c>
      <c r="Z269" s="111">
        <v>5.0</v>
      </c>
      <c r="AA269" s="111">
        <v>401.0</v>
      </c>
      <c r="AB269" s="133"/>
      <c r="AC269" s="133"/>
      <c r="AD269" s="133"/>
      <c r="AE269" s="133"/>
      <c r="AF269" s="111"/>
      <c r="AG269" s="147"/>
      <c r="AH269" s="73"/>
      <c r="AI269" s="135"/>
      <c r="AJ269" s="136"/>
      <c r="AK269" s="76"/>
      <c r="AL269" s="137"/>
      <c r="AM269" s="139">
        <v>401.0</v>
      </c>
      <c r="AN269" s="139">
        <v>639.0</v>
      </c>
      <c r="AO269" s="140">
        <v>136.51</v>
      </c>
      <c r="AP269" s="142">
        <v>51815.0</v>
      </c>
      <c r="AQ269" s="142">
        <v>198.0</v>
      </c>
      <c r="AR269" s="143"/>
      <c r="AS269" s="144">
        <v>0.9555900460340815</v>
      </c>
      <c r="AT269" s="144">
        <v>-0.015790046034081517</v>
      </c>
      <c r="AU269" s="146" t="s">
        <v>1391</v>
      </c>
      <c r="AV269" s="146" t="s">
        <v>1391</v>
      </c>
      <c r="AW269" s="148" t="s">
        <v>1391</v>
      </c>
      <c r="AX269" s="151"/>
      <c r="AY269" s="105"/>
      <c r="AZ269" s="186"/>
      <c r="BA269" s="186"/>
      <c r="BB269" s="146"/>
      <c r="BC269" s="155"/>
      <c r="BD269" s="155"/>
      <c r="BE269" s="155"/>
      <c r="BF269" s="45"/>
    </row>
    <row r="270" ht="16.5" customHeight="1">
      <c r="A270" s="111">
        <v>267.0</v>
      </c>
      <c r="B270" s="112" t="s">
        <v>640</v>
      </c>
      <c r="C270" s="115" t="s">
        <v>60</v>
      </c>
      <c r="D270" s="117">
        <v>41927.0</v>
      </c>
      <c r="E270" s="117">
        <v>42274.0</v>
      </c>
      <c r="F270" s="79" t="s">
        <v>59</v>
      </c>
      <c r="G270" s="118">
        <v>33439.0</v>
      </c>
      <c r="H270" s="114">
        <v>96.1</v>
      </c>
      <c r="I270" s="120">
        <v>377.0</v>
      </c>
      <c r="J270" s="111" t="s">
        <v>61</v>
      </c>
      <c r="K270" s="121">
        <v>381.77</v>
      </c>
      <c r="L270" s="120" t="s">
        <v>63</v>
      </c>
      <c r="M270" s="120"/>
      <c r="N270" s="120"/>
      <c r="O270" s="124">
        <v>33439.0</v>
      </c>
      <c r="P270" s="124">
        <v>348.0</v>
      </c>
      <c r="Q270" s="111">
        <v>218.0</v>
      </c>
      <c r="R270" s="125">
        <v>399.0</v>
      </c>
      <c r="S270" s="126">
        <v>0.9568</v>
      </c>
      <c r="T270" s="127">
        <v>74152.0</v>
      </c>
      <c r="U270" s="128">
        <f t="shared" si="2"/>
        <v>0</v>
      </c>
      <c r="V270" s="79" t="s">
        <v>80</v>
      </c>
      <c r="W270" s="79" t="s">
        <v>64</v>
      </c>
      <c r="X270" s="79" t="s">
        <v>64</v>
      </c>
      <c r="Y270" s="130">
        <v>0.9</v>
      </c>
      <c r="Z270" s="111">
        <v>3.7</v>
      </c>
      <c r="AA270" s="111">
        <v>393.0</v>
      </c>
      <c r="AB270" s="133"/>
      <c r="AC270" s="133"/>
      <c r="AD270" s="133"/>
      <c r="AE270" s="133"/>
      <c r="AF270" s="111"/>
      <c r="AG270" s="147"/>
      <c r="AH270" s="73"/>
      <c r="AI270" s="135"/>
      <c r="AJ270" s="136"/>
      <c r="AK270" s="76"/>
      <c r="AL270" s="137"/>
      <c r="AM270" s="139">
        <v>393.0</v>
      </c>
      <c r="AN270" s="139">
        <v>348.0</v>
      </c>
      <c r="AO270" s="140">
        <v>96.15</v>
      </c>
      <c r="AP270" s="142">
        <v>33439.0</v>
      </c>
      <c r="AQ270" s="142">
        <v>218.0</v>
      </c>
      <c r="AR270" s="143"/>
      <c r="AS270" s="144">
        <v>0.9632230367658368</v>
      </c>
      <c r="AT270" s="144">
        <v>-0.006423036765836776</v>
      </c>
      <c r="AU270" s="146" t="s">
        <v>1393</v>
      </c>
      <c r="AV270" s="146" t="s">
        <v>1393</v>
      </c>
      <c r="AW270" s="148" t="s">
        <v>1393</v>
      </c>
      <c r="AX270" s="151"/>
      <c r="AY270" s="105"/>
      <c r="AZ270" s="186"/>
      <c r="BA270" s="186"/>
      <c r="BB270" s="146"/>
      <c r="BC270" s="155"/>
      <c r="BD270" s="155"/>
      <c r="BE270" s="155"/>
      <c r="BF270" s="45"/>
    </row>
    <row r="271" ht="16.5" customHeight="1">
      <c r="A271" s="111">
        <v>268.0</v>
      </c>
      <c r="B271" s="112" t="s">
        <v>1263</v>
      </c>
      <c r="C271" s="115" t="s">
        <v>60</v>
      </c>
      <c r="D271" s="117">
        <v>42174.0</v>
      </c>
      <c r="E271" s="117">
        <v>42272.0</v>
      </c>
      <c r="F271" s="79" t="s">
        <v>86</v>
      </c>
      <c r="G271" s="118">
        <v>8414.0</v>
      </c>
      <c r="H271" s="114">
        <v>85.0</v>
      </c>
      <c r="I271" s="120">
        <v>401.0</v>
      </c>
      <c r="J271" s="111" t="s">
        <v>61</v>
      </c>
      <c r="K271" s="121">
        <v>406.08</v>
      </c>
      <c r="L271" s="120" t="s">
        <v>63</v>
      </c>
      <c r="M271" s="120"/>
      <c r="N271" s="120"/>
      <c r="O271" s="124">
        <v>8414.0</v>
      </c>
      <c r="P271" s="124">
        <v>99.0</v>
      </c>
      <c r="Q271" s="111">
        <v>224.0</v>
      </c>
      <c r="R271" s="125">
        <v>430.0</v>
      </c>
      <c r="S271" s="126">
        <v>0.9444</v>
      </c>
      <c r="T271" s="127">
        <v>73191.0</v>
      </c>
      <c r="U271" s="128">
        <f t="shared" si="2"/>
        <v>0</v>
      </c>
      <c r="V271" s="79" t="s">
        <v>69</v>
      </c>
      <c r="W271" s="79" t="s">
        <v>69</v>
      </c>
      <c r="X271" s="79" t="s">
        <v>68</v>
      </c>
      <c r="Y271" s="130">
        <v>0.9</v>
      </c>
      <c r="Z271" s="111">
        <v>22.0</v>
      </c>
      <c r="AA271" s="133"/>
      <c r="AB271" s="133"/>
      <c r="AC271" s="133"/>
      <c r="AD271" s="133"/>
      <c r="AE271" s="133"/>
      <c r="AF271" s="111"/>
      <c r="AG271" s="134" t="s">
        <v>1269</v>
      </c>
      <c r="AH271" s="73"/>
      <c r="AI271" s="135"/>
      <c r="AJ271" s="136"/>
      <c r="AK271" s="76"/>
      <c r="AL271" s="137"/>
      <c r="AM271" s="139" t="s">
        <v>71</v>
      </c>
      <c r="AN271" s="139">
        <v>99.0</v>
      </c>
      <c r="AO271" s="140">
        <v>25.02</v>
      </c>
      <c r="AP271" s="142">
        <v>8414.0</v>
      </c>
      <c r="AQ271" s="142">
        <v>224.0</v>
      </c>
      <c r="AR271" s="143"/>
      <c r="AS271" s="144">
        <v>0.9856591527718253</v>
      </c>
      <c r="AT271" s="144">
        <v>-0.041259152771825236</v>
      </c>
      <c r="AU271" s="146" t="s">
        <v>1395</v>
      </c>
      <c r="AV271" s="146" t="s">
        <v>1395</v>
      </c>
      <c r="AW271" s="148" t="s">
        <v>1395</v>
      </c>
      <c r="AX271" s="151"/>
      <c r="AY271" s="105"/>
      <c r="AZ271" s="186"/>
      <c r="BA271" s="186"/>
      <c r="BB271" s="146"/>
      <c r="BC271" s="155"/>
      <c r="BD271" s="155"/>
      <c r="BE271" s="155"/>
      <c r="BF271" s="45"/>
    </row>
    <row r="272" ht="16.5" customHeight="1">
      <c r="A272" s="111">
        <v>269.0</v>
      </c>
      <c r="B272" s="112" t="s">
        <v>717</v>
      </c>
      <c r="C272" s="115" t="s">
        <v>60</v>
      </c>
      <c r="D272" s="117">
        <v>42093.0</v>
      </c>
      <c r="E272" s="117">
        <v>42272.0</v>
      </c>
      <c r="F272" s="79" t="s">
        <v>90</v>
      </c>
      <c r="G272" s="118">
        <v>18610.0</v>
      </c>
      <c r="H272" s="114">
        <v>103.4</v>
      </c>
      <c r="I272" s="120">
        <v>407.0</v>
      </c>
      <c r="J272" s="111" t="s">
        <v>62</v>
      </c>
      <c r="K272" s="121">
        <v>407.0</v>
      </c>
      <c r="L272" s="120" t="s">
        <v>63</v>
      </c>
      <c r="M272" s="120"/>
      <c r="N272" s="120"/>
      <c r="O272" s="124">
        <v>18610.0</v>
      </c>
      <c r="P272" s="124">
        <v>180.0</v>
      </c>
      <c r="Q272" s="111">
        <v>197.0</v>
      </c>
      <c r="R272" s="125">
        <v>408.0</v>
      </c>
      <c r="S272" s="126">
        <v>0.9975</v>
      </c>
      <c r="T272" s="127">
        <v>77306.25</v>
      </c>
      <c r="U272" s="128">
        <f t="shared" si="2"/>
        <v>0</v>
      </c>
      <c r="V272" s="79"/>
      <c r="W272" s="79"/>
      <c r="X272" s="79"/>
      <c r="Y272" s="130"/>
      <c r="Z272" s="111"/>
      <c r="AA272" s="133"/>
      <c r="AB272" s="133"/>
      <c r="AC272" s="133"/>
      <c r="AD272" s="133"/>
      <c r="AE272" s="133"/>
      <c r="AF272" s="111"/>
      <c r="AG272" s="147"/>
      <c r="AH272" s="73"/>
      <c r="AI272" s="135"/>
      <c r="AJ272" s="136"/>
      <c r="AK272" s="76"/>
      <c r="AL272" s="137"/>
      <c r="AM272" s="139" t="s">
        <v>71</v>
      </c>
      <c r="AN272" s="139">
        <v>180.0</v>
      </c>
      <c r="AO272" s="140">
        <v>47.37</v>
      </c>
      <c r="AP272" s="142">
        <v>18610.0</v>
      </c>
      <c r="AQ272" s="142">
        <v>197.0</v>
      </c>
      <c r="AR272" s="143"/>
      <c r="AS272" s="144">
        <v>0.9738574236310137</v>
      </c>
      <c r="AT272" s="144">
        <v>0.023642576368986368</v>
      </c>
      <c r="AU272" s="146" t="s">
        <v>1398</v>
      </c>
      <c r="AV272" s="146" t="s">
        <v>1398</v>
      </c>
      <c r="AW272" s="148" t="s">
        <v>1398</v>
      </c>
      <c r="AX272" s="151"/>
      <c r="AY272" s="105"/>
      <c r="AZ272" s="186"/>
      <c r="BA272" s="186"/>
      <c r="BB272" s="146"/>
      <c r="BC272" s="155"/>
      <c r="BD272" s="155"/>
      <c r="BE272" s="155"/>
      <c r="BF272" s="45"/>
    </row>
    <row r="273" ht="16.5" customHeight="1">
      <c r="A273" s="111">
        <v>270.0</v>
      </c>
      <c r="B273" s="44" t="s">
        <v>751</v>
      </c>
      <c r="C273" s="429" t="s">
        <v>60</v>
      </c>
      <c r="D273" s="430">
        <v>41726.0</v>
      </c>
      <c r="E273" s="433">
        <v>41908.0</v>
      </c>
      <c r="F273" s="435" t="s">
        <v>103</v>
      </c>
      <c r="G273" s="436">
        <v>20509.0</v>
      </c>
      <c r="H273" s="437">
        <v>112.1</v>
      </c>
      <c r="I273" s="439">
        <v>388.0</v>
      </c>
      <c r="J273" s="441" t="s">
        <v>104</v>
      </c>
      <c r="K273" s="442">
        <v>391.92</v>
      </c>
      <c r="L273" s="445" t="s">
        <v>63</v>
      </c>
      <c r="M273" s="447"/>
      <c r="N273" s="447"/>
      <c r="O273" s="124">
        <v>20509.0</v>
      </c>
      <c r="P273" s="124">
        <v>183.0</v>
      </c>
      <c r="Q273" s="182">
        <v>206.0</v>
      </c>
      <c r="R273" s="125">
        <v>400.0</v>
      </c>
      <c r="S273" s="449">
        <v>0.9798</v>
      </c>
      <c r="T273" s="451">
        <v>75934.5</v>
      </c>
      <c r="U273" s="453">
        <f t="shared" si="2"/>
        <v>0</v>
      </c>
      <c r="V273" s="455" t="s">
        <v>64</v>
      </c>
      <c r="W273" s="455" t="s">
        <v>65</v>
      </c>
      <c r="X273" s="455" t="s">
        <v>68</v>
      </c>
      <c r="Y273" s="457"/>
      <c r="Z273" s="458"/>
      <c r="AA273" s="44"/>
      <c r="AB273" s="44"/>
      <c r="AC273" s="44"/>
      <c r="AD273" s="44"/>
      <c r="AE273" s="44"/>
      <c r="AF273" s="458"/>
      <c r="AG273" s="134" t="s">
        <v>1442</v>
      </c>
      <c r="AH273" s="73"/>
      <c r="AI273" s="135"/>
      <c r="AJ273" s="136"/>
      <c r="AK273" s="76"/>
      <c r="AL273" s="137"/>
      <c r="AM273" s="139" t="s">
        <v>71</v>
      </c>
      <c r="AN273" s="139">
        <v>183.0</v>
      </c>
      <c r="AO273" s="140">
        <v>55.08</v>
      </c>
      <c r="AP273" s="142">
        <v>20509.0</v>
      </c>
      <c r="AQ273" s="142">
        <v>206.0</v>
      </c>
      <c r="AR273" s="143"/>
      <c r="AS273" s="144">
        <v>0.9721444144744334</v>
      </c>
      <c r="AT273" s="144">
        <v>0.007655585525566555</v>
      </c>
      <c r="AU273" s="146" t="s">
        <v>1443</v>
      </c>
      <c r="AV273" s="146" t="s">
        <v>1443</v>
      </c>
      <c r="AW273" s="148" t="s">
        <v>1443</v>
      </c>
      <c r="AX273" s="151"/>
      <c r="AY273" s="105"/>
      <c r="AZ273" s="186"/>
      <c r="BA273" s="186"/>
      <c r="BB273" s="146"/>
      <c r="BC273" s="155"/>
      <c r="BD273" s="155"/>
      <c r="BE273" s="155"/>
      <c r="BF273" s="45"/>
    </row>
    <row r="274" ht="16.5" customHeight="1">
      <c r="A274" s="111">
        <v>271.0</v>
      </c>
      <c r="B274" s="112" t="s">
        <v>126</v>
      </c>
      <c r="C274" s="115" t="s">
        <v>60</v>
      </c>
      <c r="D274" s="117">
        <v>41527.0</v>
      </c>
      <c r="E274" s="117">
        <v>42277.0</v>
      </c>
      <c r="F274" s="79" t="s">
        <v>79</v>
      </c>
      <c r="G274" s="118">
        <v>131000.0</v>
      </c>
      <c r="H274" s="114">
        <v>174.4</v>
      </c>
      <c r="I274" s="120">
        <v>366.0</v>
      </c>
      <c r="J274" s="111" t="s">
        <v>61</v>
      </c>
      <c r="K274" s="121">
        <v>370.63</v>
      </c>
      <c r="L274" s="120" t="s">
        <v>63</v>
      </c>
      <c r="M274" s="120"/>
      <c r="N274" s="120"/>
      <c r="O274" s="124">
        <v>131000.0</v>
      </c>
      <c r="P274" s="124">
        <v>751.0</v>
      </c>
      <c r="Q274" s="111">
        <v>215.0</v>
      </c>
      <c r="R274" s="125">
        <v>399.0</v>
      </c>
      <c r="S274" s="126">
        <v>0.9289</v>
      </c>
      <c r="T274" s="127">
        <v>71989.75</v>
      </c>
      <c r="U274" s="128">
        <f t="shared" si="2"/>
        <v>0</v>
      </c>
      <c r="V274" s="79" t="s">
        <v>65</v>
      </c>
      <c r="W274" s="79" t="s">
        <v>127</v>
      </c>
      <c r="X274" s="79" t="s">
        <v>69</v>
      </c>
      <c r="Y274" s="130">
        <v>1.0</v>
      </c>
      <c r="Z274" s="111">
        <v>22.0</v>
      </c>
      <c r="AA274" s="111">
        <v>400.0</v>
      </c>
      <c r="AB274" s="111" t="s">
        <v>62</v>
      </c>
      <c r="AC274" s="111">
        <v>366.0</v>
      </c>
      <c r="AD274" s="111">
        <v>277.0</v>
      </c>
      <c r="AE274" s="111">
        <v>17.1</v>
      </c>
      <c r="AF274" s="111" t="s">
        <v>61</v>
      </c>
      <c r="AG274" s="147"/>
      <c r="AH274" s="73">
        <v>89.0</v>
      </c>
      <c r="AI274" s="135">
        <v>90.12658227848102</v>
      </c>
      <c r="AJ274" s="136">
        <v>70.32079592696628</v>
      </c>
      <c r="AK274" s="76">
        <v>0.9073651087350488</v>
      </c>
      <c r="AL274" s="137" t="s">
        <v>1445</v>
      </c>
      <c r="AM274" s="139">
        <v>400.0</v>
      </c>
      <c r="AN274" s="139">
        <v>751.0</v>
      </c>
      <c r="AO274" s="140">
        <v>376.85</v>
      </c>
      <c r="AP274" s="142">
        <v>131000.0</v>
      </c>
      <c r="AQ274" s="142">
        <v>215.0</v>
      </c>
      <c r="AR274" s="143"/>
      <c r="AS274" s="144">
        <v>0.9398430531412776</v>
      </c>
      <c r="AT274" s="144">
        <v>-0.010943053141277637</v>
      </c>
      <c r="AU274" s="146" t="s">
        <v>1446</v>
      </c>
      <c r="AV274" s="146" t="s">
        <v>1446</v>
      </c>
      <c r="AW274" s="148" t="s">
        <v>1446</v>
      </c>
      <c r="AX274" s="151"/>
      <c r="AY274" s="105"/>
      <c r="AZ274" s="186"/>
      <c r="BA274" s="186"/>
      <c r="BB274" s="146"/>
      <c r="BC274" s="155"/>
      <c r="BD274" s="155"/>
      <c r="BE274" s="155"/>
      <c r="BF274" s="45"/>
    </row>
    <row r="275" ht="16.5" customHeight="1">
      <c r="A275" s="111">
        <v>272.0</v>
      </c>
      <c r="B275" s="112" t="s">
        <v>1447</v>
      </c>
      <c r="C275" s="115" t="s">
        <v>60</v>
      </c>
      <c r="D275" s="117">
        <v>41992.0</v>
      </c>
      <c r="E275" s="117">
        <v>42279.0</v>
      </c>
      <c r="F275" s="79" t="s">
        <v>59</v>
      </c>
      <c r="G275" s="118">
        <v>9934.0</v>
      </c>
      <c r="H275" s="114">
        <v>34.5</v>
      </c>
      <c r="I275" s="120">
        <v>395.0</v>
      </c>
      <c r="J275" s="111" t="s">
        <v>62</v>
      </c>
      <c r="K275" s="121">
        <v>395.0</v>
      </c>
      <c r="L275" s="120" t="s">
        <v>63</v>
      </c>
      <c r="M275" s="120"/>
      <c r="N275" s="120"/>
      <c r="O275" s="124">
        <v>9934.0</v>
      </c>
      <c r="P275" s="124">
        <v>288.0</v>
      </c>
      <c r="Q275" s="111">
        <v>222.0</v>
      </c>
      <c r="R275" s="125">
        <v>399.0</v>
      </c>
      <c r="S275" s="126">
        <v>0.99</v>
      </c>
      <c r="T275" s="127">
        <v>76725.0</v>
      </c>
      <c r="U275" s="128">
        <f t="shared" si="2"/>
        <v>0</v>
      </c>
      <c r="V275" s="79" t="s">
        <v>64</v>
      </c>
      <c r="W275" s="79" t="s">
        <v>69</v>
      </c>
      <c r="X275" s="79" t="s">
        <v>66</v>
      </c>
      <c r="Y275" s="130">
        <v>0.9</v>
      </c>
      <c r="Z275" s="111">
        <v>11.0</v>
      </c>
      <c r="AA275" s="133"/>
      <c r="AB275" s="133"/>
      <c r="AC275" s="133"/>
      <c r="AD275" s="133"/>
      <c r="AE275" s="133"/>
      <c r="AF275" s="111"/>
      <c r="AG275" s="134" t="s">
        <v>1448</v>
      </c>
      <c r="AH275" s="73"/>
      <c r="AI275" s="135"/>
      <c r="AJ275" s="136"/>
      <c r="AK275" s="76"/>
      <c r="AL275" s="137"/>
      <c r="AM275" s="139" t="s">
        <v>71</v>
      </c>
      <c r="AN275" s="139">
        <v>288.0</v>
      </c>
      <c r="AO275" s="140">
        <v>28.61</v>
      </c>
      <c r="AP275" s="142">
        <v>9934.0</v>
      </c>
      <c r="AQ275" s="142">
        <v>222.0</v>
      </c>
      <c r="AR275" s="143"/>
      <c r="AS275" s="144">
        <v>0.9835717157203685</v>
      </c>
      <c r="AT275" s="144">
        <v>0.006428284279631491</v>
      </c>
      <c r="AU275" s="146" t="s">
        <v>1449</v>
      </c>
      <c r="AV275" s="146" t="s">
        <v>1449</v>
      </c>
      <c r="AW275" s="148" t="s">
        <v>1449</v>
      </c>
      <c r="AX275" s="151"/>
      <c r="AY275" s="105"/>
      <c r="AZ275" s="186"/>
      <c r="BA275" s="186"/>
      <c r="BB275" s="146"/>
      <c r="BC275" s="155"/>
      <c r="BD275" s="155"/>
      <c r="BE275" s="155"/>
      <c r="BF275" s="45"/>
    </row>
    <row r="276" ht="16.5" customHeight="1">
      <c r="A276" s="111">
        <v>273.0</v>
      </c>
      <c r="B276" s="112" t="s">
        <v>640</v>
      </c>
      <c r="C276" s="115" t="s">
        <v>60</v>
      </c>
      <c r="D276" s="117">
        <v>41927.0</v>
      </c>
      <c r="E276" s="117">
        <v>42274.0</v>
      </c>
      <c r="F276" s="79" t="s">
        <v>59</v>
      </c>
      <c r="G276" s="118">
        <v>34041.0</v>
      </c>
      <c r="H276" s="114">
        <v>97.8</v>
      </c>
      <c r="I276" s="120">
        <v>377.0</v>
      </c>
      <c r="J276" s="111" t="s">
        <v>61</v>
      </c>
      <c r="K276" s="121">
        <v>381.77</v>
      </c>
      <c r="L276" s="120" t="s">
        <v>63</v>
      </c>
      <c r="M276" s="120"/>
      <c r="N276" s="120"/>
      <c r="O276" s="124">
        <v>34041.0</v>
      </c>
      <c r="P276" s="124">
        <v>348.0</v>
      </c>
      <c r="Q276" s="111">
        <v>218.0</v>
      </c>
      <c r="R276" s="125">
        <v>399.0</v>
      </c>
      <c r="S276" s="126">
        <v>0.9568</v>
      </c>
      <c r="T276" s="127">
        <v>74152.0</v>
      </c>
      <c r="U276" s="128">
        <f t="shared" si="2"/>
        <v>0</v>
      </c>
      <c r="V276" s="79" t="s">
        <v>80</v>
      </c>
      <c r="W276" s="79" t="s">
        <v>67</v>
      </c>
      <c r="X276" s="79" t="s">
        <v>64</v>
      </c>
      <c r="Y276" s="130">
        <v>0.9</v>
      </c>
      <c r="Z276" s="111">
        <v>3.7</v>
      </c>
      <c r="AA276" s="111">
        <v>393.0</v>
      </c>
      <c r="AB276" s="133"/>
      <c r="AC276" s="133"/>
      <c r="AD276" s="133"/>
      <c r="AE276" s="133"/>
      <c r="AF276" s="111"/>
      <c r="AG276" s="147"/>
      <c r="AH276" s="73"/>
      <c r="AI276" s="135"/>
      <c r="AJ276" s="136"/>
      <c r="AK276" s="76"/>
      <c r="AL276" s="137"/>
      <c r="AM276" s="139">
        <v>393.0</v>
      </c>
      <c r="AN276" s="139">
        <v>348.0</v>
      </c>
      <c r="AO276" s="140">
        <v>97.88</v>
      </c>
      <c r="AP276" s="142">
        <v>34041.0</v>
      </c>
      <c r="AQ276" s="142">
        <v>218.0</v>
      </c>
      <c r="AR276" s="143"/>
      <c r="AS276" s="144">
        <v>0.9628990239486312</v>
      </c>
      <c r="AT276" s="144">
        <v>-0.006099023948631266</v>
      </c>
      <c r="AU276" s="146" t="s">
        <v>1450</v>
      </c>
      <c r="AV276" s="146" t="s">
        <v>1450</v>
      </c>
      <c r="AW276" s="148" t="s">
        <v>1450</v>
      </c>
      <c r="AX276" s="151"/>
      <c r="AY276" s="105"/>
      <c r="AZ276" s="186"/>
      <c r="BA276" s="186"/>
      <c r="BB276" s="146"/>
      <c r="BC276" s="155"/>
      <c r="BD276" s="155"/>
      <c r="BE276" s="155"/>
      <c r="BF276" s="45"/>
    </row>
    <row r="277" ht="16.5" customHeight="1">
      <c r="A277" s="111">
        <v>274.0</v>
      </c>
      <c r="B277" s="112" t="s">
        <v>339</v>
      </c>
      <c r="C277" s="115" t="s">
        <v>60</v>
      </c>
      <c r="D277" s="117">
        <v>41912.0</v>
      </c>
      <c r="E277" s="117">
        <v>42280.0</v>
      </c>
      <c r="F277" s="79" t="s">
        <v>59</v>
      </c>
      <c r="G277" s="118">
        <v>35580.0</v>
      </c>
      <c r="H277" s="114">
        <v>96.4</v>
      </c>
      <c r="I277" s="120">
        <v>371.0</v>
      </c>
      <c r="J277" s="111" t="s">
        <v>61</v>
      </c>
      <c r="K277" s="121">
        <v>375.7</v>
      </c>
      <c r="L277" s="120" t="s">
        <v>63</v>
      </c>
      <c r="M277" s="120"/>
      <c r="N277" s="120"/>
      <c r="O277" s="124">
        <v>35580.0</v>
      </c>
      <c r="P277" s="124">
        <v>369.0</v>
      </c>
      <c r="Q277" s="111">
        <v>259.0</v>
      </c>
      <c r="R277" s="125">
        <v>399.0</v>
      </c>
      <c r="S277" s="126">
        <v>0.9416</v>
      </c>
      <c r="T277" s="127">
        <v>72974.0</v>
      </c>
      <c r="U277" s="128">
        <f t="shared" si="2"/>
        <v>0</v>
      </c>
      <c r="V277" s="79" t="s">
        <v>69</v>
      </c>
      <c r="W277" s="79" t="s">
        <v>64</v>
      </c>
      <c r="X277" s="79" t="s">
        <v>68</v>
      </c>
      <c r="Y277" s="130">
        <v>0.8</v>
      </c>
      <c r="Z277" s="111">
        <v>11.0</v>
      </c>
      <c r="AA277" s="111">
        <v>399.0</v>
      </c>
      <c r="AB277" s="111" t="s">
        <v>61</v>
      </c>
      <c r="AC277" s="111">
        <v>371.0</v>
      </c>
      <c r="AD277" s="111">
        <v>79.0</v>
      </c>
      <c r="AE277" s="111">
        <v>56.5</v>
      </c>
      <c r="AF277" s="111" t="s">
        <v>61</v>
      </c>
      <c r="AG277" s="134" t="s">
        <v>1448</v>
      </c>
      <c r="AH277" s="73">
        <v>292.0</v>
      </c>
      <c r="AI277" s="135">
        <v>295.6962025316456</v>
      </c>
      <c r="AJ277" s="136">
        <v>71.78668450342464</v>
      </c>
      <c r="AK277" s="76">
        <v>0.9262798000441889</v>
      </c>
      <c r="AL277" s="137" t="s">
        <v>1451</v>
      </c>
      <c r="AM277" s="139">
        <v>404.0</v>
      </c>
      <c r="AN277" s="139">
        <v>369.0</v>
      </c>
      <c r="AO277" s="140">
        <v>122.5</v>
      </c>
      <c r="AP277" s="142">
        <v>35580.0</v>
      </c>
      <c r="AQ277" s="142">
        <v>259.0</v>
      </c>
      <c r="AR277" s="143"/>
      <c r="AS277" s="144">
        <v>0.9620995305429239</v>
      </c>
      <c r="AT277" s="144">
        <v>-0.02049953054292386</v>
      </c>
      <c r="AU277" s="146" t="s">
        <v>1452</v>
      </c>
      <c r="AV277" s="146" t="s">
        <v>1452</v>
      </c>
      <c r="AW277" s="148" t="s">
        <v>1452</v>
      </c>
      <c r="AX277" s="151"/>
      <c r="AY277" s="105"/>
      <c r="AZ277" s="186"/>
      <c r="BA277" s="186"/>
      <c r="BB277" s="146"/>
      <c r="BC277" s="155"/>
      <c r="BD277" s="155"/>
      <c r="BE277" s="155"/>
      <c r="BF277" s="45"/>
    </row>
    <row r="278" ht="16.5" customHeight="1">
      <c r="A278" s="111">
        <v>275.0</v>
      </c>
      <c r="B278" s="112" t="s">
        <v>548</v>
      </c>
      <c r="C278" s="115" t="s">
        <v>60</v>
      </c>
      <c r="D278" s="117">
        <v>41631.0</v>
      </c>
      <c r="E278" s="117">
        <v>42278.0</v>
      </c>
      <c r="F278" s="79" t="s">
        <v>79</v>
      </c>
      <c r="G278" s="118">
        <v>56000.0</v>
      </c>
      <c r="H278" s="114">
        <v>86.4</v>
      </c>
      <c r="I278" s="120">
        <v>374.0</v>
      </c>
      <c r="J278" s="111" t="s">
        <v>61</v>
      </c>
      <c r="K278" s="121">
        <v>378.73</v>
      </c>
      <c r="L278" s="120" t="s">
        <v>63</v>
      </c>
      <c r="M278" s="120"/>
      <c r="N278" s="120"/>
      <c r="O278" s="124">
        <v>56000.0</v>
      </c>
      <c r="P278" s="124">
        <v>648.0</v>
      </c>
      <c r="Q278" s="111">
        <v>228.0</v>
      </c>
      <c r="R278" s="125">
        <v>399.0</v>
      </c>
      <c r="S278" s="126">
        <v>0.9492</v>
      </c>
      <c r="T278" s="127">
        <v>73563.0</v>
      </c>
      <c r="U278" s="128">
        <f t="shared" si="2"/>
        <v>0</v>
      </c>
      <c r="V278" s="79" t="s">
        <v>69</v>
      </c>
      <c r="W278" s="79" t="s">
        <v>69</v>
      </c>
      <c r="X278" s="79" t="s">
        <v>69</v>
      </c>
      <c r="Y278" s="130">
        <v>0.9</v>
      </c>
      <c r="Z278" s="111">
        <v>11.0</v>
      </c>
      <c r="AA278" s="111">
        <v>396.0</v>
      </c>
      <c r="AB278" s="111" t="s">
        <v>61</v>
      </c>
      <c r="AC278" s="133"/>
      <c r="AD278" s="133"/>
      <c r="AE278" s="133"/>
      <c r="AF278" s="111"/>
      <c r="AG278" s="147"/>
      <c r="AH278" s="73"/>
      <c r="AI278" s="135"/>
      <c r="AJ278" s="136"/>
      <c r="AK278" s="76"/>
      <c r="AL278" s="137"/>
      <c r="AM278" s="139">
        <v>401.0</v>
      </c>
      <c r="AN278" s="139">
        <v>648.0</v>
      </c>
      <c r="AO278" s="140">
        <v>169.07</v>
      </c>
      <c r="AP278" s="142">
        <v>56000.0</v>
      </c>
      <c r="AQ278" s="142">
        <v>228.0</v>
      </c>
      <c r="AR278" s="143"/>
      <c r="AS278" s="144">
        <v>0.9543175549186942</v>
      </c>
      <c r="AT278" s="144">
        <v>-0.005117554918694145</v>
      </c>
      <c r="AU278" s="146" t="s">
        <v>1453</v>
      </c>
      <c r="AV278" s="146" t="s">
        <v>1453</v>
      </c>
      <c r="AW278" s="148" t="s">
        <v>1453</v>
      </c>
      <c r="AX278" s="151"/>
      <c r="AY278" s="105"/>
      <c r="AZ278" s="186"/>
      <c r="BA278" s="186"/>
      <c r="BB278" s="146"/>
      <c r="BC278" s="155"/>
      <c r="BD278" s="155"/>
      <c r="BE278" s="155"/>
      <c r="BF278" s="45"/>
    </row>
    <row r="279" ht="16.5" customHeight="1">
      <c r="A279" s="111">
        <v>276.0</v>
      </c>
      <c r="B279" s="112" t="s">
        <v>1454</v>
      </c>
      <c r="C279" s="115" t="s">
        <v>60</v>
      </c>
      <c r="D279" s="117">
        <v>42266.0</v>
      </c>
      <c r="E279" s="117">
        <v>42282.0</v>
      </c>
      <c r="F279" s="79" t="s">
        <v>118</v>
      </c>
      <c r="G279" s="118">
        <v>896.0</v>
      </c>
      <c r="H279" s="114">
        <v>52.7</v>
      </c>
      <c r="I279" s="120">
        <v>351.0</v>
      </c>
      <c r="J279" s="111" t="s">
        <v>61</v>
      </c>
      <c r="K279" s="121">
        <v>355.44</v>
      </c>
      <c r="L279" s="120" t="s">
        <v>63</v>
      </c>
      <c r="M279" s="120"/>
      <c r="N279" s="120"/>
      <c r="O279" s="124">
        <v>896.0</v>
      </c>
      <c r="P279" s="124">
        <v>17.0</v>
      </c>
      <c r="Q279" s="111">
        <v>197.0</v>
      </c>
      <c r="R279" s="125">
        <v>365.0</v>
      </c>
      <c r="S279" s="126">
        <v>0.9738</v>
      </c>
      <c r="T279" s="127">
        <v>66997.44</v>
      </c>
      <c r="U279" s="128">
        <f t="shared" si="2"/>
        <v>0</v>
      </c>
      <c r="V279" s="79" t="s">
        <v>69</v>
      </c>
      <c r="W279" s="79" t="s">
        <v>69</v>
      </c>
      <c r="X279" s="79" t="s">
        <v>68</v>
      </c>
      <c r="Y279" s="130">
        <v>0.9</v>
      </c>
      <c r="Z279" s="111">
        <v>16.0</v>
      </c>
      <c r="AA279" s="111">
        <v>323.0</v>
      </c>
      <c r="AB279" s="111" t="s">
        <v>61</v>
      </c>
      <c r="AC279" s="133"/>
      <c r="AD279" s="133"/>
      <c r="AE279" s="133"/>
      <c r="AF279" s="111"/>
      <c r="AG279" s="134" t="s">
        <v>1448</v>
      </c>
      <c r="AH279" s="73"/>
      <c r="AI279" s="135"/>
      <c r="AJ279" s="136"/>
      <c r="AK279" s="76"/>
      <c r="AL279" s="137"/>
      <c r="AM279" s="139">
        <v>327.0</v>
      </c>
      <c r="AN279" s="139">
        <v>17.0</v>
      </c>
      <c r="AO279" s="140">
        <v>2.6</v>
      </c>
      <c r="AP279" s="142">
        <v>896.0</v>
      </c>
      <c r="AQ279" s="142">
        <v>197.0</v>
      </c>
      <c r="AR279" s="143"/>
      <c r="AS279" s="144">
        <v>0.9982144542173845</v>
      </c>
      <c r="AT279" s="144">
        <v>-0.02441445421738453</v>
      </c>
      <c r="AU279" s="146" t="s">
        <v>1455</v>
      </c>
      <c r="AV279" s="146" t="s">
        <v>1455</v>
      </c>
      <c r="AW279" s="148" t="s">
        <v>1455</v>
      </c>
      <c r="AX279" s="151"/>
      <c r="AY279" s="105"/>
      <c r="AZ279" s="186"/>
      <c r="BA279" s="186"/>
      <c r="BB279" s="146"/>
      <c r="BC279" s="155"/>
      <c r="BD279" s="155"/>
      <c r="BE279" s="155"/>
      <c r="BF279" s="45"/>
    </row>
    <row r="280" ht="16.5" customHeight="1">
      <c r="A280" s="111">
        <v>277.0</v>
      </c>
      <c r="B280" s="112" t="s">
        <v>1456</v>
      </c>
      <c r="C280" s="115" t="s">
        <v>60</v>
      </c>
      <c r="D280" s="117">
        <v>42045.0</v>
      </c>
      <c r="E280" s="117">
        <v>42289.0</v>
      </c>
      <c r="F280" s="79" t="s">
        <v>90</v>
      </c>
      <c r="G280" s="118">
        <v>16300.0</v>
      </c>
      <c r="H280" s="114">
        <v>66.5</v>
      </c>
      <c r="I280" s="120">
        <v>402.0</v>
      </c>
      <c r="J280" s="111" t="s">
        <v>61</v>
      </c>
      <c r="K280" s="121">
        <v>407.09</v>
      </c>
      <c r="L280" s="120" t="s">
        <v>63</v>
      </c>
      <c r="M280" s="120"/>
      <c r="N280" s="120"/>
      <c r="O280" s="124">
        <v>16300.0</v>
      </c>
      <c r="P280" s="124">
        <v>245.0</v>
      </c>
      <c r="Q280" s="111">
        <v>209.0</v>
      </c>
      <c r="R280" s="125">
        <v>408.0</v>
      </c>
      <c r="S280" s="126">
        <v>0.9978</v>
      </c>
      <c r="T280" s="127">
        <v>77329.5</v>
      </c>
      <c r="U280" s="128">
        <f t="shared" si="2"/>
        <v>0</v>
      </c>
      <c r="V280" s="79" t="s">
        <v>64</v>
      </c>
      <c r="W280" s="79" t="s">
        <v>64</v>
      </c>
      <c r="X280" s="79" t="s">
        <v>66</v>
      </c>
      <c r="Y280" s="130">
        <v>0.9</v>
      </c>
      <c r="Z280" s="111">
        <v>7.0</v>
      </c>
      <c r="AA280" s="111">
        <v>404.0</v>
      </c>
      <c r="AB280" s="111" t="s">
        <v>61</v>
      </c>
      <c r="AC280" s="133"/>
      <c r="AD280" s="133"/>
      <c r="AE280" s="133"/>
      <c r="AF280" s="111"/>
      <c r="AG280" s="134" t="s">
        <v>1269</v>
      </c>
      <c r="AH280" s="73"/>
      <c r="AI280" s="135"/>
      <c r="AJ280" s="136"/>
      <c r="AK280" s="76"/>
      <c r="AL280" s="137"/>
      <c r="AM280" s="139">
        <v>409.0</v>
      </c>
      <c r="AN280" s="139">
        <v>245.0</v>
      </c>
      <c r="AO280" s="140">
        <v>44.02</v>
      </c>
      <c r="AP280" s="142">
        <v>16300.0</v>
      </c>
      <c r="AQ280" s="142">
        <v>209.0</v>
      </c>
      <c r="AR280" s="143"/>
      <c r="AS280" s="144">
        <v>0.9761212667414636</v>
      </c>
      <c r="AT280" s="144">
        <v>0.02167873325853642</v>
      </c>
      <c r="AU280" s="146" t="s">
        <v>1457</v>
      </c>
      <c r="AV280" s="146" t="s">
        <v>1457</v>
      </c>
      <c r="AW280" s="148" t="s">
        <v>1457</v>
      </c>
      <c r="AX280" s="151"/>
      <c r="AY280" s="105"/>
      <c r="AZ280" s="186"/>
      <c r="BA280" s="186"/>
      <c r="BB280" s="146"/>
      <c r="BC280" s="155"/>
      <c r="BD280" s="155"/>
      <c r="BE280" s="155"/>
      <c r="BF280" s="45"/>
    </row>
    <row r="281" ht="16.5" customHeight="1">
      <c r="A281" s="111">
        <v>278.0</v>
      </c>
      <c r="B281" s="112" t="s">
        <v>1458</v>
      </c>
      <c r="C281" s="115" t="s">
        <v>60</v>
      </c>
      <c r="D281" s="117">
        <v>41614.0</v>
      </c>
      <c r="E281" s="117">
        <v>42283.0</v>
      </c>
      <c r="F281" s="79" t="s">
        <v>79</v>
      </c>
      <c r="G281" s="118">
        <v>67023.0</v>
      </c>
      <c r="H281" s="114">
        <v>100.0</v>
      </c>
      <c r="I281" s="120">
        <v>374.0</v>
      </c>
      <c r="J281" s="111" t="s">
        <v>61</v>
      </c>
      <c r="K281" s="121">
        <v>378.73</v>
      </c>
      <c r="L281" s="120" t="s">
        <v>63</v>
      </c>
      <c r="M281" s="120"/>
      <c r="N281" s="120"/>
      <c r="O281" s="124">
        <v>67023.0</v>
      </c>
      <c r="P281" s="124">
        <v>670.0</v>
      </c>
      <c r="Q281" s="111">
        <v>200.0</v>
      </c>
      <c r="R281" s="125">
        <v>399.0</v>
      </c>
      <c r="S281" s="126">
        <v>0.9492</v>
      </c>
      <c r="T281" s="127">
        <v>73563.0</v>
      </c>
      <c r="U281" s="128">
        <f t="shared" si="2"/>
        <v>0</v>
      </c>
      <c r="V281" s="79" t="s">
        <v>67</v>
      </c>
      <c r="W281" s="79" t="s">
        <v>69</v>
      </c>
      <c r="X281" s="79" t="s">
        <v>69</v>
      </c>
      <c r="Y281" s="130">
        <v>0.9</v>
      </c>
      <c r="Z281" s="111">
        <v>3.7</v>
      </c>
      <c r="AA281" s="111">
        <v>402.0</v>
      </c>
      <c r="AB281" s="111" t="s">
        <v>61</v>
      </c>
      <c r="AC281" s="133"/>
      <c r="AD281" s="133"/>
      <c r="AE281" s="133"/>
      <c r="AF281" s="111"/>
      <c r="AG281" s="134" t="s">
        <v>1448</v>
      </c>
      <c r="AH281" s="73"/>
      <c r="AI281" s="135"/>
      <c r="AJ281" s="136"/>
      <c r="AK281" s="76"/>
      <c r="AL281" s="137"/>
      <c r="AM281" s="139">
        <v>407.0</v>
      </c>
      <c r="AN281" s="139">
        <v>670.0</v>
      </c>
      <c r="AO281" s="140">
        <v>177.5</v>
      </c>
      <c r="AP281" s="142">
        <v>67023.0</v>
      </c>
      <c r="AQ281" s="142">
        <v>200.0</v>
      </c>
      <c r="AR281" s="143"/>
      <c r="AS281" s="144">
        <v>0.9514457651702148</v>
      </c>
      <c r="AT281" s="144">
        <v>-0.0022457651702147974</v>
      </c>
      <c r="AU281" s="146" t="s">
        <v>1459</v>
      </c>
      <c r="AV281" s="146" t="s">
        <v>1459</v>
      </c>
      <c r="AW281" s="148" t="s">
        <v>1459</v>
      </c>
      <c r="AX281" s="151"/>
      <c r="AY281" s="105"/>
      <c r="AZ281" s="186"/>
      <c r="BA281" s="186"/>
      <c r="BB281" s="146"/>
      <c r="BC281" s="155"/>
      <c r="BD281" s="155"/>
      <c r="BE281" s="155"/>
      <c r="BF281" s="45"/>
    </row>
    <row r="282" ht="16.5" customHeight="1">
      <c r="A282" s="111">
        <v>279.0</v>
      </c>
      <c r="B282" s="112" t="s">
        <v>1460</v>
      </c>
      <c r="C282" s="115" t="s">
        <v>60</v>
      </c>
      <c r="D282" s="117">
        <v>41757.0</v>
      </c>
      <c r="E282" s="117">
        <v>42251.0</v>
      </c>
      <c r="F282" s="79" t="s">
        <v>59</v>
      </c>
      <c r="G282" s="118">
        <v>19000.0</v>
      </c>
      <c r="H282" s="114">
        <v>38.4</v>
      </c>
      <c r="I282" s="120">
        <v>388.0</v>
      </c>
      <c r="J282" s="111" t="s">
        <v>62</v>
      </c>
      <c r="K282" s="121">
        <v>388.0</v>
      </c>
      <c r="L282" s="120" t="s">
        <v>63</v>
      </c>
      <c r="M282" s="120"/>
      <c r="N282" s="120"/>
      <c r="O282" s="124">
        <v>19000.0</v>
      </c>
      <c r="P282" s="124">
        <v>495.0</v>
      </c>
      <c r="Q282" s="111">
        <v>195.0</v>
      </c>
      <c r="R282" s="125">
        <v>399.0</v>
      </c>
      <c r="S282" s="126">
        <v>0.9724</v>
      </c>
      <c r="T282" s="127">
        <v>75361.0</v>
      </c>
      <c r="U282" s="128">
        <f t="shared" si="2"/>
        <v>0</v>
      </c>
      <c r="V282" s="79" t="s">
        <v>69</v>
      </c>
      <c r="W282" s="79" t="s">
        <v>69</v>
      </c>
      <c r="X282" s="79" t="s">
        <v>66</v>
      </c>
      <c r="Y282" s="130">
        <v>0.8</v>
      </c>
      <c r="Z282" s="111">
        <v>11.0</v>
      </c>
      <c r="AA282" s="111">
        <v>395.0</v>
      </c>
      <c r="AB282" s="111" t="s">
        <v>62</v>
      </c>
      <c r="AC282" s="133"/>
      <c r="AD282" s="133"/>
      <c r="AE282" s="133"/>
      <c r="AF282" s="111"/>
      <c r="AG282" s="147"/>
      <c r="AH282" s="73"/>
      <c r="AI282" s="135"/>
      <c r="AJ282" s="136"/>
      <c r="AK282" s="76"/>
      <c r="AL282" s="137"/>
      <c r="AM282" s="139">
        <v>395.0</v>
      </c>
      <c r="AN282" s="139">
        <v>495.0</v>
      </c>
      <c r="AO282" s="140">
        <v>48.5</v>
      </c>
      <c r="AP282" s="142">
        <v>19000.0</v>
      </c>
      <c r="AQ282" s="142">
        <v>195.0</v>
      </c>
      <c r="AR282" s="143"/>
      <c r="AS282" s="144">
        <v>0.9734951800216722</v>
      </c>
      <c r="AT282" s="144">
        <v>-0.001095180021672193</v>
      </c>
      <c r="AU282" s="146" t="s">
        <v>1461</v>
      </c>
      <c r="AV282" s="146" t="s">
        <v>1461</v>
      </c>
      <c r="AW282" s="148" t="s">
        <v>1461</v>
      </c>
      <c r="AX282" s="151"/>
      <c r="AY282" s="105"/>
      <c r="AZ282" s="186"/>
      <c r="BA282" s="186"/>
      <c r="BB282" s="146"/>
      <c r="BC282" s="155"/>
      <c r="BD282" s="155"/>
      <c r="BE282" s="155"/>
      <c r="BF282" s="45"/>
    </row>
    <row r="283" ht="16.5" customHeight="1">
      <c r="A283" s="111">
        <v>280.0</v>
      </c>
      <c r="B283" s="112" t="s">
        <v>1454</v>
      </c>
      <c r="C283" s="115" t="s">
        <v>60</v>
      </c>
      <c r="D283" s="117">
        <v>42266.0</v>
      </c>
      <c r="E283" s="117">
        <v>42285.0</v>
      </c>
      <c r="F283" s="79" t="s">
        <v>118</v>
      </c>
      <c r="G283" s="118">
        <v>1068.0</v>
      </c>
      <c r="H283" s="114">
        <v>53.4</v>
      </c>
      <c r="I283" s="120">
        <v>351.0</v>
      </c>
      <c r="J283" s="111" t="s">
        <v>61</v>
      </c>
      <c r="K283" s="121">
        <v>355.44</v>
      </c>
      <c r="L283" s="120" t="s">
        <v>63</v>
      </c>
      <c r="M283" s="120"/>
      <c r="N283" s="120"/>
      <c r="O283" s="124">
        <v>1068.0</v>
      </c>
      <c r="P283" s="124">
        <v>20.0</v>
      </c>
      <c r="Q283" s="111">
        <v>198.0</v>
      </c>
      <c r="R283" s="125">
        <v>365.0</v>
      </c>
      <c r="S283" s="126">
        <v>0.9738</v>
      </c>
      <c r="T283" s="127">
        <v>66997.44</v>
      </c>
      <c r="U283" s="128">
        <f t="shared" si="2"/>
        <v>0</v>
      </c>
      <c r="V283" s="79" t="s">
        <v>69</v>
      </c>
      <c r="W283" s="79" t="s">
        <v>69</v>
      </c>
      <c r="X283" s="79" t="s">
        <v>68</v>
      </c>
      <c r="Y283" s="130">
        <v>0.9</v>
      </c>
      <c r="Z283" s="111">
        <v>11.0</v>
      </c>
      <c r="AA283" s="111">
        <v>323.0</v>
      </c>
      <c r="AB283" s="111" t="s">
        <v>61</v>
      </c>
      <c r="AC283" s="133"/>
      <c r="AD283" s="133"/>
      <c r="AE283" s="133"/>
      <c r="AF283" s="111"/>
      <c r="AG283" s="134" t="s">
        <v>1462</v>
      </c>
      <c r="AH283" s="73"/>
      <c r="AI283" s="135"/>
      <c r="AJ283" s="136"/>
      <c r="AK283" s="76"/>
      <c r="AL283" s="137"/>
      <c r="AM283" s="139">
        <v>327.0</v>
      </c>
      <c r="AN283" s="139">
        <v>20.0</v>
      </c>
      <c r="AO283" s="140">
        <v>3.12</v>
      </c>
      <c r="AP283" s="142">
        <v>1068.0</v>
      </c>
      <c r="AQ283" s="142">
        <v>198.0</v>
      </c>
      <c r="AR283" s="143"/>
      <c r="AS283" s="144">
        <v>0.9978795723706533</v>
      </c>
      <c r="AT283" s="144">
        <v>-0.02407957237065328</v>
      </c>
      <c r="AU283" s="146" t="s">
        <v>1463</v>
      </c>
      <c r="AV283" s="146" t="s">
        <v>1463</v>
      </c>
      <c r="AW283" s="148" t="s">
        <v>1463</v>
      </c>
      <c r="AX283" s="151"/>
      <c r="AY283" s="105"/>
      <c r="AZ283" s="186"/>
      <c r="BA283" s="186"/>
      <c r="BB283" s="146"/>
      <c r="BC283" s="155"/>
      <c r="BD283" s="155"/>
      <c r="BE283" s="155"/>
      <c r="BF283" s="45"/>
    </row>
    <row r="284" ht="16.5" customHeight="1">
      <c r="A284" s="111">
        <v>281.0</v>
      </c>
      <c r="B284" s="112" t="s">
        <v>147</v>
      </c>
      <c r="C284" s="115" t="s">
        <v>60</v>
      </c>
      <c r="D284" s="117">
        <v>41639.0</v>
      </c>
      <c r="E284" s="117">
        <v>42288.0</v>
      </c>
      <c r="F284" s="79" t="s">
        <v>79</v>
      </c>
      <c r="G284" s="118">
        <v>100000.0</v>
      </c>
      <c r="H284" s="114">
        <v>153.8</v>
      </c>
      <c r="I284" s="120">
        <v>368.0</v>
      </c>
      <c r="J284" s="111" t="s">
        <v>61</v>
      </c>
      <c r="K284" s="121">
        <v>372.66</v>
      </c>
      <c r="L284" s="120" t="s">
        <v>63</v>
      </c>
      <c r="M284" s="120"/>
      <c r="N284" s="120"/>
      <c r="O284" s="124">
        <v>100000.0</v>
      </c>
      <c r="P284" s="124">
        <v>650.0</v>
      </c>
      <c r="Q284" s="111">
        <v>233.0</v>
      </c>
      <c r="R284" s="125">
        <v>399.0</v>
      </c>
      <c r="S284" s="126">
        <v>0.934</v>
      </c>
      <c r="T284" s="127">
        <v>72385.0</v>
      </c>
      <c r="U284" s="128">
        <f t="shared" si="2"/>
        <v>0</v>
      </c>
      <c r="V284" s="79" t="s">
        <v>67</v>
      </c>
      <c r="W284" s="79" t="s">
        <v>65</v>
      </c>
      <c r="X284" s="79" t="s">
        <v>65</v>
      </c>
      <c r="Y284" s="130">
        <v>0.8</v>
      </c>
      <c r="Z284" s="111">
        <v>11.0</v>
      </c>
      <c r="AA284" s="111">
        <v>393.0</v>
      </c>
      <c r="AB284" s="111" t="s">
        <v>61</v>
      </c>
      <c r="AC284" s="133"/>
      <c r="AD284" s="133"/>
      <c r="AE284" s="133"/>
      <c r="AF284" s="111"/>
      <c r="AG284" s="147"/>
      <c r="AH284" s="73"/>
      <c r="AI284" s="135"/>
      <c r="AJ284" s="136"/>
      <c r="AK284" s="76"/>
      <c r="AL284" s="137"/>
      <c r="AM284" s="139">
        <v>398.0</v>
      </c>
      <c r="AN284" s="139">
        <v>650.0</v>
      </c>
      <c r="AO284" s="140">
        <v>310.93</v>
      </c>
      <c r="AP284" s="142">
        <v>100000.0</v>
      </c>
      <c r="AQ284" s="142">
        <v>233.0</v>
      </c>
      <c r="AR284" s="143"/>
      <c r="AS284" s="144">
        <v>0.9449620218343179</v>
      </c>
      <c r="AT284" s="144">
        <v>-0.010962021834317826</v>
      </c>
      <c r="AU284" s="146" t="s">
        <v>1464</v>
      </c>
      <c r="AV284" s="146" t="s">
        <v>1464</v>
      </c>
      <c r="AW284" s="148" t="s">
        <v>1464</v>
      </c>
      <c r="AX284" s="151"/>
      <c r="AY284" s="105"/>
      <c r="AZ284" s="186"/>
      <c r="BA284" s="186"/>
      <c r="BB284" s="146"/>
      <c r="BC284" s="155"/>
      <c r="BD284" s="155"/>
      <c r="BE284" s="155"/>
      <c r="BF284" s="45"/>
    </row>
    <row r="285" ht="16.5" customHeight="1">
      <c r="A285" s="111">
        <v>282.0</v>
      </c>
      <c r="B285" s="112" t="s">
        <v>1465</v>
      </c>
      <c r="C285" s="115" t="s">
        <v>60</v>
      </c>
      <c r="D285" s="117">
        <v>42037.0</v>
      </c>
      <c r="E285" s="117">
        <v>42290.0</v>
      </c>
      <c r="F285" s="79" t="s">
        <v>59</v>
      </c>
      <c r="G285" s="118">
        <v>23000.0</v>
      </c>
      <c r="H285" s="114">
        <v>90.6</v>
      </c>
      <c r="I285" s="120">
        <v>389.0</v>
      </c>
      <c r="J285" s="111" t="s">
        <v>62</v>
      </c>
      <c r="K285" s="121">
        <v>389.0</v>
      </c>
      <c r="L285" s="120" t="s">
        <v>63</v>
      </c>
      <c r="M285" s="120"/>
      <c r="N285" s="120"/>
      <c r="O285" s="124">
        <v>23000.0</v>
      </c>
      <c r="P285" s="124">
        <v>254.0</v>
      </c>
      <c r="Q285" s="111">
        <v>203.0</v>
      </c>
      <c r="R285" s="125">
        <v>399.0</v>
      </c>
      <c r="S285" s="126">
        <v>0.9749</v>
      </c>
      <c r="T285" s="127">
        <v>75554.75</v>
      </c>
      <c r="U285" s="128">
        <f t="shared" si="2"/>
        <v>0</v>
      </c>
      <c r="V285" s="79" t="s">
        <v>65</v>
      </c>
      <c r="W285" s="79" t="s">
        <v>69</v>
      </c>
      <c r="X285" s="79" t="s">
        <v>68</v>
      </c>
      <c r="Y285" s="130">
        <v>0.9</v>
      </c>
      <c r="Z285" s="111">
        <v>11.0</v>
      </c>
      <c r="AA285" s="111">
        <v>398.0</v>
      </c>
      <c r="AB285" s="111" t="s">
        <v>62</v>
      </c>
      <c r="AC285" s="133"/>
      <c r="AD285" s="133"/>
      <c r="AE285" s="133"/>
      <c r="AF285" s="111"/>
      <c r="AG285" s="147"/>
      <c r="AH285" s="73"/>
      <c r="AI285" s="135"/>
      <c r="AJ285" s="136"/>
      <c r="AK285" s="76"/>
      <c r="AL285" s="137"/>
      <c r="AM285" s="139">
        <v>398.0</v>
      </c>
      <c r="AN285" s="139">
        <v>254.0</v>
      </c>
      <c r="AO285" s="140">
        <v>61.02</v>
      </c>
      <c r="AP285" s="142">
        <v>23000.0</v>
      </c>
      <c r="AQ285" s="142">
        <v>203.0</v>
      </c>
      <c r="AR285" s="143"/>
      <c r="AS285" s="144">
        <v>0.97007969733394</v>
      </c>
      <c r="AT285" s="144">
        <v>0.004820302666060039</v>
      </c>
      <c r="AU285" s="146" t="s">
        <v>1466</v>
      </c>
      <c r="AV285" s="146" t="s">
        <v>1466</v>
      </c>
      <c r="AW285" s="148" t="s">
        <v>1466</v>
      </c>
      <c r="AX285" s="151"/>
      <c r="AY285" s="105"/>
      <c r="AZ285" s="186"/>
      <c r="BA285" s="186"/>
      <c r="BB285" s="146"/>
      <c r="BC285" s="155"/>
      <c r="BD285" s="155"/>
      <c r="BE285" s="155"/>
      <c r="BF285" s="45"/>
    </row>
    <row r="286" ht="16.5" customHeight="1">
      <c r="A286" s="111">
        <v>283.0</v>
      </c>
      <c r="B286" s="112" t="s">
        <v>1127</v>
      </c>
      <c r="C286" s="115" t="s">
        <v>60</v>
      </c>
      <c r="D286" s="117">
        <v>42160.0</v>
      </c>
      <c r="E286" s="117">
        <v>42288.0</v>
      </c>
      <c r="F286" s="79" t="s">
        <v>86</v>
      </c>
      <c r="G286" s="118">
        <v>26085.0</v>
      </c>
      <c r="H286" s="114">
        <v>202.2</v>
      </c>
      <c r="I286" s="120">
        <v>395.0</v>
      </c>
      <c r="J286" s="111" t="s">
        <v>61</v>
      </c>
      <c r="K286" s="121">
        <v>400.0</v>
      </c>
      <c r="L286" s="120" t="s">
        <v>63</v>
      </c>
      <c r="M286" s="120"/>
      <c r="N286" s="120"/>
      <c r="O286" s="124">
        <v>26085.0</v>
      </c>
      <c r="P286" s="124">
        <v>129.0</v>
      </c>
      <c r="Q286" s="111">
        <v>207.0</v>
      </c>
      <c r="R286" s="125">
        <v>430.0</v>
      </c>
      <c r="S286" s="126">
        <v>0.9302</v>
      </c>
      <c r="T286" s="127">
        <v>72090.5</v>
      </c>
      <c r="U286" s="128">
        <f t="shared" si="2"/>
        <v>0</v>
      </c>
      <c r="V286" s="79" t="s">
        <v>67</v>
      </c>
      <c r="W286" s="79" t="s">
        <v>69</v>
      </c>
      <c r="X286" s="79" t="s">
        <v>68</v>
      </c>
      <c r="Y286" s="130">
        <v>0.9</v>
      </c>
      <c r="Z286" s="111">
        <v>11.0</v>
      </c>
      <c r="AA286" s="133"/>
      <c r="AB286" s="133"/>
      <c r="AC286" s="133"/>
      <c r="AD286" s="111"/>
      <c r="AE286" s="133"/>
      <c r="AF286" s="111"/>
      <c r="AG286" s="147"/>
      <c r="AH286" s="73"/>
      <c r="AI286" s="135"/>
      <c r="AJ286" s="136"/>
      <c r="AK286" s="76"/>
      <c r="AL286" s="137"/>
      <c r="AM286" s="139" t="s">
        <v>71</v>
      </c>
      <c r="AN286" s="139">
        <v>129.0</v>
      </c>
      <c r="AO286" s="140">
        <v>72.2</v>
      </c>
      <c r="AP286" s="142">
        <v>26085.0</v>
      </c>
      <c r="AQ286" s="142">
        <v>207.0</v>
      </c>
      <c r="AR286" s="143"/>
      <c r="AS286" s="144">
        <v>0.9677777518029151</v>
      </c>
      <c r="AT286" s="144">
        <v>-0.037577751802915116</v>
      </c>
      <c r="AU286" s="146" t="s">
        <v>1467</v>
      </c>
      <c r="AV286" s="146" t="s">
        <v>1467</v>
      </c>
      <c r="AW286" s="148" t="s">
        <v>1467</v>
      </c>
      <c r="AX286" s="151"/>
      <c r="AY286" s="105"/>
      <c r="AZ286" s="186"/>
      <c r="BA286" s="186"/>
      <c r="BB286" s="146"/>
      <c r="BC286" s="155"/>
      <c r="BD286" s="155"/>
      <c r="BE286" s="155"/>
      <c r="BF286" s="45"/>
    </row>
    <row r="287" ht="16.5" customHeight="1">
      <c r="A287" s="111">
        <v>284.0</v>
      </c>
      <c r="B287" s="112" t="s">
        <v>1468</v>
      </c>
      <c r="C287" s="115" t="s">
        <v>60</v>
      </c>
      <c r="D287" s="117">
        <v>42077.0</v>
      </c>
      <c r="E287" s="117">
        <v>42142.0</v>
      </c>
      <c r="F287" s="79" t="s">
        <v>86</v>
      </c>
      <c r="G287" s="118">
        <v>5165.0</v>
      </c>
      <c r="H287" s="114">
        <v>78.3</v>
      </c>
      <c r="I287" s="120">
        <v>407.0</v>
      </c>
      <c r="J287" s="111" t="s">
        <v>61</v>
      </c>
      <c r="K287" s="121">
        <v>412.15</v>
      </c>
      <c r="L287" s="120" t="s">
        <v>63</v>
      </c>
      <c r="M287" s="120"/>
      <c r="N287" s="120"/>
      <c r="O287" s="124">
        <v>5165.0</v>
      </c>
      <c r="P287" s="124">
        <v>66.0</v>
      </c>
      <c r="Q287" s="111">
        <v>234.0</v>
      </c>
      <c r="R287" s="125">
        <v>430.0</v>
      </c>
      <c r="S287" s="126">
        <v>0.9585</v>
      </c>
      <c r="T287" s="127">
        <v>74283.75</v>
      </c>
      <c r="U287" s="128">
        <f t="shared" si="2"/>
        <v>0</v>
      </c>
      <c r="V287" s="79" t="s">
        <v>64</v>
      </c>
      <c r="W287" s="79" t="s">
        <v>64</v>
      </c>
      <c r="X287" s="79" t="s">
        <v>64</v>
      </c>
      <c r="Y287" s="130">
        <v>0.8</v>
      </c>
      <c r="Z287" s="111">
        <v>6.0</v>
      </c>
      <c r="AA287" s="111">
        <v>403.0</v>
      </c>
      <c r="AB287" s="111" t="s">
        <v>61</v>
      </c>
      <c r="AC287" s="133"/>
      <c r="AD287" s="133"/>
      <c r="AE287" s="133"/>
      <c r="AF287" s="111"/>
      <c r="AG287" s="134" t="s">
        <v>1462</v>
      </c>
      <c r="AH287" s="73"/>
      <c r="AI287" s="135"/>
      <c r="AJ287" s="136"/>
      <c r="AK287" s="76"/>
      <c r="AL287" s="137"/>
      <c r="AM287" s="139">
        <v>408.0</v>
      </c>
      <c r="AN287" s="139">
        <v>66.0</v>
      </c>
      <c r="AO287" s="140">
        <v>15.93</v>
      </c>
      <c r="AP287" s="142">
        <v>5165.0</v>
      </c>
      <c r="AQ287" s="142">
        <v>234.0</v>
      </c>
      <c r="AR287" s="143"/>
      <c r="AS287" s="144">
        <v>0.9905951427794232</v>
      </c>
      <c r="AT287" s="144">
        <v>-0.03209514277942316</v>
      </c>
      <c r="AU287" s="146" t="s">
        <v>1469</v>
      </c>
      <c r="AV287" s="146" t="s">
        <v>1469</v>
      </c>
      <c r="AW287" s="148" t="s">
        <v>1469</v>
      </c>
      <c r="AX287" s="151"/>
      <c r="AY287" s="105"/>
      <c r="AZ287" s="186"/>
      <c r="BA287" s="186"/>
      <c r="BB287" s="146"/>
      <c r="BC287" s="155"/>
      <c r="BD287" s="155"/>
      <c r="BE287" s="155"/>
      <c r="BF287" s="45"/>
    </row>
    <row r="288" ht="16.5" customHeight="1">
      <c r="A288" s="111">
        <v>285.0</v>
      </c>
      <c r="B288" s="112" t="s">
        <v>1468</v>
      </c>
      <c r="C288" s="115" t="s">
        <v>60</v>
      </c>
      <c r="D288" s="117">
        <v>42077.0</v>
      </c>
      <c r="E288" s="117">
        <v>42226.0</v>
      </c>
      <c r="F288" s="79" t="s">
        <v>86</v>
      </c>
      <c r="G288" s="118">
        <v>7400.0</v>
      </c>
      <c r="H288" s="114">
        <v>49.3</v>
      </c>
      <c r="I288" s="120">
        <v>409.0</v>
      </c>
      <c r="J288" s="111" t="s">
        <v>61</v>
      </c>
      <c r="K288" s="121">
        <v>414.18</v>
      </c>
      <c r="L288" s="120" t="s">
        <v>63</v>
      </c>
      <c r="M288" s="120"/>
      <c r="N288" s="120"/>
      <c r="O288" s="124">
        <v>7400.0</v>
      </c>
      <c r="P288" s="124">
        <v>150.0</v>
      </c>
      <c r="Q288" s="111">
        <v>233.0</v>
      </c>
      <c r="R288" s="125">
        <v>430.0</v>
      </c>
      <c r="S288" s="126">
        <v>0.9632</v>
      </c>
      <c r="T288" s="127">
        <v>74648.0</v>
      </c>
      <c r="U288" s="128">
        <f t="shared" si="2"/>
        <v>0</v>
      </c>
      <c r="V288" s="79" t="s">
        <v>64</v>
      </c>
      <c r="W288" s="79" t="s">
        <v>64</v>
      </c>
      <c r="X288" s="79" t="s">
        <v>64</v>
      </c>
      <c r="Y288" s="130">
        <v>0.8</v>
      </c>
      <c r="Z288" s="111">
        <v>6.0</v>
      </c>
      <c r="AA288" s="111">
        <v>403.0</v>
      </c>
      <c r="AB288" s="111" t="s">
        <v>61</v>
      </c>
      <c r="AC288" s="133"/>
      <c r="AD288" s="133"/>
      <c r="AE288" s="133"/>
      <c r="AF288" s="111"/>
      <c r="AG288" s="147"/>
      <c r="AH288" s="73"/>
      <c r="AI288" s="135"/>
      <c r="AJ288" s="136"/>
      <c r="AK288" s="76"/>
      <c r="AL288" s="137"/>
      <c r="AM288" s="139">
        <v>408.0</v>
      </c>
      <c r="AN288" s="139">
        <v>150.0</v>
      </c>
      <c r="AO288" s="140">
        <v>22.67</v>
      </c>
      <c r="AP288" s="142">
        <v>7400.0</v>
      </c>
      <c r="AQ288" s="142">
        <v>233.0</v>
      </c>
      <c r="AR288" s="143"/>
      <c r="AS288" s="144">
        <v>0.9871275368107737</v>
      </c>
      <c r="AT288" s="144">
        <v>-0.023927536810773753</v>
      </c>
      <c r="AU288" s="146" t="s">
        <v>1470</v>
      </c>
      <c r="AV288" s="146" t="s">
        <v>1470</v>
      </c>
      <c r="AW288" s="148" t="s">
        <v>1470</v>
      </c>
      <c r="AX288" s="151"/>
      <c r="AY288" s="105"/>
      <c r="AZ288" s="186"/>
      <c r="BA288" s="186"/>
      <c r="BB288" s="146"/>
      <c r="BC288" s="155"/>
      <c r="BD288" s="155"/>
      <c r="BE288" s="155"/>
      <c r="BF288" s="45"/>
    </row>
    <row r="289" ht="16.5" customHeight="1">
      <c r="A289" s="111">
        <v>286.0</v>
      </c>
      <c r="B289" s="112" t="s">
        <v>1471</v>
      </c>
      <c r="C289" s="115" t="s">
        <v>60</v>
      </c>
      <c r="D289" s="117">
        <v>41739.0</v>
      </c>
      <c r="E289" s="117">
        <v>42296.0</v>
      </c>
      <c r="F289" s="79" t="s">
        <v>59</v>
      </c>
      <c r="G289" s="118">
        <v>47500.0</v>
      </c>
      <c r="H289" s="114">
        <v>85.1</v>
      </c>
      <c r="I289" s="120">
        <v>383.0</v>
      </c>
      <c r="J289" s="111" t="s">
        <v>61</v>
      </c>
      <c r="K289" s="121">
        <v>387.85</v>
      </c>
      <c r="L289" s="120" t="s">
        <v>63</v>
      </c>
      <c r="M289" s="120"/>
      <c r="N289" s="120"/>
      <c r="O289" s="124">
        <v>47500.0</v>
      </c>
      <c r="P289" s="124">
        <v>558.0</v>
      </c>
      <c r="Q289" s="111">
        <v>205.0</v>
      </c>
      <c r="R289" s="125">
        <v>399.0</v>
      </c>
      <c r="S289" s="126">
        <v>0.9721</v>
      </c>
      <c r="T289" s="127">
        <v>75337.75</v>
      </c>
      <c r="U289" s="128">
        <f t="shared" si="2"/>
        <v>0</v>
      </c>
      <c r="V289" s="79" t="s">
        <v>65</v>
      </c>
      <c r="W289" s="79" t="s">
        <v>64</v>
      </c>
      <c r="X289" s="79" t="s">
        <v>66</v>
      </c>
      <c r="Y289" s="130">
        <v>0.9</v>
      </c>
      <c r="Z289" s="111">
        <v>3.7</v>
      </c>
      <c r="AA289" s="111">
        <v>409.0</v>
      </c>
      <c r="AB289" s="111" t="s">
        <v>61</v>
      </c>
      <c r="AC289" s="133"/>
      <c r="AD289" s="133"/>
      <c r="AE289" s="133"/>
      <c r="AF289" s="111"/>
      <c r="AG289" s="147"/>
      <c r="AH289" s="73"/>
      <c r="AI289" s="135"/>
      <c r="AJ289" s="136"/>
      <c r="AK289" s="76"/>
      <c r="AL289" s="137"/>
      <c r="AM289" s="139">
        <v>414.0</v>
      </c>
      <c r="AN289" s="139">
        <v>558.0</v>
      </c>
      <c r="AO289" s="140">
        <v>127.45</v>
      </c>
      <c r="AP289" s="142">
        <v>47500.0</v>
      </c>
      <c r="AQ289" s="142">
        <v>205.0</v>
      </c>
      <c r="AR289" s="143"/>
      <c r="AS289" s="144">
        <v>0.9570436596684857</v>
      </c>
      <c r="AT289" s="144">
        <v>0.015056340331514262</v>
      </c>
      <c r="AU289" s="146" t="s">
        <v>1473</v>
      </c>
      <c r="AV289" s="146" t="s">
        <v>1473</v>
      </c>
      <c r="AW289" s="148" t="s">
        <v>1473</v>
      </c>
      <c r="AX289" s="151"/>
      <c r="AY289" s="105"/>
      <c r="AZ289" s="186"/>
      <c r="BA289" s="186"/>
      <c r="BB289" s="146"/>
      <c r="BC289" s="155"/>
      <c r="BD289" s="155"/>
      <c r="BE289" s="155"/>
      <c r="BF289" s="45"/>
    </row>
    <row r="290" ht="16.5" customHeight="1">
      <c r="A290" s="111">
        <v>287.0</v>
      </c>
      <c r="B290" s="112" t="s">
        <v>1475</v>
      </c>
      <c r="C290" s="115" t="s">
        <v>60</v>
      </c>
      <c r="D290" s="117">
        <v>41631.0</v>
      </c>
      <c r="E290" s="117">
        <v>42297.0</v>
      </c>
      <c r="F290" s="79" t="s">
        <v>79</v>
      </c>
      <c r="G290" s="118">
        <v>114400.0</v>
      </c>
      <c r="H290" s="114">
        <v>171.5</v>
      </c>
      <c r="I290" s="120">
        <v>375.0</v>
      </c>
      <c r="J290" s="111" t="s">
        <v>61</v>
      </c>
      <c r="K290" s="121">
        <v>379.75</v>
      </c>
      <c r="L290" s="120" t="s">
        <v>63</v>
      </c>
      <c r="M290" s="120"/>
      <c r="N290" s="120"/>
      <c r="O290" s="124">
        <v>114400.0</v>
      </c>
      <c r="P290" s="124">
        <v>667.0</v>
      </c>
      <c r="Q290" s="111">
        <v>204.0</v>
      </c>
      <c r="R290" s="125">
        <v>399.0</v>
      </c>
      <c r="S290" s="126">
        <v>0.9518</v>
      </c>
      <c r="T290" s="127">
        <v>73764.5</v>
      </c>
      <c r="U290" s="128">
        <f t="shared" si="2"/>
        <v>0</v>
      </c>
      <c r="V290" s="79" t="s">
        <v>64</v>
      </c>
      <c r="W290" s="79" t="s">
        <v>69</v>
      </c>
      <c r="X290" s="79" t="s">
        <v>66</v>
      </c>
      <c r="Y290" s="130">
        <v>0.8</v>
      </c>
      <c r="Z290" s="111">
        <v>6.0</v>
      </c>
      <c r="AA290" s="111">
        <v>404.0</v>
      </c>
      <c r="AB290" s="111" t="s">
        <v>61</v>
      </c>
      <c r="AC290" s="111">
        <v>300.0</v>
      </c>
      <c r="AD290" s="111">
        <v>100.0</v>
      </c>
      <c r="AE290" s="111">
        <v>40.0</v>
      </c>
      <c r="AF290" s="111" t="s">
        <v>61</v>
      </c>
      <c r="AG290" s="147"/>
      <c r="AH290" s="73">
        <v>200.0</v>
      </c>
      <c r="AI290" s="135">
        <v>202.53164556962025</v>
      </c>
      <c r="AJ290" s="136">
        <v>75.000625</v>
      </c>
      <c r="AK290" s="76">
        <v>0.96775</v>
      </c>
      <c r="AL290" s="137" t="s">
        <v>1476</v>
      </c>
      <c r="AM290" s="139">
        <v>409.0</v>
      </c>
      <c r="AN290" s="139">
        <v>667.0</v>
      </c>
      <c r="AO290" s="140">
        <v>308.6</v>
      </c>
      <c r="AP290" s="142">
        <v>114400.0</v>
      </c>
      <c r="AQ290" s="142">
        <v>204.0</v>
      </c>
      <c r="AR290" s="143"/>
      <c r="AS290" s="144">
        <v>0.9425357807168363</v>
      </c>
      <c r="AT290" s="144">
        <v>0.009264219283163677</v>
      </c>
      <c r="AU290" s="146" t="s">
        <v>1477</v>
      </c>
      <c r="AV290" s="146" t="s">
        <v>1477</v>
      </c>
      <c r="AW290" s="148" t="s">
        <v>1477</v>
      </c>
      <c r="AX290" s="151"/>
      <c r="AY290" s="105"/>
      <c r="AZ290" s="186"/>
      <c r="BA290" s="186"/>
      <c r="BB290" s="146"/>
      <c r="BC290" s="155"/>
      <c r="BD290" s="155"/>
      <c r="BE290" s="155"/>
      <c r="BF290" s="45"/>
    </row>
    <row r="291" ht="16.5" customHeight="1">
      <c r="A291" s="111">
        <v>288.0</v>
      </c>
      <c r="B291" s="112" t="s">
        <v>1478</v>
      </c>
      <c r="C291" s="115" t="s">
        <v>60</v>
      </c>
      <c r="D291" s="117">
        <v>41579.0</v>
      </c>
      <c r="E291" s="117">
        <v>42297.0</v>
      </c>
      <c r="F291" s="79" t="s">
        <v>59</v>
      </c>
      <c r="G291" s="118">
        <v>53000.0</v>
      </c>
      <c r="H291" s="114">
        <v>73.7</v>
      </c>
      <c r="I291" s="120">
        <v>366.0</v>
      </c>
      <c r="J291" s="111" t="s">
        <v>61</v>
      </c>
      <c r="K291" s="121">
        <v>370.63</v>
      </c>
      <c r="L291" s="120" t="s">
        <v>63</v>
      </c>
      <c r="M291" s="120"/>
      <c r="N291" s="120"/>
      <c r="O291" s="124">
        <v>53000.0</v>
      </c>
      <c r="P291" s="124">
        <v>719.0</v>
      </c>
      <c r="Q291" s="111">
        <v>211.0</v>
      </c>
      <c r="R291" s="125">
        <v>399.0</v>
      </c>
      <c r="S291" s="126">
        <v>0.9289</v>
      </c>
      <c r="T291" s="127">
        <v>71989.75</v>
      </c>
      <c r="U291" s="128">
        <f t="shared" si="2"/>
        <v>0</v>
      </c>
      <c r="V291" s="79" t="s">
        <v>64</v>
      </c>
      <c r="W291" s="79" t="s">
        <v>69</v>
      </c>
      <c r="X291" s="79" t="s">
        <v>66</v>
      </c>
      <c r="Y291" s="130">
        <v>0.8</v>
      </c>
      <c r="Z291" s="111">
        <v>7.4</v>
      </c>
      <c r="AA291" s="111">
        <v>398.0</v>
      </c>
      <c r="AB291" s="111" t="s">
        <v>61</v>
      </c>
      <c r="AC291" s="111">
        <v>367.0</v>
      </c>
      <c r="AD291" s="111">
        <v>0.0</v>
      </c>
      <c r="AE291" s="111">
        <v>73.9</v>
      </c>
      <c r="AF291" s="111" t="s">
        <v>61</v>
      </c>
      <c r="AG291" s="134" t="s">
        <v>1480</v>
      </c>
      <c r="AH291" s="73">
        <v>367.0</v>
      </c>
      <c r="AI291" s="135">
        <v>371.6455696202532</v>
      </c>
      <c r="AJ291" s="136">
        <v>73.6980586852861</v>
      </c>
      <c r="AK291" s="76">
        <v>0.9509426927133691</v>
      </c>
      <c r="AL291" s="137" t="s">
        <v>1481</v>
      </c>
      <c r="AM291" s="139">
        <v>403.0</v>
      </c>
      <c r="AN291" s="139">
        <v>719.0</v>
      </c>
      <c r="AO291" s="140">
        <v>149.65</v>
      </c>
      <c r="AP291" s="142">
        <v>53000.0</v>
      </c>
      <c r="AQ291" s="142">
        <v>211.0</v>
      </c>
      <c r="AR291" s="143"/>
      <c r="AS291" s="144">
        <v>0.9552171790252348</v>
      </c>
      <c r="AT291" s="144">
        <v>-0.026317179025234894</v>
      </c>
      <c r="AU291" s="146" t="s">
        <v>1483</v>
      </c>
      <c r="AV291" s="146" t="s">
        <v>1483</v>
      </c>
      <c r="AW291" s="148" t="s">
        <v>1483</v>
      </c>
      <c r="AX291" s="151"/>
      <c r="AY291" s="105"/>
      <c r="AZ291" s="186"/>
      <c r="BA291" s="186"/>
      <c r="BB291" s="146"/>
      <c r="BC291" s="155"/>
      <c r="BD291" s="155"/>
      <c r="BE291" s="155"/>
      <c r="BF291" s="45"/>
    </row>
    <row r="292" ht="16.5" customHeight="1">
      <c r="A292" s="111">
        <v>289.0</v>
      </c>
      <c r="B292" s="112" t="s">
        <v>1485</v>
      </c>
      <c r="C292" s="115" t="s">
        <v>60</v>
      </c>
      <c r="D292" s="117">
        <v>41577.0</v>
      </c>
      <c r="E292" s="117">
        <v>42298.0</v>
      </c>
      <c r="F292" s="79" t="s">
        <v>79</v>
      </c>
      <c r="G292" s="118">
        <v>92000.0</v>
      </c>
      <c r="H292" s="114">
        <v>127.4</v>
      </c>
      <c r="I292" s="120">
        <v>359.0</v>
      </c>
      <c r="J292" s="111" t="s">
        <v>61</v>
      </c>
      <c r="K292" s="121">
        <v>363.54</v>
      </c>
      <c r="L292" s="120" t="s">
        <v>63</v>
      </c>
      <c r="M292" s="120"/>
      <c r="N292" s="120"/>
      <c r="O292" s="124">
        <v>92000.0</v>
      </c>
      <c r="P292" s="124">
        <v>722.0</v>
      </c>
      <c r="Q292" s="111">
        <v>195.0</v>
      </c>
      <c r="R292" s="125">
        <v>399.0</v>
      </c>
      <c r="S292" s="126">
        <v>0.9111</v>
      </c>
      <c r="T292" s="127">
        <v>70610.25</v>
      </c>
      <c r="U292" s="128">
        <f t="shared" si="2"/>
        <v>0</v>
      </c>
      <c r="V292" s="79" t="s">
        <v>64</v>
      </c>
      <c r="W292" s="79" t="s">
        <v>69</v>
      </c>
      <c r="X292" s="79" t="s">
        <v>66</v>
      </c>
      <c r="Y292" s="130">
        <v>0.7</v>
      </c>
      <c r="Z292" s="111">
        <v>6.0</v>
      </c>
      <c r="AA292" s="111">
        <v>394.0</v>
      </c>
      <c r="AB292" s="111" t="s">
        <v>61</v>
      </c>
      <c r="AC292" s="111">
        <v>356.0</v>
      </c>
      <c r="AD292" s="111">
        <v>0.0</v>
      </c>
      <c r="AE292" s="111">
        <v>68.5</v>
      </c>
      <c r="AF292" s="111" t="s">
        <v>61</v>
      </c>
      <c r="AG292" s="147"/>
      <c r="AH292" s="73">
        <v>356.0</v>
      </c>
      <c r="AI292" s="135">
        <v>360.5063291139241</v>
      </c>
      <c r="AJ292" s="136">
        <v>69.0764294241573</v>
      </c>
      <c r="AK292" s="76">
        <v>0.8913087667633199</v>
      </c>
      <c r="AL292" s="137" t="s">
        <v>1489</v>
      </c>
      <c r="AM292" s="139">
        <v>399.0</v>
      </c>
      <c r="AN292" s="139">
        <v>722.0</v>
      </c>
      <c r="AO292" s="140">
        <v>242.28</v>
      </c>
      <c r="AP292" s="142">
        <v>92000.0</v>
      </c>
      <c r="AQ292" s="142">
        <v>195.0</v>
      </c>
      <c r="AR292" s="143"/>
      <c r="AS292" s="144">
        <v>0.9463755471944741</v>
      </c>
      <c r="AT292" s="144">
        <v>-0.03527554719447412</v>
      </c>
      <c r="AU292" s="146" t="s">
        <v>1490</v>
      </c>
      <c r="AV292" s="146" t="s">
        <v>1490</v>
      </c>
      <c r="AW292" s="148" t="s">
        <v>1490</v>
      </c>
      <c r="AX292" s="151"/>
      <c r="AY292" s="105"/>
      <c r="AZ292" s="186"/>
      <c r="BA292" s="186"/>
      <c r="BB292" s="146"/>
      <c r="BC292" s="155"/>
      <c r="BD292" s="155"/>
      <c r="BE292" s="155"/>
      <c r="BF292" s="45"/>
    </row>
    <row r="293" ht="16.5" customHeight="1">
      <c r="A293" s="111">
        <v>290.0</v>
      </c>
      <c r="B293" s="112" t="s">
        <v>1491</v>
      </c>
      <c r="C293" s="115" t="s">
        <v>60</v>
      </c>
      <c r="D293" s="117">
        <v>41723.0</v>
      </c>
      <c r="E293" s="117">
        <v>42298.0</v>
      </c>
      <c r="F293" s="79" t="s">
        <v>109</v>
      </c>
      <c r="G293" s="118">
        <v>44780.0</v>
      </c>
      <c r="H293" s="114">
        <v>77.7</v>
      </c>
      <c r="I293" s="120">
        <v>256.0</v>
      </c>
      <c r="J293" s="111" t="s">
        <v>62</v>
      </c>
      <c r="K293" s="121">
        <v>256.0</v>
      </c>
      <c r="L293" s="120" t="s">
        <v>63</v>
      </c>
      <c r="M293" s="120"/>
      <c r="N293" s="120"/>
      <c r="O293" s="124">
        <v>44780.0</v>
      </c>
      <c r="P293" s="124">
        <v>576.0</v>
      </c>
      <c r="Q293" s="111">
        <v>200.0</v>
      </c>
      <c r="R293" s="125">
        <v>289.0</v>
      </c>
      <c r="S293" s="126">
        <v>0.8858</v>
      </c>
      <c r="T293" s="127">
        <v>51819.3</v>
      </c>
      <c r="U293" s="128">
        <f t="shared" si="2"/>
        <v>0</v>
      </c>
      <c r="V293" s="79" t="s">
        <v>69</v>
      </c>
      <c r="W293" s="79" t="s">
        <v>65</v>
      </c>
      <c r="X293" s="79" t="s">
        <v>64</v>
      </c>
      <c r="Y293" s="130">
        <v>0.8</v>
      </c>
      <c r="Z293" s="111">
        <v>6.0</v>
      </c>
      <c r="AA293" s="111">
        <v>299.0</v>
      </c>
      <c r="AB293" s="111" t="s">
        <v>62</v>
      </c>
      <c r="AC293" s="133"/>
      <c r="AD293" s="133"/>
      <c r="AE293" s="133"/>
      <c r="AF293" s="111"/>
      <c r="AG293" s="147"/>
      <c r="AH293" s="73"/>
      <c r="AI293" s="135"/>
      <c r="AJ293" s="136"/>
      <c r="AK293" s="76"/>
      <c r="AL293" s="137"/>
      <c r="AM293" s="139">
        <v>299.0</v>
      </c>
      <c r="AN293" s="139">
        <v>576.0</v>
      </c>
      <c r="AO293" s="140">
        <v>162.4</v>
      </c>
      <c r="AP293" s="142">
        <v>44780.0</v>
      </c>
      <c r="AQ293" s="142">
        <v>200.0</v>
      </c>
      <c r="AR293" s="143"/>
      <c r="AS293" s="144">
        <v>0.9580479923101312</v>
      </c>
      <c r="AT293" s="144">
        <v>-0.07224799231013113</v>
      </c>
      <c r="AU293" s="146" t="s">
        <v>1492</v>
      </c>
      <c r="AV293" s="146" t="s">
        <v>1492</v>
      </c>
      <c r="AW293" s="148" t="s">
        <v>1492</v>
      </c>
      <c r="AX293" s="151"/>
      <c r="AY293" s="105"/>
      <c r="AZ293" s="186"/>
      <c r="BA293" s="186"/>
      <c r="BB293" s="146"/>
      <c r="BC293" s="155"/>
      <c r="BD293" s="155"/>
      <c r="BE293" s="155"/>
      <c r="BF293" s="45"/>
    </row>
    <row r="294" ht="16.5" customHeight="1">
      <c r="A294" s="111">
        <v>291.0</v>
      </c>
      <c r="B294" s="112" t="s">
        <v>1493</v>
      </c>
      <c r="C294" s="115" t="s">
        <v>60</v>
      </c>
      <c r="D294" s="117">
        <v>41629.0</v>
      </c>
      <c r="E294" s="117">
        <v>42298.0</v>
      </c>
      <c r="F294" s="79" t="s">
        <v>59</v>
      </c>
      <c r="G294" s="118">
        <v>59000.0</v>
      </c>
      <c r="H294" s="114">
        <v>88.1</v>
      </c>
      <c r="I294" s="120">
        <v>372.0</v>
      </c>
      <c r="J294" s="111" t="s">
        <v>62</v>
      </c>
      <c r="K294" s="121">
        <v>372.0</v>
      </c>
      <c r="L294" s="120" t="s">
        <v>63</v>
      </c>
      <c r="M294" s="120"/>
      <c r="N294" s="120"/>
      <c r="O294" s="124">
        <v>59000.0</v>
      </c>
      <c r="P294" s="124">
        <v>670.0</v>
      </c>
      <c r="Q294" s="111">
        <v>227.0</v>
      </c>
      <c r="R294" s="125">
        <v>399.0</v>
      </c>
      <c r="S294" s="126">
        <v>0.9323</v>
      </c>
      <c r="T294" s="127">
        <v>72253.25</v>
      </c>
      <c r="U294" s="128">
        <f t="shared" si="2"/>
        <v>0</v>
      </c>
      <c r="V294" s="79" t="s">
        <v>64</v>
      </c>
      <c r="W294" s="79" t="s">
        <v>69</v>
      </c>
      <c r="X294" s="79" t="s">
        <v>66</v>
      </c>
      <c r="Y294" s="130">
        <v>0.9</v>
      </c>
      <c r="Z294" s="111" t="s">
        <v>1494</v>
      </c>
      <c r="AA294" s="133"/>
      <c r="AB294" s="133"/>
      <c r="AC294" s="133"/>
      <c r="AD294" s="133"/>
      <c r="AE294" s="133"/>
      <c r="AF294" s="111"/>
      <c r="AG294" s="134" t="s">
        <v>1462</v>
      </c>
      <c r="AH294" s="73"/>
      <c r="AI294" s="135"/>
      <c r="AJ294" s="136"/>
      <c r="AK294" s="76"/>
      <c r="AL294" s="137"/>
      <c r="AM294" s="139" t="s">
        <v>71</v>
      </c>
      <c r="AN294" s="139">
        <v>670.0</v>
      </c>
      <c r="AO294" s="140">
        <v>178.9</v>
      </c>
      <c r="AP294" s="142">
        <v>59000.0</v>
      </c>
      <c r="AQ294" s="142">
        <v>227.0</v>
      </c>
      <c r="AR294" s="143"/>
      <c r="AS294" s="144">
        <v>0.9534747597888689</v>
      </c>
      <c r="AT294" s="144">
        <v>-0.021174759788868847</v>
      </c>
      <c r="AU294" s="146" t="s">
        <v>1495</v>
      </c>
      <c r="AV294" s="146" t="s">
        <v>1495</v>
      </c>
      <c r="AW294" s="148" t="s">
        <v>1495</v>
      </c>
      <c r="AX294" s="151"/>
      <c r="AY294" s="105"/>
      <c r="AZ294" s="186"/>
      <c r="BA294" s="186"/>
      <c r="BB294" s="146"/>
      <c r="BC294" s="155"/>
      <c r="BD294" s="155"/>
      <c r="BE294" s="155"/>
      <c r="BF294" s="45"/>
    </row>
    <row r="295" ht="16.5" customHeight="1">
      <c r="A295" s="111">
        <v>292.0</v>
      </c>
      <c r="B295" s="112" t="s">
        <v>361</v>
      </c>
      <c r="C295" s="115" t="s">
        <v>60</v>
      </c>
      <c r="D295" s="117">
        <v>41604.0</v>
      </c>
      <c r="E295" s="117">
        <v>42298.0</v>
      </c>
      <c r="F295" s="79" t="s">
        <v>59</v>
      </c>
      <c r="G295" s="118">
        <v>78676.0</v>
      </c>
      <c r="H295" s="114">
        <v>113.2</v>
      </c>
      <c r="I295" s="120">
        <v>365.0</v>
      </c>
      <c r="J295" s="111" t="s">
        <v>61</v>
      </c>
      <c r="K295" s="121">
        <v>369.62</v>
      </c>
      <c r="L295" s="120" t="s">
        <v>63</v>
      </c>
      <c r="M295" s="120"/>
      <c r="N295" s="120"/>
      <c r="O295" s="124">
        <v>78676.0</v>
      </c>
      <c r="P295" s="124">
        <v>695.0</v>
      </c>
      <c r="Q295" s="111">
        <v>226.0</v>
      </c>
      <c r="R295" s="125">
        <v>399.0</v>
      </c>
      <c r="S295" s="126">
        <v>0.9264</v>
      </c>
      <c r="T295" s="127">
        <v>71796.0</v>
      </c>
      <c r="U295" s="128">
        <f t="shared" si="2"/>
        <v>0</v>
      </c>
      <c r="V295" s="79" t="s">
        <v>69</v>
      </c>
      <c r="W295" s="79" t="s">
        <v>69</v>
      </c>
      <c r="X295" s="79" t="s">
        <v>66</v>
      </c>
      <c r="Y295" s="130">
        <v>0.7</v>
      </c>
      <c r="Z295" s="111">
        <v>14.0</v>
      </c>
      <c r="AA295" s="111">
        <v>399.0</v>
      </c>
      <c r="AB295" s="111" t="s">
        <v>61</v>
      </c>
      <c r="AC295" s="133"/>
      <c r="AD295" s="133"/>
      <c r="AE295" s="133"/>
      <c r="AF295" s="111"/>
      <c r="AG295" s="134" t="s">
        <v>1496</v>
      </c>
      <c r="AH295" s="73"/>
      <c r="AI295" s="135"/>
      <c r="AJ295" s="136"/>
      <c r="AK295" s="76"/>
      <c r="AL295" s="137"/>
      <c r="AM295" s="139">
        <v>404.0</v>
      </c>
      <c r="AN295" s="139">
        <v>695.0</v>
      </c>
      <c r="AO295" s="140">
        <v>238.22</v>
      </c>
      <c r="AP295" s="142">
        <v>78676.0</v>
      </c>
      <c r="AQ295" s="142">
        <v>226.0</v>
      </c>
      <c r="AR295" s="143"/>
      <c r="AS295" s="144">
        <v>0.948911921865213</v>
      </c>
      <c r="AT295" s="144">
        <v>-0.022511921865213003</v>
      </c>
      <c r="AU295" s="146" t="s">
        <v>1497</v>
      </c>
      <c r="AV295" s="146" t="s">
        <v>1497</v>
      </c>
      <c r="AW295" s="148" t="s">
        <v>1497</v>
      </c>
      <c r="AX295" s="151"/>
      <c r="AY295" s="105"/>
      <c r="AZ295" s="186"/>
      <c r="BA295" s="186"/>
      <c r="BB295" s="146"/>
      <c r="BC295" s="155"/>
      <c r="BD295" s="155"/>
      <c r="BE295" s="155"/>
      <c r="BF295" s="45"/>
    </row>
    <row r="296" ht="16.5" customHeight="1">
      <c r="A296" s="111">
        <v>293.0</v>
      </c>
      <c r="B296" s="112" t="s">
        <v>1498</v>
      </c>
      <c r="C296" s="115" t="s">
        <v>60</v>
      </c>
      <c r="D296" s="117">
        <v>41547.0</v>
      </c>
      <c r="E296" s="117">
        <v>42292.0</v>
      </c>
      <c r="F296" s="79" t="s">
        <v>57</v>
      </c>
      <c r="G296" s="118">
        <v>40532.0</v>
      </c>
      <c r="H296" s="114">
        <v>54.3</v>
      </c>
      <c r="I296" s="120">
        <v>367.0</v>
      </c>
      <c r="J296" s="111" t="s">
        <v>62</v>
      </c>
      <c r="K296" s="121">
        <v>367.0</v>
      </c>
      <c r="L296" s="120" t="s">
        <v>63</v>
      </c>
      <c r="M296" s="120"/>
      <c r="N296" s="120"/>
      <c r="O296" s="124">
        <v>40532.0</v>
      </c>
      <c r="P296" s="124">
        <v>746.0</v>
      </c>
      <c r="Q296" s="111">
        <v>223.0</v>
      </c>
      <c r="R296" s="125">
        <v>399.0</v>
      </c>
      <c r="S296" s="126">
        <v>0.9198</v>
      </c>
      <c r="T296" s="127">
        <v>71284.5</v>
      </c>
      <c r="U296" s="128">
        <f t="shared" si="2"/>
        <v>0</v>
      </c>
      <c r="V296" s="79" t="s">
        <v>69</v>
      </c>
      <c r="W296" s="79" t="s">
        <v>69</v>
      </c>
      <c r="X296" s="79" t="s">
        <v>66</v>
      </c>
      <c r="Y296" s="130">
        <v>0.7</v>
      </c>
      <c r="Z296" s="111">
        <v>7.4</v>
      </c>
      <c r="AA296" s="111">
        <v>387.0</v>
      </c>
      <c r="AB296" s="111" t="s">
        <v>62</v>
      </c>
      <c r="AC296" s="133"/>
      <c r="AD296" s="133"/>
      <c r="AE296" s="133"/>
      <c r="AF296" s="111"/>
      <c r="AG296" s="134" t="s">
        <v>1500</v>
      </c>
      <c r="AH296" s="73"/>
      <c r="AI296" s="135"/>
      <c r="AJ296" s="136"/>
      <c r="AK296" s="76"/>
      <c r="AL296" s="137"/>
      <c r="AM296" s="139">
        <v>387.0</v>
      </c>
      <c r="AN296" s="139">
        <v>746.0</v>
      </c>
      <c r="AO296" s="140">
        <v>121.53</v>
      </c>
      <c r="AP296" s="142">
        <v>40532.0</v>
      </c>
      <c r="AQ296" s="142">
        <v>223.0</v>
      </c>
      <c r="AR296" s="143"/>
      <c r="AS296" s="144">
        <v>0.959779132821631</v>
      </c>
      <c r="AT296" s="144">
        <v>-0.039979132821631014</v>
      </c>
      <c r="AU296" s="146" t="s">
        <v>1501</v>
      </c>
      <c r="AV296" s="146" t="s">
        <v>1501</v>
      </c>
      <c r="AW296" s="148" t="s">
        <v>1501</v>
      </c>
      <c r="AX296" s="151"/>
      <c r="AY296" s="105"/>
      <c r="AZ296" s="186"/>
      <c r="BA296" s="186"/>
      <c r="BB296" s="146"/>
      <c r="BC296" s="155"/>
      <c r="BD296" s="155"/>
      <c r="BE296" s="155"/>
      <c r="BF296" s="45"/>
    </row>
    <row r="297" ht="16.5" customHeight="1">
      <c r="A297" s="111">
        <v>294.0</v>
      </c>
      <c r="B297" s="112" t="s">
        <v>1503</v>
      </c>
      <c r="C297" s="115" t="s">
        <v>60</v>
      </c>
      <c r="D297" s="117">
        <v>41699.0</v>
      </c>
      <c r="E297" s="117">
        <v>42298.0</v>
      </c>
      <c r="F297" s="79" t="s">
        <v>79</v>
      </c>
      <c r="G297" s="118">
        <v>25775.0</v>
      </c>
      <c r="H297" s="114">
        <v>43.0</v>
      </c>
      <c r="I297" s="120">
        <v>384.0</v>
      </c>
      <c r="J297" s="111" t="s">
        <v>61</v>
      </c>
      <c r="K297" s="121">
        <v>388.86</v>
      </c>
      <c r="L297" s="120" t="s">
        <v>63</v>
      </c>
      <c r="M297" s="120"/>
      <c r="N297" s="120"/>
      <c r="O297" s="124">
        <v>25775.0</v>
      </c>
      <c r="P297" s="124">
        <v>600.0</v>
      </c>
      <c r="Q297" s="111">
        <v>209.0</v>
      </c>
      <c r="R297" s="125">
        <v>399.0</v>
      </c>
      <c r="S297" s="126">
        <v>0.9746</v>
      </c>
      <c r="T297" s="127">
        <v>75531.5</v>
      </c>
      <c r="U297" s="128">
        <f t="shared" si="2"/>
        <v>0</v>
      </c>
      <c r="V297" s="79" t="s">
        <v>64</v>
      </c>
      <c r="W297" s="79" t="s">
        <v>64</v>
      </c>
      <c r="X297" s="79" t="s">
        <v>68</v>
      </c>
      <c r="Y297" s="130">
        <v>0.9</v>
      </c>
      <c r="Z297" s="111">
        <v>4.0</v>
      </c>
      <c r="AA297" s="133"/>
      <c r="AB297" s="133"/>
      <c r="AC297" s="133"/>
      <c r="AD297" s="133"/>
      <c r="AE297" s="133"/>
      <c r="AF297" s="111"/>
      <c r="AG297" s="147"/>
      <c r="AH297" s="73"/>
      <c r="AI297" s="135"/>
      <c r="AJ297" s="136"/>
      <c r="AK297" s="76"/>
      <c r="AL297" s="137"/>
      <c r="AM297" s="139" t="s">
        <v>71</v>
      </c>
      <c r="AN297" s="139">
        <v>600.0</v>
      </c>
      <c r="AO297" s="140">
        <v>70.43</v>
      </c>
      <c r="AP297" s="142">
        <v>25775.0</v>
      </c>
      <c r="AQ297" s="142">
        <v>209.0</v>
      </c>
      <c r="AR297" s="143"/>
      <c r="AS297" s="144">
        <v>0.9679973317702959</v>
      </c>
      <c r="AT297" s="144">
        <v>0.006602668229704123</v>
      </c>
      <c r="AU297" s="146" t="s">
        <v>1504</v>
      </c>
      <c r="AV297" s="146" t="s">
        <v>1504</v>
      </c>
      <c r="AW297" s="148" t="s">
        <v>1504</v>
      </c>
      <c r="AX297" s="151"/>
      <c r="AY297" s="105"/>
      <c r="AZ297" s="186"/>
      <c r="BA297" s="186"/>
      <c r="BB297" s="146"/>
      <c r="BC297" s="155"/>
      <c r="BD297" s="155"/>
      <c r="BE297" s="155"/>
      <c r="BF297" s="45"/>
    </row>
    <row r="298" ht="16.5" customHeight="1">
      <c r="A298" s="111">
        <v>295.0</v>
      </c>
      <c r="B298" s="112" t="s">
        <v>1505</v>
      </c>
      <c r="C298" s="115" t="s">
        <v>60</v>
      </c>
      <c r="D298" s="117">
        <v>41708.0</v>
      </c>
      <c r="E298" s="117">
        <v>42278.0</v>
      </c>
      <c r="F298" s="79" t="s">
        <v>59</v>
      </c>
      <c r="G298" s="118">
        <v>43800.0</v>
      </c>
      <c r="H298" s="114">
        <v>76.7</v>
      </c>
      <c r="I298" s="120">
        <v>379.0</v>
      </c>
      <c r="J298" s="111" t="s">
        <v>61</v>
      </c>
      <c r="K298" s="121">
        <v>383.8</v>
      </c>
      <c r="L298" s="120" t="s">
        <v>63</v>
      </c>
      <c r="M298" s="120"/>
      <c r="N298" s="120"/>
      <c r="O298" s="124">
        <v>43800.0</v>
      </c>
      <c r="P298" s="124">
        <v>571.0</v>
      </c>
      <c r="Q298" s="111">
        <v>225.0</v>
      </c>
      <c r="R298" s="125">
        <v>399.0</v>
      </c>
      <c r="S298" s="126">
        <v>0.9619</v>
      </c>
      <c r="T298" s="127">
        <v>74547.25</v>
      </c>
      <c r="U298" s="128">
        <f t="shared" si="2"/>
        <v>0</v>
      </c>
      <c r="V298" s="79" t="s">
        <v>65</v>
      </c>
      <c r="W298" s="79" t="s">
        <v>66</v>
      </c>
      <c r="X298" s="79" t="s">
        <v>68</v>
      </c>
      <c r="Y298" s="130">
        <v>0.9</v>
      </c>
      <c r="Z298" s="111" t="s">
        <v>1494</v>
      </c>
      <c r="AA298" s="111">
        <v>404.0</v>
      </c>
      <c r="AB298" s="111" t="s">
        <v>62</v>
      </c>
      <c r="AC298" s="133"/>
      <c r="AD298" s="133"/>
      <c r="AE298" s="133"/>
      <c r="AF298" s="111"/>
      <c r="AG298" s="134" t="s">
        <v>1462</v>
      </c>
      <c r="AH298" s="73"/>
      <c r="AI298" s="135"/>
      <c r="AJ298" s="136"/>
      <c r="AK298" s="76"/>
      <c r="AL298" s="137"/>
      <c r="AM298" s="139">
        <v>404.0</v>
      </c>
      <c r="AN298" s="139">
        <v>571.0</v>
      </c>
      <c r="AO298" s="140">
        <v>129.65</v>
      </c>
      <c r="AP298" s="142">
        <v>43800.0</v>
      </c>
      <c r="AQ298" s="142">
        <v>225.0</v>
      </c>
      <c r="AR298" s="143"/>
      <c r="AS298" s="144">
        <v>0.9584287387429977</v>
      </c>
      <c r="AT298" s="144">
        <v>0.003471261257002256</v>
      </c>
      <c r="AU298" s="146" t="s">
        <v>1508</v>
      </c>
      <c r="AV298" s="146" t="s">
        <v>1508</v>
      </c>
      <c r="AW298" s="148" t="s">
        <v>1508</v>
      </c>
      <c r="AX298" s="151"/>
      <c r="AY298" s="105"/>
      <c r="AZ298" s="186"/>
      <c r="BA298" s="186"/>
      <c r="BB298" s="146"/>
      <c r="BC298" s="155"/>
      <c r="BD298" s="155"/>
      <c r="BE298" s="155"/>
      <c r="BF298" s="45"/>
    </row>
    <row r="299" ht="16.5" customHeight="1">
      <c r="A299" s="111">
        <v>296.0</v>
      </c>
      <c r="B299" s="112" t="s">
        <v>640</v>
      </c>
      <c r="C299" s="115" t="s">
        <v>60</v>
      </c>
      <c r="D299" s="117">
        <v>41927.0</v>
      </c>
      <c r="E299" s="117">
        <v>42298.0</v>
      </c>
      <c r="F299" s="79" t="s">
        <v>59</v>
      </c>
      <c r="G299" s="118">
        <v>37896.0</v>
      </c>
      <c r="H299" s="114">
        <v>101.9</v>
      </c>
      <c r="I299" s="120">
        <v>375.0</v>
      </c>
      <c r="J299" s="111" t="s">
        <v>61</v>
      </c>
      <c r="K299" s="121">
        <v>379.75</v>
      </c>
      <c r="L299" s="120" t="s">
        <v>63</v>
      </c>
      <c r="M299" s="120"/>
      <c r="N299" s="120"/>
      <c r="O299" s="124">
        <v>37896.0</v>
      </c>
      <c r="P299" s="124">
        <v>372.0</v>
      </c>
      <c r="Q299" s="111">
        <v>218.0</v>
      </c>
      <c r="R299" s="125">
        <v>399.0</v>
      </c>
      <c r="S299" s="126">
        <v>0.9518</v>
      </c>
      <c r="T299" s="127">
        <v>73764.5</v>
      </c>
      <c r="U299" s="128">
        <f t="shared" si="2"/>
        <v>0</v>
      </c>
      <c r="V299" s="79" t="s">
        <v>80</v>
      </c>
      <c r="W299" s="79" t="s">
        <v>67</v>
      </c>
      <c r="X299" s="79" t="s">
        <v>64</v>
      </c>
      <c r="Y299" s="130">
        <v>0.9</v>
      </c>
      <c r="Z299" s="111" t="s">
        <v>1494</v>
      </c>
      <c r="AA299" s="111">
        <v>393.0</v>
      </c>
      <c r="AB299" s="111" t="s">
        <v>61</v>
      </c>
      <c r="AC299" s="133"/>
      <c r="AD299" s="133"/>
      <c r="AE299" s="133"/>
      <c r="AF299" s="111"/>
      <c r="AG299" s="134" t="s">
        <v>111</v>
      </c>
      <c r="AH299" s="73"/>
      <c r="AI299" s="135"/>
      <c r="AJ299" s="136"/>
      <c r="AK299" s="76"/>
      <c r="AL299" s="137"/>
      <c r="AM299" s="139">
        <v>398.0</v>
      </c>
      <c r="AN299" s="139">
        <v>372.0</v>
      </c>
      <c r="AO299" s="140">
        <v>109.25</v>
      </c>
      <c r="AP299" s="142">
        <v>37896.0</v>
      </c>
      <c r="AQ299" s="142">
        <v>218.0</v>
      </c>
      <c r="AR299" s="143"/>
      <c r="AS299" s="144">
        <v>0.9609692809349132</v>
      </c>
      <c r="AT299" s="144">
        <v>-0.009169280934913204</v>
      </c>
      <c r="AU299" s="146" t="s">
        <v>1511</v>
      </c>
      <c r="AV299" s="146" t="s">
        <v>1511</v>
      </c>
      <c r="AW299" s="148" t="s">
        <v>1511</v>
      </c>
      <c r="AX299" s="151"/>
      <c r="AY299" s="105"/>
      <c r="AZ299" s="186"/>
      <c r="BA299" s="186"/>
      <c r="BB299" s="146"/>
      <c r="BC299" s="155"/>
      <c r="BD299" s="155"/>
      <c r="BE299" s="155"/>
      <c r="BF299" s="45"/>
    </row>
    <row r="300" ht="16.5" customHeight="1">
      <c r="A300" s="111">
        <v>297.0</v>
      </c>
      <c r="B300" s="112" t="s">
        <v>279</v>
      </c>
      <c r="C300" s="115" t="s">
        <v>60</v>
      </c>
      <c r="D300" s="117">
        <v>41592.0</v>
      </c>
      <c r="E300" s="117">
        <v>42300.0</v>
      </c>
      <c r="F300" s="79" t="s">
        <v>59</v>
      </c>
      <c r="G300" s="118">
        <v>59060.0</v>
      </c>
      <c r="H300" s="114">
        <v>83.3</v>
      </c>
      <c r="I300" s="120">
        <v>380.0</v>
      </c>
      <c r="J300" s="111" t="s">
        <v>61</v>
      </c>
      <c r="K300" s="121">
        <v>384.81</v>
      </c>
      <c r="L300" s="120" t="s">
        <v>195</v>
      </c>
      <c r="M300" s="120" t="s">
        <v>281</v>
      </c>
      <c r="N300" s="120">
        <v>12000.0</v>
      </c>
      <c r="O300" s="124">
        <v>47060.0</v>
      </c>
      <c r="P300" s="124">
        <v>565.0</v>
      </c>
      <c r="Q300" s="111">
        <v>236.0</v>
      </c>
      <c r="R300" s="125">
        <v>399.0</v>
      </c>
      <c r="S300" s="126">
        <v>0.9644</v>
      </c>
      <c r="T300" s="127">
        <v>74741.0</v>
      </c>
      <c r="U300" s="128">
        <f t="shared" si="2"/>
        <v>0</v>
      </c>
      <c r="V300" s="79" t="s">
        <v>64</v>
      </c>
      <c r="W300" s="79" t="s">
        <v>69</v>
      </c>
      <c r="X300" s="79" t="s">
        <v>66</v>
      </c>
      <c r="Y300" s="130">
        <v>0.9</v>
      </c>
      <c r="Z300" s="111">
        <v>11.0</v>
      </c>
      <c r="AA300" s="111">
        <v>393.0</v>
      </c>
      <c r="AB300" s="111" t="s">
        <v>61</v>
      </c>
      <c r="AC300" s="111"/>
      <c r="AD300" s="111"/>
      <c r="AE300" s="111"/>
      <c r="AF300" s="111"/>
      <c r="AG300" s="134"/>
      <c r="AH300" s="73"/>
      <c r="AI300" s="135"/>
      <c r="AJ300" s="136"/>
      <c r="AK300" s="76"/>
      <c r="AL300" s="137"/>
      <c r="AM300" s="139">
        <v>398.0</v>
      </c>
      <c r="AN300" s="139">
        <v>709.0</v>
      </c>
      <c r="AO300" s="140">
        <v>145.93</v>
      </c>
      <c r="AP300" s="142">
        <v>47060.0</v>
      </c>
      <c r="AQ300" s="142">
        <v>236.0</v>
      </c>
      <c r="AR300" s="143"/>
      <c r="AS300" s="144">
        <v>0.9572011611673892</v>
      </c>
      <c r="AT300" s="144">
        <v>0.007198838832610854</v>
      </c>
      <c r="AU300" s="146" t="s">
        <v>1514</v>
      </c>
      <c r="AV300" s="146" t="s">
        <v>1514</v>
      </c>
      <c r="AW300" s="148" t="s">
        <v>1514</v>
      </c>
      <c r="AX300" s="151"/>
      <c r="AY300" s="105"/>
      <c r="AZ300" s="186"/>
      <c r="BA300" s="186"/>
      <c r="BB300" s="146"/>
      <c r="BC300" s="155"/>
      <c r="BD300" s="155"/>
      <c r="BE300" s="155"/>
      <c r="BF300" s="45"/>
    </row>
    <row r="301" ht="16.5" customHeight="1">
      <c r="A301" s="111">
        <v>298.0</v>
      </c>
      <c r="B301" s="112" t="s">
        <v>392</v>
      </c>
      <c r="C301" s="115" t="s">
        <v>60</v>
      </c>
      <c r="D301" s="117">
        <v>41582.0</v>
      </c>
      <c r="E301" s="117">
        <v>42299.0</v>
      </c>
      <c r="F301" s="79" t="s">
        <v>79</v>
      </c>
      <c r="G301" s="118">
        <v>43500.0</v>
      </c>
      <c r="H301" s="114">
        <v>60.6</v>
      </c>
      <c r="I301" s="120">
        <v>374.0</v>
      </c>
      <c r="J301" s="111" t="s">
        <v>61</v>
      </c>
      <c r="K301" s="121">
        <v>378.73</v>
      </c>
      <c r="L301" s="120" t="s">
        <v>63</v>
      </c>
      <c r="M301" s="120"/>
      <c r="N301" s="120"/>
      <c r="O301" s="124">
        <v>43500.0</v>
      </c>
      <c r="P301" s="124">
        <v>718.0</v>
      </c>
      <c r="Q301" s="111">
        <v>218.0</v>
      </c>
      <c r="R301" s="125">
        <v>399.0</v>
      </c>
      <c r="S301" s="126">
        <v>0.9492</v>
      </c>
      <c r="T301" s="127">
        <v>73563.0</v>
      </c>
      <c r="U301" s="128">
        <f t="shared" si="2"/>
        <v>0</v>
      </c>
      <c r="V301" s="79" t="s">
        <v>69</v>
      </c>
      <c r="W301" s="79" t="s">
        <v>69</v>
      </c>
      <c r="X301" s="79" t="s">
        <v>69</v>
      </c>
      <c r="Y301" s="130">
        <v>0.8</v>
      </c>
      <c r="Z301" s="111">
        <v>11.0</v>
      </c>
      <c r="AA301" s="133"/>
      <c r="AB301" s="133"/>
      <c r="AC301" s="133"/>
      <c r="AD301" s="133"/>
      <c r="AE301" s="133"/>
      <c r="AF301" s="111"/>
      <c r="AG301" s="147"/>
      <c r="AH301" s="73"/>
      <c r="AI301" s="135"/>
      <c r="AJ301" s="136"/>
      <c r="AK301" s="76"/>
      <c r="AL301" s="137"/>
      <c r="AM301" s="139" t="s">
        <v>71</v>
      </c>
      <c r="AN301" s="139">
        <v>718.0</v>
      </c>
      <c r="AO301" s="140">
        <v>125.58</v>
      </c>
      <c r="AP301" s="142">
        <v>43500.0</v>
      </c>
      <c r="AQ301" s="142">
        <v>218.0</v>
      </c>
      <c r="AR301" s="143"/>
      <c r="AS301" s="144">
        <v>0.9585474229945141</v>
      </c>
      <c r="AT301" s="144">
        <v>-0.009347422994514076</v>
      </c>
      <c r="AU301" s="146" t="s">
        <v>1517</v>
      </c>
      <c r="AV301" s="146" t="s">
        <v>1517</v>
      </c>
      <c r="AW301" s="148" t="s">
        <v>1517</v>
      </c>
      <c r="AX301" s="151"/>
      <c r="AY301" s="105"/>
      <c r="AZ301" s="186"/>
      <c r="BA301" s="186"/>
      <c r="BB301" s="146"/>
      <c r="BC301" s="155"/>
      <c r="BD301" s="155"/>
      <c r="BE301" s="155"/>
      <c r="BF301" s="45"/>
    </row>
    <row r="302" ht="16.5" customHeight="1">
      <c r="A302" s="111">
        <v>299.0</v>
      </c>
      <c r="B302" s="112" t="s">
        <v>541</v>
      </c>
      <c r="C302" s="115" t="s">
        <v>60</v>
      </c>
      <c r="D302" s="117">
        <v>41603.0</v>
      </c>
      <c r="E302" s="117">
        <v>42300.0</v>
      </c>
      <c r="F302" s="79" t="s">
        <v>57</v>
      </c>
      <c r="G302" s="118">
        <v>74000.0</v>
      </c>
      <c r="H302" s="114">
        <v>106.0</v>
      </c>
      <c r="I302" s="120">
        <v>368.0</v>
      </c>
      <c r="J302" s="111" t="s">
        <v>61</v>
      </c>
      <c r="K302" s="121">
        <v>372.66</v>
      </c>
      <c r="L302" s="120" t="s">
        <v>63</v>
      </c>
      <c r="M302" s="120"/>
      <c r="N302" s="120"/>
      <c r="O302" s="124">
        <v>74000.0</v>
      </c>
      <c r="P302" s="124">
        <v>698.0</v>
      </c>
      <c r="Q302" s="111">
        <v>226.0</v>
      </c>
      <c r="R302" s="125">
        <v>399.0</v>
      </c>
      <c r="S302" s="126">
        <v>0.934</v>
      </c>
      <c r="T302" s="127">
        <v>72385.0</v>
      </c>
      <c r="U302" s="128">
        <f t="shared" si="2"/>
        <v>0</v>
      </c>
      <c r="V302" s="79"/>
      <c r="W302" s="79"/>
      <c r="X302" s="79"/>
      <c r="Y302" s="130"/>
      <c r="Z302" s="111"/>
      <c r="AA302" s="133"/>
      <c r="AB302" s="133"/>
      <c r="AC302" s="133"/>
      <c r="AD302" s="133"/>
      <c r="AE302" s="133"/>
      <c r="AF302" s="111"/>
      <c r="AG302" s="147"/>
      <c r="AH302" s="73"/>
      <c r="AI302" s="135"/>
      <c r="AJ302" s="136"/>
      <c r="AK302" s="76"/>
      <c r="AL302" s="137"/>
      <c r="AM302" s="139" t="s">
        <v>71</v>
      </c>
      <c r="AN302" s="139">
        <v>698.0</v>
      </c>
      <c r="AO302" s="140">
        <v>223.19</v>
      </c>
      <c r="AP302" s="142">
        <v>74000.0</v>
      </c>
      <c r="AQ302" s="142">
        <v>226.0</v>
      </c>
      <c r="AR302" s="143"/>
      <c r="AS302" s="144">
        <v>0.9498827707444166</v>
      </c>
      <c r="AT302" s="144">
        <v>-0.015882770744416574</v>
      </c>
      <c r="AU302" s="146" t="s">
        <v>1521</v>
      </c>
      <c r="AV302" s="146" t="s">
        <v>1521</v>
      </c>
      <c r="AW302" s="148" t="s">
        <v>1521</v>
      </c>
      <c r="AX302" s="151"/>
      <c r="AY302" s="105"/>
      <c r="AZ302" s="186"/>
      <c r="BA302" s="186"/>
      <c r="BB302" s="146"/>
      <c r="BC302" s="155"/>
      <c r="BD302" s="155"/>
      <c r="BE302" s="155"/>
      <c r="BF302" s="45"/>
    </row>
    <row r="303" ht="16.5" customHeight="1">
      <c r="A303" s="111">
        <v>300.0</v>
      </c>
      <c r="B303" s="112" t="s">
        <v>1454</v>
      </c>
      <c r="C303" s="115" t="s">
        <v>60</v>
      </c>
      <c r="D303" s="117">
        <v>42266.0</v>
      </c>
      <c r="E303" s="117">
        <v>42301.0</v>
      </c>
      <c r="F303" s="79" t="s">
        <v>118</v>
      </c>
      <c r="G303" s="118">
        <v>2611.0</v>
      </c>
      <c r="H303" s="114">
        <v>72.5</v>
      </c>
      <c r="I303" s="120">
        <v>351.0</v>
      </c>
      <c r="J303" s="111" t="s">
        <v>61</v>
      </c>
      <c r="K303" s="121">
        <v>355.44</v>
      </c>
      <c r="L303" s="120" t="s">
        <v>63</v>
      </c>
      <c r="M303" s="120"/>
      <c r="N303" s="120"/>
      <c r="O303" s="124">
        <v>2611.0</v>
      </c>
      <c r="P303" s="124">
        <v>36.0</v>
      </c>
      <c r="Q303" s="111">
        <v>210.0</v>
      </c>
      <c r="R303" s="125">
        <v>365.0</v>
      </c>
      <c r="S303" s="126">
        <v>0.9738</v>
      </c>
      <c r="T303" s="127">
        <v>66997.44</v>
      </c>
      <c r="U303" s="128">
        <f t="shared" si="2"/>
        <v>0</v>
      </c>
      <c r="V303" s="79" t="s">
        <v>64</v>
      </c>
      <c r="W303" s="79" t="s">
        <v>64</v>
      </c>
      <c r="X303" s="79" t="s">
        <v>68</v>
      </c>
      <c r="Y303" s="130">
        <v>0.9</v>
      </c>
      <c r="Z303" s="111">
        <v>11.0</v>
      </c>
      <c r="AA303" s="133"/>
      <c r="AB303" s="133"/>
      <c r="AC303" s="111">
        <v>322.0</v>
      </c>
      <c r="AD303" s="111">
        <v>251.0</v>
      </c>
      <c r="AE303" s="111">
        <v>11.7</v>
      </c>
      <c r="AF303" s="111" t="s">
        <v>61</v>
      </c>
      <c r="AG303" s="147"/>
      <c r="AH303" s="73">
        <v>71.0</v>
      </c>
      <c r="AI303" s="135">
        <v>71.89873417721519</v>
      </c>
      <c r="AJ303" s="136">
        <v>57.84035070422536</v>
      </c>
      <c r="AK303" s="76">
        <v>0.8407027718637406</v>
      </c>
      <c r="AL303" s="137" t="s">
        <v>1524</v>
      </c>
      <c r="AM303" s="139" t="s">
        <v>71</v>
      </c>
      <c r="AN303" s="139">
        <v>36.0</v>
      </c>
      <c r="AO303" s="140">
        <v>8.08</v>
      </c>
      <c r="AP303" s="142">
        <v>2611.0</v>
      </c>
      <c r="AQ303" s="142">
        <v>210.0</v>
      </c>
      <c r="AR303" s="143"/>
      <c r="AS303" s="144">
        <v>0.9949843205809499</v>
      </c>
      <c r="AT303" s="144">
        <v>-0.021184320580949878</v>
      </c>
      <c r="AU303" s="146" t="s">
        <v>1525</v>
      </c>
      <c r="AV303" s="146" t="s">
        <v>1525</v>
      </c>
      <c r="AW303" s="148" t="s">
        <v>1525</v>
      </c>
      <c r="AX303" s="151"/>
      <c r="AY303" s="105"/>
      <c r="AZ303" s="186"/>
      <c r="BA303" s="186"/>
      <c r="BB303" s="146"/>
      <c r="BC303" s="155"/>
      <c r="BD303" s="155"/>
      <c r="BE303" s="155"/>
      <c r="BF303" s="45"/>
    </row>
    <row r="304" ht="16.5" customHeight="1">
      <c r="A304" s="111">
        <v>301.0</v>
      </c>
      <c r="B304" s="112" t="s">
        <v>761</v>
      </c>
      <c r="C304" s="115" t="s">
        <v>60</v>
      </c>
      <c r="D304" s="117">
        <v>42097.0</v>
      </c>
      <c r="E304" s="117">
        <v>42301.0</v>
      </c>
      <c r="F304" s="79" t="s">
        <v>90</v>
      </c>
      <c r="G304" s="118">
        <v>17865.0</v>
      </c>
      <c r="H304" s="114">
        <v>87.1</v>
      </c>
      <c r="I304" s="120">
        <v>392.0</v>
      </c>
      <c r="J304" s="111" t="s">
        <v>62</v>
      </c>
      <c r="K304" s="121">
        <v>392.0</v>
      </c>
      <c r="L304" s="120" t="s">
        <v>63</v>
      </c>
      <c r="M304" s="120"/>
      <c r="N304" s="120"/>
      <c r="O304" s="124">
        <v>17865.0</v>
      </c>
      <c r="P304" s="124">
        <v>205.0</v>
      </c>
      <c r="Q304" s="111">
        <v>235.0</v>
      </c>
      <c r="R304" s="125">
        <v>408.0</v>
      </c>
      <c r="S304" s="126">
        <v>0.9608</v>
      </c>
      <c r="T304" s="127">
        <v>74462.0</v>
      </c>
      <c r="U304" s="128">
        <f t="shared" si="2"/>
        <v>0</v>
      </c>
      <c r="V304" s="79" t="s">
        <v>65</v>
      </c>
      <c r="W304" s="79" t="s">
        <v>64</v>
      </c>
      <c r="X304" s="79" t="s">
        <v>68</v>
      </c>
      <c r="Y304" s="130">
        <v>0.7</v>
      </c>
      <c r="Z304" s="111">
        <v>11.0</v>
      </c>
      <c r="AA304" s="111">
        <v>406.0</v>
      </c>
      <c r="AB304" s="111" t="s">
        <v>62</v>
      </c>
      <c r="AC304" s="133"/>
      <c r="AD304" s="133"/>
      <c r="AE304" s="133"/>
      <c r="AF304" s="111"/>
      <c r="AG304" s="134" t="s">
        <v>763</v>
      </c>
      <c r="AH304" s="73"/>
      <c r="AI304" s="135"/>
      <c r="AJ304" s="136"/>
      <c r="AK304" s="76"/>
      <c r="AL304" s="137"/>
      <c r="AM304" s="139">
        <v>406.0</v>
      </c>
      <c r="AN304" s="139">
        <v>205.0</v>
      </c>
      <c r="AO304" s="140">
        <v>55.26</v>
      </c>
      <c r="AP304" s="142">
        <v>17865.0</v>
      </c>
      <c r="AQ304" s="142">
        <v>235.0</v>
      </c>
      <c r="AR304" s="143"/>
      <c r="AS304" s="144">
        <v>0.9745650380345893</v>
      </c>
      <c r="AT304" s="144">
        <v>-0.013765038034589283</v>
      </c>
      <c r="AU304" s="146" t="s">
        <v>1531</v>
      </c>
      <c r="AV304" s="146" t="s">
        <v>1531</v>
      </c>
      <c r="AW304" s="148" t="s">
        <v>1531</v>
      </c>
      <c r="AX304" s="151"/>
      <c r="AY304" s="105"/>
      <c r="AZ304" s="186"/>
      <c r="BA304" s="186"/>
      <c r="BB304" s="146"/>
      <c r="BC304" s="155"/>
      <c r="BD304" s="155"/>
      <c r="BE304" s="155"/>
      <c r="BF304" s="45"/>
    </row>
    <row r="305" ht="16.5" customHeight="1">
      <c r="A305" s="111">
        <v>302.0</v>
      </c>
      <c r="B305" s="112" t="s">
        <v>761</v>
      </c>
      <c r="C305" s="115" t="s">
        <v>60</v>
      </c>
      <c r="D305" s="117">
        <v>42097.0</v>
      </c>
      <c r="E305" s="117">
        <v>42301.0</v>
      </c>
      <c r="F305" s="79" t="s">
        <v>90</v>
      </c>
      <c r="G305" s="118">
        <v>17968.0</v>
      </c>
      <c r="H305" s="114">
        <v>87.6</v>
      </c>
      <c r="I305" s="120">
        <v>392.0</v>
      </c>
      <c r="J305" s="111" t="s">
        <v>62</v>
      </c>
      <c r="K305" s="121">
        <v>392.0</v>
      </c>
      <c r="L305" s="120" t="s">
        <v>63</v>
      </c>
      <c r="M305" s="120"/>
      <c r="N305" s="120"/>
      <c r="O305" s="124">
        <v>17968.0</v>
      </c>
      <c r="P305" s="124">
        <v>205.0</v>
      </c>
      <c r="Q305" s="111">
        <v>235.0</v>
      </c>
      <c r="R305" s="125">
        <v>408.0</v>
      </c>
      <c r="S305" s="126">
        <v>0.9608</v>
      </c>
      <c r="T305" s="127">
        <v>74462.0</v>
      </c>
      <c r="U305" s="128">
        <f t="shared" si="2"/>
        <v>0</v>
      </c>
      <c r="V305" s="79" t="s">
        <v>65</v>
      </c>
      <c r="W305" s="79" t="s">
        <v>64</v>
      </c>
      <c r="X305" s="79" t="s">
        <v>68</v>
      </c>
      <c r="Y305" s="130">
        <v>0.7</v>
      </c>
      <c r="Z305" s="111">
        <v>11.0</v>
      </c>
      <c r="AA305" s="111">
        <v>406.0</v>
      </c>
      <c r="AB305" s="111" t="s">
        <v>62</v>
      </c>
      <c r="AC305" s="111">
        <v>392.0</v>
      </c>
      <c r="AD305" s="111">
        <v>39.0</v>
      </c>
      <c r="AE305" s="111">
        <v>65.7</v>
      </c>
      <c r="AF305" s="111" t="s">
        <v>62</v>
      </c>
      <c r="AG305" s="134" t="s">
        <v>763</v>
      </c>
      <c r="AH305" s="73">
        <v>353.0</v>
      </c>
      <c r="AI305" s="135">
        <v>353.0</v>
      </c>
      <c r="AJ305" s="136">
        <v>72.9586402266289</v>
      </c>
      <c r="AK305" s="76">
        <v>0.9414018093758568</v>
      </c>
      <c r="AL305" s="137" t="s">
        <v>1534</v>
      </c>
      <c r="AM305" s="139">
        <v>406.0</v>
      </c>
      <c r="AN305" s="139">
        <v>205.0</v>
      </c>
      <c r="AO305" s="140">
        <v>55.58</v>
      </c>
      <c r="AP305" s="142">
        <v>17968.0</v>
      </c>
      <c r="AQ305" s="142">
        <v>235.0</v>
      </c>
      <c r="AR305" s="143"/>
      <c r="AS305" s="144">
        <v>0.9744659640267662</v>
      </c>
      <c r="AT305" s="144">
        <v>-0.01366596402676623</v>
      </c>
      <c r="AU305" s="146" t="s">
        <v>1535</v>
      </c>
      <c r="AV305" s="146" t="s">
        <v>1535</v>
      </c>
      <c r="AW305" s="148" t="s">
        <v>1535</v>
      </c>
      <c r="AX305" s="151"/>
      <c r="AY305" s="105"/>
      <c r="AZ305" s="186"/>
      <c r="BA305" s="186"/>
      <c r="BB305" s="146"/>
      <c r="BC305" s="155"/>
      <c r="BD305" s="155"/>
      <c r="BE305" s="155"/>
      <c r="BF305" s="45"/>
    </row>
    <row r="306" ht="16.5" customHeight="1">
      <c r="A306" s="111">
        <v>303.0</v>
      </c>
      <c r="B306" s="112" t="s">
        <v>761</v>
      </c>
      <c r="C306" s="115" t="s">
        <v>60</v>
      </c>
      <c r="D306" s="117">
        <v>42097.0</v>
      </c>
      <c r="E306" s="117">
        <v>42301.0</v>
      </c>
      <c r="F306" s="79" t="s">
        <v>90</v>
      </c>
      <c r="G306" s="118">
        <v>18278.0</v>
      </c>
      <c r="H306" s="114">
        <v>89.2</v>
      </c>
      <c r="I306" s="120">
        <v>393.0</v>
      </c>
      <c r="J306" s="111" t="s">
        <v>62</v>
      </c>
      <c r="K306" s="121">
        <v>393.0</v>
      </c>
      <c r="L306" s="120" t="s">
        <v>63</v>
      </c>
      <c r="M306" s="120"/>
      <c r="N306" s="120"/>
      <c r="O306" s="124">
        <v>18278.0</v>
      </c>
      <c r="P306" s="124">
        <v>205.0</v>
      </c>
      <c r="Q306" s="111">
        <v>235.0</v>
      </c>
      <c r="R306" s="125">
        <v>408.0</v>
      </c>
      <c r="S306" s="126">
        <v>0.9632</v>
      </c>
      <c r="T306" s="127">
        <v>74648.0</v>
      </c>
      <c r="U306" s="128">
        <f t="shared" si="2"/>
        <v>0</v>
      </c>
      <c r="V306" s="79" t="s">
        <v>65</v>
      </c>
      <c r="W306" s="79" t="s">
        <v>64</v>
      </c>
      <c r="X306" s="79" t="s">
        <v>68</v>
      </c>
      <c r="Y306" s="130">
        <v>0.7</v>
      </c>
      <c r="Z306" s="111">
        <v>11.0</v>
      </c>
      <c r="AA306" s="111">
        <v>406.0</v>
      </c>
      <c r="AB306" s="111" t="s">
        <v>62</v>
      </c>
      <c r="AC306" s="111">
        <v>393.0</v>
      </c>
      <c r="AD306" s="111">
        <v>112.0</v>
      </c>
      <c r="AE306" s="111">
        <v>49.0</v>
      </c>
      <c r="AF306" s="111" t="s">
        <v>62</v>
      </c>
      <c r="AG306" s="134" t="s">
        <v>763</v>
      </c>
      <c r="AH306" s="73">
        <v>281.0</v>
      </c>
      <c r="AI306" s="135">
        <v>281.0</v>
      </c>
      <c r="AJ306" s="136">
        <v>68.53024911032028</v>
      </c>
      <c r="AK306" s="76">
        <v>0.8842612788428423</v>
      </c>
      <c r="AL306" s="137" t="s">
        <v>1537</v>
      </c>
      <c r="AM306" s="139">
        <v>406.0</v>
      </c>
      <c r="AN306" s="139">
        <v>205.0</v>
      </c>
      <c r="AO306" s="140">
        <v>56.47</v>
      </c>
      <c r="AP306" s="142">
        <v>18278.0</v>
      </c>
      <c r="AQ306" s="142">
        <v>235.0</v>
      </c>
      <c r="AR306" s="143"/>
      <c r="AS306" s="144">
        <v>0.9741701988230246</v>
      </c>
      <c r="AT306" s="144">
        <v>-0.010970198823024635</v>
      </c>
      <c r="AU306" s="146" t="s">
        <v>1539</v>
      </c>
      <c r="AV306" s="146" t="s">
        <v>1539</v>
      </c>
      <c r="AW306" s="148" t="s">
        <v>1539</v>
      </c>
      <c r="AX306" s="151"/>
      <c r="AY306" s="105"/>
      <c r="AZ306" s="186"/>
      <c r="BA306" s="186"/>
      <c r="BB306" s="146"/>
      <c r="BC306" s="155"/>
      <c r="BD306" s="155"/>
      <c r="BE306" s="155"/>
      <c r="BF306" s="45"/>
    </row>
    <row r="307" ht="16.5" customHeight="1">
      <c r="A307" s="111">
        <v>304.0</v>
      </c>
      <c r="B307" s="112" t="s">
        <v>477</v>
      </c>
      <c r="C307" s="115" t="s">
        <v>60</v>
      </c>
      <c r="D307" s="117">
        <v>42003.0</v>
      </c>
      <c r="E307" s="117">
        <v>42301.0</v>
      </c>
      <c r="F307" s="79" t="s">
        <v>59</v>
      </c>
      <c r="G307" s="118">
        <v>14700.0</v>
      </c>
      <c r="H307" s="114">
        <v>49.2</v>
      </c>
      <c r="I307" s="120">
        <v>389.0</v>
      </c>
      <c r="J307" s="111" t="s">
        <v>61</v>
      </c>
      <c r="K307" s="121">
        <v>393.92</v>
      </c>
      <c r="L307" s="120" t="s">
        <v>63</v>
      </c>
      <c r="M307" s="120"/>
      <c r="N307" s="120"/>
      <c r="O307" s="124">
        <v>14700.0</v>
      </c>
      <c r="P307" s="124">
        <v>299.0</v>
      </c>
      <c r="Q307" s="111">
        <v>237.0</v>
      </c>
      <c r="R307" s="125">
        <v>399.0</v>
      </c>
      <c r="S307" s="126">
        <v>0.9873</v>
      </c>
      <c r="T307" s="127">
        <v>76515.75</v>
      </c>
      <c r="U307" s="128">
        <f t="shared" si="2"/>
        <v>0</v>
      </c>
      <c r="V307" s="79" t="s">
        <v>65</v>
      </c>
      <c r="W307" s="79" t="s">
        <v>65</v>
      </c>
      <c r="X307" s="79" t="s">
        <v>69</v>
      </c>
      <c r="Y307" s="130">
        <v>0.7</v>
      </c>
      <c r="Z307" s="111">
        <v>7.4</v>
      </c>
      <c r="AA307" s="111">
        <v>394.0</v>
      </c>
      <c r="AB307" s="111" t="s">
        <v>61</v>
      </c>
      <c r="AC307" s="111">
        <v>389.0</v>
      </c>
      <c r="AD307" s="111">
        <v>52.0</v>
      </c>
      <c r="AE307" s="111">
        <v>64.1</v>
      </c>
      <c r="AF307" s="111" t="s">
        <v>62</v>
      </c>
      <c r="AG307" s="134" t="s">
        <v>1544</v>
      </c>
      <c r="AH307" s="73">
        <v>337.0</v>
      </c>
      <c r="AI307" s="135">
        <v>337.0</v>
      </c>
      <c r="AJ307" s="136">
        <v>74.92662314540058</v>
      </c>
      <c r="AK307" s="76">
        <v>0.9667951373600077</v>
      </c>
      <c r="AL307" s="137" t="s">
        <v>1545</v>
      </c>
      <c r="AM307" s="139">
        <v>399.0</v>
      </c>
      <c r="AN307" s="139">
        <v>299.0</v>
      </c>
      <c r="AO307" s="140">
        <v>45.25</v>
      </c>
      <c r="AP307" s="142">
        <v>14700.0</v>
      </c>
      <c r="AQ307" s="142">
        <v>237.0</v>
      </c>
      <c r="AR307" s="143"/>
      <c r="AS307" s="144">
        <v>0.9778162398269825</v>
      </c>
      <c r="AT307" s="144">
        <v>0.009483760173017441</v>
      </c>
      <c r="AU307" s="146" t="s">
        <v>1547</v>
      </c>
      <c r="AV307" s="146" t="s">
        <v>1547</v>
      </c>
      <c r="AW307" s="148" t="s">
        <v>1547</v>
      </c>
      <c r="AX307" s="151"/>
      <c r="AY307" s="105"/>
      <c r="AZ307" s="186"/>
      <c r="BA307" s="186"/>
      <c r="BB307" s="146"/>
      <c r="BC307" s="155"/>
      <c r="BD307" s="155"/>
      <c r="BE307" s="155"/>
      <c r="BF307" s="45"/>
    </row>
    <row r="308" ht="16.5" customHeight="1">
      <c r="A308" s="111">
        <v>305.0</v>
      </c>
      <c r="B308" s="112" t="s">
        <v>155</v>
      </c>
      <c r="C308" s="115" t="s">
        <v>60</v>
      </c>
      <c r="D308" s="117">
        <v>41601.0</v>
      </c>
      <c r="E308" s="117">
        <v>42301.0</v>
      </c>
      <c r="F308" s="79" t="s">
        <v>109</v>
      </c>
      <c r="G308" s="118">
        <v>39300.0</v>
      </c>
      <c r="H308" s="114">
        <v>56.1</v>
      </c>
      <c r="I308" s="120">
        <v>275.0</v>
      </c>
      <c r="J308" s="111" t="s">
        <v>62</v>
      </c>
      <c r="K308" s="121">
        <v>275.0</v>
      </c>
      <c r="L308" s="120" t="s">
        <v>63</v>
      </c>
      <c r="M308" s="120"/>
      <c r="N308" s="120"/>
      <c r="O308" s="124">
        <v>39300.0</v>
      </c>
      <c r="P308" s="124">
        <v>701.0</v>
      </c>
      <c r="Q308" s="111">
        <v>209.0</v>
      </c>
      <c r="R308" s="125">
        <v>289.0</v>
      </c>
      <c r="S308" s="126">
        <v>0.9516</v>
      </c>
      <c r="T308" s="127">
        <v>55668.6</v>
      </c>
      <c r="U308" s="128">
        <f t="shared" si="2"/>
        <v>0</v>
      </c>
      <c r="V308" s="79" t="s">
        <v>80</v>
      </c>
      <c r="W308" s="79" t="s">
        <v>64</v>
      </c>
      <c r="X308" s="79" t="s">
        <v>65</v>
      </c>
      <c r="Y308" s="130">
        <v>0.8</v>
      </c>
      <c r="Z308" s="111">
        <v>11.0</v>
      </c>
      <c r="AA308" s="111">
        <v>286.0</v>
      </c>
      <c r="AB308" s="111" t="s">
        <v>61</v>
      </c>
      <c r="AC308" s="133"/>
      <c r="AD308" s="133"/>
      <c r="AE308" s="133"/>
      <c r="AF308" s="111"/>
      <c r="AG308" s="147"/>
      <c r="AH308" s="73"/>
      <c r="AI308" s="135"/>
      <c r="AJ308" s="136"/>
      <c r="AK308" s="76"/>
      <c r="AL308" s="137"/>
      <c r="AM308" s="139">
        <v>290.0</v>
      </c>
      <c r="AN308" s="139">
        <v>701.0</v>
      </c>
      <c r="AO308" s="140">
        <v>143.93</v>
      </c>
      <c r="AP308" s="142">
        <v>39300.0</v>
      </c>
      <c r="AQ308" s="142">
        <v>209.0</v>
      </c>
      <c r="AR308" s="143"/>
      <c r="AS308" s="144">
        <v>0.9603233561309761</v>
      </c>
      <c r="AT308" s="144">
        <v>-0.008723356130976079</v>
      </c>
      <c r="AU308" s="146" t="s">
        <v>1548</v>
      </c>
      <c r="AV308" s="146" t="s">
        <v>1548</v>
      </c>
      <c r="AW308" s="148" t="s">
        <v>1548</v>
      </c>
      <c r="AX308" s="151"/>
      <c r="AY308" s="105"/>
      <c r="AZ308" s="186"/>
      <c r="BA308" s="186"/>
      <c r="BB308" s="146"/>
      <c r="BC308" s="155"/>
      <c r="BD308" s="155"/>
      <c r="BE308" s="155"/>
      <c r="BF308" s="45"/>
    </row>
    <row r="309" ht="16.5" customHeight="1">
      <c r="A309" s="111">
        <v>306.0</v>
      </c>
      <c r="B309" s="112" t="s">
        <v>623</v>
      </c>
      <c r="C309" s="115" t="s">
        <v>60</v>
      </c>
      <c r="D309" s="117">
        <v>41794.0</v>
      </c>
      <c r="E309" s="117">
        <v>42295.0</v>
      </c>
      <c r="F309" s="79" t="s">
        <v>59</v>
      </c>
      <c r="G309" s="118">
        <v>74631.0</v>
      </c>
      <c r="H309" s="114">
        <v>148.7</v>
      </c>
      <c r="I309" s="120">
        <v>364.0</v>
      </c>
      <c r="J309" s="111" t="s">
        <v>62</v>
      </c>
      <c r="K309" s="121">
        <v>364.0</v>
      </c>
      <c r="L309" s="120" t="s">
        <v>63</v>
      </c>
      <c r="M309" s="120"/>
      <c r="N309" s="120"/>
      <c r="O309" s="124">
        <v>74631.0</v>
      </c>
      <c r="P309" s="124">
        <v>502.0</v>
      </c>
      <c r="Q309" s="111">
        <v>186.0</v>
      </c>
      <c r="R309" s="125">
        <v>399.0</v>
      </c>
      <c r="S309" s="126">
        <v>0.9123</v>
      </c>
      <c r="T309" s="127">
        <v>70703.25</v>
      </c>
      <c r="U309" s="128">
        <f t="shared" si="2"/>
        <v>0</v>
      </c>
      <c r="V309" s="79" t="s">
        <v>67</v>
      </c>
      <c r="W309" s="79"/>
      <c r="X309" s="79" t="s">
        <v>69</v>
      </c>
      <c r="Y309" s="130">
        <v>0.9</v>
      </c>
      <c r="Z309" s="111">
        <v>9.0</v>
      </c>
      <c r="AA309" s="111">
        <v>399.0</v>
      </c>
      <c r="AB309" s="111" t="s">
        <v>62</v>
      </c>
      <c r="AC309" s="133"/>
      <c r="AD309" s="133"/>
      <c r="AE309" s="133"/>
      <c r="AF309" s="111"/>
      <c r="AG309" s="134" t="s">
        <v>1549</v>
      </c>
      <c r="AH309" s="73"/>
      <c r="AI309" s="135"/>
      <c r="AJ309" s="136"/>
      <c r="AK309" s="76"/>
      <c r="AL309" s="137"/>
      <c r="AM309" s="139">
        <v>399.0</v>
      </c>
      <c r="AN309" s="139">
        <v>502.0</v>
      </c>
      <c r="AO309" s="140">
        <v>187.35</v>
      </c>
      <c r="AP309" s="142">
        <v>74631.0</v>
      </c>
      <c r="AQ309" s="142">
        <v>186.0</v>
      </c>
      <c r="AR309" s="143"/>
      <c r="AS309" s="144">
        <v>0.9497485901598696</v>
      </c>
      <c r="AT309" s="144">
        <v>-0.037448590159869566</v>
      </c>
      <c r="AU309" s="146" t="s">
        <v>1550</v>
      </c>
      <c r="AV309" s="146" t="s">
        <v>1550</v>
      </c>
      <c r="AW309" s="148" t="s">
        <v>1550</v>
      </c>
      <c r="AX309" s="151"/>
      <c r="AY309" s="105"/>
      <c r="AZ309" s="186"/>
      <c r="BA309" s="186"/>
      <c r="BB309" s="146"/>
      <c r="BC309" s="155"/>
      <c r="BD309" s="155"/>
      <c r="BE309" s="155"/>
      <c r="BF309" s="45"/>
    </row>
    <row r="310" ht="16.5" customHeight="1">
      <c r="A310" s="111">
        <v>307.0</v>
      </c>
      <c r="B310" s="112" t="s">
        <v>1551</v>
      </c>
      <c r="C310" s="115" t="s">
        <v>60</v>
      </c>
      <c r="D310" s="117">
        <v>41796.0</v>
      </c>
      <c r="E310" s="117">
        <v>42303.0</v>
      </c>
      <c r="F310" s="79" t="s">
        <v>59</v>
      </c>
      <c r="G310" s="118">
        <v>64000.0</v>
      </c>
      <c r="H310" s="114">
        <v>126.0</v>
      </c>
      <c r="I310" s="120">
        <v>370.0</v>
      </c>
      <c r="J310" s="111" t="s">
        <v>61</v>
      </c>
      <c r="K310" s="121">
        <v>374.68</v>
      </c>
      <c r="L310" s="120" t="s">
        <v>63</v>
      </c>
      <c r="M310" s="120"/>
      <c r="N310" s="120"/>
      <c r="O310" s="124">
        <v>64000.0</v>
      </c>
      <c r="P310" s="124">
        <v>508.0</v>
      </c>
      <c r="Q310" s="111">
        <v>201.0</v>
      </c>
      <c r="R310" s="125">
        <v>399.0</v>
      </c>
      <c r="S310" s="126">
        <v>0.939</v>
      </c>
      <c r="T310" s="127">
        <v>72772.5</v>
      </c>
      <c r="U310" s="128">
        <f t="shared" si="2"/>
        <v>0</v>
      </c>
      <c r="V310" s="79" t="s">
        <v>65</v>
      </c>
      <c r="W310" s="79" t="s">
        <v>69</v>
      </c>
      <c r="X310" s="79" t="s">
        <v>66</v>
      </c>
      <c r="Y310" s="130">
        <v>0.7</v>
      </c>
      <c r="Z310" s="111" t="s">
        <v>1494</v>
      </c>
      <c r="AA310" s="111">
        <v>400.0</v>
      </c>
      <c r="AB310" s="111" t="s">
        <v>61</v>
      </c>
      <c r="AC310" s="133"/>
      <c r="AD310" s="133"/>
      <c r="AE310" s="133"/>
      <c r="AF310" s="111"/>
      <c r="AG310" s="147"/>
      <c r="AH310" s="73"/>
      <c r="AI310" s="135"/>
      <c r="AJ310" s="136"/>
      <c r="AK310" s="76"/>
      <c r="AL310" s="137"/>
      <c r="AM310" s="139">
        <v>405.0</v>
      </c>
      <c r="AN310" s="139">
        <v>508.0</v>
      </c>
      <c r="AO310" s="140">
        <v>171.23</v>
      </c>
      <c r="AP310" s="142">
        <v>64000.0</v>
      </c>
      <c r="AQ310" s="142">
        <v>201.0</v>
      </c>
      <c r="AR310" s="143"/>
      <c r="AS310" s="144">
        <v>0.9521764728413172</v>
      </c>
      <c r="AT310" s="144">
        <v>-0.013176472841317288</v>
      </c>
      <c r="AU310" s="146" t="s">
        <v>1552</v>
      </c>
      <c r="AV310" s="146" t="s">
        <v>1552</v>
      </c>
      <c r="AW310" s="148" t="s">
        <v>1552</v>
      </c>
      <c r="AX310" s="151"/>
      <c r="AY310" s="105"/>
      <c r="AZ310" s="186"/>
      <c r="BA310" s="186"/>
      <c r="BB310" s="146"/>
      <c r="BC310" s="155"/>
      <c r="BD310" s="155"/>
      <c r="BE310" s="155"/>
      <c r="BF310" s="45"/>
    </row>
    <row r="311" ht="16.5" customHeight="1">
      <c r="A311" s="111">
        <v>308.0</v>
      </c>
      <c r="B311" s="112" t="s">
        <v>1454</v>
      </c>
      <c r="C311" s="115" t="s">
        <v>60</v>
      </c>
      <c r="D311" s="117">
        <v>42266.0</v>
      </c>
      <c r="E311" s="117">
        <v>42303.0</v>
      </c>
      <c r="F311" s="79" t="s">
        <v>118</v>
      </c>
      <c r="G311" s="118">
        <v>2787.0</v>
      </c>
      <c r="H311" s="114">
        <v>73.3</v>
      </c>
      <c r="I311" s="120">
        <v>360.0</v>
      </c>
      <c r="J311" s="111" t="s">
        <v>61</v>
      </c>
      <c r="K311" s="121">
        <v>364.56</v>
      </c>
      <c r="L311" s="120" t="s">
        <v>63</v>
      </c>
      <c r="M311" s="120"/>
      <c r="N311" s="120"/>
      <c r="O311" s="124">
        <v>2787.0</v>
      </c>
      <c r="P311" s="124">
        <v>38.0</v>
      </c>
      <c r="Q311" s="111">
        <v>209.0</v>
      </c>
      <c r="R311" s="125">
        <v>365.0</v>
      </c>
      <c r="S311" s="126">
        <v>0.9988</v>
      </c>
      <c r="T311" s="127">
        <v>68717.44</v>
      </c>
      <c r="U311" s="128">
        <f t="shared" si="2"/>
        <v>0</v>
      </c>
      <c r="V311" s="79" t="s">
        <v>65</v>
      </c>
      <c r="W311" s="79" t="s">
        <v>64</v>
      </c>
      <c r="X311" s="79" t="s">
        <v>68</v>
      </c>
      <c r="Y311" s="130">
        <v>0.9</v>
      </c>
      <c r="Z311" s="111">
        <v>11.0</v>
      </c>
      <c r="AA311" s="111">
        <v>360.0</v>
      </c>
      <c r="AB311" s="111" t="s">
        <v>61</v>
      </c>
      <c r="AC311" s="133"/>
      <c r="AD311" s="133"/>
      <c r="AE311" s="133"/>
      <c r="AF311" s="111"/>
      <c r="AG311" s="147"/>
      <c r="AH311" s="73"/>
      <c r="AI311" s="135"/>
      <c r="AJ311" s="136"/>
      <c r="AK311" s="76"/>
      <c r="AL311" s="137"/>
      <c r="AM311" s="139">
        <v>365.0</v>
      </c>
      <c r="AN311" s="139">
        <v>38.0</v>
      </c>
      <c r="AO311" s="140">
        <v>8.47</v>
      </c>
      <c r="AP311" s="142">
        <v>2787.0</v>
      </c>
      <c r="AQ311" s="142">
        <v>209.0</v>
      </c>
      <c r="AR311" s="143"/>
      <c r="AS311" s="144">
        <v>0.9946661692984096</v>
      </c>
      <c r="AT311" s="144">
        <v>0.004133830701590457</v>
      </c>
      <c r="AU311" s="146" t="s">
        <v>1553</v>
      </c>
      <c r="AV311" s="146" t="s">
        <v>1553</v>
      </c>
      <c r="AW311" s="148" t="s">
        <v>1553</v>
      </c>
      <c r="AX311" s="151"/>
      <c r="AY311" s="105"/>
      <c r="AZ311" s="186"/>
      <c r="BA311" s="186"/>
      <c r="BB311" s="146"/>
      <c r="BC311" s="155"/>
      <c r="BD311" s="155"/>
      <c r="BE311" s="155"/>
      <c r="BF311" s="45"/>
    </row>
    <row r="312" ht="16.5" customHeight="1">
      <c r="A312" s="111">
        <v>309.0</v>
      </c>
      <c r="B312" s="112" t="s">
        <v>1554</v>
      </c>
      <c r="C312" s="115" t="s">
        <v>60</v>
      </c>
      <c r="D312" s="117">
        <v>41530.0</v>
      </c>
      <c r="E312" s="117">
        <v>42304.0</v>
      </c>
      <c r="F312" s="79" t="s">
        <v>79</v>
      </c>
      <c r="G312" s="118">
        <v>64908.0</v>
      </c>
      <c r="H312" s="114">
        <v>83.8</v>
      </c>
      <c r="I312" s="120">
        <v>388.0</v>
      </c>
      <c r="J312" s="111" t="s">
        <v>61</v>
      </c>
      <c r="K312" s="121">
        <v>392.91</v>
      </c>
      <c r="L312" s="120" t="s">
        <v>63</v>
      </c>
      <c r="M312" s="120"/>
      <c r="N312" s="120"/>
      <c r="O312" s="124">
        <v>64908.0</v>
      </c>
      <c r="P312" s="124">
        <v>775.0</v>
      </c>
      <c r="Q312" s="111">
        <v>224.0</v>
      </c>
      <c r="R312" s="125">
        <v>399.0</v>
      </c>
      <c r="S312" s="126">
        <v>0.9847</v>
      </c>
      <c r="T312" s="127">
        <v>76314.25</v>
      </c>
      <c r="U312" s="128">
        <f t="shared" si="2"/>
        <v>0</v>
      </c>
      <c r="V312" s="79" t="s">
        <v>65</v>
      </c>
      <c r="W312" s="79" t="s">
        <v>64</v>
      </c>
      <c r="X312" s="79" t="s">
        <v>68</v>
      </c>
      <c r="Y312" s="130">
        <v>0.9</v>
      </c>
      <c r="Z312" s="111">
        <v>3.0</v>
      </c>
      <c r="AA312" s="111">
        <v>408.0</v>
      </c>
      <c r="AB312" s="111" t="s">
        <v>61</v>
      </c>
      <c r="AC312" s="133"/>
      <c r="AD312" s="133"/>
      <c r="AE312" s="133"/>
      <c r="AF312" s="111"/>
      <c r="AG312" s="134" t="s">
        <v>1555</v>
      </c>
      <c r="AH312" s="73"/>
      <c r="AI312" s="135"/>
      <c r="AJ312" s="136"/>
      <c r="AK312" s="76"/>
      <c r="AL312" s="137"/>
      <c r="AM312" s="139">
        <v>413.0</v>
      </c>
      <c r="AN312" s="139">
        <v>775.0</v>
      </c>
      <c r="AO312" s="140">
        <v>189.08</v>
      </c>
      <c r="AP312" s="142">
        <v>64908.0</v>
      </c>
      <c r="AQ312" s="142">
        <v>224.0</v>
      </c>
      <c r="AR312" s="143"/>
      <c r="AS312" s="144">
        <v>0.9519530913306844</v>
      </c>
      <c r="AT312" s="144">
        <v>0.03274690866931562</v>
      </c>
      <c r="AU312" s="146" t="s">
        <v>1556</v>
      </c>
      <c r="AV312" s="146" t="s">
        <v>1556</v>
      </c>
      <c r="AW312" s="148" t="s">
        <v>1556</v>
      </c>
      <c r="AX312" s="151"/>
      <c r="AY312" s="105"/>
      <c r="AZ312" s="186"/>
      <c r="BA312" s="186"/>
      <c r="BB312" s="146"/>
      <c r="BC312" s="155"/>
      <c r="BD312" s="155"/>
      <c r="BE312" s="155"/>
      <c r="BF312" s="45"/>
    </row>
    <row r="313" ht="16.5" customHeight="1">
      <c r="A313" s="111">
        <v>310.0</v>
      </c>
      <c r="B313" s="112" t="s">
        <v>1558</v>
      </c>
      <c r="C313" s="115" t="s">
        <v>60</v>
      </c>
      <c r="D313" s="117">
        <v>41644.0</v>
      </c>
      <c r="E313" s="117">
        <v>42295.0</v>
      </c>
      <c r="F313" s="79" t="s">
        <v>59</v>
      </c>
      <c r="G313" s="118">
        <v>57000.0</v>
      </c>
      <c r="H313" s="114">
        <v>87.4</v>
      </c>
      <c r="I313" s="120">
        <v>379.0</v>
      </c>
      <c r="J313" s="111" t="s">
        <v>62</v>
      </c>
      <c r="K313" s="121">
        <v>379.0</v>
      </c>
      <c r="L313" s="120" t="s">
        <v>63</v>
      </c>
      <c r="M313" s="120"/>
      <c r="N313" s="120"/>
      <c r="O313" s="124">
        <v>57000.0</v>
      </c>
      <c r="P313" s="124">
        <v>652.0</v>
      </c>
      <c r="Q313" s="111">
        <v>197.0</v>
      </c>
      <c r="R313" s="125">
        <v>399.0</v>
      </c>
      <c r="S313" s="126">
        <v>0.9499</v>
      </c>
      <c r="T313" s="127">
        <v>73617.25</v>
      </c>
      <c r="U313" s="128">
        <f t="shared" si="2"/>
        <v>0</v>
      </c>
      <c r="V313" s="79" t="s">
        <v>64</v>
      </c>
      <c r="W313" s="79" t="s">
        <v>69</v>
      </c>
      <c r="X313" s="79" t="s">
        <v>66</v>
      </c>
      <c r="Y313" s="130">
        <v>0.8</v>
      </c>
      <c r="Z313" s="111">
        <v>2.0</v>
      </c>
      <c r="AA313" s="133"/>
      <c r="AB313" s="133"/>
      <c r="AC313" s="133"/>
      <c r="AD313" s="133"/>
      <c r="AE313" s="133"/>
      <c r="AF313" s="111"/>
      <c r="AG313" s="147"/>
      <c r="AH313" s="73"/>
      <c r="AI313" s="135"/>
      <c r="AJ313" s="136"/>
      <c r="AK313" s="76"/>
      <c r="AL313" s="137"/>
      <c r="AM313" s="139" t="s">
        <v>71</v>
      </c>
      <c r="AN313" s="139">
        <v>652.0</v>
      </c>
      <c r="AO313" s="140">
        <v>148.64</v>
      </c>
      <c r="AP313" s="142">
        <v>57000.0</v>
      </c>
      <c r="AQ313" s="142">
        <v>197.0</v>
      </c>
      <c r="AR313" s="143"/>
      <c r="AS313" s="144">
        <v>0.9540307011061924</v>
      </c>
      <c r="AT313" s="144">
        <v>-0.004130701106192403</v>
      </c>
      <c r="AU313" s="146" t="s">
        <v>1559</v>
      </c>
      <c r="AV313" s="146" t="s">
        <v>1559</v>
      </c>
      <c r="AW313" s="148" t="s">
        <v>1559</v>
      </c>
      <c r="AX313" s="151"/>
      <c r="AY313" s="105"/>
      <c r="AZ313" s="186"/>
      <c r="BA313" s="186"/>
      <c r="BB313" s="146"/>
      <c r="BC313" s="155"/>
      <c r="BD313" s="155"/>
      <c r="BE313" s="155"/>
      <c r="BF313" s="45"/>
    </row>
    <row r="314" ht="16.5" customHeight="1">
      <c r="A314" s="111">
        <v>311.0</v>
      </c>
      <c r="B314" s="112" t="s">
        <v>1560</v>
      </c>
      <c r="C314" s="115" t="s">
        <v>60</v>
      </c>
      <c r="D314" s="157">
        <v>41986.0</v>
      </c>
      <c r="E314" s="117">
        <v>42298.0</v>
      </c>
      <c r="F314" s="79" t="s">
        <v>59</v>
      </c>
      <c r="G314" s="118">
        <v>19308.0</v>
      </c>
      <c r="H314" s="114">
        <v>61.7</v>
      </c>
      <c r="I314" s="120">
        <v>380.0</v>
      </c>
      <c r="J314" s="111" t="s">
        <v>61</v>
      </c>
      <c r="K314" s="121">
        <v>384.81</v>
      </c>
      <c r="L314" s="120" t="s">
        <v>63</v>
      </c>
      <c r="M314" s="120"/>
      <c r="N314" s="120"/>
      <c r="O314" s="124">
        <v>19308.0</v>
      </c>
      <c r="P314" s="124">
        <v>313.0</v>
      </c>
      <c r="Q314" s="111">
        <v>228.0</v>
      </c>
      <c r="R314" s="125">
        <v>399.0</v>
      </c>
      <c r="S314" s="126">
        <v>0.9644</v>
      </c>
      <c r="T314" s="127">
        <v>74741.0</v>
      </c>
      <c r="U314" s="128">
        <f t="shared" si="2"/>
        <v>0</v>
      </c>
      <c r="V314" s="79" t="s">
        <v>69</v>
      </c>
      <c r="W314" s="79" t="s">
        <v>69</v>
      </c>
      <c r="X314" s="79" t="s">
        <v>68</v>
      </c>
      <c r="Y314" s="130">
        <v>0.9</v>
      </c>
      <c r="Z314" s="111">
        <v>22.0</v>
      </c>
      <c r="AA314" s="133"/>
      <c r="AB314" s="133"/>
      <c r="AC314" s="133"/>
      <c r="AD314" s="111"/>
      <c r="AE314" s="133"/>
      <c r="AF314" s="111"/>
      <c r="AG314" s="134" t="s">
        <v>1561</v>
      </c>
      <c r="AH314" s="73"/>
      <c r="AI314" s="135"/>
      <c r="AJ314" s="136"/>
      <c r="AK314" s="76"/>
      <c r="AL314" s="137"/>
      <c r="AM314" s="139" t="s">
        <v>71</v>
      </c>
      <c r="AN314" s="139">
        <v>313.0</v>
      </c>
      <c r="AO314" s="140">
        <v>57.85</v>
      </c>
      <c r="AP314" s="142">
        <v>19308.0</v>
      </c>
      <c r="AQ314" s="142">
        <v>228.0</v>
      </c>
      <c r="AR314" s="143"/>
      <c r="AS314" s="144">
        <v>0.9732129865664452</v>
      </c>
      <c r="AT314" s="144">
        <v>-0.008812986566445136</v>
      </c>
      <c r="AU314" s="146" t="s">
        <v>1562</v>
      </c>
      <c r="AV314" s="146" t="s">
        <v>1562</v>
      </c>
      <c r="AW314" s="148" t="s">
        <v>1562</v>
      </c>
      <c r="AX314" s="151"/>
      <c r="AY314" s="105"/>
      <c r="AZ314" s="186"/>
      <c r="BA314" s="186"/>
      <c r="BB314" s="146"/>
      <c r="BC314" s="155"/>
      <c r="BD314" s="155"/>
      <c r="BE314" s="155"/>
      <c r="BF314" s="45"/>
    </row>
    <row r="315" ht="16.5" customHeight="1">
      <c r="A315" s="111">
        <v>312.0</v>
      </c>
      <c r="B315" s="112" t="s">
        <v>1458</v>
      </c>
      <c r="C315" s="115" t="s">
        <v>60</v>
      </c>
      <c r="D315" s="117">
        <v>41614.0</v>
      </c>
      <c r="E315" s="117">
        <v>42307.0</v>
      </c>
      <c r="F315" s="79" t="s">
        <v>79</v>
      </c>
      <c r="G315" s="118">
        <v>69300.0</v>
      </c>
      <c r="H315" s="114">
        <v>99.9</v>
      </c>
      <c r="I315" s="120">
        <v>371.0</v>
      </c>
      <c r="J315" s="111" t="s">
        <v>61</v>
      </c>
      <c r="K315" s="121">
        <v>375.7</v>
      </c>
      <c r="L315" s="120" t="s">
        <v>63</v>
      </c>
      <c r="M315" s="120"/>
      <c r="N315" s="120"/>
      <c r="O315" s="124">
        <v>69300.0</v>
      </c>
      <c r="P315" s="124">
        <v>694.0</v>
      </c>
      <c r="Q315" s="111">
        <v>200.0</v>
      </c>
      <c r="R315" s="125">
        <v>399.0</v>
      </c>
      <c r="S315" s="126">
        <v>0.9416</v>
      </c>
      <c r="T315" s="127">
        <v>72974.0</v>
      </c>
      <c r="U315" s="128">
        <f t="shared" si="2"/>
        <v>0</v>
      </c>
      <c r="V315" s="79" t="s">
        <v>65</v>
      </c>
      <c r="W315" s="79" t="s">
        <v>69</v>
      </c>
      <c r="X315" s="79" t="s">
        <v>69</v>
      </c>
      <c r="Y315" s="130">
        <v>0.9</v>
      </c>
      <c r="Z315" s="111">
        <v>3.6</v>
      </c>
      <c r="AA315" s="111">
        <v>402.0</v>
      </c>
      <c r="AB315" s="111" t="s">
        <v>61</v>
      </c>
      <c r="AC315" s="133"/>
      <c r="AD315" s="133"/>
      <c r="AE315" s="133"/>
      <c r="AF315" s="111"/>
      <c r="AG315" s="147"/>
      <c r="AH315" s="73"/>
      <c r="AI315" s="135"/>
      <c r="AJ315" s="136"/>
      <c r="AK315" s="76"/>
      <c r="AL315" s="137"/>
      <c r="AM315" s="139">
        <v>407.0</v>
      </c>
      <c r="AN315" s="139">
        <v>694.0</v>
      </c>
      <c r="AO315" s="140">
        <v>184.25</v>
      </c>
      <c r="AP315" s="142">
        <v>69300.0</v>
      </c>
      <c r="AQ315" s="142">
        <v>200.0</v>
      </c>
      <c r="AR315" s="143"/>
      <c r="AS315" s="144">
        <v>0.9509182897133988</v>
      </c>
      <c r="AT315" s="144">
        <v>-0.009318289713398764</v>
      </c>
      <c r="AU315" s="146" t="s">
        <v>1565</v>
      </c>
      <c r="AV315" s="146" t="s">
        <v>1565</v>
      </c>
      <c r="AW315" s="148" t="s">
        <v>1565</v>
      </c>
      <c r="AX315" s="151"/>
      <c r="AY315" s="105"/>
      <c r="AZ315" s="186"/>
      <c r="BA315" s="186"/>
      <c r="BB315" s="146"/>
      <c r="BC315" s="155"/>
      <c r="BD315" s="155"/>
      <c r="BE315" s="155"/>
      <c r="BF315" s="45"/>
    </row>
    <row r="316" ht="16.5" customHeight="1">
      <c r="A316" s="111">
        <v>313.0</v>
      </c>
      <c r="B316" s="112" t="s">
        <v>1454</v>
      </c>
      <c r="C316" s="115" t="s">
        <v>60</v>
      </c>
      <c r="D316" s="117">
        <v>42266.0</v>
      </c>
      <c r="E316" s="117">
        <v>42311.0</v>
      </c>
      <c r="F316" s="79" t="s">
        <v>118</v>
      </c>
      <c r="G316" s="118">
        <v>3567.0</v>
      </c>
      <c r="H316" s="114">
        <v>77.5</v>
      </c>
      <c r="I316" s="120">
        <v>366.0</v>
      </c>
      <c r="J316" s="111" t="s">
        <v>61</v>
      </c>
      <c r="K316" s="121">
        <v>370.63</v>
      </c>
      <c r="L316" s="120" t="s">
        <v>63</v>
      </c>
      <c r="M316" s="120"/>
      <c r="N316" s="120"/>
      <c r="O316" s="124">
        <v>3567.0</v>
      </c>
      <c r="P316" s="124">
        <v>46.0</v>
      </c>
      <c r="Q316" s="111">
        <v>202.0</v>
      </c>
      <c r="R316" s="125">
        <v>365.0</v>
      </c>
      <c r="S316" s="126">
        <v>1.0154</v>
      </c>
      <c r="T316" s="127">
        <v>69859.52</v>
      </c>
      <c r="U316" s="128">
        <f t="shared" si="2"/>
        <v>0</v>
      </c>
      <c r="V316" s="79" t="s">
        <v>65</v>
      </c>
      <c r="W316" s="79" t="s">
        <v>69</v>
      </c>
      <c r="X316" s="79" t="s">
        <v>68</v>
      </c>
      <c r="Y316" s="130">
        <v>0.9</v>
      </c>
      <c r="Z316" s="111">
        <v>16.0</v>
      </c>
      <c r="AA316" s="111">
        <v>360.0</v>
      </c>
      <c r="AB316" s="111" t="s">
        <v>61</v>
      </c>
      <c r="AC316" s="133"/>
      <c r="AD316" s="133"/>
      <c r="AE316" s="133"/>
      <c r="AF316" s="111"/>
      <c r="AG316" s="147"/>
      <c r="AH316" s="73"/>
      <c r="AI316" s="135"/>
      <c r="AJ316" s="136"/>
      <c r="AK316" s="76"/>
      <c r="AL316" s="137"/>
      <c r="AM316" s="139">
        <v>365.0</v>
      </c>
      <c r="AN316" s="139">
        <v>46.0</v>
      </c>
      <c r="AO316" s="140">
        <v>10.39</v>
      </c>
      <c r="AP316" s="142">
        <v>3567.0</v>
      </c>
      <c r="AQ316" s="142">
        <v>202.0</v>
      </c>
      <c r="AR316" s="143"/>
      <c r="AS316" s="144">
        <v>0.993284830436313</v>
      </c>
      <c r="AT316" s="144">
        <v>0.022115169563687087</v>
      </c>
      <c r="AU316" s="146" t="s">
        <v>1572</v>
      </c>
      <c r="AV316" s="146" t="s">
        <v>1572</v>
      </c>
      <c r="AW316" s="148" t="s">
        <v>1572</v>
      </c>
      <c r="AX316" s="151"/>
      <c r="AY316" s="105"/>
      <c r="AZ316" s="186"/>
      <c r="BA316" s="186"/>
      <c r="BB316" s="146"/>
      <c r="BC316" s="155"/>
      <c r="BD316" s="155"/>
      <c r="BE316" s="155"/>
      <c r="BF316" s="45"/>
    </row>
    <row r="317" ht="16.5" customHeight="1">
      <c r="A317" s="111">
        <v>314.0</v>
      </c>
      <c r="B317" s="112" t="s">
        <v>1336</v>
      </c>
      <c r="C317" s="115" t="s">
        <v>60</v>
      </c>
      <c r="D317" s="117">
        <v>42137.0</v>
      </c>
      <c r="E317" s="117">
        <v>42313.0</v>
      </c>
      <c r="F317" s="79" t="s">
        <v>59</v>
      </c>
      <c r="G317" s="118">
        <v>16840.0</v>
      </c>
      <c r="H317" s="114">
        <v>95.1</v>
      </c>
      <c r="I317" s="120">
        <v>385.0</v>
      </c>
      <c r="J317" s="111" t="s">
        <v>61</v>
      </c>
      <c r="K317" s="121">
        <v>389.87</v>
      </c>
      <c r="L317" s="120" t="s">
        <v>63</v>
      </c>
      <c r="M317" s="120"/>
      <c r="N317" s="120"/>
      <c r="O317" s="124">
        <v>16840.0</v>
      </c>
      <c r="P317" s="124">
        <v>177.0</v>
      </c>
      <c r="Q317" s="111">
        <v>204.0</v>
      </c>
      <c r="R317" s="125">
        <v>399.0</v>
      </c>
      <c r="S317" s="126">
        <v>0.9771</v>
      </c>
      <c r="T317" s="127">
        <v>75725.25</v>
      </c>
      <c r="U317" s="128">
        <f t="shared" si="2"/>
        <v>0</v>
      </c>
      <c r="V317" s="79" t="s">
        <v>69</v>
      </c>
      <c r="W317" s="79" t="s">
        <v>69</v>
      </c>
      <c r="X317" s="79" t="s">
        <v>66</v>
      </c>
      <c r="Y317" s="130">
        <v>0.8</v>
      </c>
      <c r="Z317" s="111">
        <v>11.0</v>
      </c>
      <c r="AA317" s="133"/>
      <c r="AB317" s="133"/>
      <c r="AC317" s="111"/>
      <c r="AD317" s="111"/>
      <c r="AE317" s="133"/>
      <c r="AF317" s="111"/>
      <c r="AG317" s="134" t="s">
        <v>1561</v>
      </c>
      <c r="AH317" s="73"/>
      <c r="AI317" s="135"/>
      <c r="AJ317" s="136"/>
      <c r="AK317" s="76"/>
      <c r="AL317" s="137"/>
      <c r="AM317" s="139" t="s">
        <v>71</v>
      </c>
      <c r="AN317" s="139">
        <v>177.0</v>
      </c>
      <c r="AO317" s="140">
        <v>44.85</v>
      </c>
      <c r="AP317" s="142">
        <v>16840.0</v>
      </c>
      <c r="AQ317" s="142">
        <v>204.0</v>
      </c>
      <c r="AR317" s="143"/>
      <c r="AS317" s="144">
        <v>0.9755733121798537</v>
      </c>
      <c r="AT317" s="144">
        <v>0.0015266878201463108</v>
      </c>
      <c r="AU317" s="146" t="s">
        <v>1575</v>
      </c>
      <c r="AV317" s="146" t="s">
        <v>1575</v>
      </c>
      <c r="AW317" s="148" t="s">
        <v>1575</v>
      </c>
      <c r="AX317" s="151"/>
      <c r="AY317" s="105"/>
      <c r="AZ317" s="186"/>
      <c r="BA317" s="186"/>
      <c r="BB317" s="146"/>
      <c r="BC317" s="155"/>
      <c r="BD317" s="155"/>
      <c r="BE317" s="155"/>
      <c r="BF317" s="45"/>
    </row>
    <row r="318" ht="16.5" customHeight="1">
      <c r="A318" s="111">
        <v>315.0</v>
      </c>
      <c r="B318" s="112" t="s">
        <v>1454</v>
      </c>
      <c r="C318" s="115" t="s">
        <v>60</v>
      </c>
      <c r="D318" s="117">
        <v>42266.0</v>
      </c>
      <c r="E318" s="117">
        <v>42313.0</v>
      </c>
      <c r="F318" s="79" t="s">
        <v>118</v>
      </c>
      <c r="G318" s="118">
        <v>3700.0</v>
      </c>
      <c r="H318" s="114">
        <v>77.1</v>
      </c>
      <c r="I318" s="120">
        <v>352.0</v>
      </c>
      <c r="J318" s="111" t="s">
        <v>61</v>
      </c>
      <c r="K318" s="121">
        <v>356.46</v>
      </c>
      <c r="L318" s="120" t="s">
        <v>63</v>
      </c>
      <c r="M318" s="120"/>
      <c r="N318" s="120"/>
      <c r="O318" s="124">
        <v>3700.0</v>
      </c>
      <c r="P318" s="124">
        <v>48.0</v>
      </c>
      <c r="Q318" s="111">
        <v>205.0</v>
      </c>
      <c r="R318" s="125">
        <v>365.0</v>
      </c>
      <c r="S318" s="126">
        <v>0.9766</v>
      </c>
      <c r="T318" s="127">
        <v>67190.08</v>
      </c>
      <c r="U318" s="128">
        <f t="shared" si="2"/>
        <v>0</v>
      </c>
      <c r="V318" s="79" t="s">
        <v>65</v>
      </c>
      <c r="W318" s="79" t="s">
        <v>69</v>
      </c>
      <c r="X318" s="79" t="s">
        <v>68</v>
      </c>
      <c r="Y318" s="130">
        <v>0.9</v>
      </c>
      <c r="Z318" s="111">
        <v>16.0</v>
      </c>
      <c r="AA318" s="111">
        <v>360.0</v>
      </c>
      <c r="AB318" s="111" t="s">
        <v>61</v>
      </c>
      <c r="AC318" s="133"/>
      <c r="AD318" s="133"/>
      <c r="AE318" s="133"/>
      <c r="AF318" s="111"/>
      <c r="AG318" s="147"/>
      <c r="AH318" s="73"/>
      <c r="AI318" s="135"/>
      <c r="AJ318" s="136"/>
      <c r="AK318" s="76"/>
      <c r="AL318" s="137"/>
      <c r="AM318" s="139">
        <v>365.0</v>
      </c>
      <c r="AN318" s="139">
        <v>48.0</v>
      </c>
      <c r="AO318" s="140">
        <v>11.16</v>
      </c>
      <c r="AP318" s="142">
        <v>3700.0</v>
      </c>
      <c r="AQ318" s="142">
        <v>205.0</v>
      </c>
      <c r="AR318" s="143"/>
      <c r="AS318" s="144">
        <v>0.9930538806583602</v>
      </c>
      <c r="AT318" s="144">
        <v>-0.016453880658360176</v>
      </c>
      <c r="AU318" s="146" t="s">
        <v>1576</v>
      </c>
      <c r="AV318" s="146" t="s">
        <v>1576</v>
      </c>
      <c r="AW318" s="148" t="s">
        <v>1576</v>
      </c>
      <c r="AX318" s="151"/>
      <c r="AY318" s="105"/>
      <c r="AZ318" s="186"/>
      <c r="BA318" s="186"/>
      <c r="BB318" s="146"/>
      <c r="BC318" s="155"/>
      <c r="BD318" s="155"/>
      <c r="BE318" s="155"/>
      <c r="BF318" s="45"/>
    </row>
    <row r="319" ht="16.5" customHeight="1">
      <c r="A319" s="111">
        <v>316.0</v>
      </c>
      <c r="B319" s="112" t="s">
        <v>761</v>
      </c>
      <c r="C319" s="115" t="s">
        <v>60</v>
      </c>
      <c r="D319" s="117">
        <v>42097.0</v>
      </c>
      <c r="E319" s="117">
        <v>42314.0</v>
      </c>
      <c r="F319" s="79" t="s">
        <v>90</v>
      </c>
      <c r="G319" s="118">
        <v>19091.0</v>
      </c>
      <c r="H319" s="114">
        <v>87.6</v>
      </c>
      <c r="I319" s="120">
        <v>390.0</v>
      </c>
      <c r="J319" s="111" t="s">
        <v>62</v>
      </c>
      <c r="K319" s="121">
        <v>390.0</v>
      </c>
      <c r="L319" s="120" t="s">
        <v>63</v>
      </c>
      <c r="M319" s="120"/>
      <c r="N319" s="120"/>
      <c r="O319" s="124">
        <v>19091.0</v>
      </c>
      <c r="P319" s="124">
        <v>218.0</v>
      </c>
      <c r="Q319" s="111">
        <v>235.0</v>
      </c>
      <c r="R319" s="125">
        <v>408.0</v>
      </c>
      <c r="S319" s="126">
        <v>0.9559</v>
      </c>
      <c r="T319" s="127">
        <v>74082.25</v>
      </c>
      <c r="U319" s="128">
        <f t="shared" si="2"/>
        <v>0</v>
      </c>
      <c r="V319" s="79" t="s">
        <v>65</v>
      </c>
      <c r="W319" s="79" t="s">
        <v>64</v>
      </c>
      <c r="X319" s="79" t="s">
        <v>68</v>
      </c>
      <c r="Y319" s="130">
        <v>0.7</v>
      </c>
      <c r="Z319" s="111">
        <v>11.0</v>
      </c>
      <c r="AA319" s="111">
        <v>406.0</v>
      </c>
      <c r="AB319" s="111" t="s">
        <v>62</v>
      </c>
      <c r="AC319" s="120">
        <v>390.0</v>
      </c>
      <c r="AD319" s="111">
        <v>85.0</v>
      </c>
      <c r="AE319" s="111">
        <v>57.7</v>
      </c>
      <c r="AF319" s="111" t="s">
        <v>62</v>
      </c>
      <c r="AG319" s="134" t="s">
        <v>763</v>
      </c>
      <c r="AH319" s="73">
        <v>305.0</v>
      </c>
      <c r="AI319" s="135">
        <v>305.0</v>
      </c>
      <c r="AJ319" s="136">
        <v>73.78032786885245</v>
      </c>
      <c r="AK319" s="76">
        <v>0.9520042305658382</v>
      </c>
      <c r="AL319" s="137" t="s">
        <v>1578</v>
      </c>
      <c r="AM319" s="139">
        <v>406.0</v>
      </c>
      <c r="AN319" s="139">
        <v>218.0</v>
      </c>
      <c r="AO319" s="140">
        <v>59.2</v>
      </c>
      <c r="AP319" s="142">
        <v>19091.0</v>
      </c>
      <c r="AQ319" s="142">
        <v>235.0</v>
      </c>
      <c r="AR319" s="143"/>
      <c r="AS319" s="144">
        <v>0.9734114504259311</v>
      </c>
      <c r="AT319" s="144">
        <v>-0.017511450425931163</v>
      </c>
      <c r="AU319" s="146" t="s">
        <v>1579</v>
      </c>
      <c r="AV319" s="146" t="s">
        <v>1579</v>
      </c>
      <c r="AW319" s="148" t="s">
        <v>1579</v>
      </c>
      <c r="AX319" s="151"/>
      <c r="AY319" s="105"/>
      <c r="AZ319" s="186"/>
      <c r="BA319" s="186"/>
      <c r="BB319" s="146"/>
      <c r="BC319" s="155"/>
      <c r="BD319" s="155"/>
      <c r="BE319" s="155"/>
      <c r="BF319" s="45"/>
    </row>
    <row r="320" ht="16.5" customHeight="1">
      <c r="A320" s="111">
        <v>317.0</v>
      </c>
      <c r="B320" s="112" t="s">
        <v>761</v>
      </c>
      <c r="C320" s="115" t="s">
        <v>60</v>
      </c>
      <c r="D320" s="117">
        <v>42097.0</v>
      </c>
      <c r="E320" s="117">
        <v>42314.0</v>
      </c>
      <c r="F320" s="79" t="s">
        <v>90</v>
      </c>
      <c r="G320" s="118">
        <v>19321.0</v>
      </c>
      <c r="H320" s="114">
        <v>88.6</v>
      </c>
      <c r="I320" s="120">
        <v>391.0</v>
      </c>
      <c r="J320" s="111" t="s">
        <v>62</v>
      </c>
      <c r="K320" s="121">
        <v>391.0</v>
      </c>
      <c r="L320" s="120" t="s">
        <v>63</v>
      </c>
      <c r="M320" s="120"/>
      <c r="N320" s="120"/>
      <c r="O320" s="124">
        <v>19321.0</v>
      </c>
      <c r="P320" s="124">
        <v>218.0</v>
      </c>
      <c r="Q320" s="111">
        <v>235.0</v>
      </c>
      <c r="R320" s="125">
        <v>408.0</v>
      </c>
      <c r="S320" s="126">
        <v>0.9583</v>
      </c>
      <c r="T320" s="127">
        <v>74268.25</v>
      </c>
      <c r="U320" s="128">
        <f t="shared" si="2"/>
        <v>0</v>
      </c>
      <c r="V320" s="79" t="s">
        <v>65</v>
      </c>
      <c r="W320" s="79" t="s">
        <v>64</v>
      </c>
      <c r="X320" s="79" t="s">
        <v>68</v>
      </c>
      <c r="Y320" s="130">
        <v>0.7</v>
      </c>
      <c r="Z320" s="111">
        <v>11.0</v>
      </c>
      <c r="AA320" s="111">
        <v>406.0</v>
      </c>
      <c r="AB320" s="111" t="s">
        <v>62</v>
      </c>
      <c r="AC320" s="120"/>
      <c r="AD320" s="133"/>
      <c r="AE320" s="133"/>
      <c r="AF320" s="111"/>
      <c r="AG320" s="134" t="s">
        <v>763</v>
      </c>
      <c r="AH320" s="73"/>
      <c r="AI320" s="135"/>
      <c r="AJ320" s="136"/>
      <c r="AK320" s="76"/>
      <c r="AL320" s="137"/>
      <c r="AM320" s="139">
        <v>406.0</v>
      </c>
      <c r="AN320" s="139">
        <v>218.0</v>
      </c>
      <c r="AO320" s="140">
        <v>59.84</v>
      </c>
      <c r="AP320" s="142">
        <v>19321.0</v>
      </c>
      <c r="AQ320" s="142">
        <v>235.0</v>
      </c>
      <c r="AR320" s="143"/>
      <c r="AS320" s="144">
        <v>0.973201150396267</v>
      </c>
      <c r="AT320" s="144">
        <v>-0.014901150396266938</v>
      </c>
      <c r="AU320" s="146" t="s">
        <v>1580</v>
      </c>
      <c r="AV320" s="146" t="s">
        <v>1580</v>
      </c>
      <c r="AW320" s="148" t="s">
        <v>1580</v>
      </c>
      <c r="AX320" s="151"/>
      <c r="AY320" s="105"/>
      <c r="AZ320" s="186"/>
      <c r="BA320" s="186"/>
      <c r="BB320" s="146"/>
      <c r="BC320" s="155"/>
      <c r="BD320" s="155"/>
      <c r="BE320" s="155"/>
      <c r="BF320" s="45"/>
    </row>
    <row r="321" ht="16.5" customHeight="1">
      <c r="A321" s="111">
        <v>318.0</v>
      </c>
      <c r="B321" s="112" t="s">
        <v>1581</v>
      </c>
      <c r="C321" s="115" t="s">
        <v>60</v>
      </c>
      <c r="D321" s="117">
        <v>41635.0</v>
      </c>
      <c r="E321" s="117">
        <v>42316.0</v>
      </c>
      <c r="F321" s="79" t="s">
        <v>79</v>
      </c>
      <c r="G321" s="118">
        <v>122100.0</v>
      </c>
      <c r="H321" s="114">
        <v>179.0</v>
      </c>
      <c r="I321" s="120">
        <v>361.0</v>
      </c>
      <c r="J321" s="111" t="s">
        <v>61</v>
      </c>
      <c r="K321" s="121">
        <v>365.57</v>
      </c>
      <c r="L321" s="120" t="s">
        <v>63</v>
      </c>
      <c r="M321" s="120"/>
      <c r="N321" s="120"/>
      <c r="O321" s="124">
        <v>122100.0</v>
      </c>
      <c r="P321" s="124">
        <v>682.0</v>
      </c>
      <c r="Q321" s="111">
        <v>211.0</v>
      </c>
      <c r="R321" s="125">
        <v>399.0</v>
      </c>
      <c r="S321" s="126">
        <v>0.9162</v>
      </c>
      <c r="T321" s="127">
        <v>71005.5</v>
      </c>
      <c r="U321" s="128">
        <f t="shared" si="2"/>
        <v>0</v>
      </c>
      <c r="V321" s="79" t="s">
        <v>64</v>
      </c>
      <c r="W321" s="79" t="s">
        <v>64</v>
      </c>
      <c r="X321" s="79" t="s">
        <v>66</v>
      </c>
      <c r="Y321" s="130">
        <v>0.9</v>
      </c>
      <c r="Z321" s="111">
        <v>7.0</v>
      </c>
      <c r="AA321" s="111">
        <v>398.0</v>
      </c>
      <c r="AB321" s="111" t="s">
        <v>61</v>
      </c>
      <c r="AC321" s="111">
        <v>361.0</v>
      </c>
      <c r="AD321" s="111">
        <v>20.0</v>
      </c>
      <c r="AE321" s="111">
        <v>64.0</v>
      </c>
      <c r="AF321" s="111" t="s">
        <v>61</v>
      </c>
      <c r="AG321" s="134" t="s">
        <v>1561</v>
      </c>
      <c r="AH321" s="73">
        <v>341.0</v>
      </c>
      <c r="AI321" s="135">
        <v>345.3164556962026</v>
      </c>
      <c r="AJ321" s="136">
        <v>67.75373607038122</v>
      </c>
      <c r="AK321" s="76">
        <v>0.8742417557468544</v>
      </c>
      <c r="AL321" s="137" t="s">
        <v>1582</v>
      </c>
      <c r="AM321" s="139">
        <v>403.0</v>
      </c>
      <c r="AN321" s="139">
        <v>682.0</v>
      </c>
      <c r="AO321" s="140">
        <v>346.99</v>
      </c>
      <c r="AP321" s="142">
        <v>122100.0</v>
      </c>
      <c r="AQ321" s="142">
        <v>211.0</v>
      </c>
      <c r="AR321" s="143"/>
      <c r="AS321" s="144">
        <v>0.9412772451462609</v>
      </c>
      <c r="AT321" s="144">
        <v>-0.025077245146260863</v>
      </c>
      <c r="AU321" s="146" t="s">
        <v>1583</v>
      </c>
      <c r="AV321" s="146" t="s">
        <v>1583</v>
      </c>
      <c r="AW321" s="148" t="s">
        <v>1583</v>
      </c>
      <c r="AX321" s="151"/>
      <c r="AY321" s="105"/>
      <c r="AZ321" s="186"/>
      <c r="BA321" s="186"/>
      <c r="BB321" s="146"/>
      <c r="BC321" s="155"/>
      <c r="BD321" s="155"/>
      <c r="BE321" s="155"/>
      <c r="BF321" s="45"/>
    </row>
    <row r="322" ht="16.5" customHeight="1">
      <c r="A322" s="111">
        <v>319.0</v>
      </c>
      <c r="B322" s="112" t="s">
        <v>1584</v>
      </c>
      <c r="C322" s="115" t="s">
        <v>60</v>
      </c>
      <c r="D322" s="117">
        <v>41591.0</v>
      </c>
      <c r="E322" s="117">
        <v>42313.0</v>
      </c>
      <c r="F322" s="79" t="s">
        <v>59</v>
      </c>
      <c r="G322" s="118">
        <v>60000.0</v>
      </c>
      <c r="H322" s="114">
        <v>83.0</v>
      </c>
      <c r="I322" s="120">
        <v>393.0</v>
      </c>
      <c r="J322" s="111" t="s">
        <v>62</v>
      </c>
      <c r="K322" s="121">
        <v>393.0</v>
      </c>
      <c r="L322" s="120" t="s">
        <v>195</v>
      </c>
      <c r="M322" s="120" t="s">
        <v>1585</v>
      </c>
      <c r="N322" s="120">
        <v>49000.0</v>
      </c>
      <c r="O322" s="124">
        <v>25714.0</v>
      </c>
      <c r="P322" s="124">
        <v>310.0</v>
      </c>
      <c r="Q322" s="111">
        <v>216.0</v>
      </c>
      <c r="R322" s="125">
        <v>399.0</v>
      </c>
      <c r="S322" s="126">
        <v>0.985</v>
      </c>
      <c r="T322" s="127">
        <v>76337.5</v>
      </c>
      <c r="U322" s="128">
        <f t="shared" si="2"/>
        <v>0</v>
      </c>
      <c r="V322" s="79" t="s">
        <v>64</v>
      </c>
      <c r="W322" s="79" t="s">
        <v>66</v>
      </c>
      <c r="X322" s="79" t="s">
        <v>68</v>
      </c>
      <c r="Y322" s="130">
        <v>0.9</v>
      </c>
      <c r="Z322" s="111" t="s">
        <v>1494</v>
      </c>
      <c r="AA322" s="111">
        <v>393.0</v>
      </c>
      <c r="AB322" s="111" t="s">
        <v>62</v>
      </c>
      <c r="AC322" s="133"/>
      <c r="AD322" s="133"/>
      <c r="AE322" s="133"/>
      <c r="AF322" s="111"/>
      <c r="AG322" s="134" t="s">
        <v>1586</v>
      </c>
      <c r="AH322" s="73"/>
      <c r="AI322" s="135"/>
      <c r="AJ322" s="136"/>
      <c r="AK322" s="76"/>
      <c r="AL322" s="137"/>
      <c r="AM322" s="139">
        <v>393.0</v>
      </c>
      <c r="AN322" s="139">
        <v>723.0</v>
      </c>
      <c r="AO322" s="140">
        <v>72.22</v>
      </c>
      <c r="AP322" s="142">
        <v>25714.0</v>
      </c>
      <c r="AQ322" s="142">
        <v>216.0</v>
      </c>
      <c r="AR322" s="143"/>
      <c r="AS322" s="144">
        <v>0.9680408350765849</v>
      </c>
      <c r="AT322" s="144">
        <v>0.016959164923415093</v>
      </c>
      <c r="AU322" s="146" t="s">
        <v>1587</v>
      </c>
      <c r="AV322" s="146" t="s">
        <v>1587</v>
      </c>
      <c r="AW322" s="148" t="s">
        <v>1587</v>
      </c>
      <c r="AX322" s="151"/>
      <c r="AY322" s="105"/>
      <c r="AZ322" s="186"/>
      <c r="BA322" s="186"/>
      <c r="BB322" s="146"/>
      <c r="BC322" s="155"/>
      <c r="BD322" s="155"/>
      <c r="BE322" s="155"/>
      <c r="BF322" s="45"/>
    </row>
    <row r="323" ht="16.5" customHeight="1">
      <c r="A323" s="111">
        <v>320.0</v>
      </c>
      <c r="B323" s="112" t="s">
        <v>1588</v>
      </c>
      <c r="C323" s="115" t="s">
        <v>60</v>
      </c>
      <c r="D323" s="117">
        <v>42040.0</v>
      </c>
      <c r="E323" s="117">
        <v>42317.0</v>
      </c>
      <c r="F323" s="79" t="s">
        <v>86</v>
      </c>
      <c r="G323" s="118">
        <v>32161.0</v>
      </c>
      <c r="H323" s="114">
        <v>115.7</v>
      </c>
      <c r="I323" s="120">
        <v>393.0</v>
      </c>
      <c r="J323" s="111" t="s">
        <v>61</v>
      </c>
      <c r="K323" s="121">
        <v>397.97</v>
      </c>
      <c r="L323" s="120" t="s">
        <v>63</v>
      </c>
      <c r="M323" s="120"/>
      <c r="N323" s="120"/>
      <c r="O323" s="124">
        <v>32161.0</v>
      </c>
      <c r="P323" s="124">
        <v>278.0</v>
      </c>
      <c r="Q323" s="111">
        <v>206.0</v>
      </c>
      <c r="R323" s="125">
        <v>430.0</v>
      </c>
      <c r="S323" s="126">
        <v>0.9255</v>
      </c>
      <c r="T323" s="127">
        <v>71726.25</v>
      </c>
      <c r="U323" s="128">
        <f t="shared" si="2"/>
        <v>0</v>
      </c>
      <c r="V323" s="79" t="s">
        <v>65</v>
      </c>
      <c r="W323" s="79" t="s">
        <v>69</v>
      </c>
      <c r="X323" s="79" t="s">
        <v>68</v>
      </c>
      <c r="Y323" s="130">
        <v>0.8</v>
      </c>
      <c r="Z323" s="111">
        <v>11.0</v>
      </c>
      <c r="AA323" s="111">
        <v>404.0</v>
      </c>
      <c r="AB323" s="111" t="s">
        <v>61</v>
      </c>
      <c r="AC323" s="133"/>
      <c r="AD323" s="133"/>
      <c r="AE323" s="133"/>
      <c r="AF323" s="111"/>
      <c r="AG323" s="134" t="s">
        <v>1589</v>
      </c>
      <c r="AH323" s="73"/>
      <c r="AI323" s="135"/>
      <c r="AJ323" s="136"/>
      <c r="AK323" s="76"/>
      <c r="AL323" s="137"/>
      <c r="AM323" s="139">
        <v>409.0</v>
      </c>
      <c r="AN323" s="139">
        <v>278.0</v>
      </c>
      <c r="AO323" s="140">
        <v>88.81</v>
      </c>
      <c r="AP323" s="142">
        <v>32161.0</v>
      </c>
      <c r="AQ323" s="142">
        <v>206.0</v>
      </c>
      <c r="AR323" s="143"/>
      <c r="AS323" s="144">
        <v>0.9639330796828334</v>
      </c>
      <c r="AT323" s="144">
        <v>-0.03843307968283338</v>
      </c>
      <c r="AU323" s="146" t="s">
        <v>1590</v>
      </c>
      <c r="AV323" s="146" t="s">
        <v>1590</v>
      </c>
      <c r="AW323" s="148" t="s">
        <v>1590</v>
      </c>
      <c r="AX323" s="151"/>
      <c r="AY323" s="105"/>
      <c r="AZ323" s="186"/>
      <c r="BA323" s="186"/>
      <c r="BB323" s="146"/>
      <c r="BC323" s="155"/>
      <c r="BD323" s="155"/>
      <c r="BE323" s="155"/>
      <c r="BF323" s="45"/>
    </row>
    <row r="324" ht="16.5" customHeight="1">
      <c r="A324" s="111">
        <v>321.0</v>
      </c>
      <c r="B324" s="112" t="s">
        <v>1591</v>
      </c>
      <c r="C324" s="115" t="s">
        <v>60</v>
      </c>
      <c r="D324" s="117">
        <v>42036.0</v>
      </c>
      <c r="E324" s="117">
        <v>42314.0</v>
      </c>
      <c r="F324" s="79" t="s">
        <v>86</v>
      </c>
      <c r="G324" s="118">
        <v>14000.0</v>
      </c>
      <c r="H324" s="114">
        <v>50.2</v>
      </c>
      <c r="I324" s="120">
        <v>396.0</v>
      </c>
      <c r="J324" s="111" t="s">
        <v>61</v>
      </c>
      <c r="K324" s="121">
        <v>401.01</v>
      </c>
      <c r="L324" s="120" t="s">
        <v>63</v>
      </c>
      <c r="M324" s="120"/>
      <c r="N324" s="120"/>
      <c r="O324" s="124">
        <v>14000.0</v>
      </c>
      <c r="P324" s="124">
        <v>279.0</v>
      </c>
      <c r="Q324" s="111">
        <v>204.0</v>
      </c>
      <c r="R324" s="125">
        <v>430.0</v>
      </c>
      <c r="S324" s="126">
        <v>0.9326</v>
      </c>
      <c r="T324" s="127">
        <v>72276.5</v>
      </c>
      <c r="U324" s="128">
        <f t="shared" si="2"/>
        <v>0</v>
      </c>
      <c r="V324" s="79" t="s">
        <v>64</v>
      </c>
      <c r="W324" s="79" t="s">
        <v>64</v>
      </c>
      <c r="X324" s="79" t="s">
        <v>68</v>
      </c>
      <c r="Y324" s="130">
        <v>0.8</v>
      </c>
      <c r="Z324" s="111">
        <v>4.0</v>
      </c>
      <c r="AA324" s="111">
        <v>404.0</v>
      </c>
      <c r="AB324" s="111" t="s">
        <v>61</v>
      </c>
      <c r="AC324" s="133"/>
      <c r="AD324" s="133"/>
      <c r="AE324" s="133"/>
      <c r="AF324" s="111"/>
      <c r="AG324" s="134" t="s">
        <v>1589</v>
      </c>
      <c r="AH324" s="73"/>
      <c r="AI324" s="135"/>
      <c r="AJ324" s="136"/>
      <c r="AK324" s="76"/>
      <c r="AL324" s="137"/>
      <c r="AM324" s="139">
        <v>409.0</v>
      </c>
      <c r="AN324" s="139">
        <v>279.0</v>
      </c>
      <c r="AO324" s="140">
        <v>38.15</v>
      </c>
      <c r="AP324" s="142">
        <v>14000.0</v>
      </c>
      <c r="AQ324" s="142">
        <v>204.0</v>
      </c>
      <c r="AR324" s="143"/>
      <c r="AS324" s="144">
        <v>0.9785928996256579</v>
      </c>
      <c r="AT324" s="144">
        <v>-0.04599289962565789</v>
      </c>
      <c r="AU324" s="146" t="s">
        <v>1592</v>
      </c>
      <c r="AV324" s="146" t="s">
        <v>1592</v>
      </c>
      <c r="AW324" s="148" t="s">
        <v>1592</v>
      </c>
      <c r="AX324" s="151"/>
      <c r="AY324" s="105"/>
      <c r="AZ324" s="186"/>
      <c r="BA324" s="186"/>
      <c r="BB324" s="146"/>
      <c r="BC324" s="155"/>
      <c r="BD324" s="155"/>
      <c r="BE324" s="155"/>
      <c r="BF324" s="45"/>
    </row>
    <row r="325" ht="16.5" customHeight="1">
      <c r="A325" s="111">
        <v>322.0</v>
      </c>
      <c r="B325" s="112" t="s">
        <v>1593</v>
      </c>
      <c r="C325" s="115" t="s">
        <v>60</v>
      </c>
      <c r="D325" s="117">
        <v>41548.0</v>
      </c>
      <c r="E325" s="117">
        <v>42318.0</v>
      </c>
      <c r="F325" s="79" t="s">
        <v>59</v>
      </c>
      <c r="G325" s="118">
        <v>40108.0</v>
      </c>
      <c r="H325" s="114">
        <v>52.0</v>
      </c>
      <c r="I325" s="120">
        <v>386.0</v>
      </c>
      <c r="J325" s="111" t="s">
        <v>61</v>
      </c>
      <c r="K325" s="121">
        <v>390.89</v>
      </c>
      <c r="L325" s="120" t="s">
        <v>63</v>
      </c>
      <c r="M325" s="120"/>
      <c r="N325" s="120"/>
      <c r="O325" s="124">
        <v>40108.0</v>
      </c>
      <c r="P325" s="124">
        <v>771.0</v>
      </c>
      <c r="Q325" s="111">
        <v>230.0</v>
      </c>
      <c r="R325" s="125">
        <v>399.0</v>
      </c>
      <c r="S325" s="126">
        <v>0.9797</v>
      </c>
      <c r="T325" s="127">
        <v>75926.75</v>
      </c>
      <c r="U325" s="128">
        <f t="shared" si="2"/>
        <v>0</v>
      </c>
      <c r="V325" s="79" t="s">
        <v>69</v>
      </c>
      <c r="W325" s="79" t="s">
        <v>69</v>
      </c>
      <c r="X325" s="79" t="s">
        <v>66</v>
      </c>
      <c r="Y325" s="130">
        <v>0.8</v>
      </c>
      <c r="Z325" s="111">
        <v>2.0</v>
      </c>
      <c r="AA325" s="133"/>
      <c r="AB325" s="111" t="s">
        <v>61</v>
      </c>
      <c r="AC325" s="133"/>
      <c r="AD325" s="133"/>
      <c r="AE325" s="133"/>
      <c r="AF325" s="111"/>
      <c r="AG325" s="134" t="s">
        <v>1561</v>
      </c>
      <c r="AH325" s="73"/>
      <c r="AI325" s="135"/>
      <c r="AJ325" s="136"/>
      <c r="AK325" s="76"/>
      <c r="AL325" s="137"/>
      <c r="AM325" s="139" t="s">
        <v>71</v>
      </c>
      <c r="AN325" s="139">
        <v>771.0</v>
      </c>
      <c r="AO325" s="140">
        <v>120.28</v>
      </c>
      <c r="AP325" s="142">
        <v>40108.0</v>
      </c>
      <c r="AQ325" s="142">
        <v>230.0</v>
      </c>
      <c r="AR325" s="143"/>
      <c r="AS325" s="144">
        <v>0.9599641313392698</v>
      </c>
      <c r="AT325" s="144">
        <v>0.019735868660730183</v>
      </c>
      <c r="AU325" s="146" t="s">
        <v>1594</v>
      </c>
      <c r="AV325" s="146" t="s">
        <v>1594</v>
      </c>
      <c r="AW325" s="148" t="s">
        <v>1594</v>
      </c>
      <c r="AX325" s="151"/>
      <c r="AY325" s="105"/>
      <c r="AZ325" s="186"/>
      <c r="BA325" s="186"/>
      <c r="BB325" s="146"/>
      <c r="BC325" s="155"/>
      <c r="BD325" s="155"/>
      <c r="BE325" s="155"/>
      <c r="BF325" s="45"/>
    </row>
    <row r="326" ht="16.5" customHeight="1">
      <c r="A326" s="111">
        <v>323.0</v>
      </c>
      <c r="B326" s="165" t="s">
        <v>241</v>
      </c>
      <c r="C326" s="115" t="s">
        <v>60</v>
      </c>
      <c r="D326" s="157">
        <v>41810.0</v>
      </c>
      <c r="E326" s="117">
        <v>42233.0</v>
      </c>
      <c r="F326" s="79" t="s">
        <v>59</v>
      </c>
      <c r="G326" s="118">
        <v>36743.0</v>
      </c>
      <c r="H326" s="114">
        <v>86.7</v>
      </c>
      <c r="I326" s="120">
        <v>368.0</v>
      </c>
      <c r="J326" s="111" t="s">
        <v>61</v>
      </c>
      <c r="K326" s="121">
        <v>372.66</v>
      </c>
      <c r="L326" s="120" t="s">
        <v>63</v>
      </c>
      <c r="M326" s="120"/>
      <c r="N326" s="120"/>
      <c r="O326" s="124">
        <v>36743.0</v>
      </c>
      <c r="P326" s="124">
        <v>424.0</v>
      </c>
      <c r="Q326" s="111">
        <v>237.0</v>
      </c>
      <c r="R326" s="125">
        <v>399.0</v>
      </c>
      <c r="S326" s="126">
        <v>0.934</v>
      </c>
      <c r="T326" s="127">
        <v>72385.0</v>
      </c>
      <c r="U326" s="128">
        <f t="shared" si="2"/>
        <v>0</v>
      </c>
      <c r="V326" s="79" t="s">
        <v>64</v>
      </c>
      <c r="W326" s="79" t="s">
        <v>64</v>
      </c>
      <c r="X326" s="79" t="s">
        <v>69</v>
      </c>
      <c r="Y326" s="130">
        <v>0.8</v>
      </c>
      <c r="Z326" s="111"/>
      <c r="AA326" s="133"/>
      <c r="AB326" s="133"/>
      <c r="AC326" s="133"/>
      <c r="AD326" s="133"/>
      <c r="AE326" s="133"/>
      <c r="AF326" s="111"/>
      <c r="AG326" s="147"/>
      <c r="AH326" s="73"/>
      <c r="AI326" s="135"/>
      <c r="AJ326" s="136"/>
      <c r="AK326" s="76"/>
      <c r="AL326" s="137"/>
      <c r="AM326" s="139" t="s">
        <v>71</v>
      </c>
      <c r="AN326" s="139">
        <v>424.0</v>
      </c>
      <c r="AO326" s="140">
        <v>116.22</v>
      </c>
      <c r="AP326" s="142">
        <v>36743.0</v>
      </c>
      <c r="AQ326" s="142">
        <v>237.0</v>
      </c>
      <c r="AR326" s="143"/>
      <c r="AS326" s="144">
        <v>0.9615214787038879</v>
      </c>
      <c r="AT326" s="144">
        <v>-0.02752147870388788</v>
      </c>
      <c r="AU326" s="146" t="s">
        <v>1595</v>
      </c>
      <c r="AV326" s="146" t="s">
        <v>1595</v>
      </c>
      <c r="AW326" s="148" t="s">
        <v>1595</v>
      </c>
      <c r="AX326" s="151"/>
      <c r="AY326" s="105"/>
      <c r="AZ326" s="186"/>
      <c r="BA326" s="186"/>
      <c r="BB326" s="146"/>
      <c r="BC326" s="155"/>
      <c r="BD326" s="155"/>
      <c r="BE326" s="155"/>
      <c r="BF326" s="45"/>
    </row>
    <row r="327" ht="16.5" customHeight="1">
      <c r="A327" s="111">
        <v>324.0</v>
      </c>
      <c r="B327" s="112" t="s">
        <v>212</v>
      </c>
      <c r="C327" s="115" t="s">
        <v>60</v>
      </c>
      <c r="D327" s="117">
        <v>41543.0</v>
      </c>
      <c r="E327" s="117">
        <v>42319.0</v>
      </c>
      <c r="F327" s="79" t="s">
        <v>59</v>
      </c>
      <c r="G327" s="118">
        <v>99478.0</v>
      </c>
      <c r="H327" s="114">
        <v>128.0</v>
      </c>
      <c r="I327" s="120">
        <v>372.0</v>
      </c>
      <c r="J327" s="111" t="s">
        <v>61</v>
      </c>
      <c r="K327" s="121">
        <v>376.71</v>
      </c>
      <c r="L327" s="120" t="s">
        <v>195</v>
      </c>
      <c r="M327" s="120" t="s">
        <v>196</v>
      </c>
      <c r="N327" s="120">
        <v>65000.0</v>
      </c>
      <c r="O327" s="124">
        <v>99478.0</v>
      </c>
      <c r="P327" s="124">
        <v>777.0</v>
      </c>
      <c r="Q327" s="111">
        <v>211.0</v>
      </c>
      <c r="R327" s="125">
        <v>399.0</v>
      </c>
      <c r="S327" s="126">
        <v>0.9441</v>
      </c>
      <c r="T327" s="127">
        <v>73167.75</v>
      </c>
      <c r="U327" s="128">
        <f t="shared" si="2"/>
        <v>0</v>
      </c>
      <c r="V327" s="79" t="s">
        <v>64</v>
      </c>
      <c r="W327" s="79" t="s">
        <v>69</v>
      </c>
      <c r="X327" s="79" t="s">
        <v>66</v>
      </c>
      <c r="Y327" s="130">
        <v>0.9</v>
      </c>
      <c r="Z327" s="111">
        <v>22.0</v>
      </c>
      <c r="AA327" s="133"/>
      <c r="AB327" s="133"/>
      <c r="AC327" s="133"/>
      <c r="AD327" s="133"/>
      <c r="AE327" s="133"/>
      <c r="AF327" s="111"/>
      <c r="AG327" s="147"/>
      <c r="AH327" s="73"/>
      <c r="AI327" s="135"/>
      <c r="AJ327" s="136"/>
      <c r="AK327" s="76"/>
      <c r="AL327" s="137"/>
      <c r="AM327" s="139" t="s">
        <v>71</v>
      </c>
      <c r="AN327" s="139">
        <v>777.0</v>
      </c>
      <c r="AO327" s="140">
        <v>278.66</v>
      </c>
      <c r="AP327" s="142">
        <v>99478.0</v>
      </c>
      <c r="AQ327" s="142">
        <v>211.0</v>
      </c>
      <c r="AR327" s="143"/>
      <c r="AS327" s="144">
        <v>0.9450524822414033</v>
      </c>
      <c r="AT327" s="144">
        <v>-9.524822414032075E-4</v>
      </c>
      <c r="AU327" s="146" t="s">
        <v>1596</v>
      </c>
      <c r="AV327" s="146" t="s">
        <v>1596</v>
      </c>
      <c r="AW327" s="148" t="s">
        <v>1596</v>
      </c>
      <c r="AX327" s="151"/>
      <c r="AY327" s="105"/>
      <c r="AZ327" s="186"/>
      <c r="BA327" s="186"/>
      <c r="BB327" s="146"/>
      <c r="BC327" s="155"/>
      <c r="BD327" s="155"/>
      <c r="BE327" s="155"/>
      <c r="BF327" s="45"/>
    </row>
    <row r="328" ht="16.5" customHeight="1">
      <c r="A328" s="111">
        <v>325.0</v>
      </c>
      <c r="B328" s="112" t="s">
        <v>640</v>
      </c>
      <c r="C328" s="115" t="s">
        <v>60</v>
      </c>
      <c r="D328" s="117">
        <v>41927.0</v>
      </c>
      <c r="E328" s="117">
        <v>42319.0</v>
      </c>
      <c r="F328" s="79" t="s">
        <v>59</v>
      </c>
      <c r="G328" s="118">
        <v>41628.0</v>
      </c>
      <c r="H328" s="114">
        <v>105.9</v>
      </c>
      <c r="I328" s="120">
        <v>376.0</v>
      </c>
      <c r="J328" s="111" t="s">
        <v>61</v>
      </c>
      <c r="K328" s="121">
        <v>380.76</v>
      </c>
      <c r="L328" s="120" t="s">
        <v>63</v>
      </c>
      <c r="M328" s="120"/>
      <c r="N328" s="120"/>
      <c r="O328" s="124">
        <v>41628.0</v>
      </c>
      <c r="P328" s="124">
        <v>393.0</v>
      </c>
      <c r="Q328" s="111">
        <v>218.0</v>
      </c>
      <c r="R328" s="125">
        <v>399.0</v>
      </c>
      <c r="S328" s="126">
        <v>0.9543</v>
      </c>
      <c r="T328" s="127">
        <v>73958.25</v>
      </c>
      <c r="U328" s="128">
        <f t="shared" si="2"/>
        <v>0</v>
      </c>
      <c r="V328" s="79" t="s">
        <v>80</v>
      </c>
      <c r="W328" s="79" t="s">
        <v>64</v>
      </c>
      <c r="X328" s="79" t="s">
        <v>64</v>
      </c>
      <c r="Y328" s="130">
        <v>0.9</v>
      </c>
      <c r="Z328" s="111" t="s">
        <v>1494</v>
      </c>
      <c r="AA328" s="111">
        <v>393.0</v>
      </c>
      <c r="AB328" s="111" t="s">
        <v>61</v>
      </c>
      <c r="AC328" s="111">
        <v>376.0</v>
      </c>
      <c r="AD328" s="111">
        <v>246.0</v>
      </c>
      <c r="AE328" s="111" t="s">
        <v>1597</v>
      </c>
      <c r="AF328" s="111" t="s">
        <v>61</v>
      </c>
      <c r="AG328" s="147"/>
      <c r="AH328" s="73">
        <v>130.0</v>
      </c>
      <c r="AI328" s="135">
        <v>131.64556962025318</v>
      </c>
      <c r="AJ328" s="136">
        <v>70.86163269230768</v>
      </c>
      <c r="AK328" s="76">
        <v>0.9143436476426798</v>
      </c>
      <c r="AL328" s="137" t="s">
        <v>1598</v>
      </c>
      <c r="AM328" s="139">
        <v>398.0</v>
      </c>
      <c r="AN328" s="139">
        <v>393.0</v>
      </c>
      <c r="AO328" s="140">
        <v>119.85</v>
      </c>
      <c r="AP328" s="142">
        <v>41628.0</v>
      </c>
      <c r="AQ328" s="142">
        <v>218.0</v>
      </c>
      <c r="AR328" s="143"/>
      <c r="AS328" s="144">
        <v>0.9593117076137191</v>
      </c>
      <c r="AT328" s="144">
        <v>-0.005011707613719052</v>
      </c>
      <c r="AU328" s="146" t="s">
        <v>1599</v>
      </c>
      <c r="AV328" s="146" t="s">
        <v>1599</v>
      </c>
      <c r="AW328" s="148" t="s">
        <v>1599</v>
      </c>
      <c r="AX328" s="151"/>
      <c r="AY328" s="105"/>
      <c r="AZ328" s="186"/>
      <c r="BA328" s="186"/>
      <c r="BB328" s="146"/>
      <c r="BC328" s="155"/>
      <c r="BD328" s="155"/>
      <c r="BE328" s="155"/>
      <c r="BF328" s="45"/>
    </row>
    <row r="329" ht="16.5" customHeight="1">
      <c r="A329" s="111">
        <v>326.0</v>
      </c>
      <c r="B329" s="112" t="s">
        <v>155</v>
      </c>
      <c r="C329" s="115" t="s">
        <v>60</v>
      </c>
      <c r="D329" s="117">
        <v>41601.0</v>
      </c>
      <c r="E329" s="117">
        <v>42320.0</v>
      </c>
      <c r="F329" s="79" t="s">
        <v>109</v>
      </c>
      <c r="G329" s="118">
        <v>40750.0</v>
      </c>
      <c r="H329" s="114">
        <v>56.6</v>
      </c>
      <c r="I329" s="120">
        <v>295.0</v>
      </c>
      <c r="J329" s="111" t="s">
        <v>62</v>
      </c>
      <c r="K329" s="121">
        <v>295.0</v>
      </c>
      <c r="L329" s="120" t="s">
        <v>63</v>
      </c>
      <c r="M329" s="120"/>
      <c r="N329" s="120"/>
      <c r="O329" s="124">
        <v>40750.0</v>
      </c>
      <c r="P329" s="124">
        <v>720.0</v>
      </c>
      <c r="Q329" s="111">
        <v>208.0</v>
      </c>
      <c r="R329" s="125">
        <v>289.0</v>
      </c>
      <c r="S329" s="126">
        <v>1.0208</v>
      </c>
      <c r="T329" s="127">
        <v>59716.799999999996</v>
      </c>
      <c r="U329" s="128">
        <f t="shared" si="2"/>
        <v>0</v>
      </c>
      <c r="V329" s="79" t="s">
        <v>80</v>
      </c>
      <c r="W329" s="79" t="s">
        <v>67</v>
      </c>
      <c r="X329" s="79" t="s">
        <v>69</v>
      </c>
      <c r="Y329" s="130">
        <v>0.8</v>
      </c>
      <c r="Z329" s="111">
        <v>11.0</v>
      </c>
      <c r="AA329" s="183"/>
      <c r="AB329" s="133"/>
      <c r="AC329" s="133"/>
      <c r="AD329" s="133"/>
      <c r="AE329" s="133"/>
      <c r="AF329" s="111"/>
      <c r="AG329" s="147"/>
      <c r="AH329" s="73"/>
      <c r="AI329" s="135"/>
      <c r="AJ329" s="136"/>
      <c r="AK329" s="76"/>
      <c r="AL329" s="137"/>
      <c r="AM329" s="139" t="s">
        <v>71</v>
      </c>
      <c r="AN329" s="139">
        <v>720.0</v>
      </c>
      <c r="AO329" s="140">
        <v>143.44</v>
      </c>
      <c r="AP329" s="142">
        <v>40750.0</v>
      </c>
      <c r="AQ329" s="142">
        <v>208.0</v>
      </c>
      <c r="AR329" s="143"/>
      <c r="AS329" s="144">
        <v>0.9596849336759969</v>
      </c>
      <c r="AT329" s="144">
        <v>0.06111506632400299</v>
      </c>
      <c r="AU329" s="146" t="s">
        <v>1600</v>
      </c>
      <c r="AV329" s="146" t="s">
        <v>1600</v>
      </c>
      <c r="AW329" s="148" t="s">
        <v>1600</v>
      </c>
      <c r="AX329" s="151"/>
      <c r="AY329" s="105"/>
      <c r="AZ329" s="186"/>
      <c r="BA329" s="186"/>
      <c r="BB329" s="146"/>
      <c r="BC329" s="155"/>
      <c r="BD329" s="155"/>
      <c r="BE329" s="155"/>
      <c r="BF329" s="45"/>
    </row>
    <row r="330" ht="16.5" customHeight="1">
      <c r="A330" s="111">
        <v>327.0</v>
      </c>
      <c r="B330" s="112" t="s">
        <v>1602</v>
      </c>
      <c r="C330" s="115" t="s">
        <v>60</v>
      </c>
      <c r="D330" s="117">
        <v>41791.0</v>
      </c>
      <c r="E330" s="117">
        <v>42320.0</v>
      </c>
      <c r="F330" s="79" t="s">
        <v>59</v>
      </c>
      <c r="G330" s="118">
        <v>22000.0</v>
      </c>
      <c r="H330" s="114">
        <v>41.5</v>
      </c>
      <c r="I330" s="120">
        <v>383.0</v>
      </c>
      <c r="J330" s="111" t="s">
        <v>61</v>
      </c>
      <c r="K330" s="121">
        <v>387.85</v>
      </c>
      <c r="L330" s="120" t="s">
        <v>63</v>
      </c>
      <c r="M330" s="120"/>
      <c r="N330" s="120"/>
      <c r="O330" s="124">
        <v>22000.0</v>
      </c>
      <c r="P330" s="124">
        <v>530.0</v>
      </c>
      <c r="Q330" s="111">
        <v>209.0</v>
      </c>
      <c r="R330" s="125">
        <v>399.0</v>
      </c>
      <c r="S330" s="126">
        <v>0.9721</v>
      </c>
      <c r="T330" s="127">
        <v>75337.75</v>
      </c>
      <c r="U330" s="128">
        <f t="shared" si="2"/>
        <v>0</v>
      </c>
      <c r="V330" s="79" t="s">
        <v>67</v>
      </c>
      <c r="W330" s="79" t="s">
        <v>64</v>
      </c>
      <c r="X330" s="79" t="s">
        <v>66</v>
      </c>
      <c r="Y330" s="130">
        <v>0.8</v>
      </c>
      <c r="Z330" s="111"/>
      <c r="AA330" s="133"/>
      <c r="AB330" s="133"/>
      <c r="AC330" s="133"/>
      <c r="AD330" s="133"/>
      <c r="AE330" s="133"/>
      <c r="AF330" s="111"/>
      <c r="AG330" s="147"/>
      <c r="AH330" s="73"/>
      <c r="AI330" s="135"/>
      <c r="AJ330" s="136"/>
      <c r="AK330" s="76"/>
      <c r="AL330" s="137"/>
      <c r="AM330" s="139" t="s">
        <v>71</v>
      </c>
      <c r="AN330" s="139">
        <v>530.0</v>
      </c>
      <c r="AO330" s="140">
        <v>60.19</v>
      </c>
      <c r="AP330" s="142">
        <v>22000.0</v>
      </c>
      <c r="AQ330" s="142">
        <v>209.0</v>
      </c>
      <c r="AR330" s="143"/>
      <c r="AS330" s="144">
        <v>0.9708850154674266</v>
      </c>
      <c r="AT330" s="144">
        <v>0.0012149845325734043</v>
      </c>
      <c r="AU330" s="146" t="s">
        <v>1604</v>
      </c>
      <c r="AV330" s="146" t="s">
        <v>1604</v>
      </c>
      <c r="AW330" s="148" t="s">
        <v>1604</v>
      </c>
      <c r="AX330" s="151"/>
      <c r="AY330" s="105"/>
      <c r="AZ330" s="186"/>
      <c r="BA330" s="186"/>
      <c r="BB330" s="146"/>
      <c r="BC330" s="155"/>
      <c r="BD330" s="155"/>
      <c r="BE330" s="155"/>
      <c r="BF330" s="45"/>
    </row>
    <row r="331" ht="16.5" customHeight="1">
      <c r="A331" s="111">
        <v>328.0</v>
      </c>
      <c r="B331" s="112" t="s">
        <v>192</v>
      </c>
      <c r="C331" s="115" t="s">
        <v>60</v>
      </c>
      <c r="D331" s="117">
        <v>41607.0</v>
      </c>
      <c r="E331" s="117">
        <v>42320.0</v>
      </c>
      <c r="F331" s="79" t="s">
        <v>79</v>
      </c>
      <c r="G331" s="118">
        <v>54971.0</v>
      </c>
      <c r="H331" s="114">
        <v>77.0</v>
      </c>
      <c r="I331" s="120">
        <v>370.0</v>
      </c>
      <c r="J331" s="111" t="s">
        <v>61</v>
      </c>
      <c r="K331" s="121">
        <v>374.68</v>
      </c>
      <c r="L331" s="120" t="s">
        <v>195</v>
      </c>
      <c r="M331" s="120" t="s">
        <v>281</v>
      </c>
      <c r="N331" s="120">
        <v>2100.0</v>
      </c>
      <c r="O331" s="124">
        <v>52871.0</v>
      </c>
      <c r="P331" s="124">
        <v>687.0</v>
      </c>
      <c r="Q331" s="111">
        <v>244.0</v>
      </c>
      <c r="R331" s="125">
        <v>399.0</v>
      </c>
      <c r="S331" s="126">
        <v>0.939</v>
      </c>
      <c r="T331" s="127">
        <v>72772.5</v>
      </c>
      <c r="U331" s="128">
        <f t="shared" si="2"/>
        <v>0</v>
      </c>
      <c r="V331" s="79" t="s">
        <v>69</v>
      </c>
      <c r="W331" s="79" t="s">
        <v>69</v>
      </c>
      <c r="X331" s="79" t="s">
        <v>66</v>
      </c>
      <c r="Y331" s="130">
        <v>0.8</v>
      </c>
      <c r="Z331" s="111">
        <v>11.0</v>
      </c>
      <c r="AA331" s="111">
        <v>400.0</v>
      </c>
      <c r="AB331" s="111" t="s">
        <v>61</v>
      </c>
      <c r="AC331" s="133"/>
      <c r="AD331" s="133"/>
      <c r="AE331" s="133"/>
      <c r="AF331" s="111"/>
      <c r="AG331" s="134" t="s">
        <v>1605</v>
      </c>
      <c r="AH331" s="73"/>
      <c r="AI331" s="135"/>
      <c r="AJ331" s="136"/>
      <c r="AK331" s="76"/>
      <c r="AL331" s="137"/>
      <c r="AM331" s="139">
        <v>405.0</v>
      </c>
      <c r="AN331" s="139">
        <v>714.0</v>
      </c>
      <c r="AO331" s="140">
        <v>171.72</v>
      </c>
      <c r="AP331" s="142">
        <v>52871.0</v>
      </c>
      <c r="AQ331" s="142">
        <v>244.0</v>
      </c>
      <c r="AR331" s="143"/>
      <c r="AS331" s="144">
        <v>0.9552572646127031</v>
      </c>
      <c r="AT331" s="144">
        <v>-0.01625726461270316</v>
      </c>
      <c r="AU331" s="146" t="s">
        <v>1606</v>
      </c>
      <c r="AV331" s="146" t="s">
        <v>1606</v>
      </c>
      <c r="AW331" s="148" t="s">
        <v>1606</v>
      </c>
      <c r="AX331" s="151"/>
      <c r="AY331" s="105"/>
      <c r="AZ331" s="186"/>
      <c r="BA331" s="186"/>
      <c r="BB331" s="146"/>
      <c r="BC331" s="155"/>
      <c r="BD331" s="155"/>
      <c r="BE331" s="155"/>
      <c r="BF331" s="45"/>
    </row>
    <row r="332" ht="16.5" customHeight="1">
      <c r="A332" s="111">
        <v>329.0</v>
      </c>
      <c r="B332" s="112" t="s">
        <v>1607</v>
      </c>
      <c r="C332" s="115" t="s">
        <v>60</v>
      </c>
      <c r="D332" s="117">
        <v>41600.0</v>
      </c>
      <c r="E332" s="117">
        <v>42320.0</v>
      </c>
      <c r="F332" s="79" t="s">
        <v>79</v>
      </c>
      <c r="G332" s="118">
        <v>58000.0</v>
      </c>
      <c r="H332" s="114">
        <v>80.4</v>
      </c>
      <c r="I332" s="120">
        <v>372.0</v>
      </c>
      <c r="J332" s="111" t="s">
        <v>61</v>
      </c>
      <c r="K332" s="121">
        <v>376.71</v>
      </c>
      <c r="L332" s="120" t="s">
        <v>63</v>
      </c>
      <c r="M332" s="120"/>
      <c r="N332" s="120"/>
      <c r="O332" s="124">
        <v>58000.0</v>
      </c>
      <c r="P332" s="124">
        <v>721.0</v>
      </c>
      <c r="Q332" s="111">
        <v>245.0</v>
      </c>
      <c r="R332" s="125">
        <v>399.0</v>
      </c>
      <c r="S332" s="126">
        <v>0.9441</v>
      </c>
      <c r="T332" s="127">
        <v>73167.75</v>
      </c>
      <c r="U332" s="128">
        <f t="shared" si="2"/>
        <v>0</v>
      </c>
      <c r="V332" s="79" t="s">
        <v>69</v>
      </c>
      <c r="W332" s="79" t="s">
        <v>69</v>
      </c>
      <c r="X332" s="79" t="s">
        <v>69</v>
      </c>
      <c r="Y332" s="130">
        <v>0.8</v>
      </c>
      <c r="Z332" s="111">
        <v>11.0</v>
      </c>
      <c r="AA332" s="111">
        <v>382.0</v>
      </c>
      <c r="AB332" s="111" t="s">
        <v>61</v>
      </c>
      <c r="AC332" s="133"/>
      <c r="AD332" s="133"/>
      <c r="AE332" s="133"/>
      <c r="AF332" s="111"/>
      <c r="AG332" s="134" t="s">
        <v>1608</v>
      </c>
      <c r="AH332" s="73"/>
      <c r="AI332" s="135"/>
      <c r="AJ332" s="136"/>
      <c r="AK332" s="76"/>
      <c r="AL332" s="137"/>
      <c r="AM332" s="139">
        <v>387.0</v>
      </c>
      <c r="AN332" s="139">
        <v>721.0</v>
      </c>
      <c r="AO332" s="140">
        <v>188.66</v>
      </c>
      <c r="AP332" s="142">
        <v>58000.0</v>
      </c>
      <c r="AQ332" s="142">
        <v>245.0</v>
      </c>
      <c r="AR332" s="143"/>
      <c r="AS332" s="144">
        <v>0.9537498617677531</v>
      </c>
      <c r="AT332" s="144">
        <v>-0.009649861767753065</v>
      </c>
      <c r="AU332" s="146" t="s">
        <v>1609</v>
      </c>
      <c r="AV332" s="146" t="s">
        <v>1609</v>
      </c>
      <c r="AW332" s="148" t="s">
        <v>1609</v>
      </c>
      <c r="AX332" s="151"/>
      <c r="AY332" s="105"/>
      <c r="AZ332" s="186"/>
      <c r="BA332" s="186"/>
      <c r="BB332" s="146"/>
      <c r="BC332" s="155"/>
      <c r="BD332" s="155"/>
      <c r="BE332" s="155"/>
      <c r="BF332" s="45"/>
    </row>
    <row r="333" ht="16.5" customHeight="1">
      <c r="A333" s="111">
        <v>330.0</v>
      </c>
      <c r="B333" s="112" t="s">
        <v>361</v>
      </c>
      <c r="C333" s="115" t="s">
        <v>60</v>
      </c>
      <c r="D333" s="117">
        <v>41604.0</v>
      </c>
      <c r="E333" s="117">
        <v>42321.0</v>
      </c>
      <c r="F333" s="79" t="s">
        <v>59</v>
      </c>
      <c r="G333" s="118">
        <v>81614.0</v>
      </c>
      <c r="H333" s="114">
        <v>113.7</v>
      </c>
      <c r="I333" s="120">
        <v>361.0</v>
      </c>
      <c r="J333" s="111" t="s">
        <v>61</v>
      </c>
      <c r="K333" s="121">
        <v>365.57</v>
      </c>
      <c r="L333" s="120" t="s">
        <v>63</v>
      </c>
      <c r="M333" s="120"/>
      <c r="N333" s="120"/>
      <c r="O333" s="124">
        <v>81614.0</v>
      </c>
      <c r="P333" s="124">
        <v>718.0</v>
      </c>
      <c r="Q333" s="111">
        <v>228.0</v>
      </c>
      <c r="R333" s="125">
        <v>399.0</v>
      </c>
      <c r="S333" s="126">
        <v>0.9162</v>
      </c>
      <c r="T333" s="127">
        <v>71005.5</v>
      </c>
      <c r="U333" s="128">
        <f t="shared" si="2"/>
        <v>0</v>
      </c>
      <c r="V333" s="79" t="s">
        <v>69</v>
      </c>
      <c r="W333" s="79" t="s">
        <v>69</v>
      </c>
      <c r="X333" s="79" t="s">
        <v>69</v>
      </c>
      <c r="Y333" s="130">
        <v>0.7</v>
      </c>
      <c r="Z333" s="111">
        <v>18.0</v>
      </c>
      <c r="AA333" s="111">
        <v>400.0</v>
      </c>
      <c r="AB333" s="111" t="s">
        <v>61</v>
      </c>
      <c r="AC333" s="133"/>
      <c r="AD333" s="133"/>
      <c r="AE333" s="133"/>
      <c r="AF333" s="111"/>
      <c r="AG333" s="147"/>
      <c r="AH333" s="73"/>
      <c r="AI333" s="135"/>
      <c r="AJ333" s="136"/>
      <c r="AK333" s="76"/>
      <c r="AL333" s="137"/>
      <c r="AM333" s="139">
        <v>405.0</v>
      </c>
      <c r="AN333" s="139">
        <v>718.0</v>
      </c>
      <c r="AO333" s="140">
        <v>250.63</v>
      </c>
      <c r="AP333" s="142">
        <v>81614.0</v>
      </c>
      <c r="AQ333" s="142">
        <v>228.0</v>
      </c>
      <c r="AR333" s="143"/>
      <c r="AS333" s="144">
        <v>0.9483268557436092</v>
      </c>
      <c r="AT333" s="144">
        <v>-0.032126855743609184</v>
      </c>
      <c r="AU333" s="146" t="s">
        <v>1610</v>
      </c>
      <c r="AV333" s="146" t="s">
        <v>1610</v>
      </c>
      <c r="AW333" s="148" t="s">
        <v>1610</v>
      </c>
      <c r="AX333" s="151"/>
      <c r="AY333" s="105"/>
      <c r="AZ333" s="186"/>
      <c r="BA333" s="186"/>
      <c r="BB333" s="146"/>
      <c r="BC333" s="155"/>
      <c r="BD333" s="155"/>
      <c r="BE333" s="155"/>
      <c r="BF333" s="45"/>
    </row>
    <row r="334" ht="16.5" customHeight="1">
      <c r="A334" s="111">
        <v>331.0</v>
      </c>
      <c r="B334" s="112" t="s">
        <v>1611</v>
      </c>
      <c r="C334" s="115" t="s">
        <v>60</v>
      </c>
      <c r="D334" s="117">
        <v>41715.0</v>
      </c>
      <c r="E334" s="117">
        <v>42319.0</v>
      </c>
      <c r="F334" s="79" t="s">
        <v>79</v>
      </c>
      <c r="G334" s="118">
        <v>57000.0</v>
      </c>
      <c r="H334" s="114">
        <v>94.2</v>
      </c>
      <c r="I334" s="120">
        <v>382.0</v>
      </c>
      <c r="J334" s="111" t="s">
        <v>61</v>
      </c>
      <c r="K334" s="121">
        <v>386.84</v>
      </c>
      <c r="L334" s="120" t="s">
        <v>63</v>
      </c>
      <c r="M334" s="120"/>
      <c r="N334" s="120"/>
      <c r="O334" s="124">
        <v>57000.0</v>
      </c>
      <c r="P334" s="124">
        <v>605.0</v>
      </c>
      <c r="Q334" s="111">
        <v>198.0</v>
      </c>
      <c r="R334" s="125">
        <v>399.0</v>
      </c>
      <c r="S334" s="126">
        <v>0.9695</v>
      </c>
      <c r="T334" s="127">
        <v>75136.25</v>
      </c>
      <c r="U334" s="128">
        <f t="shared" si="2"/>
        <v>0</v>
      </c>
      <c r="V334" s="79" t="s">
        <v>69</v>
      </c>
      <c r="W334" s="79" t="s">
        <v>64</v>
      </c>
      <c r="X334" s="79" t="s">
        <v>68</v>
      </c>
      <c r="Y334" s="130">
        <v>0.9</v>
      </c>
      <c r="Z334" s="111">
        <v>11.0</v>
      </c>
      <c r="AA334" s="111">
        <v>392.0</v>
      </c>
      <c r="AB334" s="111" t="s">
        <v>61</v>
      </c>
      <c r="AC334" s="133"/>
      <c r="AD334" s="133"/>
      <c r="AE334" s="133"/>
      <c r="AF334" s="111"/>
      <c r="AG334" s="147"/>
      <c r="AH334" s="73"/>
      <c r="AI334" s="135"/>
      <c r="AJ334" s="136"/>
      <c r="AK334" s="76"/>
      <c r="AL334" s="137"/>
      <c r="AM334" s="139">
        <v>397.0</v>
      </c>
      <c r="AN334" s="139">
        <v>605.0</v>
      </c>
      <c r="AO334" s="140">
        <v>147.91</v>
      </c>
      <c r="AP334" s="142">
        <v>57000.0</v>
      </c>
      <c r="AQ334" s="142">
        <v>198.0</v>
      </c>
      <c r="AR334" s="143"/>
      <c r="AS334" s="144">
        <v>0.9540307011061924</v>
      </c>
      <c r="AT334" s="144">
        <v>0.01546929889380766</v>
      </c>
      <c r="AU334" s="146" t="s">
        <v>1612</v>
      </c>
      <c r="AV334" s="146" t="s">
        <v>1612</v>
      </c>
      <c r="AW334" s="148" t="s">
        <v>1612</v>
      </c>
      <c r="AX334" s="151"/>
      <c r="AY334" s="105"/>
      <c r="AZ334" s="186"/>
      <c r="BA334" s="186"/>
      <c r="BB334" s="146"/>
      <c r="BC334" s="155"/>
      <c r="BD334" s="155"/>
      <c r="BE334" s="155"/>
      <c r="BF334" s="45"/>
    </row>
    <row r="335" ht="16.5" customHeight="1">
      <c r="A335" s="111">
        <v>332.0</v>
      </c>
      <c r="B335" s="165" t="s">
        <v>246</v>
      </c>
      <c r="C335" s="115" t="s">
        <v>60</v>
      </c>
      <c r="D335" s="157">
        <v>41795.0</v>
      </c>
      <c r="E335" s="117">
        <v>42320.0</v>
      </c>
      <c r="F335" s="79" t="s">
        <v>59</v>
      </c>
      <c r="G335" s="118">
        <v>43123.0</v>
      </c>
      <c r="H335" s="114">
        <v>82.0</v>
      </c>
      <c r="I335" s="120">
        <v>355.0</v>
      </c>
      <c r="J335" s="111" t="s">
        <v>61</v>
      </c>
      <c r="K335" s="121">
        <v>359.49</v>
      </c>
      <c r="L335" s="120" t="s">
        <v>63</v>
      </c>
      <c r="M335" s="120"/>
      <c r="N335" s="123"/>
      <c r="O335" s="124">
        <v>43123.0</v>
      </c>
      <c r="P335" s="124">
        <v>526.0</v>
      </c>
      <c r="Q335" s="111">
        <v>223.0</v>
      </c>
      <c r="R335" s="125">
        <v>399.0</v>
      </c>
      <c r="S335" s="126">
        <v>0.901</v>
      </c>
      <c r="T335" s="127">
        <v>69827.5</v>
      </c>
      <c r="U335" s="128">
        <f t="shared" si="2"/>
        <v>0</v>
      </c>
      <c r="V335" s="79" t="s">
        <v>65</v>
      </c>
      <c r="W335" s="79" t="s">
        <v>69</v>
      </c>
      <c r="X335" s="79" t="s">
        <v>66</v>
      </c>
      <c r="Y335" s="130">
        <v>0.9</v>
      </c>
      <c r="Z335" s="111"/>
      <c r="AA335" s="111">
        <v>392.0</v>
      </c>
      <c r="AB335" s="111" t="s">
        <v>61</v>
      </c>
      <c r="AC335" s="133"/>
      <c r="AD335" s="133"/>
      <c r="AE335" s="133"/>
      <c r="AF335" s="111"/>
      <c r="AG335" s="134" t="s">
        <v>1613</v>
      </c>
      <c r="AH335" s="73"/>
      <c r="AI335" s="135"/>
      <c r="AJ335" s="136"/>
      <c r="AK335" s="76"/>
      <c r="AL335" s="137"/>
      <c r="AM335" s="139">
        <v>397.0</v>
      </c>
      <c r="AN335" s="139">
        <v>526.0</v>
      </c>
      <c r="AO335" s="140">
        <v>130.57</v>
      </c>
      <c r="AP335" s="142">
        <v>43123.0</v>
      </c>
      <c r="AQ335" s="142">
        <v>223.0</v>
      </c>
      <c r="AR335" s="143"/>
      <c r="AS335" s="144">
        <v>0.958698022008921</v>
      </c>
      <c r="AT335" s="144">
        <v>-0.057698022008920935</v>
      </c>
      <c r="AU335" s="146" t="s">
        <v>1614</v>
      </c>
      <c r="AV335" s="146" t="s">
        <v>1614</v>
      </c>
      <c r="AW335" s="148" t="s">
        <v>1614</v>
      </c>
      <c r="AX335" s="151"/>
      <c r="AY335" s="105"/>
      <c r="AZ335" s="186"/>
      <c r="BA335" s="186"/>
      <c r="BB335" s="146"/>
      <c r="BC335" s="155"/>
      <c r="BD335" s="155"/>
      <c r="BE335" s="155"/>
      <c r="BF335" s="45"/>
    </row>
    <row r="336" ht="16.5" customHeight="1">
      <c r="A336" s="111">
        <v>333.0</v>
      </c>
      <c r="B336" s="112" t="s">
        <v>1454</v>
      </c>
      <c r="C336" s="115" t="s">
        <v>60</v>
      </c>
      <c r="D336" s="117">
        <v>42266.0</v>
      </c>
      <c r="E336" s="117">
        <v>42324.0</v>
      </c>
      <c r="F336" s="79" t="s">
        <v>118</v>
      </c>
      <c r="G336" s="118">
        <v>4400.0</v>
      </c>
      <c r="H336" s="114">
        <v>74.6</v>
      </c>
      <c r="I336" s="120">
        <v>350.0</v>
      </c>
      <c r="J336" s="111" t="s">
        <v>61</v>
      </c>
      <c r="K336" s="121">
        <v>354.43</v>
      </c>
      <c r="L336" s="120" t="s">
        <v>63</v>
      </c>
      <c r="M336" s="120"/>
      <c r="N336" s="120"/>
      <c r="O336" s="124">
        <v>4400.0</v>
      </c>
      <c r="P336" s="124">
        <v>59.0</v>
      </c>
      <c r="Q336" s="111">
        <v>205.0</v>
      </c>
      <c r="R336" s="125">
        <v>365.0</v>
      </c>
      <c r="S336" s="126">
        <v>0.971</v>
      </c>
      <c r="T336" s="127">
        <v>66804.8</v>
      </c>
      <c r="U336" s="128">
        <f t="shared" si="2"/>
        <v>0</v>
      </c>
      <c r="V336" s="79" t="s">
        <v>65</v>
      </c>
      <c r="W336" s="79" t="s">
        <v>64</v>
      </c>
      <c r="X336" s="79" t="s">
        <v>68</v>
      </c>
      <c r="Y336" s="130">
        <v>0.9</v>
      </c>
      <c r="Z336" s="111">
        <v>11.0</v>
      </c>
      <c r="AA336" s="111">
        <v>360.0</v>
      </c>
      <c r="AB336" s="111" t="s">
        <v>62</v>
      </c>
      <c r="AC336" s="111">
        <v>323.0</v>
      </c>
      <c r="AD336" s="133"/>
      <c r="AE336" s="133"/>
      <c r="AF336" s="111"/>
      <c r="AG336" s="147"/>
      <c r="AH336" s="73" t="s">
        <v>74</v>
      </c>
      <c r="AI336" s="135"/>
      <c r="AJ336" s="136"/>
      <c r="AK336" s="76"/>
      <c r="AL336" s="137"/>
      <c r="AM336" s="139">
        <v>360.0</v>
      </c>
      <c r="AN336" s="139">
        <v>59.0</v>
      </c>
      <c r="AO336" s="140">
        <v>13.31</v>
      </c>
      <c r="AP336" s="142">
        <v>4400.0</v>
      </c>
      <c r="AQ336" s="142">
        <v>205.0</v>
      </c>
      <c r="AR336" s="143"/>
      <c r="AS336" s="144">
        <v>0.9918598267146402</v>
      </c>
      <c r="AT336" s="144">
        <v>-0.02085982671464026</v>
      </c>
      <c r="AU336" s="146" t="s">
        <v>1616</v>
      </c>
      <c r="AV336" s="146" t="s">
        <v>1616</v>
      </c>
      <c r="AW336" s="148" t="s">
        <v>1616</v>
      </c>
      <c r="AX336" s="151"/>
      <c r="AY336" s="105"/>
      <c r="AZ336" s="186"/>
      <c r="BA336" s="186"/>
      <c r="BB336" s="146"/>
      <c r="BC336" s="155"/>
      <c r="BD336" s="155"/>
      <c r="BE336" s="155"/>
      <c r="BF336" s="45"/>
    </row>
    <row r="337" ht="16.5" customHeight="1">
      <c r="A337" s="111">
        <v>334.0</v>
      </c>
      <c r="B337" s="112" t="s">
        <v>1617</v>
      </c>
      <c r="C337" s="115" t="s">
        <v>60</v>
      </c>
      <c r="D337" s="117">
        <v>41902.0</v>
      </c>
      <c r="E337" s="117">
        <v>42332.0</v>
      </c>
      <c r="F337" s="79" t="s">
        <v>59</v>
      </c>
      <c r="G337" s="118">
        <v>26550.0</v>
      </c>
      <c r="H337" s="114">
        <v>61.6</v>
      </c>
      <c r="I337" s="120">
        <v>375.0</v>
      </c>
      <c r="J337" s="111" t="s">
        <v>61</v>
      </c>
      <c r="K337" s="121">
        <v>379.75</v>
      </c>
      <c r="L337" s="120" t="s">
        <v>63</v>
      </c>
      <c r="M337" s="120"/>
      <c r="N337" s="120"/>
      <c r="O337" s="124">
        <v>26550.0</v>
      </c>
      <c r="P337" s="124">
        <v>431.0</v>
      </c>
      <c r="Q337" s="111">
        <v>246.0</v>
      </c>
      <c r="R337" s="125">
        <v>399.0</v>
      </c>
      <c r="S337" s="126">
        <v>0.9518</v>
      </c>
      <c r="T337" s="127">
        <v>73764.5</v>
      </c>
      <c r="U337" s="128">
        <f t="shared" si="2"/>
        <v>0</v>
      </c>
      <c r="V337" s="79" t="s">
        <v>69</v>
      </c>
      <c r="W337" s="79" t="s">
        <v>69</v>
      </c>
      <c r="X337" s="79" t="s">
        <v>69</v>
      </c>
      <c r="Y337" s="130">
        <v>0.8</v>
      </c>
      <c r="Z337" s="111">
        <v>11.0</v>
      </c>
      <c r="AA337" s="133"/>
      <c r="AB337" s="133"/>
      <c r="AC337" s="133"/>
      <c r="AD337" s="133"/>
      <c r="AE337" s="133"/>
      <c r="AF337" s="111"/>
      <c r="AG337" s="147"/>
      <c r="AH337" s="73"/>
      <c r="AI337" s="135"/>
      <c r="AJ337" s="136"/>
      <c r="AK337" s="76"/>
      <c r="AL337" s="137"/>
      <c r="AM337" s="139" t="s">
        <v>71</v>
      </c>
      <c r="AN337" s="139">
        <v>431.0</v>
      </c>
      <c r="AO337" s="140">
        <v>86.37</v>
      </c>
      <c r="AP337" s="142">
        <v>26550.0</v>
      </c>
      <c r="AQ337" s="142">
        <v>246.0</v>
      </c>
      <c r="AR337" s="143"/>
      <c r="AS337" s="144">
        <v>0.9674530281555471</v>
      </c>
      <c r="AT337" s="144">
        <v>-0.015653028155547144</v>
      </c>
      <c r="AU337" s="146" t="s">
        <v>1619</v>
      </c>
      <c r="AV337" s="146" t="s">
        <v>1619</v>
      </c>
      <c r="AW337" s="148" t="s">
        <v>1619</v>
      </c>
      <c r="AX337" s="151"/>
      <c r="AY337" s="105"/>
      <c r="AZ337" s="186"/>
      <c r="BA337" s="186"/>
      <c r="BB337" s="146"/>
      <c r="BC337" s="155"/>
      <c r="BD337" s="155"/>
      <c r="BE337" s="155"/>
      <c r="BF337" s="45"/>
    </row>
    <row r="338" ht="16.5" customHeight="1">
      <c r="A338" s="111">
        <v>335.0</v>
      </c>
      <c r="B338" s="112" t="s">
        <v>623</v>
      </c>
      <c r="C338" s="115" t="s">
        <v>60</v>
      </c>
      <c r="D338" s="117">
        <v>41794.0</v>
      </c>
      <c r="E338" s="117">
        <v>42331.0</v>
      </c>
      <c r="F338" s="79" t="s">
        <v>59</v>
      </c>
      <c r="G338" s="118">
        <v>81552.0</v>
      </c>
      <c r="H338" s="114">
        <v>151.6</v>
      </c>
      <c r="I338" s="120">
        <v>366.0</v>
      </c>
      <c r="J338" s="111" t="s">
        <v>62</v>
      </c>
      <c r="K338" s="121">
        <v>366.0</v>
      </c>
      <c r="L338" s="120" t="s">
        <v>63</v>
      </c>
      <c r="M338" s="120"/>
      <c r="N338" s="120"/>
      <c r="O338" s="124">
        <v>81552.0</v>
      </c>
      <c r="P338" s="124">
        <v>538.0</v>
      </c>
      <c r="Q338" s="111">
        <v>185.0</v>
      </c>
      <c r="R338" s="125">
        <v>399.0</v>
      </c>
      <c r="S338" s="126">
        <v>0.9173</v>
      </c>
      <c r="T338" s="127">
        <v>71090.75</v>
      </c>
      <c r="U338" s="128">
        <f t="shared" si="2"/>
        <v>0</v>
      </c>
      <c r="V338" s="79" t="s">
        <v>65</v>
      </c>
      <c r="W338" s="79" t="s">
        <v>64</v>
      </c>
      <c r="X338" s="79" t="s">
        <v>69</v>
      </c>
      <c r="Y338" s="130">
        <v>0.9</v>
      </c>
      <c r="Z338" s="111">
        <v>10.0</v>
      </c>
      <c r="AA338" s="111">
        <v>399.0</v>
      </c>
      <c r="AB338" s="111" t="s">
        <v>61</v>
      </c>
      <c r="AC338" s="133"/>
      <c r="AD338" s="133"/>
      <c r="AE338" s="133"/>
      <c r="AF338" s="111"/>
      <c r="AG338" s="134" t="s">
        <v>1620</v>
      </c>
      <c r="AH338" s="73"/>
      <c r="AI338" s="135"/>
      <c r="AJ338" s="136"/>
      <c r="AK338" s="76"/>
      <c r="AL338" s="137"/>
      <c r="AM338" s="139">
        <v>404.0</v>
      </c>
      <c r="AN338" s="139">
        <v>538.0</v>
      </c>
      <c r="AO338" s="140">
        <v>203.09</v>
      </c>
      <c r="AP338" s="142">
        <v>81552.0</v>
      </c>
      <c r="AQ338" s="142">
        <v>185.0</v>
      </c>
      <c r="AR338" s="143"/>
      <c r="AS338" s="144">
        <v>0.948339026175784</v>
      </c>
      <c r="AT338" s="144">
        <v>-0.031039026175784024</v>
      </c>
      <c r="AU338" s="146" t="s">
        <v>1621</v>
      </c>
      <c r="AV338" s="146" t="s">
        <v>1621</v>
      </c>
      <c r="AW338" s="148" t="s">
        <v>1621</v>
      </c>
      <c r="AX338" s="151"/>
      <c r="AY338" s="105"/>
      <c r="AZ338" s="186"/>
      <c r="BA338" s="186"/>
      <c r="BB338" s="146"/>
      <c r="BC338" s="155"/>
      <c r="BD338" s="155"/>
      <c r="BE338" s="155"/>
      <c r="BF338" s="45"/>
    </row>
    <row r="339" ht="16.5" customHeight="1">
      <c r="A339" s="111">
        <v>336.0</v>
      </c>
      <c r="B339" s="112" t="s">
        <v>1623</v>
      </c>
      <c r="C339" s="115" t="s">
        <v>60</v>
      </c>
      <c r="D339" s="117">
        <v>41593.0</v>
      </c>
      <c r="E339" s="117">
        <v>42338.0</v>
      </c>
      <c r="F339" s="79" t="s">
        <v>59</v>
      </c>
      <c r="G339" s="118">
        <v>24281.0</v>
      </c>
      <c r="H339" s="114">
        <v>32.5</v>
      </c>
      <c r="I339" s="120">
        <v>377.0</v>
      </c>
      <c r="J339" s="111" t="s">
        <v>61</v>
      </c>
      <c r="K339" s="121">
        <v>381.77</v>
      </c>
      <c r="L339" s="120" t="s">
        <v>63</v>
      </c>
      <c r="M339" s="120"/>
      <c r="N339" s="120"/>
      <c r="O339" s="124">
        <v>24281.0</v>
      </c>
      <c r="P339" s="124">
        <v>746.0</v>
      </c>
      <c r="Q339" s="111">
        <v>223.0</v>
      </c>
      <c r="R339" s="125">
        <v>399.0</v>
      </c>
      <c r="S339" s="126">
        <v>0.9568</v>
      </c>
      <c r="T339" s="127">
        <v>74152.0</v>
      </c>
      <c r="U339" s="128">
        <f t="shared" si="2"/>
        <v>0</v>
      </c>
      <c r="V339" s="79" t="s">
        <v>66</v>
      </c>
      <c r="W339" s="79" t="s">
        <v>66</v>
      </c>
      <c r="X339" s="79" t="s">
        <v>68</v>
      </c>
      <c r="Y339" s="130">
        <v>0.8</v>
      </c>
      <c r="Z339" s="111">
        <v>11.0</v>
      </c>
      <c r="AA339" s="111">
        <v>400.0</v>
      </c>
      <c r="AB339" s="111" t="s">
        <v>61</v>
      </c>
      <c r="AC339" s="133"/>
      <c r="AD339" s="133"/>
      <c r="AE339" s="133"/>
      <c r="AF339" s="111"/>
      <c r="AG339" s="147"/>
      <c r="AH339" s="73"/>
      <c r="AI339" s="135"/>
      <c r="AJ339" s="136"/>
      <c r="AK339" s="76"/>
      <c r="AL339" s="137"/>
      <c r="AM339" s="139">
        <v>405.0</v>
      </c>
      <c r="AN339" s="139">
        <v>746.0</v>
      </c>
      <c r="AO339" s="140">
        <v>71.44</v>
      </c>
      <c r="AP339" s="142">
        <v>24281.0</v>
      </c>
      <c r="AQ339" s="142">
        <v>223.0</v>
      </c>
      <c r="AR339" s="143"/>
      <c r="AS339" s="144">
        <v>0.96909158166733</v>
      </c>
      <c r="AT339" s="144">
        <v>-0.01229158166733002</v>
      </c>
      <c r="AU339" s="146" t="s">
        <v>1626</v>
      </c>
      <c r="AV339" s="146" t="s">
        <v>1626</v>
      </c>
      <c r="AW339" s="148" t="s">
        <v>1626</v>
      </c>
      <c r="AX339" s="151"/>
      <c r="AY339" s="105"/>
      <c r="AZ339" s="186"/>
      <c r="BA339" s="186"/>
      <c r="BB339" s="146"/>
      <c r="BC339" s="155"/>
      <c r="BD339" s="155"/>
      <c r="BE339" s="155"/>
      <c r="BF339" s="45"/>
    </row>
    <row r="340" ht="16.5" customHeight="1">
      <c r="A340" s="111">
        <v>337.0</v>
      </c>
      <c r="B340" s="112" t="s">
        <v>192</v>
      </c>
      <c r="C340" s="115" t="s">
        <v>60</v>
      </c>
      <c r="D340" s="117">
        <v>41607.0</v>
      </c>
      <c r="E340" s="117">
        <v>42338.0</v>
      </c>
      <c r="F340" s="79" t="s">
        <v>79</v>
      </c>
      <c r="G340" s="118">
        <v>56138.0</v>
      </c>
      <c r="H340" s="114">
        <v>76.7</v>
      </c>
      <c r="I340" s="120">
        <v>377.0</v>
      </c>
      <c r="J340" s="111" t="s">
        <v>62</v>
      </c>
      <c r="K340" s="121">
        <v>377.0</v>
      </c>
      <c r="L340" s="120" t="s">
        <v>195</v>
      </c>
      <c r="M340" s="120" t="s">
        <v>281</v>
      </c>
      <c r="N340" s="120">
        <v>2100.0</v>
      </c>
      <c r="O340" s="124">
        <v>54038.0</v>
      </c>
      <c r="P340" s="124">
        <v>705.0</v>
      </c>
      <c r="Q340" s="111">
        <v>246.0</v>
      </c>
      <c r="R340" s="125">
        <v>399.0</v>
      </c>
      <c r="S340" s="126">
        <v>0.9449</v>
      </c>
      <c r="T340" s="127">
        <v>73229.75</v>
      </c>
      <c r="U340" s="128">
        <f t="shared" si="2"/>
        <v>0</v>
      </c>
      <c r="V340" s="79" t="s">
        <v>64</v>
      </c>
      <c r="W340" s="79" t="s">
        <v>69</v>
      </c>
      <c r="X340" s="79" t="s">
        <v>69</v>
      </c>
      <c r="Y340" s="130">
        <v>0.8</v>
      </c>
      <c r="Z340" s="111">
        <v>11.0</v>
      </c>
      <c r="AA340" s="111">
        <v>400.0</v>
      </c>
      <c r="AB340" s="111" t="s">
        <v>61</v>
      </c>
      <c r="AC340" s="133"/>
      <c r="AD340" s="133"/>
      <c r="AE340" s="133"/>
      <c r="AF340" s="111"/>
      <c r="AG340" s="147"/>
      <c r="AH340" s="73"/>
      <c r="AI340" s="135"/>
      <c r="AJ340" s="136"/>
      <c r="AK340" s="76"/>
      <c r="AL340" s="137"/>
      <c r="AM340" s="139">
        <v>405.0</v>
      </c>
      <c r="AN340" s="139">
        <v>732.0</v>
      </c>
      <c r="AO340" s="140">
        <v>176.42</v>
      </c>
      <c r="AP340" s="142">
        <v>54038.0</v>
      </c>
      <c r="AQ340" s="142">
        <v>246.0</v>
      </c>
      <c r="AR340" s="143"/>
      <c r="AS340" s="144">
        <v>0.9548989662208534</v>
      </c>
      <c r="AT340" s="144">
        <v>-0.00999896622085339</v>
      </c>
      <c r="AU340" s="146" t="s">
        <v>1631</v>
      </c>
      <c r="AV340" s="146" t="s">
        <v>1631</v>
      </c>
      <c r="AW340" s="148" t="s">
        <v>1631</v>
      </c>
      <c r="AX340" s="151"/>
      <c r="AY340" s="105"/>
      <c r="AZ340" s="186"/>
      <c r="BA340" s="186"/>
      <c r="BB340" s="146"/>
      <c r="BC340" s="155"/>
      <c r="BD340" s="155"/>
      <c r="BE340" s="155"/>
      <c r="BF340" s="45"/>
    </row>
    <row r="341" ht="16.5" customHeight="1">
      <c r="A341" s="111">
        <v>338.0</v>
      </c>
      <c r="B341" s="112" t="s">
        <v>1633</v>
      </c>
      <c r="C341" s="115" t="s">
        <v>60</v>
      </c>
      <c r="D341" s="117">
        <v>42331.0</v>
      </c>
      <c r="E341" s="117">
        <v>42332.0</v>
      </c>
      <c r="F341" s="79" t="s">
        <v>86</v>
      </c>
      <c r="G341" s="118">
        <v>12.0</v>
      </c>
      <c r="H341" s="114">
        <v>6.0</v>
      </c>
      <c r="I341" s="120">
        <v>420.0</v>
      </c>
      <c r="J341" s="111" t="s">
        <v>61</v>
      </c>
      <c r="K341" s="121">
        <v>425.32</v>
      </c>
      <c r="L341" s="120" t="s">
        <v>63</v>
      </c>
      <c r="M341" s="120"/>
      <c r="N341" s="120"/>
      <c r="O341" s="124">
        <v>12.0</v>
      </c>
      <c r="P341" s="124">
        <v>2.0</v>
      </c>
      <c r="Q341" s="111">
        <v>210.0</v>
      </c>
      <c r="R341" s="125">
        <v>430.0</v>
      </c>
      <c r="S341" s="126">
        <v>0.9891</v>
      </c>
      <c r="T341" s="127">
        <v>76655.25</v>
      </c>
      <c r="U341" s="128">
        <f t="shared" si="2"/>
        <v>0</v>
      </c>
      <c r="V341" s="79" t="s">
        <v>64</v>
      </c>
      <c r="W341" s="79" t="s">
        <v>65</v>
      </c>
      <c r="X341" s="79" t="s">
        <v>68</v>
      </c>
      <c r="Y341" s="130">
        <v>0.9</v>
      </c>
      <c r="Z341" s="111">
        <v>8.0</v>
      </c>
      <c r="AA341" s="111">
        <v>420.0</v>
      </c>
      <c r="AB341" s="111" t="s">
        <v>61</v>
      </c>
      <c r="AC341" s="133"/>
      <c r="AD341" s="133"/>
      <c r="AE341" s="133"/>
      <c r="AF341" s="111"/>
      <c r="AG341" s="134" t="s">
        <v>1635</v>
      </c>
      <c r="AH341" s="73"/>
      <c r="AI341" s="135"/>
      <c r="AJ341" s="136"/>
      <c r="AK341" s="76"/>
      <c r="AL341" s="137"/>
      <c r="AM341" s="139">
        <v>425.0</v>
      </c>
      <c r="AN341" s="139">
        <v>2.0</v>
      </c>
      <c r="AO341" s="140">
        <v>0.03</v>
      </c>
      <c r="AP341" s="142">
        <v>12.0</v>
      </c>
      <c r="AQ341" s="142">
        <v>210.0</v>
      </c>
      <c r="AR341" s="143"/>
      <c r="AS341" s="144">
        <v>0.999975623824967</v>
      </c>
      <c r="AT341" s="144">
        <v>-0.010875623824966985</v>
      </c>
      <c r="AU341" s="146" t="s">
        <v>1636</v>
      </c>
      <c r="AV341" s="146" t="s">
        <v>1636</v>
      </c>
      <c r="AW341" s="148" t="s">
        <v>1636</v>
      </c>
      <c r="AX341" s="151"/>
      <c r="AY341" s="105"/>
      <c r="AZ341" s="186"/>
      <c r="BA341" s="186"/>
      <c r="BB341" s="146"/>
      <c r="BC341" s="155"/>
      <c r="BD341" s="155"/>
      <c r="BE341" s="155"/>
      <c r="BF341" s="45"/>
    </row>
    <row r="342" ht="16.5" customHeight="1">
      <c r="A342" s="111">
        <v>339.0</v>
      </c>
      <c r="B342" s="112" t="s">
        <v>1637</v>
      </c>
      <c r="C342" s="115" t="s">
        <v>60</v>
      </c>
      <c r="D342" s="117">
        <v>42235.0</v>
      </c>
      <c r="E342" s="117">
        <v>42297.0</v>
      </c>
      <c r="F342" s="79" t="s">
        <v>118</v>
      </c>
      <c r="G342" s="118">
        <v>2359.0</v>
      </c>
      <c r="H342" s="114">
        <v>37.4</v>
      </c>
      <c r="I342" s="120">
        <v>362.0</v>
      </c>
      <c r="J342" s="111" t="s">
        <v>61</v>
      </c>
      <c r="K342" s="121">
        <v>366.58</v>
      </c>
      <c r="L342" s="120" t="s">
        <v>63</v>
      </c>
      <c r="M342" s="120"/>
      <c r="N342" s="120"/>
      <c r="O342" s="124">
        <v>2359.0</v>
      </c>
      <c r="P342" s="124">
        <v>63.0</v>
      </c>
      <c r="Q342" s="111">
        <v>216.0</v>
      </c>
      <c r="R342" s="125">
        <v>365.0</v>
      </c>
      <c r="S342" s="126">
        <v>1.0043</v>
      </c>
      <c r="T342" s="127">
        <v>69095.84</v>
      </c>
      <c r="U342" s="128">
        <f t="shared" si="2"/>
        <v>0</v>
      </c>
      <c r="V342" s="79" t="s">
        <v>80</v>
      </c>
      <c r="W342" s="79" t="s">
        <v>64</v>
      </c>
      <c r="X342" s="79" t="s">
        <v>68</v>
      </c>
      <c r="Y342" s="130">
        <v>0.9</v>
      </c>
      <c r="Z342" s="111">
        <v>11.0</v>
      </c>
      <c r="AA342" s="111">
        <v>362.0</v>
      </c>
      <c r="AB342" s="111" t="s">
        <v>61</v>
      </c>
      <c r="AC342" s="133"/>
      <c r="AD342" s="133"/>
      <c r="AE342" s="133"/>
      <c r="AF342" s="111"/>
      <c r="AG342" s="147"/>
      <c r="AH342" s="73"/>
      <c r="AI342" s="135"/>
      <c r="AJ342" s="136"/>
      <c r="AK342" s="76"/>
      <c r="AL342" s="137"/>
      <c r="AM342" s="139">
        <v>367.0</v>
      </c>
      <c r="AN342" s="139">
        <v>63.0</v>
      </c>
      <c r="AO342" s="140">
        <v>7.39</v>
      </c>
      <c r="AP342" s="142">
        <v>2359.0</v>
      </c>
      <c r="AQ342" s="142">
        <v>216.0</v>
      </c>
      <c r="AR342" s="143"/>
      <c r="AS342" s="144">
        <v>0.9954440786027934</v>
      </c>
      <c r="AT342" s="144">
        <v>0.00885592139720659</v>
      </c>
      <c r="AU342" s="146" t="s">
        <v>1641</v>
      </c>
      <c r="AV342" s="146" t="s">
        <v>1641</v>
      </c>
      <c r="AW342" s="148" t="s">
        <v>1641</v>
      </c>
      <c r="AX342" s="151"/>
      <c r="AY342" s="105"/>
      <c r="AZ342" s="186"/>
      <c r="BA342" s="186"/>
      <c r="BB342" s="146"/>
      <c r="BC342" s="155"/>
      <c r="BD342" s="155"/>
      <c r="BE342" s="155"/>
      <c r="BF342" s="45"/>
    </row>
    <row r="343" ht="16.5" customHeight="1">
      <c r="A343" s="111">
        <v>340.0</v>
      </c>
      <c r="B343" s="112" t="s">
        <v>1637</v>
      </c>
      <c r="C343" s="115" t="s">
        <v>60</v>
      </c>
      <c r="D343" s="117">
        <v>42235.0</v>
      </c>
      <c r="E343" s="117">
        <v>42318.0</v>
      </c>
      <c r="F343" s="79" t="s">
        <v>118</v>
      </c>
      <c r="G343" s="118">
        <v>6300.0</v>
      </c>
      <c r="H343" s="114">
        <v>75.0</v>
      </c>
      <c r="I343" s="120">
        <v>367.0</v>
      </c>
      <c r="J343" s="111" t="s">
        <v>61</v>
      </c>
      <c r="K343" s="121">
        <v>371.65</v>
      </c>
      <c r="L343" s="120" t="s">
        <v>63</v>
      </c>
      <c r="M343" s="120"/>
      <c r="N343" s="120"/>
      <c r="O343" s="124">
        <v>6300.0</v>
      </c>
      <c r="P343" s="124">
        <v>84.0</v>
      </c>
      <c r="Q343" s="111">
        <v>223.0</v>
      </c>
      <c r="R343" s="125">
        <v>365.0</v>
      </c>
      <c r="S343" s="126">
        <v>1.0182</v>
      </c>
      <c r="T343" s="127">
        <v>70052.16</v>
      </c>
      <c r="U343" s="128">
        <f t="shared" si="2"/>
        <v>0</v>
      </c>
      <c r="V343" s="79" t="s">
        <v>80</v>
      </c>
      <c r="W343" s="79" t="s">
        <v>64</v>
      </c>
      <c r="X343" s="79" t="s">
        <v>68</v>
      </c>
      <c r="Y343" s="130">
        <v>0.9</v>
      </c>
      <c r="Z343" s="111">
        <v>11.0</v>
      </c>
      <c r="AA343" s="111">
        <v>362.0</v>
      </c>
      <c r="AB343" s="111" t="s">
        <v>61</v>
      </c>
      <c r="AC343" s="133"/>
      <c r="AD343" s="133"/>
      <c r="AE343" s="133"/>
      <c r="AF343" s="111"/>
      <c r="AG343" s="147"/>
      <c r="AH343" s="73"/>
      <c r="AI343" s="135"/>
      <c r="AJ343" s="136"/>
      <c r="AK343" s="76"/>
      <c r="AL343" s="137"/>
      <c r="AM343" s="139">
        <v>367.0</v>
      </c>
      <c r="AN343" s="139">
        <v>84.0</v>
      </c>
      <c r="AO343" s="140">
        <v>20.24</v>
      </c>
      <c r="AP343" s="142">
        <v>6300.0</v>
      </c>
      <c r="AQ343" s="142">
        <v>223.0</v>
      </c>
      <c r="AR343" s="143"/>
      <c r="AS343" s="144">
        <v>0.9887931270368736</v>
      </c>
      <c r="AT343" s="144">
        <v>0.029406872963126385</v>
      </c>
      <c r="AU343" s="146" t="s">
        <v>1649</v>
      </c>
      <c r="AV343" s="146" t="s">
        <v>1649</v>
      </c>
      <c r="AW343" s="148" t="s">
        <v>1649</v>
      </c>
      <c r="AX343" s="151"/>
      <c r="AY343" s="105"/>
      <c r="AZ343" s="186"/>
      <c r="BA343" s="186"/>
      <c r="BB343" s="146"/>
      <c r="BC343" s="155"/>
      <c r="BD343" s="155"/>
      <c r="BE343" s="155"/>
      <c r="BF343" s="45"/>
    </row>
    <row r="344" ht="16.5" customHeight="1">
      <c r="A344" s="111">
        <v>341.0</v>
      </c>
      <c r="B344" s="112" t="s">
        <v>1637</v>
      </c>
      <c r="C344" s="115" t="s">
        <v>60</v>
      </c>
      <c r="D344" s="117">
        <v>42235.0</v>
      </c>
      <c r="E344" s="117">
        <v>42341.0</v>
      </c>
      <c r="F344" s="79" t="s">
        <v>118</v>
      </c>
      <c r="G344" s="118">
        <v>9199.0</v>
      </c>
      <c r="H344" s="114">
        <v>86.0</v>
      </c>
      <c r="I344" s="120">
        <v>362.0</v>
      </c>
      <c r="J344" s="111" t="s">
        <v>61</v>
      </c>
      <c r="K344" s="121">
        <v>366.58</v>
      </c>
      <c r="L344" s="120" t="s">
        <v>63</v>
      </c>
      <c r="M344" s="120"/>
      <c r="N344" s="120"/>
      <c r="O344" s="124">
        <v>9199.0</v>
      </c>
      <c r="P344" s="124">
        <v>107.0</v>
      </c>
      <c r="Q344" s="111">
        <v>221.0</v>
      </c>
      <c r="R344" s="125">
        <v>365.0</v>
      </c>
      <c r="S344" s="126">
        <v>1.0043</v>
      </c>
      <c r="T344" s="127">
        <v>69095.84</v>
      </c>
      <c r="U344" s="128">
        <f t="shared" si="2"/>
        <v>0</v>
      </c>
      <c r="V344" s="79"/>
      <c r="W344" s="79"/>
      <c r="X344" s="79"/>
      <c r="Y344" s="130"/>
      <c r="Z344" s="111"/>
      <c r="AA344" s="133"/>
      <c r="AB344" s="133"/>
      <c r="AC344" s="133"/>
      <c r="AD344" s="133"/>
      <c r="AE344" s="133"/>
      <c r="AF344" s="111"/>
      <c r="AG344" s="147"/>
      <c r="AH344" s="73"/>
      <c r="AI344" s="135"/>
      <c r="AJ344" s="136"/>
      <c r="AK344" s="76"/>
      <c r="AL344" s="137"/>
      <c r="AM344" s="139" t="s">
        <v>71</v>
      </c>
      <c r="AN344" s="139">
        <v>107.0</v>
      </c>
      <c r="AO344" s="140">
        <v>29.49</v>
      </c>
      <c r="AP344" s="142">
        <v>9199.0</v>
      </c>
      <c r="AQ344" s="142">
        <v>221.0</v>
      </c>
      <c r="AR344" s="143"/>
      <c r="AS344" s="144">
        <v>0.9845645488950364</v>
      </c>
      <c r="AT344" s="144">
        <v>0.019735451104963553</v>
      </c>
      <c r="AU344" s="146" t="s">
        <v>1651</v>
      </c>
      <c r="AV344" s="146" t="s">
        <v>1651</v>
      </c>
      <c r="AW344" s="148" t="s">
        <v>1651</v>
      </c>
      <c r="AX344" s="151"/>
      <c r="AY344" s="105"/>
      <c r="AZ344" s="186"/>
      <c r="BA344" s="186"/>
      <c r="BB344" s="146"/>
      <c r="BC344" s="155"/>
      <c r="BD344" s="155"/>
      <c r="BE344" s="155"/>
      <c r="BF344" s="45"/>
    </row>
    <row r="345" ht="16.5" customHeight="1">
      <c r="A345" s="111">
        <v>342.0</v>
      </c>
      <c r="B345" s="112" t="s">
        <v>1493</v>
      </c>
      <c r="C345" s="115" t="s">
        <v>60</v>
      </c>
      <c r="D345" s="117">
        <v>41629.0</v>
      </c>
      <c r="E345" s="117">
        <v>42343.0</v>
      </c>
      <c r="F345" s="79" t="s">
        <v>59</v>
      </c>
      <c r="G345" s="118">
        <v>63000.0</v>
      </c>
      <c r="H345" s="114">
        <v>88.1</v>
      </c>
      <c r="I345" s="120">
        <v>365.0</v>
      </c>
      <c r="J345" s="111" t="s">
        <v>62</v>
      </c>
      <c r="K345" s="121">
        <v>365.0</v>
      </c>
      <c r="L345" s="120" t="s">
        <v>63</v>
      </c>
      <c r="M345" s="120"/>
      <c r="N345" s="120"/>
      <c r="O345" s="124">
        <v>63000.0</v>
      </c>
      <c r="P345" s="124">
        <v>715.0</v>
      </c>
      <c r="Q345" s="111">
        <v>212.0</v>
      </c>
      <c r="R345" s="125">
        <v>399.0</v>
      </c>
      <c r="S345" s="126">
        <v>0.9148</v>
      </c>
      <c r="T345" s="127">
        <v>70897.0</v>
      </c>
      <c r="U345" s="128">
        <f t="shared" si="2"/>
        <v>0</v>
      </c>
      <c r="V345" s="79" t="s">
        <v>65</v>
      </c>
      <c r="W345" s="79" t="s">
        <v>64</v>
      </c>
      <c r="X345" s="79" t="s">
        <v>66</v>
      </c>
      <c r="Y345" s="130">
        <v>0.9</v>
      </c>
      <c r="Z345" s="111" t="s">
        <v>1494</v>
      </c>
      <c r="AA345" s="111">
        <v>400.0</v>
      </c>
      <c r="AB345" s="111" t="s">
        <v>61</v>
      </c>
      <c r="AC345" s="133"/>
      <c r="AD345" s="133"/>
      <c r="AE345" s="133"/>
      <c r="AF345" s="111"/>
      <c r="AG345" s="147"/>
      <c r="AH345" s="73"/>
      <c r="AI345" s="135"/>
      <c r="AJ345" s="136"/>
      <c r="AK345" s="76"/>
      <c r="AL345" s="137"/>
      <c r="AM345" s="139">
        <v>405.0</v>
      </c>
      <c r="AN345" s="139">
        <v>715.0</v>
      </c>
      <c r="AO345" s="140">
        <v>180.03</v>
      </c>
      <c r="AP345" s="142">
        <v>63000.0</v>
      </c>
      <c r="AQ345" s="142">
        <v>212.0</v>
      </c>
      <c r="AR345" s="143"/>
      <c r="AS345" s="144">
        <v>0.9524266178913147</v>
      </c>
      <c r="AT345" s="144">
        <v>-0.03762661789131472</v>
      </c>
      <c r="AU345" s="146" t="s">
        <v>1653</v>
      </c>
      <c r="AV345" s="146" t="s">
        <v>1653</v>
      </c>
      <c r="AW345" s="148" t="s">
        <v>1653</v>
      </c>
      <c r="AX345" s="151"/>
      <c r="AY345" s="105"/>
      <c r="AZ345" s="186"/>
      <c r="BA345" s="186"/>
      <c r="BB345" s="146"/>
      <c r="BC345" s="155"/>
      <c r="BD345" s="155"/>
      <c r="BE345" s="155"/>
      <c r="BF345" s="45"/>
    </row>
    <row r="346" ht="16.5" customHeight="1">
      <c r="A346" s="111">
        <v>343.0</v>
      </c>
      <c r="B346" s="112" t="s">
        <v>1611</v>
      </c>
      <c r="C346" s="115" t="s">
        <v>60</v>
      </c>
      <c r="D346" s="117">
        <v>41715.0</v>
      </c>
      <c r="E346" s="117">
        <v>42345.0</v>
      </c>
      <c r="F346" s="79" t="s">
        <v>79</v>
      </c>
      <c r="G346" s="118">
        <v>60000.0</v>
      </c>
      <c r="H346" s="114">
        <v>95.1</v>
      </c>
      <c r="I346" s="120">
        <v>379.0</v>
      </c>
      <c r="J346" s="111" t="s">
        <v>61</v>
      </c>
      <c r="K346" s="121">
        <v>383.8</v>
      </c>
      <c r="L346" s="120" t="s">
        <v>63</v>
      </c>
      <c r="M346" s="120"/>
      <c r="N346" s="120"/>
      <c r="O346" s="124">
        <v>60000.0</v>
      </c>
      <c r="P346" s="124">
        <v>631.0</v>
      </c>
      <c r="Q346" s="111">
        <v>199.0</v>
      </c>
      <c r="R346" s="125">
        <v>399.0</v>
      </c>
      <c r="S346" s="126">
        <v>0.9619</v>
      </c>
      <c r="T346" s="127">
        <v>74547.25</v>
      </c>
      <c r="U346" s="128">
        <f t="shared" si="2"/>
        <v>0</v>
      </c>
      <c r="V346" s="79" t="s">
        <v>69</v>
      </c>
      <c r="W346" s="79" t="s">
        <v>64</v>
      </c>
      <c r="X346" s="79" t="s">
        <v>68</v>
      </c>
      <c r="Y346" s="130">
        <v>0.9</v>
      </c>
      <c r="Z346" s="111">
        <v>11.0</v>
      </c>
      <c r="AA346" s="111">
        <v>392.0</v>
      </c>
      <c r="AB346" s="111" t="s">
        <v>61</v>
      </c>
      <c r="AC346" s="133"/>
      <c r="AD346" s="133"/>
      <c r="AE346" s="133"/>
      <c r="AF346" s="111"/>
      <c r="AG346" s="147"/>
      <c r="AH346" s="73"/>
      <c r="AI346" s="135"/>
      <c r="AJ346" s="136"/>
      <c r="AK346" s="76"/>
      <c r="AL346" s="137"/>
      <c r="AM346" s="139">
        <v>397.0</v>
      </c>
      <c r="AN346" s="139">
        <v>631.0</v>
      </c>
      <c r="AO346" s="140">
        <v>157.08</v>
      </c>
      <c r="AP346" s="142">
        <v>60000.0</v>
      </c>
      <c r="AQ346" s="142">
        <v>199.0</v>
      </c>
      <c r="AR346" s="143"/>
      <c r="AS346" s="144">
        <v>0.9532051308229729</v>
      </c>
      <c r="AT346" s="144">
        <v>0.00869486917702711</v>
      </c>
      <c r="AU346" s="146" t="s">
        <v>1655</v>
      </c>
      <c r="AV346" s="146" t="s">
        <v>1655</v>
      </c>
      <c r="AW346" s="148" t="s">
        <v>1655</v>
      </c>
      <c r="AX346" s="151"/>
      <c r="AY346" s="105"/>
      <c r="AZ346" s="186"/>
      <c r="BA346" s="186"/>
      <c r="BB346" s="146"/>
      <c r="BC346" s="155"/>
      <c r="BD346" s="155"/>
      <c r="BE346" s="155"/>
      <c r="BF346" s="45"/>
    </row>
    <row r="347" ht="16.5" customHeight="1">
      <c r="A347" s="111">
        <v>344.0</v>
      </c>
      <c r="B347" s="112" t="s">
        <v>246</v>
      </c>
      <c r="C347" s="115" t="s">
        <v>60</v>
      </c>
      <c r="D347" s="117">
        <v>41795.0</v>
      </c>
      <c r="E347" s="117">
        <v>42347.0</v>
      </c>
      <c r="F347" s="79" t="s">
        <v>59</v>
      </c>
      <c r="G347" s="118">
        <v>46500.0</v>
      </c>
      <c r="H347" s="114">
        <v>84.1</v>
      </c>
      <c r="I347" s="120">
        <v>374.0</v>
      </c>
      <c r="J347" s="111" t="s">
        <v>61</v>
      </c>
      <c r="K347" s="121">
        <v>378.73</v>
      </c>
      <c r="L347" s="120" t="s">
        <v>63</v>
      </c>
      <c r="M347" s="120"/>
      <c r="N347" s="120"/>
      <c r="O347" s="124">
        <v>46500.0</v>
      </c>
      <c r="P347" s="124">
        <v>553.0</v>
      </c>
      <c r="Q347" s="111">
        <v>222.0</v>
      </c>
      <c r="R347" s="125">
        <v>399.0</v>
      </c>
      <c r="S347" s="126">
        <v>0.9492</v>
      </c>
      <c r="T347" s="127">
        <v>73563.0</v>
      </c>
      <c r="U347" s="128">
        <f t="shared" si="2"/>
        <v>0</v>
      </c>
      <c r="V347" s="79" t="s">
        <v>65</v>
      </c>
      <c r="W347" s="79" t="s">
        <v>69</v>
      </c>
      <c r="X347" s="79" t="s">
        <v>69</v>
      </c>
      <c r="Y347" s="130">
        <v>0.9</v>
      </c>
      <c r="Z347" s="111">
        <v>11.0</v>
      </c>
      <c r="AA347" s="111">
        <v>392.0</v>
      </c>
      <c r="AB347" s="111" t="s">
        <v>61</v>
      </c>
      <c r="AC347" s="133"/>
      <c r="AD347" s="133"/>
      <c r="AE347" s="133"/>
      <c r="AF347" s="111"/>
      <c r="AG347" s="147"/>
      <c r="AH347" s="73"/>
      <c r="AI347" s="135"/>
      <c r="AJ347" s="136"/>
      <c r="AK347" s="76"/>
      <c r="AL347" s="137"/>
      <c r="AM347" s="139">
        <v>397.0</v>
      </c>
      <c r="AN347" s="139">
        <v>553.0</v>
      </c>
      <c r="AO347" s="140">
        <v>136.69</v>
      </c>
      <c r="AP347" s="142">
        <v>46500.0</v>
      </c>
      <c r="AQ347" s="142">
        <v>222.0</v>
      </c>
      <c r="AR347" s="143"/>
      <c r="AS347" s="144">
        <v>0.9574043137551735</v>
      </c>
      <c r="AT347" s="144">
        <v>-0.008204313755173498</v>
      </c>
      <c r="AU347" s="146" t="s">
        <v>1657</v>
      </c>
      <c r="AV347" s="146" t="s">
        <v>1657</v>
      </c>
      <c r="AW347" s="148" t="s">
        <v>1657</v>
      </c>
      <c r="AX347" s="151"/>
      <c r="AY347" s="105"/>
      <c r="AZ347" s="186"/>
      <c r="BA347" s="186"/>
      <c r="BB347" s="146"/>
      <c r="BC347" s="155"/>
      <c r="BD347" s="155"/>
      <c r="BE347" s="155"/>
      <c r="BF347" s="45"/>
    </row>
    <row r="348" ht="16.5" customHeight="1">
      <c r="A348" s="111">
        <v>345.0</v>
      </c>
      <c r="B348" s="112" t="s">
        <v>186</v>
      </c>
      <c r="C348" s="115" t="s">
        <v>60</v>
      </c>
      <c r="D348" s="157">
        <v>41618.0</v>
      </c>
      <c r="E348" s="117">
        <v>42347.0</v>
      </c>
      <c r="F348" s="79" t="s">
        <v>79</v>
      </c>
      <c r="G348" s="118">
        <v>173200.0</v>
      </c>
      <c r="H348" s="114">
        <v>237.3</v>
      </c>
      <c r="I348" s="120">
        <v>371.0</v>
      </c>
      <c r="J348" s="111" t="s">
        <v>62</v>
      </c>
      <c r="K348" s="121">
        <v>371.0</v>
      </c>
      <c r="L348" s="120" t="s">
        <v>195</v>
      </c>
      <c r="M348" s="120" t="s">
        <v>1658</v>
      </c>
      <c r="N348" s="120">
        <v>77000.0</v>
      </c>
      <c r="O348" s="124">
        <v>101033.0</v>
      </c>
      <c r="P348" s="124">
        <v>426.0</v>
      </c>
      <c r="Q348" s="111">
        <v>232.0</v>
      </c>
      <c r="R348" s="125">
        <v>399.0</v>
      </c>
      <c r="S348" s="126">
        <v>0.9298</v>
      </c>
      <c r="T348" s="127">
        <v>72059.5</v>
      </c>
      <c r="U348" s="128">
        <f t="shared" si="2"/>
        <v>0</v>
      </c>
      <c r="V348" s="79" t="s">
        <v>67</v>
      </c>
      <c r="W348" s="79" t="s">
        <v>80</v>
      </c>
      <c r="X348" s="79" t="s">
        <v>64</v>
      </c>
      <c r="Y348" s="130">
        <v>0.9</v>
      </c>
      <c r="Z348" s="111">
        <v>11.0</v>
      </c>
      <c r="AA348" s="111">
        <v>399.0</v>
      </c>
      <c r="AB348" s="111" t="s">
        <v>62</v>
      </c>
      <c r="AC348" s="133"/>
      <c r="AD348" s="133"/>
      <c r="AE348" s="133"/>
      <c r="AF348" s="111"/>
      <c r="AG348" s="134" t="s">
        <v>1659</v>
      </c>
      <c r="AH348" s="73"/>
      <c r="AI348" s="135"/>
      <c r="AJ348" s="136"/>
      <c r="AK348" s="76"/>
      <c r="AL348" s="137"/>
      <c r="AM348" s="139">
        <v>399.0</v>
      </c>
      <c r="AN348" s="139">
        <v>730.0</v>
      </c>
      <c r="AO348" s="140">
        <v>313.47</v>
      </c>
      <c r="AP348" s="142">
        <v>101033.0</v>
      </c>
      <c r="AQ348" s="142">
        <v>232.0</v>
      </c>
      <c r="AR348" s="143"/>
      <c r="AS348" s="144">
        <v>0.9447836376482505</v>
      </c>
      <c r="AT348" s="144">
        <v>-0.014983637648250503</v>
      </c>
      <c r="AU348" s="146" t="s">
        <v>1660</v>
      </c>
      <c r="AV348" s="146" t="s">
        <v>1660</v>
      </c>
      <c r="AW348" s="148" t="s">
        <v>1660</v>
      </c>
      <c r="AX348" s="151"/>
      <c r="AY348" s="105"/>
      <c r="AZ348" s="186"/>
      <c r="BA348" s="186"/>
      <c r="BB348" s="146"/>
      <c r="BC348" s="155"/>
      <c r="BD348" s="155"/>
      <c r="BE348" s="155"/>
      <c r="BF348" s="45"/>
    </row>
    <row r="349" ht="16.5" customHeight="1">
      <c r="A349" s="111">
        <v>346.0</v>
      </c>
      <c r="B349" s="112" t="s">
        <v>1662</v>
      </c>
      <c r="C349" s="115" t="s">
        <v>60</v>
      </c>
      <c r="D349" s="117">
        <v>41949.0</v>
      </c>
      <c r="E349" s="117">
        <v>42347.0</v>
      </c>
      <c r="F349" s="79" t="s">
        <v>109</v>
      </c>
      <c r="G349" s="118">
        <v>20100.0</v>
      </c>
      <c r="H349" s="114">
        <v>50.4</v>
      </c>
      <c r="I349" s="120">
        <v>303.0</v>
      </c>
      <c r="J349" s="111" t="s">
        <v>62</v>
      </c>
      <c r="K349" s="121">
        <v>303.0</v>
      </c>
      <c r="L349" s="120" t="s">
        <v>63</v>
      </c>
      <c r="M349" s="120"/>
      <c r="N349" s="120"/>
      <c r="O349" s="124">
        <v>20100.0</v>
      </c>
      <c r="P349" s="124">
        <v>399.0</v>
      </c>
      <c r="Q349" s="111">
        <v>189.0</v>
      </c>
      <c r="R349" s="125">
        <v>289.0</v>
      </c>
      <c r="S349" s="126">
        <v>1.0484</v>
      </c>
      <c r="T349" s="127">
        <v>61331.4</v>
      </c>
      <c r="U349" s="128">
        <f t="shared" si="2"/>
        <v>0</v>
      </c>
      <c r="V349" s="79" t="s">
        <v>64</v>
      </c>
      <c r="W349" s="79" t="s">
        <v>69</v>
      </c>
      <c r="X349" s="79" t="s">
        <v>64</v>
      </c>
      <c r="Y349" s="130">
        <v>0.9</v>
      </c>
      <c r="Z349" s="111">
        <v>7.0</v>
      </c>
      <c r="AA349" s="183"/>
      <c r="AB349" s="133"/>
      <c r="AC349" s="133"/>
      <c r="AD349" s="133"/>
      <c r="AE349" s="133"/>
      <c r="AF349" s="111"/>
      <c r="AG349" s="147"/>
      <c r="AH349" s="73"/>
      <c r="AI349" s="135"/>
      <c r="AJ349" s="136"/>
      <c r="AK349" s="76"/>
      <c r="AL349" s="137"/>
      <c r="AM349" s="139" t="s">
        <v>71</v>
      </c>
      <c r="AN349" s="139">
        <v>399.0</v>
      </c>
      <c r="AO349" s="140">
        <v>63.43</v>
      </c>
      <c r="AP349" s="142">
        <v>20100.0</v>
      </c>
      <c r="AQ349" s="142">
        <v>189.0</v>
      </c>
      <c r="AR349" s="143"/>
      <c r="AS349" s="144">
        <v>0.9725027302328308</v>
      </c>
      <c r="AT349" s="144">
        <v>0.07589726976716915</v>
      </c>
      <c r="AU349" s="146" t="s">
        <v>1665</v>
      </c>
      <c r="AV349" s="146" t="s">
        <v>1665</v>
      </c>
      <c r="AW349" s="148" t="s">
        <v>1665</v>
      </c>
      <c r="AX349" s="151"/>
      <c r="AY349" s="105"/>
      <c r="AZ349" s="186"/>
      <c r="BA349" s="186"/>
      <c r="BB349" s="146"/>
      <c r="BC349" s="155"/>
      <c r="BD349" s="155"/>
      <c r="BE349" s="155"/>
      <c r="BF349" s="45"/>
    </row>
    <row r="350" ht="16.5" customHeight="1">
      <c r="A350" s="111">
        <v>347.0</v>
      </c>
      <c r="B350" s="112" t="s">
        <v>1666</v>
      </c>
      <c r="C350" s="115" t="s">
        <v>60</v>
      </c>
      <c r="D350" s="117">
        <v>42230.0</v>
      </c>
      <c r="E350" s="117">
        <v>42337.0</v>
      </c>
      <c r="F350" s="79" t="s">
        <v>86</v>
      </c>
      <c r="G350" s="118">
        <v>9535.0</v>
      </c>
      <c r="H350" s="114">
        <v>88.3</v>
      </c>
      <c r="I350" s="120">
        <v>406.0</v>
      </c>
      <c r="J350" s="111" t="s">
        <v>61</v>
      </c>
      <c r="K350" s="121">
        <v>411.14</v>
      </c>
      <c r="L350" s="120" t="s">
        <v>63</v>
      </c>
      <c r="M350" s="120"/>
      <c r="N350" s="120"/>
      <c r="O350" s="124">
        <v>9535.0</v>
      </c>
      <c r="P350" s="124">
        <v>108.0</v>
      </c>
      <c r="Q350" s="111">
        <v>209.0</v>
      </c>
      <c r="R350" s="125">
        <v>430.0</v>
      </c>
      <c r="S350" s="126">
        <v>0.9561</v>
      </c>
      <c r="T350" s="127">
        <v>74097.75</v>
      </c>
      <c r="U350" s="128">
        <f t="shared" si="2"/>
        <v>0</v>
      </c>
      <c r="V350" s="79" t="s">
        <v>69</v>
      </c>
      <c r="W350" s="79" t="s">
        <v>69</v>
      </c>
      <c r="X350" s="79" t="s">
        <v>69</v>
      </c>
      <c r="Y350" s="130">
        <v>0.7</v>
      </c>
      <c r="Z350" s="111">
        <v>7.4</v>
      </c>
      <c r="AA350" s="111">
        <v>405.0</v>
      </c>
      <c r="AB350" s="111" t="s">
        <v>61</v>
      </c>
      <c r="AC350" s="111">
        <v>282.0</v>
      </c>
      <c r="AD350" s="111">
        <v>214.0</v>
      </c>
      <c r="AE350" s="111">
        <v>11.1</v>
      </c>
      <c r="AF350" s="111" t="s">
        <v>61</v>
      </c>
      <c r="AG350" s="147"/>
      <c r="AH350" s="73">
        <v>68.0</v>
      </c>
      <c r="AI350" s="135">
        <v>68.86075949367088</v>
      </c>
      <c r="AJ350" s="136">
        <v>66.2736518382353</v>
      </c>
      <c r="AK350" s="76">
        <v>0.855143894686907</v>
      </c>
      <c r="AL350" s="137" t="s">
        <v>1669</v>
      </c>
      <c r="AM350" s="139">
        <v>410.0</v>
      </c>
      <c r="AN350" s="139">
        <v>108.0</v>
      </c>
      <c r="AO350" s="140">
        <v>26.3</v>
      </c>
      <c r="AP350" s="142">
        <v>9535.0</v>
      </c>
      <c r="AQ350" s="142">
        <v>209.0</v>
      </c>
      <c r="AR350" s="143"/>
      <c r="AS350" s="144">
        <v>0.9841069037221029</v>
      </c>
      <c r="AT350" s="144">
        <v>-0.028006903722102905</v>
      </c>
      <c r="AU350" s="146" t="s">
        <v>1670</v>
      </c>
      <c r="AV350" s="146" t="s">
        <v>1670</v>
      </c>
      <c r="AW350" s="148" t="s">
        <v>1670</v>
      </c>
      <c r="AX350" s="151"/>
      <c r="AY350" s="105"/>
      <c r="AZ350" s="186"/>
      <c r="BA350" s="186"/>
      <c r="BB350" s="146"/>
      <c r="BC350" s="155"/>
      <c r="BD350" s="155"/>
      <c r="BE350" s="155"/>
      <c r="BF350" s="45"/>
    </row>
    <row r="351" ht="16.5" customHeight="1">
      <c r="A351" s="111">
        <v>348.0</v>
      </c>
      <c r="B351" s="112" t="s">
        <v>1647</v>
      </c>
      <c r="C351" s="115" t="s">
        <v>60</v>
      </c>
      <c r="D351" s="117">
        <v>41724.0</v>
      </c>
      <c r="E351" s="117">
        <v>42348.0</v>
      </c>
      <c r="F351" s="79" t="s">
        <v>79</v>
      </c>
      <c r="G351" s="118">
        <v>124004.0</v>
      </c>
      <c r="H351" s="114">
        <v>198.4</v>
      </c>
      <c r="I351" s="120">
        <v>370.0</v>
      </c>
      <c r="J351" s="111" t="s">
        <v>62</v>
      </c>
      <c r="K351" s="121">
        <v>370.0</v>
      </c>
      <c r="L351" s="120" t="s">
        <v>63</v>
      </c>
      <c r="M351" s="120"/>
      <c r="N351" s="120"/>
      <c r="O351" s="124">
        <v>124004.0</v>
      </c>
      <c r="P351" s="124">
        <v>625.0</v>
      </c>
      <c r="Q351" s="111">
        <v>226.0</v>
      </c>
      <c r="R351" s="125">
        <v>399.0</v>
      </c>
      <c r="S351" s="126">
        <v>0.9273</v>
      </c>
      <c r="T351" s="127">
        <v>71865.75</v>
      </c>
      <c r="U351" s="128">
        <f t="shared" si="2"/>
        <v>0</v>
      </c>
      <c r="V351" s="79" t="s">
        <v>80</v>
      </c>
      <c r="W351" s="79" t="s">
        <v>64</v>
      </c>
      <c r="X351" s="79" t="s">
        <v>69</v>
      </c>
      <c r="Y351" s="130">
        <v>0.9</v>
      </c>
      <c r="Z351" s="111">
        <v>22.0</v>
      </c>
      <c r="AA351" s="111">
        <v>401.0</v>
      </c>
      <c r="AB351" s="111" t="s">
        <v>61</v>
      </c>
      <c r="AC351" s="133"/>
      <c r="AD351" s="133"/>
      <c r="AE351" s="133"/>
      <c r="AF351" s="111"/>
      <c r="AG351" s="147"/>
      <c r="AH351" s="73"/>
      <c r="AI351" s="135"/>
      <c r="AJ351" s="136"/>
      <c r="AK351" s="76"/>
      <c r="AL351" s="137"/>
      <c r="AM351" s="139">
        <v>406.0</v>
      </c>
      <c r="AN351" s="139">
        <v>625.0</v>
      </c>
      <c r="AO351" s="140">
        <v>375.28</v>
      </c>
      <c r="AP351" s="142">
        <v>124004.0</v>
      </c>
      <c r="AQ351" s="142">
        <v>226.0</v>
      </c>
      <c r="AR351" s="143"/>
      <c r="AS351" s="144">
        <v>0.9409688509066594</v>
      </c>
      <c r="AT351" s="144">
        <v>-0.013668850906659369</v>
      </c>
      <c r="AU351" s="146" t="s">
        <v>1671</v>
      </c>
      <c r="AV351" s="146" t="s">
        <v>1671</v>
      </c>
      <c r="AW351" s="148" t="s">
        <v>1671</v>
      </c>
      <c r="AX351" s="151"/>
      <c r="AY351" s="105"/>
      <c r="AZ351" s="186"/>
      <c r="BA351" s="186"/>
      <c r="BB351" s="146"/>
      <c r="BC351" s="155"/>
      <c r="BD351" s="155"/>
      <c r="BE351" s="155"/>
      <c r="BF351" s="45"/>
    </row>
    <row r="352" ht="16.5" customHeight="1">
      <c r="A352" s="111">
        <v>349.0</v>
      </c>
      <c r="B352" s="112" t="s">
        <v>147</v>
      </c>
      <c r="C352" s="115" t="s">
        <v>60</v>
      </c>
      <c r="D352" s="117">
        <v>41639.0</v>
      </c>
      <c r="E352" s="117">
        <v>42348.0</v>
      </c>
      <c r="F352" s="79" t="s">
        <v>79</v>
      </c>
      <c r="G352" s="118">
        <v>108400.0</v>
      </c>
      <c r="H352" s="114">
        <v>152.7</v>
      </c>
      <c r="I352" s="120">
        <v>366.0</v>
      </c>
      <c r="J352" s="111" t="s">
        <v>61</v>
      </c>
      <c r="K352" s="121">
        <v>370.63</v>
      </c>
      <c r="L352" s="120" t="s">
        <v>63</v>
      </c>
      <c r="M352" s="120"/>
      <c r="N352" s="120"/>
      <c r="O352" s="124">
        <v>108400.0</v>
      </c>
      <c r="P352" s="124">
        <v>710.0</v>
      </c>
      <c r="Q352" s="111">
        <v>233.0</v>
      </c>
      <c r="R352" s="125">
        <v>399.0</v>
      </c>
      <c r="S352" s="126">
        <v>0.9289</v>
      </c>
      <c r="T352" s="127">
        <v>71989.75</v>
      </c>
      <c r="U352" s="128">
        <f t="shared" si="2"/>
        <v>0</v>
      </c>
      <c r="V352" s="79" t="s">
        <v>67</v>
      </c>
      <c r="W352" s="79" t="s">
        <v>64</v>
      </c>
      <c r="X352" s="79" t="s">
        <v>64</v>
      </c>
      <c r="Y352" s="130">
        <v>0.8</v>
      </c>
      <c r="Z352" s="111">
        <v>11.0</v>
      </c>
      <c r="AA352" s="133"/>
      <c r="AB352" s="133"/>
      <c r="AC352" s="133"/>
      <c r="AD352" s="133"/>
      <c r="AE352" s="133"/>
      <c r="AF352" s="111"/>
      <c r="AG352" s="147"/>
      <c r="AH352" s="73"/>
      <c r="AI352" s="135"/>
      <c r="AJ352" s="136"/>
      <c r="AK352" s="76"/>
      <c r="AL352" s="137"/>
      <c r="AM352" s="139" t="s">
        <v>71</v>
      </c>
      <c r="AN352" s="139">
        <v>710.0</v>
      </c>
      <c r="AO352" s="140">
        <v>337.94</v>
      </c>
      <c r="AP352" s="142">
        <v>108400.0</v>
      </c>
      <c r="AQ352" s="142">
        <v>233.0</v>
      </c>
      <c r="AR352" s="143"/>
      <c r="AS352" s="144">
        <v>0.9435326479800732</v>
      </c>
      <c r="AT352" s="144">
        <v>-0.014632647980073243</v>
      </c>
      <c r="AU352" s="146" t="s">
        <v>1674</v>
      </c>
      <c r="AV352" s="146" t="s">
        <v>1674</v>
      </c>
      <c r="AW352" s="148" t="s">
        <v>1674</v>
      </c>
      <c r="AX352" s="151"/>
      <c r="AY352" s="105"/>
      <c r="AZ352" s="186"/>
      <c r="BA352" s="186"/>
      <c r="BB352" s="146"/>
      <c r="BC352" s="155"/>
      <c r="BD352" s="155"/>
      <c r="BE352" s="155"/>
      <c r="BF352" s="45"/>
    </row>
    <row r="353" ht="16.5" customHeight="1">
      <c r="A353" s="111">
        <v>350.0</v>
      </c>
      <c r="B353" s="112" t="s">
        <v>328</v>
      </c>
      <c r="C353" s="115" t="s">
        <v>60</v>
      </c>
      <c r="D353" s="117">
        <v>41534.0</v>
      </c>
      <c r="E353" s="117">
        <v>42350.0</v>
      </c>
      <c r="F353" s="79" t="s">
        <v>59</v>
      </c>
      <c r="G353" s="118">
        <v>52850.0</v>
      </c>
      <c r="H353" s="114">
        <v>64.7</v>
      </c>
      <c r="I353" s="120">
        <v>366.0</v>
      </c>
      <c r="J353" s="111" t="s">
        <v>61</v>
      </c>
      <c r="K353" s="121">
        <v>370.63</v>
      </c>
      <c r="L353" s="120" t="s">
        <v>63</v>
      </c>
      <c r="M353" s="120"/>
      <c r="N353" s="120"/>
      <c r="O353" s="124">
        <v>52850.0</v>
      </c>
      <c r="P353" s="124">
        <v>817.0</v>
      </c>
      <c r="Q353" s="111">
        <v>210.0</v>
      </c>
      <c r="R353" s="125">
        <v>399.0</v>
      </c>
      <c r="S353" s="126">
        <v>0.9289</v>
      </c>
      <c r="T353" s="127">
        <v>71989.75</v>
      </c>
      <c r="U353" s="128">
        <f t="shared" si="2"/>
        <v>0</v>
      </c>
      <c r="V353" s="79" t="s">
        <v>69</v>
      </c>
      <c r="W353" s="79" t="s">
        <v>66</v>
      </c>
      <c r="X353" s="79" t="s">
        <v>69</v>
      </c>
      <c r="Y353" s="130">
        <v>0.8</v>
      </c>
      <c r="Z353" s="111">
        <v>6.2</v>
      </c>
      <c r="AA353" s="111">
        <v>390.0</v>
      </c>
      <c r="AB353" s="111" t="s">
        <v>62</v>
      </c>
      <c r="AC353" s="111"/>
      <c r="AD353" s="133"/>
      <c r="AE353" s="133"/>
      <c r="AF353" s="111"/>
      <c r="AG353" s="147"/>
      <c r="AH353" s="73"/>
      <c r="AI353" s="135"/>
      <c r="AJ353" s="136"/>
      <c r="AK353" s="76"/>
      <c r="AL353" s="137"/>
      <c r="AM353" s="139">
        <v>390.0</v>
      </c>
      <c r="AN353" s="139">
        <v>817.0</v>
      </c>
      <c r="AO353" s="140">
        <v>148.52</v>
      </c>
      <c r="AP353" s="142">
        <v>52850.0</v>
      </c>
      <c r="AQ353" s="142">
        <v>210.0</v>
      </c>
      <c r="AR353" s="143"/>
      <c r="AS353" s="144">
        <v>0.9552638016614884</v>
      </c>
      <c r="AT353" s="144">
        <v>-0.02636380166148844</v>
      </c>
      <c r="AU353" s="146" t="s">
        <v>1676</v>
      </c>
      <c r="AV353" s="146" t="s">
        <v>1676</v>
      </c>
      <c r="AW353" s="148" t="s">
        <v>1676</v>
      </c>
      <c r="AX353" s="151"/>
      <c r="AY353" s="105"/>
      <c r="AZ353" s="186"/>
      <c r="BA353" s="186"/>
      <c r="BB353" s="146"/>
      <c r="BC353" s="155"/>
      <c r="BD353" s="155"/>
      <c r="BE353" s="155"/>
      <c r="BF353" s="45"/>
    </row>
    <row r="354" ht="16.5" customHeight="1">
      <c r="A354" s="111">
        <v>351.0</v>
      </c>
      <c r="B354" s="112" t="s">
        <v>541</v>
      </c>
      <c r="C354" s="115" t="s">
        <v>60</v>
      </c>
      <c r="D354" s="117">
        <v>41603.0</v>
      </c>
      <c r="E354" s="117">
        <v>42348.0</v>
      </c>
      <c r="F354" s="79" t="s">
        <v>57</v>
      </c>
      <c r="G354" s="118">
        <v>80000.0</v>
      </c>
      <c r="H354" s="114">
        <v>107.2</v>
      </c>
      <c r="I354" s="120">
        <v>361.0</v>
      </c>
      <c r="J354" s="111" t="s">
        <v>62</v>
      </c>
      <c r="K354" s="121">
        <v>361.0</v>
      </c>
      <c r="L354" s="120" t="s">
        <v>63</v>
      </c>
      <c r="M354" s="120"/>
      <c r="N354" s="120"/>
      <c r="O354" s="124">
        <v>80000.0</v>
      </c>
      <c r="P354" s="124">
        <v>746.0</v>
      </c>
      <c r="Q354" s="111">
        <v>224.0</v>
      </c>
      <c r="R354" s="125">
        <v>399.0</v>
      </c>
      <c r="S354" s="126">
        <v>0.9048</v>
      </c>
      <c r="T354" s="127">
        <v>70122.0</v>
      </c>
      <c r="U354" s="128">
        <f t="shared" si="2"/>
        <v>0</v>
      </c>
      <c r="V354" s="79" t="s">
        <v>69</v>
      </c>
      <c r="W354" s="79" t="s">
        <v>67</v>
      </c>
      <c r="X354" s="79" t="s">
        <v>66</v>
      </c>
      <c r="Y354" s="130">
        <v>0.9</v>
      </c>
      <c r="Z354" s="111">
        <v>11.0</v>
      </c>
      <c r="AA354" s="111">
        <v>400.0</v>
      </c>
      <c r="AB354" s="111" t="s">
        <v>61</v>
      </c>
      <c r="AC354" s="111">
        <v>331.0</v>
      </c>
      <c r="AD354" s="111">
        <v>67.0</v>
      </c>
      <c r="AE354" s="111" t="s">
        <v>1678</v>
      </c>
      <c r="AF354" s="111" t="s">
        <v>61</v>
      </c>
      <c r="AG354" s="134"/>
      <c r="AH354" s="73">
        <v>264.0</v>
      </c>
      <c r="AI354" s="135">
        <v>267.34177215189874</v>
      </c>
      <c r="AJ354" s="136">
        <v>61.30504734848484</v>
      </c>
      <c r="AK354" s="76">
        <v>0.7910328690127076</v>
      </c>
      <c r="AL354" s="137" t="s">
        <v>1679</v>
      </c>
      <c r="AM354" s="139">
        <v>405.0</v>
      </c>
      <c r="AN354" s="139">
        <v>746.0</v>
      </c>
      <c r="AO354" s="140">
        <v>242.81</v>
      </c>
      <c r="AP354" s="142">
        <v>80000.0</v>
      </c>
      <c r="AQ354" s="142">
        <v>224.0</v>
      </c>
      <c r="AR354" s="143"/>
      <c r="AS354" s="144">
        <v>0.9486461015086031</v>
      </c>
      <c r="AT354" s="144">
        <v>-0.04384610150860302</v>
      </c>
      <c r="AU354" s="146" t="s">
        <v>1680</v>
      </c>
      <c r="AV354" s="146" t="s">
        <v>1680</v>
      </c>
      <c r="AW354" s="148" t="s">
        <v>1680</v>
      </c>
      <c r="AX354" s="151"/>
      <c r="AY354" s="105"/>
      <c r="AZ354" s="186"/>
      <c r="BA354" s="186"/>
      <c r="BB354" s="146"/>
      <c r="BC354" s="155"/>
      <c r="BD354" s="155"/>
      <c r="BE354" s="155"/>
      <c r="BF354" s="45"/>
    </row>
    <row r="355" ht="16.5" customHeight="1">
      <c r="A355" s="111">
        <v>352.0</v>
      </c>
      <c r="B355" s="572" t="s">
        <v>1682</v>
      </c>
      <c r="C355" s="115" t="s">
        <v>60</v>
      </c>
      <c r="D355" s="117">
        <v>42262.0</v>
      </c>
      <c r="E355" s="117">
        <v>42351.0</v>
      </c>
      <c r="F355" s="79" t="s">
        <v>316</v>
      </c>
      <c r="G355" s="118">
        <v>1000.0</v>
      </c>
      <c r="H355" s="114">
        <v>11.1</v>
      </c>
      <c r="I355" s="120">
        <v>421.0</v>
      </c>
      <c r="J355" s="111" t="s">
        <v>61</v>
      </c>
      <c r="K355" s="121">
        <v>426.33</v>
      </c>
      <c r="L355" s="120" t="s">
        <v>63</v>
      </c>
      <c r="M355" s="120"/>
      <c r="N355" s="120"/>
      <c r="O355" s="124">
        <v>1000.0</v>
      </c>
      <c r="P355" s="124">
        <v>90.0</v>
      </c>
      <c r="Q355" s="111">
        <v>240.0</v>
      </c>
      <c r="R355" s="125">
        <v>432.0</v>
      </c>
      <c r="S355" s="126">
        <v>0.9869</v>
      </c>
      <c r="T355" s="127">
        <v>80728.42</v>
      </c>
      <c r="U355" s="128">
        <f t="shared" si="2"/>
        <v>0</v>
      </c>
      <c r="V355" s="79" t="s">
        <v>69</v>
      </c>
      <c r="W355" s="79" t="s">
        <v>69</v>
      </c>
      <c r="X355" s="79" t="s">
        <v>69</v>
      </c>
      <c r="Y355" s="130">
        <v>0.9</v>
      </c>
      <c r="Z355" s="111"/>
      <c r="AA355" s="111">
        <v>421.0</v>
      </c>
      <c r="AB355" s="111" t="s">
        <v>61</v>
      </c>
      <c r="AC355" s="133"/>
      <c r="AD355" s="133"/>
      <c r="AE355" s="133"/>
      <c r="AF355" s="111"/>
      <c r="AG355" s="134" t="s">
        <v>1684</v>
      </c>
      <c r="AH355" s="73"/>
      <c r="AI355" s="135"/>
      <c r="AJ355" s="136"/>
      <c r="AK355" s="76"/>
      <c r="AL355" s="137"/>
      <c r="AM355" s="139">
        <v>426.0</v>
      </c>
      <c r="AN355" s="139">
        <v>90.0</v>
      </c>
      <c r="AO355" s="140">
        <v>2.96</v>
      </c>
      <c r="AP355" s="142">
        <v>1000.0</v>
      </c>
      <c r="AQ355" s="142">
        <v>240.0</v>
      </c>
      <c r="AR355" s="143"/>
      <c r="AS355" s="144">
        <v>0.9980116689338074</v>
      </c>
      <c r="AT355" s="144">
        <v>-0.01111166893380744</v>
      </c>
      <c r="AU355" s="146" t="s">
        <v>1686</v>
      </c>
      <c r="AV355" s="146" t="s">
        <v>1686</v>
      </c>
      <c r="AW355" s="148" t="s">
        <v>1686</v>
      </c>
      <c r="AX355" s="151"/>
      <c r="AY355" s="105"/>
      <c r="AZ355" s="186"/>
      <c r="BA355" s="186"/>
      <c r="BB355" s="146"/>
      <c r="BC355" s="155"/>
      <c r="BD355" s="155"/>
      <c r="BE355" s="155"/>
      <c r="BF355" s="45"/>
    </row>
    <row r="356" ht="16.5" customHeight="1">
      <c r="A356" s="111">
        <v>353.0</v>
      </c>
      <c r="B356" s="348" t="s">
        <v>126</v>
      </c>
      <c r="C356" s="115" t="s">
        <v>60</v>
      </c>
      <c r="D356" s="117">
        <v>41527.0</v>
      </c>
      <c r="E356" s="117">
        <v>42352.0</v>
      </c>
      <c r="F356" s="79" t="s">
        <v>79</v>
      </c>
      <c r="G356" s="118">
        <v>144000.0</v>
      </c>
      <c r="H356" s="114">
        <v>174.3</v>
      </c>
      <c r="I356" s="120">
        <v>366.0</v>
      </c>
      <c r="J356" s="111" t="s">
        <v>61</v>
      </c>
      <c r="K356" s="121">
        <v>370.63</v>
      </c>
      <c r="L356" s="120" t="s">
        <v>63</v>
      </c>
      <c r="M356" s="120"/>
      <c r="N356" s="120"/>
      <c r="O356" s="124">
        <v>144000.0</v>
      </c>
      <c r="P356" s="124">
        <v>826.0</v>
      </c>
      <c r="Q356" s="111">
        <v>214.0</v>
      </c>
      <c r="R356" s="125">
        <v>399.0</v>
      </c>
      <c r="S356" s="126">
        <v>0.9289</v>
      </c>
      <c r="T356" s="127">
        <v>71989.75</v>
      </c>
      <c r="U356" s="128">
        <f t="shared" si="2"/>
        <v>0</v>
      </c>
      <c r="V356" s="79" t="s">
        <v>65</v>
      </c>
      <c r="W356" s="79" t="s">
        <v>127</v>
      </c>
      <c r="X356" s="79" t="s">
        <v>69</v>
      </c>
      <c r="Y356" s="130">
        <v>1.0</v>
      </c>
      <c r="Z356" s="111">
        <v>22.0</v>
      </c>
      <c r="AA356" s="111">
        <v>400.0</v>
      </c>
      <c r="AB356" s="111" t="s">
        <v>62</v>
      </c>
      <c r="AC356" s="111">
        <v>366.0</v>
      </c>
      <c r="AD356" s="111">
        <v>274.0</v>
      </c>
      <c r="AE356" s="111">
        <v>17.6</v>
      </c>
      <c r="AF356" s="111" t="s">
        <v>61</v>
      </c>
      <c r="AG356" s="147"/>
      <c r="AH356" s="73">
        <v>92.0</v>
      </c>
      <c r="AI356" s="135">
        <v>93.16455696202533</v>
      </c>
      <c r="AJ356" s="136">
        <v>70.01684130434782</v>
      </c>
      <c r="AK356" s="76">
        <v>0.903443113604488</v>
      </c>
      <c r="AL356" s="137" t="s">
        <v>1687</v>
      </c>
      <c r="AM356" s="139">
        <v>400.0</v>
      </c>
      <c r="AN356" s="139">
        <v>826.0</v>
      </c>
      <c r="AO356" s="140">
        <v>412.32</v>
      </c>
      <c r="AP356" s="142">
        <v>144000.0</v>
      </c>
      <c r="AQ356" s="142">
        <v>214.0</v>
      </c>
      <c r="AR356" s="143"/>
      <c r="AS356" s="144">
        <v>0.9377731790318515</v>
      </c>
      <c r="AT356" s="144">
        <v>-0.008873179031851586</v>
      </c>
      <c r="AU356" s="146" t="s">
        <v>1688</v>
      </c>
      <c r="AV356" s="146" t="s">
        <v>1688</v>
      </c>
      <c r="AW356" s="148" t="s">
        <v>1688</v>
      </c>
      <c r="AX356" s="151"/>
      <c r="AY356" s="105"/>
      <c r="AZ356" s="186"/>
      <c r="BA356" s="186"/>
      <c r="BB356" s="222"/>
      <c r="BC356" s="45"/>
      <c r="BD356" s="45"/>
      <c r="BE356" s="155"/>
      <c r="BF356" s="45"/>
    </row>
    <row r="357" ht="16.5" customHeight="1">
      <c r="A357" s="111">
        <v>354.0</v>
      </c>
      <c r="B357" s="112" t="s">
        <v>1690</v>
      </c>
      <c r="C357" s="115" t="s">
        <v>60</v>
      </c>
      <c r="D357" s="117">
        <v>41816.0</v>
      </c>
      <c r="E357" s="117">
        <v>42230.0</v>
      </c>
      <c r="F357" s="79" t="s">
        <v>59</v>
      </c>
      <c r="G357" s="118">
        <v>48000.0</v>
      </c>
      <c r="H357" s="114">
        <v>115.7</v>
      </c>
      <c r="I357" s="120">
        <v>374.0</v>
      </c>
      <c r="J357" s="111" t="s">
        <v>61</v>
      </c>
      <c r="K357" s="121">
        <v>378.73</v>
      </c>
      <c r="L357" s="120" t="s">
        <v>63</v>
      </c>
      <c r="M357" s="120"/>
      <c r="N357" s="120"/>
      <c r="O357" s="124">
        <v>48000.0</v>
      </c>
      <c r="P357" s="124">
        <v>415.0</v>
      </c>
      <c r="Q357" s="111">
        <v>223.0</v>
      </c>
      <c r="R357" s="125">
        <v>399.0</v>
      </c>
      <c r="S357" s="126">
        <v>0.9492</v>
      </c>
      <c r="T357" s="127">
        <v>73563.0</v>
      </c>
      <c r="U357" s="128">
        <f t="shared" si="2"/>
        <v>0</v>
      </c>
      <c r="V357" s="79" t="s">
        <v>67</v>
      </c>
      <c r="W357" s="79" t="s">
        <v>69</v>
      </c>
      <c r="X357" s="79" t="s">
        <v>66</v>
      </c>
      <c r="Y357" s="130">
        <v>0.9</v>
      </c>
      <c r="Z357" s="111">
        <v>25.0</v>
      </c>
      <c r="AA357" s="111">
        <v>400.0</v>
      </c>
      <c r="AB357" s="111" t="s">
        <v>61</v>
      </c>
      <c r="AC357" s="133"/>
      <c r="AD357" s="133"/>
      <c r="AE357" s="133"/>
      <c r="AF357" s="111"/>
      <c r="AG357" s="147"/>
      <c r="AH357" s="73"/>
      <c r="AI357" s="135"/>
      <c r="AJ357" s="136"/>
      <c r="AK357" s="76"/>
      <c r="AL357" s="137"/>
      <c r="AM357" s="139">
        <v>405.0</v>
      </c>
      <c r="AN357" s="139">
        <v>415.0</v>
      </c>
      <c r="AO357" s="140">
        <v>141.73</v>
      </c>
      <c r="AP357" s="142">
        <v>48000.0</v>
      </c>
      <c r="AQ357" s="142">
        <v>223.0</v>
      </c>
      <c r="AR357" s="143"/>
      <c r="AS357" s="144">
        <v>0.9568668907632519</v>
      </c>
      <c r="AT357" s="144">
        <v>-0.007666890763251888</v>
      </c>
      <c r="AU357" s="146" t="s">
        <v>1694</v>
      </c>
      <c r="AV357" s="146" t="s">
        <v>1694</v>
      </c>
      <c r="AW357" s="148" t="s">
        <v>1694</v>
      </c>
      <c r="AX357" s="151"/>
      <c r="AY357" s="105"/>
      <c r="AZ357" s="186"/>
      <c r="BA357" s="186"/>
      <c r="BB357" s="222"/>
      <c r="BC357" s="45"/>
      <c r="BD357" s="45"/>
      <c r="BE357" s="155"/>
      <c r="BF357" s="45"/>
    </row>
    <row r="358" ht="16.5" customHeight="1">
      <c r="A358" s="111">
        <v>355.0</v>
      </c>
      <c r="B358" s="112" t="s">
        <v>1695</v>
      </c>
      <c r="C358" s="115" t="s">
        <v>60</v>
      </c>
      <c r="D358" s="117">
        <v>41563.0</v>
      </c>
      <c r="E358" s="117">
        <v>42352.0</v>
      </c>
      <c r="F358" s="79" t="s">
        <v>57</v>
      </c>
      <c r="G358" s="118">
        <v>41868.0</v>
      </c>
      <c r="H358" s="114">
        <v>53.0</v>
      </c>
      <c r="I358" s="120">
        <v>357.0</v>
      </c>
      <c r="J358" s="111" t="s">
        <v>61</v>
      </c>
      <c r="K358" s="121">
        <v>361.52</v>
      </c>
      <c r="L358" s="120" t="s">
        <v>63</v>
      </c>
      <c r="M358" s="120"/>
      <c r="N358" s="120"/>
      <c r="O358" s="124">
        <v>41868.0</v>
      </c>
      <c r="P358" s="124">
        <v>790.0</v>
      </c>
      <c r="Q358" s="111">
        <v>225.0</v>
      </c>
      <c r="R358" s="125">
        <v>399.0</v>
      </c>
      <c r="S358" s="126">
        <v>0.9061</v>
      </c>
      <c r="T358" s="127">
        <v>70222.75</v>
      </c>
      <c r="U358" s="128">
        <f t="shared" si="2"/>
        <v>0</v>
      </c>
      <c r="V358" s="79" t="s">
        <v>69</v>
      </c>
      <c r="W358" s="79" t="s">
        <v>69</v>
      </c>
      <c r="X358" s="79" t="s">
        <v>68</v>
      </c>
      <c r="Y358" s="130">
        <v>0.6</v>
      </c>
      <c r="Z358" s="111">
        <v>20.0</v>
      </c>
      <c r="AA358" s="111">
        <v>400.0</v>
      </c>
      <c r="AB358" s="111" t="s">
        <v>62</v>
      </c>
      <c r="AC358" s="133"/>
      <c r="AD358" s="133"/>
      <c r="AE358" s="133"/>
      <c r="AF358" s="111"/>
      <c r="AG358" s="134" t="s">
        <v>1701</v>
      </c>
      <c r="AH358" s="73"/>
      <c r="AI358" s="135"/>
      <c r="AJ358" s="136"/>
      <c r="AK358" s="76"/>
      <c r="AL358" s="137"/>
      <c r="AM358" s="139">
        <v>400.0</v>
      </c>
      <c r="AN358" s="139">
        <v>790.0</v>
      </c>
      <c r="AO358" s="140">
        <v>127.57</v>
      </c>
      <c r="AP358" s="142">
        <v>41868.0</v>
      </c>
      <c r="AQ358" s="142">
        <v>225.0</v>
      </c>
      <c r="AR358" s="143"/>
      <c r="AS358" s="144">
        <v>0.9592113696093977</v>
      </c>
      <c r="AT358" s="144">
        <v>-0.05311136960939766</v>
      </c>
      <c r="AU358" s="146" t="s">
        <v>1709</v>
      </c>
      <c r="AV358" s="146" t="s">
        <v>1709</v>
      </c>
      <c r="AW358" s="148" t="s">
        <v>1709</v>
      </c>
      <c r="AX358" s="151"/>
      <c r="AY358" s="105"/>
      <c r="AZ358" s="186"/>
      <c r="BA358" s="186"/>
      <c r="BB358" s="222"/>
      <c r="BC358" s="45"/>
      <c r="BD358" s="45"/>
      <c r="BE358" s="155"/>
      <c r="BF358" s="45"/>
    </row>
    <row r="359" ht="16.5" customHeight="1">
      <c r="A359" s="111">
        <v>356.0</v>
      </c>
      <c r="B359" s="112" t="s">
        <v>1710</v>
      </c>
      <c r="C359" s="115" t="s">
        <v>60</v>
      </c>
      <c r="D359" s="117">
        <v>41612.0</v>
      </c>
      <c r="E359" s="117">
        <v>42353.0</v>
      </c>
      <c r="F359" s="79" t="s">
        <v>59</v>
      </c>
      <c r="G359" s="118">
        <v>89867.0</v>
      </c>
      <c r="H359" s="114">
        <v>121.1</v>
      </c>
      <c r="I359" s="120">
        <v>374.0</v>
      </c>
      <c r="J359" s="111" t="s">
        <v>62</v>
      </c>
      <c r="K359" s="121">
        <v>374.0</v>
      </c>
      <c r="L359" s="120" t="s">
        <v>63</v>
      </c>
      <c r="M359" s="120"/>
      <c r="N359" s="120"/>
      <c r="O359" s="124">
        <v>89867.0</v>
      </c>
      <c r="P359" s="124">
        <v>742.0</v>
      </c>
      <c r="Q359" s="111">
        <v>222.0</v>
      </c>
      <c r="R359" s="125">
        <v>399.0</v>
      </c>
      <c r="S359" s="126">
        <v>0.9373</v>
      </c>
      <c r="T359" s="127">
        <v>72640.75</v>
      </c>
      <c r="U359" s="128">
        <f t="shared" si="2"/>
        <v>0</v>
      </c>
      <c r="V359" s="79" t="s">
        <v>65</v>
      </c>
      <c r="W359" s="79" t="s">
        <v>65</v>
      </c>
      <c r="X359" s="79" t="s">
        <v>69</v>
      </c>
      <c r="Y359" s="130">
        <v>0.9</v>
      </c>
      <c r="Z359" s="111">
        <v>11.0</v>
      </c>
      <c r="AA359" s="111">
        <v>395.0</v>
      </c>
      <c r="AB359" s="111" t="s">
        <v>62</v>
      </c>
      <c r="AC359" s="133"/>
      <c r="AD359" s="133"/>
      <c r="AE359" s="133"/>
      <c r="AF359" s="111"/>
      <c r="AG359" s="147"/>
      <c r="AH359" s="73"/>
      <c r="AI359" s="135"/>
      <c r="AJ359" s="136"/>
      <c r="AK359" s="76"/>
      <c r="AL359" s="137"/>
      <c r="AM359" s="139">
        <v>395.0</v>
      </c>
      <c r="AN359" s="139">
        <v>742.0</v>
      </c>
      <c r="AO359" s="140">
        <v>265.79</v>
      </c>
      <c r="AP359" s="142">
        <v>89867.0</v>
      </c>
      <c r="AQ359" s="142">
        <v>222.0</v>
      </c>
      <c r="AR359" s="143"/>
      <c r="AS359" s="144">
        <v>0.9467638576405145</v>
      </c>
      <c r="AT359" s="144">
        <v>-0.009463857640514495</v>
      </c>
      <c r="AU359" s="146" t="s">
        <v>1711</v>
      </c>
      <c r="AV359" s="146" t="s">
        <v>1711</v>
      </c>
      <c r="AW359" s="148" t="s">
        <v>1711</v>
      </c>
      <c r="AX359" s="151"/>
      <c r="AY359" s="105"/>
      <c r="AZ359" s="186"/>
      <c r="BA359" s="186"/>
      <c r="BB359" s="222"/>
      <c r="BC359" s="45"/>
      <c r="BD359" s="45"/>
      <c r="BE359" s="155"/>
      <c r="BF359" s="45"/>
    </row>
    <row r="360" ht="16.5" customHeight="1">
      <c r="A360" s="111">
        <v>357.0</v>
      </c>
      <c r="B360" s="165" t="s">
        <v>605</v>
      </c>
      <c r="C360" s="115" t="s">
        <v>60</v>
      </c>
      <c r="D360" s="230">
        <v>41631.0</v>
      </c>
      <c r="E360" s="117">
        <v>42349.0</v>
      </c>
      <c r="F360" s="79" t="s">
        <v>59</v>
      </c>
      <c r="G360" s="118">
        <v>58000.0</v>
      </c>
      <c r="H360" s="114">
        <v>80.7</v>
      </c>
      <c r="I360" s="120">
        <v>369.0</v>
      </c>
      <c r="J360" s="111" t="s">
        <v>62</v>
      </c>
      <c r="K360" s="121">
        <v>369.0</v>
      </c>
      <c r="L360" s="120" t="s">
        <v>63</v>
      </c>
      <c r="M360" s="120"/>
      <c r="N360" s="120"/>
      <c r="O360" s="124">
        <v>58000.0</v>
      </c>
      <c r="P360" s="124">
        <v>719.0</v>
      </c>
      <c r="Q360" s="111">
        <v>198.0</v>
      </c>
      <c r="R360" s="125">
        <v>399.0</v>
      </c>
      <c r="S360" s="126">
        <v>0.9248</v>
      </c>
      <c r="T360" s="127">
        <v>71672.0</v>
      </c>
      <c r="U360" s="128">
        <f t="shared" si="2"/>
        <v>0</v>
      </c>
      <c r="V360" s="79" t="s">
        <v>64</v>
      </c>
      <c r="W360" s="79" t="s">
        <v>69</v>
      </c>
      <c r="X360" s="79" t="s">
        <v>68</v>
      </c>
      <c r="Y360" s="130">
        <v>0.7</v>
      </c>
      <c r="Z360" s="111">
        <v>5.0</v>
      </c>
      <c r="AA360" s="111">
        <v>400.0</v>
      </c>
      <c r="AB360" s="111" t="s">
        <v>62</v>
      </c>
      <c r="AC360" s="133"/>
      <c r="AD360" s="133"/>
      <c r="AE360" s="133"/>
      <c r="AF360" s="111"/>
      <c r="AG360" s="147"/>
      <c r="AH360" s="73"/>
      <c r="AI360" s="135"/>
      <c r="AJ360" s="136"/>
      <c r="AK360" s="76"/>
      <c r="AL360" s="137"/>
      <c r="AM360" s="139">
        <v>400.0</v>
      </c>
      <c r="AN360" s="139">
        <v>719.0</v>
      </c>
      <c r="AO360" s="140">
        <v>154.0</v>
      </c>
      <c r="AP360" s="142">
        <v>58000.0</v>
      </c>
      <c r="AQ360" s="142">
        <v>198.0</v>
      </c>
      <c r="AR360" s="143"/>
      <c r="AS360" s="144">
        <v>0.9537498617677531</v>
      </c>
      <c r="AT360" s="144">
        <v>-0.02894986176775316</v>
      </c>
      <c r="AU360" s="146" t="s">
        <v>1713</v>
      </c>
      <c r="AV360" s="146" t="s">
        <v>1713</v>
      </c>
      <c r="AW360" s="148" t="s">
        <v>1713</v>
      </c>
      <c r="AX360" s="151"/>
      <c r="AY360" s="105"/>
      <c r="AZ360" s="186"/>
      <c r="BA360" s="186"/>
      <c r="BB360" s="222"/>
      <c r="BC360" s="45"/>
      <c r="BD360" s="45"/>
      <c r="BE360" s="155"/>
      <c r="BF360" s="45"/>
    </row>
    <row r="361" ht="16.5" customHeight="1">
      <c r="A361" s="111">
        <v>358.0</v>
      </c>
      <c r="B361" s="112" t="s">
        <v>1715</v>
      </c>
      <c r="C361" s="115" t="s">
        <v>60</v>
      </c>
      <c r="D361" s="117">
        <v>41609.0</v>
      </c>
      <c r="E361" s="117">
        <v>42354.0</v>
      </c>
      <c r="F361" s="79" t="s">
        <v>59</v>
      </c>
      <c r="G361" s="118">
        <v>61000.0</v>
      </c>
      <c r="H361" s="114">
        <v>81.8</v>
      </c>
      <c r="I361" s="120">
        <v>363.0</v>
      </c>
      <c r="J361" s="111" t="s">
        <v>61</v>
      </c>
      <c r="K361" s="121">
        <v>367.59</v>
      </c>
      <c r="L361" s="120" t="s">
        <v>63</v>
      </c>
      <c r="M361" s="120"/>
      <c r="N361" s="120"/>
      <c r="O361" s="124">
        <v>61000.0</v>
      </c>
      <c r="P361" s="124">
        <v>746.0</v>
      </c>
      <c r="Q361" s="111">
        <v>202.0</v>
      </c>
      <c r="R361" s="125">
        <v>399.0</v>
      </c>
      <c r="S361" s="126">
        <v>0.9213</v>
      </c>
      <c r="T361" s="127">
        <v>71400.75</v>
      </c>
      <c r="U361" s="128">
        <f t="shared" si="2"/>
        <v>0</v>
      </c>
      <c r="V361" s="79" t="s">
        <v>69</v>
      </c>
      <c r="W361" s="79" t="s">
        <v>69</v>
      </c>
      <c r="X361" s="79" t="s">
        <v>68</v>
      </c>
      <c r="Y361" s="130">
        <v>0.7</v>
      </c>
      <c r="Z361" s="111">
        <v>7.4</v>
      </c>
      <c r="AA361" s="111">
        <v>400.0</v>
      </c>
      <c r="AB361" s="111" t="s">
        <v>61</v>
      </c>
      <c r="AC361" s="133"/>
      <c r="AD361" s="133"/>
      <c r="AE361" s="133"/>
      <c r="AF361" s="111"/>
      <c r="AG361" s="147"/>
      <c r="AH361" s="73"/>
      <c r="AI361" s="135"/>
      <c r="AJ361" s="136"/>
      <c r="AK361" s="76"/>
      <c r="AL361" s="137"/>
      <c r="AM361" s="139">
        <v>405.0</v>
      </c>
      <c r="AN361" s="139">
        <v>746.0</v>
      </c>
      <c r="AO361" s="140">
        <v>165.54</v>
      </c>
      <c r="AP361" s="142">
        <v>61000.0</v>
      </c>
      <c r="AQ361" s="142">
        <v>202.0</v>
      </c>
      <c r="AR361" s="143"/>
      <c r="AS361" s="144">
        <v>0.952940722703162</v>
      </c>
      <c r="AT361" s="144">
        <v>-0.03164072270316198</v>
      </c>
      <c r="AU361" s="146" t="s">
        <v>1718</v>
      </c>
      <c r="AV361" s="146" t="s">
        <v>1718</v>
      </c>
      <c r="AW361" s="148" t="s">
        <v>1718</v>
      </c>
      <c r="AX361" s="151"/>
      <c r="AY361" s="105"/>
      <c r="AZ361" s="186"/>
      <c r="BA361" s="186"/>
      <c r="BB361" s="222"/>
      <c r="BC361" s="45"/>
      <c r="BD361" s="45"/>
      <c r="BE361" s="155"/>
      <c r="BF361" s="45"/>
    </row>
    <row r="362" ht="16.5" customHeight="1">
      <c r="A362" s="111">
        <v>359.0</v>
      </c>
      <c r="B362" s="112" t="s">
        <v>1622</v>
      </c>
      <c r="C362" s="115" t="s">
        <v>60</v>
      </c>
      <c r="D362" s="117">
        <v>42291.0</v>
      </c>
      <c r="E362" s="117">
        <v>42354.0</v>
      </c>
      <c r="F362" s="79" t="s">
        <v>870</v>
      </c>
      <c r="G362" s="118">
        <v>1186.0</v>
      </c>
      <c r="H362" s="114">
        <v>18.5</v>
      </c>
      <c r="I362" s="120">
        <v>368.0</v>
      </c>
      <c r="J362" s="111" t="s">
        <v>62</v>
      </c>
      <c r="K362" s="121">
        <v>368.0</v>
      </c>
      <c r="L362" s="120" t="s">
        <v>63</v>
      </c>
      <c r="M362" s="120"/>
      <c r="N362" s="120"/>
      <c r="O362" s="124">
        <v>1186.0</v>
      </c>
      <c r="P362" s="124">
        <v>64.0</v>
      </c>
      <c r="Q362" s="111">
        <v>189.0</v>
      </c>
      <c r="R362" s="125">
        <v>360.0</v>
      </c>
      <c r="S362" s="126">
        <v>1.0222</v>
      </c>
      <c r="T362" s="127">
        <v>70327.36</v>
      </c>
      <c r="U362" s="128">
        <f t="shared" si="2"/>
        <v>0</v>
      </c>
      <c r="V362" s="79"/>
      <c r="W362" s="79"/>
      <c r="X362" s="79"/>
      <c r="Y362" s="130">
        <v>0.8</v>
      </c>
      <c r="Z362" s="111">
        <v>11.0</v>
      </c>
      <c r="AA362" s="183"/>
      <c r="AB362" s="133"/>
      <c r="AC362" s="111">
        <v>368.0</v>
      </c>
      <c r="AD362" s="111">
        <v>317.0</v>
      </c>
      <c r="AE362" s="111">
        <v>9.1</v>
      </c>
      <c r="AF362" s="111" t="s">
        <v>62</v>
      </c>
      <c r="AG362" s="147"/>
      <c r="AH362" s="73">
        <v>51.0</v>
      </c>
      <c r="AI362" s="135">
        <v>51.0</v>
      </c>
      <c r="AJ362" s="136">
        <v>65.66274509803921</v>
      </c>
      <c r="AK362" s="76">
        <v>0.9544003647970817</v>
      </c>
      <c r="AL362" s="137" t="s">
        <v>1720</v>
      </c>
      <c r="AM362" s="139" t="s">
        <v>71</v>
      </c>
      <c r="AN362" s="139">
        <v>64.0</v>
      </c>
      <c r="AO362" s="140">
        <v>3.23</v>
      </c>
      <c r="AP362" s="142">
        <v>1186.0</v>
      </c>
      <c r="AQ362" s="142">
        <v>189.0</v>
      </c>
      <c r="AR362" s="143"/>
      <c r="AS362" s="144">
        <v>0.9976512684284456</v>
      </c>
      <c r="AT362" s="144">
        <v>0.02454873157155435</v>
      </c>
      <c r="AU362" s="146" t="s">
        <v>1721</v>
      </c>
      <c r="AV362" s="146" t="s">
        <v>1721</v>
      </c>
      <c r="AW362" s="148" t="s">
        <v>1721</v>
      </c>
      <c r="AX362" s="151"/>
      <c r="AY362" s="105"/>
      <c r="AZ362" s="186"/>
      <c r="BA362" s="186"/>
      <c r="BB362" s="222"/>
      <c r="BC362" s="45"/>
      <c r="BD362" s="45"/>
      <c r="BE362" s="155"/>
      <c r="BF362" s="45"/>
    </row>
    <row r="363" ht="16.5" customHeight="1">
      <c r="A363" s="111">
        <v>360.0</v>
      </c>
      <c r="B363" s="112" t="s">
        <v>449</v>
      </c>
      <c r="C363" s="115" t="s">
        <v>60</v>
      </c>
      <c r="D363" s="117">
        <v>41598.0</v>
      </c>
      <c r="E363" s="117">
        <v>42354.0</v>
      </c>
      <c r="F363" s="79" t="s">
        <v>59</v>
      </c>
      <c r="G363" s="118">
        <v>108788.0</v>
      </c>
      <c r="H363" s="114">
        <v>143.7</v>
      </c>
      <c r="I363" s="120">
        <v>377.0</v>
      </c>
      <c r="J363" s="111" t="s">
        <v>62</v>
      </c>
      <c r="K363" s="121">
        <v>377.0</v>
      </c>
      <c r="L363" s="120" t="s">
        <v>63</v>
      </c>
      <c r="M363" s="120"/>
      <c r="N363" s="120"/>
      <c r="O363" s="124">
        <v>108788.0</v>
      </c>
      <c r="P363" s="124">
        <v>757.0</v>
      </c>
      <c r="Q363" s="111">
        <v>186.0</v>
      </c>
      <c r="R363" s="125">
        <v>399.0</v>
      </c>
      <c r="S363" s="126">
        <v>0.9449</v>
      </c>
      <c r="T363" s="127">
        <v>73229.75</v>
      </c>
      <c r="U363" s="128">
        <f t="shared" si="2"/>
        <v>0</v>
      </c>
      <c r="V363" s="79" t="s">
        <v>80</v>
      </c>
      <c r="W363" s="79" t="s">
        <v>69</v>
      </c>
      <c r="X363" s="79" t="s">
        <v>66</v>
      </c>
      <c r="Y363" s="130">
        <v>0.7</v>
      </c>
      <c r="Z363" s="111">
        <v>11.0</v>
      </c>
      <c r="AA363" s="111">
        <v>400.0</v>
      </c>
      <c r="AB363" s="111" t="s">
        <v>62</v>
      </c>
      <c r="AC363" s="111">
        <v>270.0</v>
      </c>
      <c r="AD363" s="111">
        <v>130.0</v>
      </c>
      <c r="AE363" s="133"/>
      <c r="AF363" s="111" t="s">
        <v>62</v>
      </c>
      <c r="AG363" s="134" t="s">
        <v>1724</v>
      </c>
      <c r="AH363" s="73" t="s">
        <v>74</v>
      </c>
      <c r="AI363" s="135"/>
      <c r="AJ363" s="136"/>
      <c r="AK363" s="76"/>
      <c r="AL363" s="137"/>
      <c r="AM363" s="139">
        <v>400.0</v>
      </c>
      <c r="AN363" s="139">
        <v>757.0</v>
      </c>
      <c r="AO363" s="140">
        <v>268.52</v>
      </c>
      <c r="AP363" s="142">
        <v>108788.0</v>
      </c>
      <c r="AQ363" s="142">
        <v>186.0</v>
      </c>
      <c r="AR363" s="143"/>
      <c r="AS363" s="144">
        <v>0.9434676586623786</v>
      </c>
      <c r="AT363" s="144">
        <v>0.001432341337621379</v>
      </c>
      <c r="AU363" s="146" t="s">
        <v>1725</v>
      </c>
      <c r="AV363" s="146" t="s">
        <v>1725</v>
      </c>
      <c r="AW363" s="148" t="s">
        <v>1725</v>
      </c>
      <c r="AX363" s="151"/>
      <c r="AY363" s="105"/>
      <c r="AZ363" s="186"/>
      <c r="BA363" s="186"/>
      <c r="BB363" s="222"/>
      <c r="BC363" s="45"/>
      <c r="BD363" s="45"/>
      <c r="BE363" s="155"/>
      <c r="BF363" s="45"/>
    </row>
    <row r="364" ht="16.5" customHeight="1">
      <c r="A364" s="111">
        <v>361.0</v>
      </c>
      <c r="B364" s="112" t="s">
        <v>1726</v>
      </c>
      <c r="C364" s="115" t="s">
        <v>60</v>
      </c>
      <c r="D364" s="117">
        <v>42277.0</v>
      </c>
      <c r="E364" s="117">
        <v>42354.0</v>
      </c>
      <c r="F364" s="79" t="s">
        <v>316</v>
      </c>
      <c r="G364" s="118">
        <v>9200.0</v>
      </c>
      <c r="H364" s="114">
        <v>117.9</v>
      </c>
      <c r="I364" s="120">
        <v>409.0</v>
      </c>
      <c r="J364" s="111" t="s">
        <v>61</v>
      </c>
      <c r="K364" s="121">
        <v>414.18</v>
      </c>
      <c r="L364" s="120" t="s">
        <v>63</v>
      </c>
      <c r="M364" s="120"/>
      <c r="N364" s="120"/>
      <c r="O364" s="124">
        <v>9200.0</v>
      </c>
      <c r="P364" s="124">
        <v>78.0</v>
      </c>
      <c r="Q364" s="111">
        <v>233.0</v>
      </c>
      <c r="R364" s="125">
        <v>432.0</v>
      </c>
      <c r="S364" s="126">
        <v>0.9588</v>
      </c>
      <c r="T364" s="127">
        <v>78429.84</v>
      </c>
      <c r="U364" s="128">
        <f t="shared" si="2"/>
        <v>0</v>
      </c>
      <c r="V364" s="79" t="s">
        <v>69</v>
      </c>
      <c r="W364" s="79"/>
      <c r="X364" s="79"/>
      <c r="Y364" s="130"/>
      <c r="Z364" s="111"/>
      <c r="AA364" s="133"/>
      <c r="AB364" s="133"/>
      <c r="AC364" s="133"/>
      <c r="AD364" s="133"/>
      <c r="AE364" s="133"/>
      <c r="AF364" s="111"/>
      <c r="AG364" s="134" t="s">
        <v>1728</v>
      </c>
      <c r="AH364" s="73"/>
      <c r="AI364" s="135"/>
      <c r="AJ364" s="136"/>
      <c r="AK364" s="76"/>
      <c r="AL364" s="137"/>
      <c r="AM364" s="139" t="s">
        <v>71</v>
      </c>
      <c r="AN364" s="139">
        <v>78.0</v>
      </c>
      <c r="AO364" s="140">
        <v>26.76</v>
      </c>
      <c r="AP364" s="142">
        <v>9200.0</v>
      </c>
      <c r="AQ364" s="142">
        <v>233.0</v>
      </c>
      <c r="AR364" s="143"/>
      <c r="AS364" s="144">
        <v>0.9845631773044676</v>
      </c>
      <c r="AT364" s="144">
        <v>-0.025763177304467644</v>
      </c>
      <c r="AU364" s="146" t="s">
        <v>1730</v>
      </c>
      <c r="AV364" s="146" t="s">
        <v>1730</v>
      </c>
      <c r="AW364" s="148" t="s">
        <v>1730</v>
      </c>
      <c r="AX364" s="151"/>
      <c r="AY364" s="105"/>
      <c r="AZ364" s="186"/>
      <c r="BA364" s="186"/>
      <c r="BB364" s="222"/>
      <c r="BC364" s="45"/>
      <c r="BD364" s="45"/>
      <c r="BE364" s="155"/>
      <c r="BF364" s="45"/>
    </row>
    <row r="365" ht="16.5" customHeight="1">
      <c r="A365" s="111">
        <v>362.0</v>
      </c>
      <c r="B365" s="112" t="s">
        <v>541</v>
      </c>
      <c r="C365" s="115" t="s">
        <v>60</v>
      </c>
      <c r="D365" s="117">
        <v>41603.0</v>
      </c>
      <c r="E365" s="117">
        <v>42354.0</v>
      </c>
      <c r="F365" s="79" t="s">
        <v>57</v>
      </c>
      <c r="G365" s="118">
        <v>80690.0</v>
      </c>
      <c r="H365" s="114">
        <v>107.3</v>
      </c>
      <c r="I365" s="120">
        <v>367.0</v>
      </c>
      <c r="J365" s="111" t="s">
        <v>61</v>
      </c>
      <c r="K365" s="121">
        <v>371.65</v>
      </c>
      <c r="L365" s="120" t="s">
        <v>63</v>
      </c>
      <c r="M365" s="120"/>
      <c r="N365" s="120"/>
      <c r="O365" s="124">
        <v>80690.0</v>
      </c>
      <c r="P365" s="124">
        <v>752.0</v>
      </c>
      <c r="Q365" s="111">
        <v>225.0</v>
      </c>
      <c r="R365" s="125">
        <v>399.0</v>
      </c>
      <c r="S365" s="126">
        <v>0.9315</v>
      </c>
      <c r="T365" s="127">
        <v>72191.25</v>
      </c>
      <c r="U365" s="128">
        <f t="shared" si="2"/>
        <v>0</v>
      </c>
      <c r="V365" s="79" t="s">
        <v>69</v>
      </c>
      <c r="W365" s="79" t="s">
        <v>67</v>
      </c>
      <c r="X365" s="79" t="s">
        <v>69</v>
      </c>
      <c r="Y365" s="130">
        <v>0.9</v>
      </c>
      <c r="Z365" s="111">
        <v>11.0</v>
      </c>
      <c r="AA365" s="111">
        <v>400.0</v>
      </c>
      <c r="AB365" s="111" t="s">
        <v>61</v>
      </c>
      <c r="AC365" s="111">
        <v>367.0</v>
      </c>
      <c r="AD365" s="111">
        <v>123.0</v>
      </c>
      <c r="AE365" s="111">
        <v>46.7</v>
      </c>
      <c r="AF365" s="111" t="s">
        <v>61</v>
      </c>
      <c r="AG365" s="147"/>
      <c r="AH365" s="73">
        <v>244.0</v>
      </c>
      <c r="AI365" s="135">
        <v>247.08860759493672</v>
      </c>
      <c r="AJ365" s="136">
        <v>70.24223078893442</v>
      </c>
      <c r="AK365" s="76">
        <v>0.9063513650185087</v>
      </c>
      <c r="AL365" s="137" t="s">
        <v>1732</v>
      </c>
      <c r="AM365" s="139">
        <v>405.0</v>
      </c>
      <c r="AN365" s="139">
        <v>752.0</v>
      </c>
      <c r="AO365" s="140">
        <v>242.6</v>
      </c>
      <c r="AP365" s="142">
        <v>80690.0</v>
      </c>
      <c r="AQ365" s="142">
        <v>225.0</v>
      </c>
      <c r="AR365" s="143"/>
      <c r="AS365" s="144">
        <v>0.9485089961505212</v>
      </c>
      <c r="AT365" s="144">
        <v>-0.017008996150521205</v>
      </c>
      <c r="AU365" s="146" t="s">
        <v>1733</v>
      </c>
      <c r="AV365" s="146" t="s">
        <v>1733</v>
      </c>
      <c r="AW365" s="148" t="s">
        <v>1733</v>
      </c>
      <c r="AX365" s="151"/>
      <c r="AY365" s="105"/>
      <c r="AZ365" s="186"/>
      <c r="BA365" s="186"/>
      <c r="BB365" s="222"/>
      <c r="BC365" s="45"/>
      <c r="BD365" s="45"/>
      <c r="BE365" s="155"/>
      <c r="BF365" s="45"/>
    </row>
    <row r="366" ht="16.5" customHeight="1">
      <c r="A366" s="111">
        <v>363.0</v>
      </c>
      <c r="B366" s="112" t="s">
        <v>541</v>
      </c>
      <c r="C366" s="115" t="s">
        <v>60</v>
      </c>
      <c r="D366" s="117">
        <v>41603.0</v>
      </c>
      <c r="E366" s="117">
        <v>42355.0</v>
      </c>
      <c r="F366" s="79" t="s">
        <v>57</v>
      </c>
      <c r="G366" s="118">
        <v>80941.0</v>
      </c>
      <c r="H366" s="114">
        <v>107.5</v>
      </c>
      <c r="I366" s="120">
        <v>366.0</v>
      </c>
      <c r="J366" s="111" t="s">
        <v>61</v>
      </c>
      <c r="K366" s="121">
        <v>370.63</v>
      </c>
      <c r="L366" s="120" t="s">
        <v>63</v>
      </c>
      <c r="M366" s="120"/>
      <c r="N366" s="120"/>
      <c r="O366" s="124">
        <v>80941.0</v>
      </c>
      <c r="P366" s="124">
        <v>753.0</v>
      </c>
      <c r="Q366" s="111">
        <v>225.0</v>
      </c>
      <c r="R366" s="125">
        <v>399.0</v>
      </c>
      <c r="S366" s="126">
        <v>0.9289</v>
      </c>
      <c r="T366" s="127">
        <v>71989.75</v>
      </c>
      <c r="U366" s="128">
        <f t="shared" si="2"/>
        <v>0</v>
      </c>
      <c r="V366" s="79" t="s">
        <v>69</v>
      </c>
      <c r="W366" s="79" t="s">
        <v>67</v>
      </c>
      <c r="X366" s="79" t="s">
        <v>69</v>
      </c>
      <c r="Y366" s="130">
        <v>0.9</v>
      </c>
      <c r="Z366" s="111">
        <v>11.0</v>
      </c>
      <c r="AA366" s="111">
        <v>400.0</v>
      </c>
      <c r="AB366" s="111" t="s">
        <v>61</v>
      </c>
      <c r="AC366" s="111">
        <v>366.0</v>
      </c>
      <c r="AD366" s="111">
        <v>0.0</v>
      </c>
      <c r="AE366" s="111">
        <v>67.3</v>
      </c>
      <c r="AF366" s="111" t="s">
        <v>61</v>
      </c>
      <c r="AG366" s="147"/>
      <c r="AH366" s="73">
        <v>366.0</v>
      </c>
      <c r="AI366" s="135">
        <v>370.6329113924051</v>
      </c>
      <c r="AJ366" s="136">
        <v>67.2994713456284</v>
      </c>
      <c r="AK366" s="76">
        <v>0.8683802754274633</v>
      </c>
      <c r="AL366" s="137" t="s">
        <v>1735</v>
      </c>
      <c r="AM366" s="139">
        <v>405.0</v>
      </c>
      <c r="AN366" s="139">
        <v>753.0</v>
      </c>
      <c r="AO366" s="140">
        <v>243.68</v>
      </c>
      <c r="AP366" s="142">
        <v>80941.0</v>
      </c>
      <c r="AQ366" s="142">
        <v>225.0</v>
      </c>
      <c r="AR366" s="143"/>
      <c r="AS366" s="144">
        <v>0.9484593555107852</v>
      </c>
      <c r="AT366" s="144">
        <v>-0.019559355510785248</v>
      </c>
      <c r="AU366" s="146" t="s">
        <v>1736</v>
      </c>
      <c r="AV366" s="146" t="s">
        <v>1736</v>
      </c>
      <c r="AW366" s="148" t="s">
        <v>1736</v>
      </c>
      <c r="AX366" s="151"/>
      <c r="AY366" s="105"/>
      <c r="AZ366" s="186"/>
      <c r="BA366" s="186"/>
      <c r="BB366" s="222"/>
      <c r="BC366" s="45"/>
      <c r="BD366" s="45"/>
      <c r="BE366" s="155"/>
      <c r="BF366" s="45"/>
    </row>
    <row r="367" ht="16.5" customHeight="1">
      <c r="A367" s="111">
        <v>364.0</v>
      </c>
      <c r="B367" s="112" t="s">
        <v>1703</v>
      </c>
      <c r="C367" s="115" t="s">
        <v>60</v>
      </c>
      <c r="D367" s="117">
        <v>42353.0</v>
      </c>
      <c r="E367" s="117">
        <v>42356.0</v>
      </c>
      <c r="F367" s="79" t="s">
        <v>118</v>
      </c>
      <c r="G367" s="118">
        <v>513.0</v>
      </c>
      <c r="H367" s="114">
        <v>128.3</v>
      </c>
      <c r="I367" s="120">
        <v>359.0</v>
      </c>
      <c r="J367" s="111" t="s">
        <v>61</v>
      </c>
      <c r="K367" s="121">
        <v>363.54</v>
      </c>
      <c r="L367" s="120" t="s">
        <v>63</v>
      </c>
      <c r="M367" s="120"/>
      <c r="N367" s="120"/>
      <c r="O367" s="124">
        <v>513.0</v>
      </c>
      <c r="P367" s="124">
        <v>4.0</v>
      </c>
      <c r="Q367" s="111">
        <v>217.0</v>
      </c>
      <c r="R367" s="125">
        <v>365.0</v>
      </c>
      <c r="S367" s="126">
        <v>0.996</v>
      </c>
      <c r="T367" s="127">
        <v>68524.8</v>
      </c>
      <c r="U367" s="128">
        <f t="shared" si="2"/>
        <v>0</v>
      </c>
      <c r="V367" s="79" t="s">
        <v>68</v>
      </c>
      <c r="W367" s="79" t="s">
        <v>68</v>
      </c>
      <c r="X367" s="79" t="s">
        <v>68</v>
      </c>
      <c r="Y367" s="130">
        <v>0.9</v>
      </c>
      <c r="Z367" s="111">
        <v>11.0</v>
      </c>
      <c r="AA367" s="111">
        <v>358.0</v>
      </c>
      <c r="AB367" s="111" t="s">
        <v>61</v>
      </c>
      <c r="AC367" s="111">
        <v>358.0</v>
      </c>
      <c r="AD367" s="111">
        <v>200.0</v>
      </c>
      <c r="AE367" s="133"/>
      <c r="AF367" s="111"/>
      <c r="AG367" s="147"/>
      <c r="AH367" s="73" t="s">
        <v>74</v>
      </c>
      <c r="AI367" s="135"/>
      <c r="AJ367" s="136"/>
      <c r="AK367" s="76"/>
      <c r="AL367" s="137"/>
      <c r="AM367" s="139">
        <v>363.0</v>
      </c>
      <c r="AN367" s="139">
        <v>4.0</v>
      </c>
      <c r="AO367" s="140">
        <v>1.62</v>
      </c>
      <c r="AP367" s="142">
        <v>513.0</v>
      </c>
      <c r="AQ367" s="142">
        <v>217.0</v>
      </c>
      <c r="AR367" s="143"/>
      <c r="AS367" s="144">
        <v>0.9989691941963752</v>
      </c>
      <c r="AT367" s="144">
        <v>-0.002969194196375202</v>
      </c>
      <c r="AU367" s="146" t="s">
        <v>1738</v>
      </c>
      <c r="AV367" s="146" t="s">
        <v>1738</v>
      </c>
      <c r="AW367" s="148" t="s">
        <v>1738</v>
      </c>
      <c r="AX367" s="151"/>
      <c r="AY367" s="105"/>
      <c r="AZ367" s="186"/>
      <c r="BA367" s="186"/>
      <c r="BB367" s="222"/>
      <c r="BC367" s="45"/>
      <c r="BD367" s="45"/>
      <c r="BE367" s="155"/>
      <c r="BF367" s="45"/>
    </row>
    <row r="368" ht="16.5" customHeight="1">
      <c r="A368" s="111">
        <v>365.0</v>
      </c>
      <c r="B368" s="112" t="s">
        <v>1739</v>
      </c>
      <c r="C368" s="115" t="s">
        <v>60</v>
      </c>
      <c r="D368" s="117">
        <v>42158.0</v>
      </c>
      <c r="E368" s="117">
        <v>42356.0</v>
      </c>
      <c r="F368" s="79" t="s">
        <v>86</v>
      </c>
      <c r="G368" s="118">
        <v>24300.0</v>
      </c>
      <c r="H368" s="114">
        <v>122.1</v>
      </c>
      <c r="I368" s="120">
        <v>399.0</v>
      </c>
      <c r="J368" s="111" t="s">
        <v>61</v>
      </c>
      <c r="K368" s="121">
        <v>404.05</v>
      </c>
      <c r="L368" s="120" t="s">
        <v>63</v>
      </c>
      <c r="M368" s="120"/>
      <c r="N368" s="120"/>
      <c r="O368" s="124">
        <v>24300.0</v>
      </c>
      <c r="P368" s="124">
        <v>199.0</v>
      </c>
      <c r="Q368" s="111">
        <v>209.0</v>
      </c>
      <c r="R368" s="125">
        <v>430.0</v>
      </c>
      <c r="S368" s="126">
        <v>0.9397</v>
      </c>
      <c r="T368" s="127">
        <v>72826.75</v>
      </c>
      <c r="U368" s="128">
        <f t="shared" si="2"/>
        <v>0</v>
      </c>
      <c r="V368" s="79" t="s">
        <v>67</v>
      </c>
      <c r="W368" s="79" t="s">
        <v>69</v>
      </c>
      <c r="X368" s="79" t="s">
        <v>68</v>
      </c>
      <c r="Y368" s="130">
        <v>0.9</v>
      </c>
      <c r="Z368" s="111">
        <v>11.0</v>
      </c>
      <c r="AA368" s="111">
        <v>405.0</v>
      </c>
      <c r="AB368" s="111" t="s">
        <v>61</v>
      </c>
      <c r="AC368" s="133"/>
      <c r="AD368" s="133"/>
      <c r="AE368" s="133"/>
      <c r="AF368" s="111"/>
      <c r="AG368" s="147"/>
      <c r="AH368" s="73"/>
      <c r="AI368" s="135"/>
      <c r="AJ368" s="136"/>
      <c r="AK368" s="76"/>
      <c r="AL368" s="137"/>
      <c r="AM368" s="139">
        <v>410.0</v>
      </c>
      <c r="AN368" s="139">
        <v>199.0</v>
      </c>
      <c r="AO368" s="140">
        <v>67.58</v>
      </c>
      <c r="AP368" s="142">
        <v>24300.0</v>
      </c>
      <c r="AQ368" s="142">
        <v>209.0</v>
      </c>
      <c r="AR368" s="143"/>
      <c r="AS368" s="144">
        <v>0.9690772803555379</v>
      </c>
      <c r="AT368" s="144">
        <v>-0.029377280355537883</v>
      </c>
      <c r="AU368" s="146" t="s">
        <v>1743</v>
      </c>
      <c r="AV368" s="146" t="s">
        <v>1743</v>
      </c>
      <c r="AW368" s="148" t="s">
        <v>1743</v>
      </c>
      <c r="AX368" s="151"/>
      <c r="AY368" s="105"/>
      <c r="AZ368" s="186"/>
      <c r="BA368" s="186"/>
      <c r="BB368" s="222"/>
      <c r="BC368" s="45"/>
      <c r="BD368" s="45"/>
      <c r="BE368" s="155"/>
      <c r="BF368" s="45"/>
    </row>
    <row r="369" ht="16.5" customHeight="1">
      <c r="A369" s="111">
        <v>366.0</v>
      </c>
      <c r="B369" s="112" t="s">
        <v>1744</v>
      </c>
      <c r="C369" s="115" t="s">
        <v>60</v>
      </c>
      <c r="D369" s="117">
        <v>41487.0</v>
      </c>
      <c r="E369" s="117">
        <v>42356.0</v>
      </c>
      <c r="F369" s="79" t="s">
        <v>79</v>
      </c>
      <c r="G369" s="118">
        <v>36000.0</v>
      </c>
      <c r="H369" s="114">
        <v>41.4</v>
      </c>
      <c r="I369" s="120">
        <v>375.0</v>
      </c>
      <c r="J369" s="111" t="s">
        <v>61</v>
      </c>
      <c r="K369" s="121">
        <v>379.75</v>
      </c>
      <c r="L369" s="120" t="s">
        <v>63</v>
      </c>
      <c r="M369" s="120"/>
      <c r="N369" s="120"/>
      <c r="O369" s="124">
        <v>36000.0</v>
      </c>
      <c r="P369" s="124">
        <v>870.0</v>
      </c>
      <c r="Q369" s="111">
        <v>244.0</v>
      </c>
      <c r="R369" s="125">
        <v>399.0</v>
      </c>
      <c r="S369" s="126">
        <v>0.9518</v>
      </c>
      <c r="T369" s="127">
        <v>73764.5</v>
      </c>
      <c r="U369" s="128">
        <f t="shared" si="2"/>
        <v>0</v>
      </c>
      <c r="V369" s="79" t="s">
        <v>65</v>
      </c>
      <c r="W369" s="79" t="s">
        <v>69</v>
      </c>
      <c r="X369" s="79" t="s">
        <v>68</v>
      </c>
      <c r="Y369" s="130">
        <v>0.9</v>
      </c>
      <c r="Z369" s="111">
        <v>7.4</v>
      </c>
      <c r="AA369" s="111">
        <v>391.0</v>
      </c>
      <c r="AB369" s="111" t="s">
        <v>61</v>
      </c>
      <c r="AC369" s="133"/>
      <c r="AD369" s="133"/>
      <c r="AE369" s="133"/>
      <c r="AF369" s="111"/>
      <c r="AG369" s="147"/>
      <c r="AH369" s="73"/>
      <c r="AI369" s="135"/>
      <c r="AJ369" s="136"/>
      <c r="AK369" s="76"/>
      <c r="AL369" s="137"/>
      <c r="AM369" s="139">
        <v>396.0</v>
      </c>
      <c r="AN369" s="139">
        <v>870.0</v>
      </c>
      <c r="AO369" s="140">
        <v>116.18</v>
      </c>
      <c r="AP369" s="142">
        <v>36000.0</v>
      </c>
      <c r="AQ369" s="142">
        <v>244.0</v>
      </c>
      <c r="AR369" s="143"/>
      <c r="AS369" s="144">
        <v>0.961888261912499</v>
      </c>
      <c r="AT369" s="144">
        <v>-0.010088261912499008</v>
      </c>
      <c r="AU369" s="146" t="s">
        <v>1747</v>
      </c>
      <c r="AV369" s="146" t="s">
        <v>1747</v>
      </c>
      <c r="AW369" s="148" t="s">
        <v>1747</v>
      </c>
      <c r="AX369" s="151"/>
      <c r="AY369" s="105"/>
      <c r="AZ369" s="186"/>
      <c r="BA369" s="186"/>
      <c r="BB369" s="222"/>
      <c r="BC369" s="45"/>
      <c r="BD369" s="45"/>
      <c r="BE369" s="155"/>
      <c r="BF369" s="45"/>
    </row>
    <row r="370" ht="16.5" customHeight="1">
      <c r="A370" s="111">
        <v>367.0</v>
      </c>
      <c r="B370" s="112" t="s">
        <v>541</v>
      </c>
      <c r="C370" s="115" t="s">
        <v>60</v>
      </c>
      <c r="D370" s="117">
        <v>41603.0</v>
      </c>
      <c r="E370" s="117">
        <v>42358.0</v>
      </c>
      <c r="F370" s="79" t="s">
        <v>57</v>
      </c>
      <c r="G370" s="118">
        <v>81620.0</v>
      </c>
      <c r="H370" s="114">
        <v>108.0</v>
      </c>
      <c r="I370" s="120">
        <v>370.0</v>
      </c>
      <c r="J370" s="111" t="s">
        <v>61</v>
      </c>
      <c r="K370" s="121">
        <v>374.68</v>
      </c>
      <c r="L370" s="120" t="s">
        <v>63</v>
      </c>
      <c r="M370" s="120"/>
      <c r="N370" s="120"/>
      <c r="O370" s="124">
        <v>81620.0</v>
      </c>
      <c r="P370" s="124">
        <v>756.0</v>
      </c>
      <c r="Q370" s="111">
        <v>225.0</v>
      </c>
      <c r="R370" s="125">
        <v>399.0</v>
      </c>
      <c r="S370" s="126">
        <v>0.939</v>
      </c>
      <c r="T370" s="127">
        <v>72772.5</v>
      </c>
      <c r="U370" s="128">
        <f t="shared" si="2"/>
        <v>0</v>
      </c>
      <c r="V370" s="79" t="s">
        <v>69</v>
      </c>
      <c r="W370" s="79" t="s">
        <v>67</v>
      </c>
      <c r="X370" s="79" t="s">
        <v>69</v>
      </c>
      <c r="Y370" s="130">
        <v>0.9</v>
      </c>
      <c r="Z370" s="111">
        <v>11.0</v>
      </c>
      <c r="AA370" s="111">
        <v>400.0</v>
      </c>
      <c r="AB370" s="111" t="s">
        <v>61</v>
      </c>
      <c r="AC370" s="133"/>
      <c r="AD370" s="133"/>
      <c r="AE370" s="133"/>
      <c r="AF370" s="111"/>
      <c r="AG370" s="147"/>
      <c r="AH370" s="73"/>
      <c r="AI370" s="135"/>
      <c r="AJ370" s="136"/>
      <c r="AK370" s="76"/>
      <c r="AL370" s="137"/>
      <c r="AM370" s="139">
        <v>405.0</v>
      </c>
      <c r="AN370" s="139">
        <v>756.0</v>
      </c>
      <c r="AO370" s="140">
        <v>244.45</v>
      </c>
      <c r="AP370" s="142">
        <v>81620.0</v>
      </c>
      <c r="AQ370" s="142">
        <v>225.0</v>
      </c>
      <c r="AR370" s="143"/>
      <c r="AS370" s="144">
        <v>0.9483256783443514</v>
      </c>
      <c r="AT370" s="144">
        <v>-0.009325678344351496</v>
      </c>
      <c r="AU370" s="146" t="s">
        <v>1749</v>
      </c>
      <c r="AV370" s="146" t="s">
        <v>1749</v>
      </c>
      <c r="AW370" s="148" t="s">
        <v>1749</v>
      </c>
      <c r="AX370" s="151"/>
      <c r="AY370" s="105"/>
      <c r="AZ370" s="186"/>
      <c r="BA370" s="186"/>
      <c r="BB370" s="222"/>
      <c r="BC370" s="45"/>
      <c r="BD370" s="45"/>
      <c r="BE370" s="155"/>
      <c r="BF370" s="45"/>
    </row>
    <row r="371" ht="16.5" customHeight="1">
      <c r="A371" s="111">
        <v>368.0</v>
      </c>
      <c r="B371" s="112" t="s">
        <v>1750</v>
      </c>
      <c r="C371" s="115" t="s">
        <v>60</v>
      </c>
      <c r="D371" s="117">
        <v>42249.0</v>
      </c>
      <c r="E371" s="117">
        <v>42357.0</v>
      </c>
      <c r="F371" s="79" t="s">
        <v>59</v>
      </c>
      <c r="G371" s="118">
        <v>3200.0</v>
      </c>
      <c r="H371" s="114">
        <v>29.4</v>
      </c>
      <c r="I371" s="120">
        <v>398.0</v>
      </c>
      <c r="J371" s="111" t="s">
        <v>61</v>
      </c>
      <c r="K371" s="121">
        <v>403.04</v>
      </c>
      <c r="L371" s="120" t="s">
        <v>63</v>
      </c>
      <c r="M371" s="120"/>
      <c r="N371" s="120"/>
      <c r="O371" s="124">
        <v>3200.0</v>
      </c>
      <c r="P371" s="124">
        <v>109.0</v>
      </c>
      <c r="Q371" s="159">
        <v>218.0</v>
      </c>
      <c r="R371" s="125">
        <v>399.0</v>
      </c>
      <c r="S371" s="126">
        <v>1.0101</v>
      </c>
      <c r="T371" s="127">
        <v>78282.75</v>
      </c>
      <c r="U371" s="128">
        <f t="shared" si="2"/>
        <v>0</v>
      </c>
      <c r="V371" s="79" t="s">
        <v>67</v>
      </c>
      <c r="W371" s="79" t="s">
        <v>65</v>
      </c>
      <c r="X371" s="79" t="s">
        <v>69</v>
      </c>
      <c r="Y371" s="130">
        <v>0.8</v>
      </c>
      <c r="Z371" s="111">
        <v>11.0</v>
      </c>
      <c r="AA371" s="133"/>
      <c r="AB371" s="111" t="s">
        <v>61</v>
      </c>
      <c r="AC371" s="133"/>
      <c r="AD371" s="133"/>
      <c r="AE371" s="133"/>
      <c r="AF371" s="111"/>
      <c r="AG371" s="147"/>
      <c r="AH371" s="73"/>
      <c r="AI371" s="135"/>
      <c r="AJ371" s="136"/>
      <c r="AK371" s="76"/>
      <c r="AL371" s="137"/>
      <c r="AM371" s="139" t="s">
        <v>71</v>
      </c>
      <c r="AN371" s="139">
        <v>109.0</v>
      </c>
      <c r="AO371" s="140">
        <v>8.96</v>
      </c>
      <c r="AP371" s="142">
        <v>3200.0</v>
      </c>
      <c r="AQ371" s="142">
        <v>218.0</v>
      </c>
      <c r="AR371" s="143"/>
      <c r="AS371" s="144">
        <v>0.9939289983661519</v>
      </c>
      <c r="AT371" s="144">
        <v>0.016171001633848103</v>
      </c>
      <c r="AU371" s="146" t="s">
        <v>1753</v>
      </c>
      <c r="AV371" s="146" t="s">
        <v>1753</v>
      </c>
      <c r="AW371" s="148" t="s">
        <v>1753</v>
      </c>
      <c r="AX371" s="151"/>
      <c r="AY371" s="105"/>
      <c r="AZ371" s="186"/>
      <c r="BA371" s="186"/>
      <c r="BB371" s="222"/>
      <c r="BC371" s="45"/>
      <c r="BD371" s="45"/>
      <c r="BE371" s="155"/>
      <c r="BF371" s="45"/>
    </row>
    <row r="372" ht="16.5" customHeight="1">
      <c r="A372" s="111">
        <v>369.0</v>
      </c>
      <c r="B372" s="112" t="s">
        <v>339</v>
      </c>
      <c r="C372" s="115" t="s">
        <v>60</v>
      </c>
      <c r="D372" s="117">
        <v>41912.0</v>
      </c>
      <c r="E372" s="117">
        <v>42338.0</v>
      </c>
      <c r="F372" s="79" t="s">
        <v>59</v>
      </c>
      <c r="G372" s="118">
        <v>40592.0</v>
      </c>
      <c r="H372" s="114">
        <v>95.1</v>
      </c>
      <c r="I372" s="120">
        <v>372.0</v>
      </c>
      <c r="J372" s="111" t="s">
        <v>61</v>
      </c>
      <c r="K372" s="121">
        <v>376.71</v>
      </c>
      <c r="L372" s="120" t="s">
        <v>63</v>
      </c>
      <c r="M372" s="120"/>
      <c r="N372" s="120"/>
      <c r="O372" s="124">
        <v>40592.0</v>
      </c>
      <c r="P372" s="124">
        <v>427.0</v>
      </c>
      <c r="Q372" s="111">
        <v>258.0</v>
      </c>
      <c r="R372" s="125">
        <v>399.0</v>
      </c>
      <c r="S372" s="126">
        <v>0.9441</v>
      </c>
      <c r="T372" s="127">
        <v>73167.75</v>
      </c>
      <c r="U372" s="128">
        <f t="shared" si="2"/>
        <v>0</v>
      </c>
      <c r="V372" s="79" t="s">
        <v>69</v>
      </c>
      <c r="W372" s="79" t="s">
        <v>64</v>
      </c>
      <c r="X372" s="79" t="s">
        <v>68</v>
      </c>
      <c r="Y372" s="130">
        <v>0.8</v>
      </c>
      <c r="Z372" s="111">
        <v>16.0</v>
      </c>
      <c r="AA372" s="133"/>
      <c r="AB372" s="133"/>
      <c r="AC372" s="133"/>
      <c r="AD372" s="133"/>
      <c r="AE372" s="133"/>
      <c r="AF372" s="111"/>
      <c r="AG372" s="147"/>
      <c r="AH372" s="73"/>
      <c r="AI372" s="135"/>
      <c r="AJ372" s="136"/>
      <c r="AK372" s="76"/>
      <c r="AL372" s="137"/>
      <c r="AM372" s="139" t="s">
        <v>71</v>
      </c>
      <c r="AN372" s="139">
        <v>427.0</v>
      </c>
      <c r="AO372" s="140">
        <v>139.04</v>
      </c>
      <c r="AP372" s="142">
        <v>40592.0</v>
      </c>
      <c r="AQ372" s="142">
        <v>258.0</v>
      </c>
      <c r="AR372" s="143"/>
      <c r="AS372" s="144">
        <v>0.9597531447413733</v>
      </c>
      <c r="AT372" s="144">
        <v>-0.01565314474137325</v>
      </c>
      <c r="AU372" s="146" t="s">
        <v>1754</v>
      </c>
      <c r="AV372" s="146" t="s">
        <v>1754</v>
      </c>
      <c r="AW372" s="148" t="s">
        <v>1754</v>
      </c>
      <c r="AX372" s="151"/>
      <c r="AY372" s="105"/>
      <c r="AZ372" s="186"/>
      <c r="BA372" s="186"/>
      <c r="BB372" s="222"/>
      <c r="BC372" s="45"/>
      <c r="BD372" s="45"/>
      <c r="BE372" s="155"/>
      <c r="BF372" s="45"/>
    </row>
    <row r="373" ht="16.5" customHeight="1">
      <c r="A373" s="111">
        <v>370.0</v>
      </c>
      <c r="B373" s="112" t="s">
        <v>339</v>
      </c>
      <c r="C373" s="115" t="s">
        <v>60</v>
      </c>
      <c r="D373" s="117">
        <v>41912.0</v>
      </c>
      <c r="E373" s="117">
        <v>42357.0</v>
      </c>
      <c r="F373" s="79" t="s">
        <v>59</v>
      </c>
      <c r="G373" s="118">
        <v>42700.0</v>
      </c>
      <c r="H373" s="114">
        <v>95.7</v>
      </c>
      <c r="I373" s="120">
        <v>376.0</v>
      </c>
      <c r="J373" s="111" t="s">
        <v>61</v>
      </c>
      <c r="K373" s="121">
        <v>380.76</v>
      </c>
      <c r="L373" s="120" t="s">
        <v>63</v>
      </c>
      <c r="M373" s="120"/>
      <c r="N373" s="120"/>
      <c r="O373" s="124">
        <v>42700.0</v>
      </c>
      <c r="P373" s="124">
        <v>446.0</v>
      </c>
      <c r="Q373" s="111">
        <v>258.0</v>
      </c>
      <c r="R373" s="125">
        <v>399.0</v>
      </c>
      <c r="S373" s="126">
        <v>0.9543</v>
      </c>
      <c r="T373" s="127">
        <v>73958.25</v>
      </c>
      <c r="U373" s="128">
        <f t="shared" si="2"/>
        <v>0</v>
      </c>
      <c r="V373" s="79" t="s">
        <v>69</v>
      </c>
      <c r="W373" s="79" t="s">
        <v>64</v>
      </c>
      <c r="X373" s="79" t="s">
        <v>68</v>
      </c>
      <c r="Y373" s="130">
        <v>0.8</v>
      </c>
      <c r="Z373" s="111">
        <v>16.0</v>
      </c>
      <c r="AA373" s="133"/>
      <c r="AB373" s="133"/>
      <c r="AC373" s="111">
        <v>376.0</v>
      </c>
      <c r="AD373" s="111">
        <v>233.0</v>
      </c>
      <c r="AE373" s="111">
        <v>24.9</v>
      </c>
      <c r="AF373" s="111" t="s">
        <v>61</v>
      </c>
      <c r="AG373" s="147"/>
      <c r="AH373" s="73">
        <v>143.0</v>
      </c>
      <c r="AI373" s="135">
        <v>144.81012658227849</v>
      </c>
      <c r="AJ373" s="136">
        <v>65.47141573426572</v>
      </c>
      <c r="AK373" s="76">
        <v>0.8447924610872997</v>
      </c>
      <c r="AL373" s="137" t="s">
        <v>1756</v>
      </c>
      <c r="AM373" s="139" t="s">
        <v>71</v>
      </c>
      <c r="AN373" s="139">
        <v>446.0</v>
      </c>
      <c r="AO373" s="140">
        <v>145.49</v>
      </c>
      <c r="AP373" s="142">
        <v>42700.0</v>
      </c>
      <c r="AQ373" s="142">
        <v>258.0</v>
      </c>
      <c r="AR373" s="143"/>
      <c r="AS373" s="144">
        <v>0.9588689558995055</v>
      </c>
      <c r="AT373" s="144">
        <v>-0.004568955899505456</v>
      </c>
      <c r="AU373" s="146" t="s">
        <v>1758</v>
      </c>
      <c r="AV373" s="146" t="s">
        <v>1758</v>
      </c>
      <c r="AW373" s="148" t="s">
        <v>1758</v>
      </c>
      <c r="AX373" s="151"/>
      <c r="AY373" s="105"/>
      <c r="AZ373" s="186"/>
      <c r="BA373" s="186"/>
      <c r="BB373" s="222"/>
      <c r="BC373" s="45"/>
      <c r="BD373" s="45"/>
      <c r="BE373" s="155"/>
      <c r="BF373" s="45"/>
    </row>
    <row r="374" ht="16.5" customHeight="1">
      <c r="A374" s="111">
        <v>371.0</v>
      </c>
      <c r="B374" s="112" t="s">
        <v>1760</v>
      </c>
      <c r="C374" s="115" t="s">
        <v>60</v>
      </c>
      <c r="D374" s="117">
        <v>42271.0</v>
      </c>
      <c r="E374" s="117">
        <v>42359.0</v>
      </c>
      <c r="F374" s="79" t="s">
        <v>118</v>
      </c>
      <c r="G374" s="118">
        <v>3000.0</v>
      </c>
      <c r="H374" s="114">
        <v>33.7</v>
      </c>
      <c r="I374" s="120">
        <v>368.0</v>
      </c>
      <c r="J374" s="111" t="s">
        <v>62</v>
      </c>
      <c r="K374" s="121">
        <v>368.0</v>
      </c>
      <c r="L374" s="120" t="s">
        <v>63</v>
      </c>
      <c r="M374" s="120"/>
      <c r="N374" s="120"/>
      <c r="O374" s="124">
        <v>3000.0</v>
      </c>
      <c r="P374" s="124">
        <v>89.0</v>
      </c>
      <c r="Q374" s="111">
        <v>233.0</v>
      </c>
      <c r="R374" s="125">
        <v>365.0</v>
      </c>
      <c r="S374" s="126">
        <v>1.0082</v>
      </c>
      <c r="T374" s="127">
        <v>69364.16</v>
      </c>
      <c r="U374" s="128">
        <f t="shared" si="2"/>
        <v>0</v>
      </c>
      <c r="V374" s="79" t="s">
        <v>69</v>
      </c>
      <c r="W374" s="79" t="s">
        <v>64</v>
      </c>
      <c r="X374" s="79" t="s">
        <v>69</v>
      </c>
      <c r="Y374" s="130">
        <v>0.9</v>
      </c>
      <c r="Z374" s="111">
        <v>11.0</v>
      </c>
      <c r="AA374" s="111">
        <v>365.0</v>
      </c>
      <c r="AB374" s="133"/>
      <c r="AC374" s="133"/>
      <c r="AD374" s="133"/>
      <c r="AE374" s="133"/>
      <c r="AF374" s="111"/>
      <c r="AG374" s="147"/>
      <c r="AH374" s="73"/>
      <c r="AI374" s="135"/>
      <c r="AJ374" s="136"/>
      <c r="AK374" s="76"/>
      <c r="AL374" s="137"/>
      <c r="AM374" s="139">
        <v>365.0</v>
      </c>
      <c r="AN374" s="139">
        <v>89.0</v>
      </c>
      <c r="AO374" s="140">
        <v>10.12</v>
      </c>
      <c r="AP374" s="142">
        <v>3000.0</v>
      </c>
      <c r="AQ374" s="142">
        <v>233.0</v>
      </c>
      <c r="AR374" s="143"/>
      <c r="AS374" s="144">
        <v>0.9942843457650993</v>
      </c>
      <c r="AT374" s="144">
        <v>0.01391565423490071</v>
      </c>
      <c r="AU374" s="146" t="s">
        <v>1763</v>
      </c>
      <c r="AV374" s="146" t="s">
        <v>1763</v>
      </c>
      <c r="AW374" s="148" t="s">
        <v>1763</v>
      </c>
      <c r="AX374" s="151"/>
      <c r="AY374" s="105"/>
      <c r="AZ374" s="186"/>
      <c r="BA374" s="186"/>
      <c r="BB374" s="222"/>
      <c r="BC374" s="45"/>
      <c r="BD374" s="45"/>
      <c r="BE374" s="155"/>
      <c r="BF374" s="45"/>
    </row>
    <row r="375" ht="16.5" customHeight="1">
      <c r="A375" s="111">
        <v>372.0</v>
      </c>
      <c r="B375" s="112" t="s">
        <v>1013</v>
      </c>
      <c r="C375" s="115" t="s">
        <v>60</v>
      </c>
      <c r="D375" s="117">
        <v>41814.0</v>
      </c>
      <c r="E375" s="117">
        <v>42361.0</v>
      </c>
      <c r="F375" s="79" t="s">
        <v>59</v>
      </c>
      <c r="G375" s="118">
        <v>75000.0</v>
      </c>
      <c r="H375" s="114">
        <v>136.9</v>
      </c>
      <c r="I375" s="120">
        <v>378.0</v>
      </c>
      <c r="J375" s="111" t="s">
        <v>62</v>
      </c>
      <c r="K375" s="121">
        <v>378.0</v>
      </c>
      <c r="L375" s="120" t="s">
        <v>63</v>
      </c>
      <c r="M375" s="120"/>
      <c r="N375" s="120"/>
      <c r="O375" s="124">
        <v>75000.0</v>
      </c>
      <c r="P375" s="124">
        <v>548.0</v>
      </c>
      <c r="Q375" s="111">
        <v>222.0</v>
      </c>
      <c r="R375" s="125">
        <v>399.0</v>
      </c>
      <c r="S375" s="126">
        <v>0.9474</v>
      </c>
      <c r="T375" s="127">
        <v>73423.5</v>
      </c>
      <c r="U375" s="128">
        <f t="shared" si="2"/>
        <v>0</v>
      </c>
      <c r="V375" s="79" t="s">
        <v>64</v>
      </c>
      <c r="W375" s="79" t="s">
        <v>69</v>
      </c>
      <c r="X375" s="79" t="s">
        <v>69</v>
      </c>
      <c r="Y375" s="130">
        <v>0.8</v>
      </c>
      <c r="Z375" s="111">
        <v>17.25</v>
      </c>
      <c r="AA375" s="111">
        <v>398.0</v>
      </c>
      <c r="AB375" s="111" t="s">
        <v>61</v>
      </c>
      <c r="AC375" s="133"/>
      <c r="AD375" s="133"/>
      <c r="AE375" s="133"/>
      <c r="AF375" s="111"/>
      <c r="AG375" s="147"/>
      <c r="AH375" s="73"/>
      <c r="AI375" s="135"/>
      <c r="AJ375" s="136"/>
      <c r="AK375" s="76"/>
      <c r="AL375" s="137"/>
      <c r="AM375" s="139">
        <v>403.0</v>
      </c>
      <c r="AN375" s="139">
        <v>548.0</v>
      </c>
      <c r="AO375" s="140">
        <v>220.66</v>
      </c>
      <c r="AP375" s="142">
        <v>75000.0</v>
      </c>
      <c r="AQ375" s="142">
        <v>222.0</v>
      </c>
      <c r="AR375" s="143"/>
      <c r="AS375" s="144">
        <v>0.9496706082253603</v>
      </c>
      <c r="AT375" s="144">
        <v>-0.0022706082253602933</v>
      </c>
      <c r="AU375" s="146" t="s">
        <v>1765</v>
      </c>
      <c r="AV375" s="146" t="s">
        <v>1765</v>
      </c>
      <c r="AW375" s="148" t="s">
        <v>1765</v>
      </c>
      <c r="AX375" s="151"/>
      <c r="AY375" s="105"/>
      <c r="AZ375" s="186"/>
      <c r="BA375" s="186"/>
      <c r="BB375" s="222"/>
      <c r="BC375" s="45"/>
      <c r="BD375" s="45"/>
      <c r="BE375" s="155"/>
      <c r="BF375" s="45"/>
    </row>
    <row r="376" ht="16.5" customHeight="1">
      <c r="A376" s="111">
        <v>373.0</v>
      </c>
      <c r="B376" s="112" t="s">
        <v>623</v>
      </c>
      <c r="C376" s="115" t="s">
        <v>60</v>
      </c>
      <c r="D376" s="117">
        <v>41794.0</v>
      </c>
      <c r="E376" s="117">
        <v>42363.0</v>
      </c>
      <c r="F376" s="79" t="s">
        <v>59</v>
      </c>
      <c r="G376" s="118">
        <v>86781.0</v>
      </c>
      <c r="H376" s="114">
        <v>152.2</v>
      </c>
      <c r="I376" s="120">
        <v>375.0</v>
      </c>
      <c r="J376" s="111" t="s">
        <v>62</v>
      </c>
      <c r="K376" s="121">
        <v>375.0</v>
      </c>
      <c r="L376" s="120" t="s">
        <v>63</v>
      </c>
      <c r="M376" s="120"/>
      <c r="N376" s="120"/>
      <c r="O376" s="124">
        <v>86781.0</v>
      </c>
      <c r="P376" s="124">
        <v>570.0</v>
      </c>
      <c r="Q376" s="111">
        <v>185.0</v>
      </c>
      <c r="R376" s="125">
        <v>399.0</v>
      </c>
      <c r="S376" s="126">
        <v>0.9398</v>
      </c>
      <c r="T376" s="127">
        <v>72834.5</v>
      </c>
      <c r="U376" s="128">
        <f t="shared" si="2"/>
        <v>0</v>
      </c>
      <c r="V376" s="79" t="s">
        <v>65</v>
      </c>
      <c r="W376" s="79" t="s">
        <v>64</v>
      </c>
      <c r="X376" s="79" t="s">
        <v>69</v>
      </c>
      <c r="Y376" s="130">
        <v>0.9</v>
      </c>
      <c r="Z376" s="111">
        <v>9.0</v>
      </c>
      <c r="AA376" s="111">
        <v>398.0</v>
      </c>
      <c r="AB376" s="111" t="s">
        <v>61</v>
      </c>
      <c r="AC376" s="133"/>
      <c r="AD376" s="133"/>
      <c r="AE376" s="133"/>
      <c r="AF376" s="111"/>
      <c r="AG376" s="134" t="s">
        <v>1766</v>
      </c>
      <c r="AH376" s="73"/>
      <c r="AI376" s="135"/>
      <c r="AJ376" s="136"/>
      <c r="AK376" s="76"/>
      <c r="AL376" s="137"/>
      <c r="AM376" s="139">
        <v>403.0</v>
      </c>
      <c r="AN376" s="139">
        <v>570.0</v>
      </c>
      <c r="AO376" s="140">
        <v>213.61</v>
      </c>
      <c r="AP376" s="142">
        <v>86781.0</v>
      </c>
      <c r="AQ376" s="142">
        <v>185.0</v>
      </c>
      <c r="AR376" s="143"/>
      <c r="AS376" s="144">
        <v>0.9473361039638233</v>
      </c>
      <c r="AT376" s="144">
        <v>-0.007536103963823315</v>
      </c>
      <c r="AU376" s="146" t="s">
        <v>1767</v>
      </c>
      <c r="AV376" s="146" t="s">
        <v>1767</v>
      </c>
      <c r="AW376" s="148" t="s">
        <v>1767</v>
      </c>
      <c r="AX376" s="151"/>
      <c r="AY376" s="105"/>
      <c r="AZ376" s="186"/>
      <c r="BA376" s="186"/>
      <c r="BB376" s="222"/>
      <c r="BC376" s="45"/>
      <c r="BD376" s="45"/>
      <c r="BE376" s="155"/>
      <c r="BF376" s="45"/>
    </row>
    <row r="377" ht="16.5" customHeight="1">
      <c r="A377" s="111">
        <v>374.0</v>
      </c>
      <c r="B377" s="112" t="s">
        <v>548</v>
      </c>
      <c r="C377" s="115" t="s">
        <v>60</v>
      </c>
      <c r="D377" s="117">
        <v>41631.0</v>
      </c>
      <c r="E377" s="117">
        <v>42363.0</v>
      </c>
      <c r="F377" s="79" t="s">
        <v>79</v>
      </c>
      <c r="G377" s="118">
        <v>64000.0</v>
      </c>
      <c r="H377" s="114">
        <v>87.3</v>
      </c>
      <c r="I377" s="120">
        <v>374.0</v>
      </c>
      <c r="J377" s="111" t="s">
        <v>61</v>
      </c>
      <c r="K377" s="121">
        <v>378.73</v>
      </c>
      <c r="L377" s="120" t="s">
        <v>63</v>
      </c>
      <c r="M377" s="120"/>
      <c r="N377" s="120"/>
      <c r="O377" s="124">
        <v>64000.0</v>
      </c>
      <c r="P377" s="124">
        <v>733.0</v>
      </c>
      <c r="Q377" s="111">
        <v>226.0</v>
      </c>
      <c r="R377" s="125">
        <v>399.0</v>
      </c>
      <c r="S377" s="126">
        <v>0.9492</v>
      </c>
      <c r="T377" s="127">
        <v>73563.0</v>
      </c>
      <c r="U377" s="128">
        <f t="shared" si="2"/>
        <v>0</v>
      </c>
      <c r="V377" s="79" t="s">
        <v>69</v>
      </c>
      <c r="W377" s="79" t="s">
        <v>69</v>
      </c>
      <c r="X377" s="79" t="s">
        <v>69</v>
      </c>
      <c r="Y377" s="130">
        <v>0.9</v>
      </c>
      <c r="Z377" s="111">
        <v>11.0</v>
      </c>
      <c r="AA377" s="111">
        <v>396.0</v>
      </c>
      <c r="AB377" s="111" t="s">
        <v>61</v>
      </c>
      <c r="AC377" s="111">
        <v>374.0</v>
      </c>
      <c r="AD377" s="111">
        <v>2.0</v>
      </c>
      <c r="AE377" s="111" t="s">
        <v>1768</v>
      </c>
      <c r="AF377" s="111" t="s">
        <v>61</v>
      </c>
      <c r="AG377" s="134" t="s">
        <v>1769</v>
      </c>
      <c r="AH377" s="73">
        <v>372.0</v>
      </c>
      <c r="AI377" s="135">
        <v>376.7088607594937</v>
      </c>
      <c r="AJ377" s="136">
        <v>71.98415228494623</v>
      </c>
      <c r="AK377" s="76">
        <v>0.9288277714186611</v>
      </c>
      <c r="AL377" s="137" t="s">
        <v>1770</v>
      </c>
      <c r="AM377" s="139">
        <v>401.0</v>
      </c>
      <c r="AN377" s="139">
        <v>733.0</v>
      </c>
      <c r="AO377" s="140">
        <v>191.53</v>
      </c>
      <c r="AP377" s="142">
        <v>64000.0</v>
      </c>
      <c r="AQ377" s="142">
        <v>226.0</v>
      </c>
      <c r="AR377" s="143"/>
      <c r="AS377" s="144">
        <v>0.9521764728413172</v>
      </c>
      <c r="AT377" s="144">
        <v>-0.0029764728413171904</v>
      </c>
      <c r="AU377" s="146" t="s">
        <v>1771</v>
      </c>
      <c r="AV377" s="146" t="s">
        <v>1771</v>
      </c>
      <c r="AW377" s="148" t="s">
        <v>1771</v>
      </c>
      <c r="AX377" s="151"/>
      <c r="AY377" s="105"/>
      <c r="AZ377" s="186"/>
      <c r="BA377" s="186"/>
      <c r="BB377" s="222"/>
      <c r="BC377" s="45"/>
      <c r="BD377" s="45"/>
      <c r="BE377" s="155"/>
      <c r="BF377" s="45"/>
    </row>
    <row r="378" ht="16.5" customHeight="1">
      <c r="A378" s="111">
        <v>375.0</v>
      </c>
      <c r="B378" s="112" t="s">
        <v>212</v>
      </c>
      <c r="C378" s="115" t="s">
        <v>60</v>
      </c>
      <c r="D378" s="117">
        <v>41543.0</v>
      </c>
      <c r="E378" s="117">
        <v>42365.0</v>
      </c>
      <c r="F378" s="79" t="s">
        <v>59</v>
      </c>
      <c r="G378" s="118">
        <v>106023.0</v>
      </c>
      <c r="H378" s="114">
        <v>128.8</v>
      </c>
      <c r="I378" s="120">
        <v>368.0</v>
      </c>
      <c r="J378" s="111" t="s">
        <v>61</v>
      </c>
      <c r="K378" s="121">
        <v>372.66</v>
      </c>
      <c r="L378" s="120" t="s">
        <v>195</v>
      </c>
      <c r="M378" s="120" t="s">
        <v>196</v>
      </c>
      <c r="N378" s="120">
        <v>66000.0</v>
      </c>
      <c r="O378" s="124">
        <v>106023.0</v>
      </c>
      <c r="P378" s="124">
        <v>823.0</v>
      </c>
      <c r="Q378" s="111">
        <v>223.0</v>
      </c>
      <c r="R378" s="125">
        <v>399.0</v>
      </c>
      <c r="S378" s="126">
        <v>0.934</v>
      </c>
      <c r="T378" s="127">
        <v>72385.0</v>
      </c>
      <c r="U378" s="128">
        <f t="shared" si="2"/>
        <v>0</v>
      </c>
      <c r="V378" s="79" t="s">
        <v>64</v>
      </c>
      <c r="W378" s="79" t="s">
        <v>69</v>
      </c>
      <c r="X378" s="79" t="s">
        <v>69</v>
      </c>
      <c r="Y378" s="130">
        <v>0.9</v>
      </c>
      <c r="Z378" s="111">
        <v>22.0</v>
      </c>
      <c r="AA378" s="133"/>
      <c r="AB378" s="133"/>
      <c r="AC378" s="133"/>
      <c r="AD378" s="133"/>
      <c r="AE378" s="133"/>
      <c r="AF378" s="111"/>
      <c r="AG378" s="147"/>
      <c r="AH378" s="73"/>
      <c r="AI378" s="135"/>
      <c r="AJ378" s="136"/>
      <c r="AK378" s="76"/>
      <c r="AL378" s="137"/>
      <c r="AM378" s="139" t="s">
        <v>71</v>
      </c>
      <c r="AN378" s="139">
        <v>823.0</v>
      </c>
      <c r="AO378" s="140">
        <v>315.52</v>
      </c>
      <c r="AP378" s="142">
        <v>106023.0</v>
      </c>
      <c r="AQ378" s="142">
        <v>223.0</v>
      </c>
      <c r="AR378" s="143"/>
      <c r="AS378" s="144">
        <v>0.9439325968749042</v>
      </c>
      <c r="AT378" s="144">
        <v>-0.00993259687490411</v>
      </c>
      <c r="AU378" s="146" t="s">
        <v>1773</v>
      </c>
      <c r="AV378" s="146" t="s">
        <v>1773</v>
      </c>
      <c r="AW378" s="148" t="s">
        <v>1773</v>
      </c>
      <c r="AX378" s="151"/>
      <c r="AY378" s="105"/>
      <c r="AZ378" s="186"/>
      <c r="BA378" s="186"/>
      <c r="BB378" s="222"/>
      <c r="BC378" s="45"/>
      <c r="BD378" s="45"/>
      <c r="BE378" s="155"/>
      <c r="BF378" s="45"/>
    </row>
    <row r="379" ht="16.5" customHeight="1">
      <c r="A379" s="111">
        <v>376.0</v>
      </c>
      <c r="B379" s="112" t="s">
        <v>640</v>
      </c>
      <c r="C379" s="115" t="s">
        <v>60</v>
      </c>
      <c r="D379" s="581">
        <v>41927.0</v>
      </c>
      <c r="E379" s="117">
        <v>42365.0</v>
      </c>
      <c r="F379" s="79" t="s">
        <v>59</v>
      </c>
      <c r="G379" s="118">
        <v>49285.0</v>
      </c>
      <c r="H379" s="114">
        <v>112.3</v>
      </c>
      <c r="I379" s="120">
        <v>376.0</v>
      </c>
      <c r="J379" s="111" t="s">
        <v>61</v>
      </c>
      <c r="K379" s="121">
        <v>380.76</v>
      </c>
      <c r="L379" s="120" t="s">
        <v>63</v>
      </c>
      <c r="M379" s="120"/>
      <c r="N379" s="120"/>
      <c r="O379" s="124">
        <v>49285.0</v>
      </c>
      <c r="P379" s="124">
        <v>439.0</v>
      </c>
      <c r="Q379" s="111">
        <v>218.0</v>
      </c>
      <c r="R379" s="125">
        <v>399.0</v>
      </c>
      <c r="S379" s="126">
        <v>0.9543</v>
      </c>
      <c r="T379" s="127">
        <v>73958.25</v>
      </c>
      <c r="U379" s="128">
        <f t="shared" si="2"/>
        <v>0</v>
      </c>
      <c r="V379" s="79"/>
      <c r="W379" s="79"/>
      <c r="X379" s="79"/>
      <c r="Y379" s="130"/>
      <c r="Z379" s="111"/>
      <c r="AA379" s="133"/>
      <c r="AB379" s="133"/>
      <c r="AC379" s="133"/>
      <c r="AD379" s="133"/>
      <c r="AE379" s="133"/>
      <c r="AF379" s="111"/>
      <c r="AG379" s="147"/>
      <c r="AH379" s="73"/>
      <c r="AI379" s="135"/>
      <c r="AJ379" s="136"/>
      <c r="AK379" s="76"/>
      <c r="AL379" s="137"/>
      <c r="AM379" s="139" t="s">
        <v>71</v>
      </c>
      <c r="AN379" s="139">
        <v>439.0</v>
      </c>
      <c r="AO379" s="140">
        <v>141.89</v>
      </c>
      <c r="AP379" s="142">
        <v>49285.0</v>
      </c>
      <c r="AQ379" s="142">
        <v>218.0</v>
      </c>
      <c r="AR379" s="143"/>
      <c r="AS379" s="144">
        <v>0.9564230108096492</v>
      </c>
      <c r="AT379" s="144">
        <v>-0.0021230108096491618</v>
      </c>
      <c r="AU379" s="146" t="s">
        <v>1777</v>
      </c>
      <c r="AV379" s="146" t="s">
        <v>1777</v>
      </c>
      <c r="AW379" s="148" t="s">
        <v>1777</v>
      </c>
      <c r="AX379" s="151"/>
      <c r="AY379" s="105"/>
      <c r="AZ379" s="186"/>
      <c r="BA379" s="186"/>
      <c r="BB379" s="222"/>
      <c r="BC379" s="45"/>
      <c r="BD379" s="45"/>
      <c r="BE379" s="155"/>
      <c r="BF379" s="45"/>
    </row>
    <row r="380" ht="16.5" customHeight="1">
      <c r="A380" s="111">
        <v>377.0</v>
      </c>
      <c r="B380" s="112" t="s">
        <v>1778</v>
      </c>
      <c r="C380" s="115" t="s">
        <v>60</v>
      </c>
      <c r="D380" s="157">
        <v>42013.0</v>
      </c>
      <c r="E380" s="117">
        <v>42355.0</v>
      </c>
      <c r="F380" s="79" t="s">
        <v>59</v>
      </c>
      <c r="G380" s="118">
        <v>34822.0</v>
      </c>
      <c r="H380" s="114">
        <v>101.5</v>
      </c>
      <c r="I380" s="120">
        <v>377.0</v>
      </c>
      <c r="J380" s="111" t="s">
        <v>61</v>
      </c>
      <c r="K380" s="121">
        <v>381.77</v>
      </c>
      <c r="L380" s="120" t="s">
        <v>63</v>
      </c>
      <c r="M380" s="120"/>
      <c r="N380" s="120"/>
      <c r="O380" s="124">
        <v>34822.0</v>
      </c>
      <c r="P380" s="124">
        <v>343.0</v>
      </c>
      <c r="Q380" s="111">
        <v>222.0</v>
      </c>
      <c r="R380" s="125">
        <v>399.0</v>
      </c>
      <c r="S380" s="126">
        <v>0.9568</v>
      </c>
      <c r="T380" s="127">
        <v>74152.0</v>
      </c>
      <c r="U380" s="128">
        <f t="shared" si="2"/>
        <v>0</v>
      </c>
      <c r="V380" s="79" t="s">
        <v>65</v>
      </c>
      <c r="W380" s="79" t="s">
        <v>64</v>
      </c>
      <c r="X380" s="79" t="s">
        <v>69</v>
      </c>
      <c r="Y380" s="130">
        <v>0.9</v>
      </c>
      <c r="Z380" s="111">
        <v>12.0</v>
      </c>
      <c r="AA380" s="133"/>
      <c r="AB380" s="133"/>
      <c r="AC380" s="133"/>
      <c r="AD380" s="133"/>
      <c r="AE380" s="133"/>
      <c r="AF380" s="111"/>
      <c r="AG380" s="147"/>
      <c r="AH380" s="73"/>
      <c r="AI380" s="135"/>
      <c r="AJ380" s="136"/>
      <c r="AK380" s="76"/>
      <c r="AL380" s="137"/>
      <c r="AM380" s="139" t="s">
        <v>71</v>
      </c>
      <c r="AN380" s="139">
        <v>343.0</v>
      </c>
      <c r="AO380" s="140">
        <v>101.96</v>
      </c>
      <c r="AP380" s="142">
        <v>34822.0</v>
      </c>
      <c r="AQ380" s="142">
        <v>222.0</v>
      </c>
      <c r="AR380" s="143"/>
      <c r="AS380" s="144">
        <v>0.9624882338992099</v>
      </c>
      <c r="AT380" s="144">
        <v>-0.005688233899209916</v>
      </c>
      <c r="AU380" s="146" t="s">
        <v>1780</v>
      </c>
      <c r="AV380" s="146" t="s">
        <v>1780</v>
      </c>
      <c r="AW380" s="148" t="s">
        <v>1780</v>
      </c>
      <c r="AX380" s="151"/>
      <c r="AY380" s="105"/>
      <c r="AZ380" s="186"/>
      <c r="BA380" s="186"/>
      <c r="BB380" s="222"/>
      <c r="BC380" s="45"/>
      <c r="BD380" s="45"/>
      <c r="BE380" s="155"/>
      <c r="BF380" s="45"/>
    </row>
    <row r="381" ht="16.5" customHeight="1">
      <c r="A381" s="111">
        <v>378.0</v>
      </c>
      <c r="B381" s="112" t="s">
        <v>1607</v>
      </c>
      <c r="C381" s="115" t="s">
        <v>60</v>
      </c>
      <c r="D381" s="157">
        <v>41600.0</v>
      </c>
      <c r="E381" s="117">
        <v>42366.0</v>
      </c>
      <c r="F381" s="79" t="s">
        <v>79</v>
      </c>
      <c r="G381" s="118">
        <v>64000.0</v>
      </c>
      <c r="H381" s="114">
        <v>83.4</v>
      </c>
      <c r="I381" s="120">
        <v>370.0</v>
      </c>
      <c r="J381" s="111" t="s">
        <v>61</v>
      </c>
      <c r="K381" s="121">
        <v>374.68</v>
      </c>
      <c r="L381" s="120" t="s">
        <v>63</v>
      </c>
      <c r="M381" s="120"/>
      <c r="N381" s="120"/>
      <c r="O381" s="124">
        <v>64000.0</v>
      </c>
      <c r="P381" s="124">
        <v>767.0</v>
      </c>
      <c r="Q381" s="111">
        <v>245.0</v>
      </c>
      <c r="R381" s="125">
        <v>399.0</v>
      </c>
      <c r="S381" s="126">
        <v>0.939</v>
      </c>
      <c r="T381" s="127">
        <v>72772.5</v>
      </c>
      <c r="U381" s="128">
        <f t="shared" si="2"/>
        <v>0</v>
      </c>
      <c r="V381" s="79" t="s">
        <v>69</v>
      </c>
      <c r="W381" s="79" t="s">
        <v>69</v>
      </c>
      <c r="X381" s="79" t="s">
        <v>69</v>
      </c>
      <c r="Y381" s="130">
        <v>0.8</v>
      </c>
      <c r="Z381" s="111">
        <v>11.0</v>
      </c>
      <c r="AA381" s="111">
        <v>382.0</v>
      </c>
      <c r="AB381" s="111" t="s">
        <v>61</v>
      </c>
      <c r="AC381" s="133"/>
      <c r="AD381" s="133"/>
      <c r="AE381" s="133"/>
      <c r="AF381" s="111"/>
      <c r="AG381" s="134" t="s">
        <v>1701</v>
      </c>
      <c r="AH381" s="73"/>
      <c r="AI381" s="135"/>
      <c r="AJ381" s="136"/>
      <c r="AK381" s="76"/>
      <c r="AL381" s="137"/>
      <c r="AM381" s="139">
        <v>387.0</v>
      </c>
      <c r="AN381" s="139">
        <v>767.0</v>
      </c>
      <c r="AO381" s="140">
        <v>208.72</v>
      </c>
      <c r="AP381" s="142">
        <v>64000.0</v>
      </c>
      <c r="AQ381" s="142">
        <v>245.0</v>
      </c>
      <c r="AR381" s="143"/>
      <c r="AS381" s="144">
        <v>0.9521764728413172</v>
      </c>
      <c r="AT381" s="144">
        <v>-0.013176472841317288</v>
      </c>
      <c r="AU381" s="146" t="s">
        <v>1782</v>
      </c>
      <c r="AV381" s="146" t="s">
        <v>1782</v>
      </c>
      <c r="AW381" s="148" t="s">
        <v>1782</v>
      </c>
      <c r="AX381" s="151"/>
      <c r="AY381" s="105"/>
      <c r="AZ381" s="186"/>
      <c r="BA381" s="186"/>
      <c r="BB381" s="222"/>
      <c r="BC381" s="45"/>
      <c r="BD381" s="45"/>
      <c r="BE381" s="155"/>
      <c r="BF381" s="45"/>
    </row>
    <row r="382" ht="16.5" customHeight="1">
      <c r="A382" s="111">
        <v>379.0</v>
      </c>
      <c r="B382" s="112" t="s">
        <v>457</v>
      </c>
      <c r="C382" s="115" t="s">
        <v>60</v>
      </c>
      <c r="D382" s="157">
        <v>41986.0</v>
      </c>
      <c r="E382" s="117">
        <v>42367.0</v>
      </c>
      <c r="F382" s="79" t="s">
        <v>59</v>
      </c>
      <c r="G382" s="118">
        <v>35000.0</v>
      </c>
      <c r="H382" s="114">
        <v>91.6</v>
      </c>
      <c r="I382" s="120">
        <v>378.0</v>
      </c>
      <c r="J382" s="111" t="s">
        <v>61</v>
      </c>
      <c r="K382" s="121">
        <v>382.78</v>
      </c>
      <c r="L382" s="120" t="s">
        <v>63</v>
      </c>
      <c r="M382" s="120"/>
      <c r="N382" s="120"/>
      <c r="O382" s="124">
        <v>35000.0</v>
      </c>
      <c r="P382" s="124">
        <v>382.0</v>
      </c>
      <c r="Q382" s="159">
        <v>218.0</v>
      </c>
      <c r="R382" s="125">
        <v>399.0</v>
      </c>
      <c r="S382" s="126">
        <v>0.9593</v>
      </c>
      <c r="T382" s="127">
        <v>74345.75</v>
      </c>
      <c r="U382" s="128">
        <f t="shared" si="2"/>
        <v>0</v>
      </c>
      <c r="V382" s="79"/>
      <c r="W382" s="79"/>
      <c r="X382" s="79"/>
      <c r="Y382" s="130"/>
      <c r="Z382" s="111"/>
      <c r="AA382" s="133"/>
      <c r="AB382" s="133"/>
      <c r="AC382" s="133"/>
      <c r="AD382" s="133"/>
      <c r="AE382" s="133"/>
      <c r="AF382" s="111"/>
      <c r="AG382" s="147"/>
      <c r="AH382" s="73"/>
      <c r="AI382" s="135"/>
      <c r="AJ382" s="136"/>
      <c r="AK382" s="76"/>
      <c r="AL382" s="137"/>
      <c r="AM382" s="139" t="s">
        <v>71</v>
      </c>
      <c r="AN382" s="139">
        <v>382.0</v>
      </c>
      <c r="AO382" s="140">
        <v>100.51</v>
      </c>
      <c r="AP382" s="142">
        <v>35000.0</v>
      </c>
      <c r="AQ382" s="142">
        <v>218.0</v>
      </c>
      <c r="AR382" s="143"/>
      <c r="AS382" s="144">
        <v>0.9623960845403441</v>
      </c>
      <c r="AT382" s="144">
        <v>-0.0030960845403440462</v>
      </c>
      <c r="AU382" s="146" t="s">
        <v>1785</v>
      </c>
      <c r="AV382" s="146" t="s">
        <v>1785</v>
      </c>
      <c r="AW382" s="148" t="s">
        <v>1785</v>
      </c>
      <c r="AX382" s="151"/>
      <c r="AY382" s="105"/>
      <c r="AZ382" s="186"/>
      <c r="BA382" s="186"/>
      <c r="BB382" s="222"/>
      <c r="BC382" s="45"/>
      <c r="BD382" s="45"/>
      <c r="BE382" s="155"/>
      <c r="BF382" s="45"/>
    </row>
    <row r="383" ht="16.5" customHeight="1">
      <c r="A383" s="111">
        <v>380.0</v>
      </c>
      <c r="B383" s="112" t="s">
        <v>1336</v>
      </c>
      <c r="C383" s="115" t="s">
        <v>60</v>
      </c>
      <c r="D383" s="157">
        <v>42137.0</v>
      </c>
      <c r="E383" s="117">
        <v>42358.0</v>
      </c>
      <c r="F383" s="79" t="s">
        <v>59</v>
      </c>
      <c r="G383" s="118">
        <v>22000.0</v>
      </c>
      <c r="H383" s="114">
        <v>99.1</v>
      </c>
      <c r="I383" s="120">
        <v>377.0</v>
      </c>
      <c r="J383" s="111" t="s">
        <v>61</v>
      </c>
      <c r="K383" s="121">
        <v>381.77</v>
      </c>
      <c r="L383" s="120" t="s">
        <v>63</v>
      </c>
      <c r="M383" s="120"/>
      <c r="N383" s="120"/>
      <c r="O383" s="124">
        <v>22000.0</v>
      </c>
      <c r="P383" s="124">
        <v>222.0</v>
      </c>
      <c r="Q383" s="111">
        <v>209.0</v>
      </c>
      <c r="R383" s="125">
        <v>399.0</v>
      </c>
      <c r="S383" s="126">
        <v>0.9568</v>
      </c>
      <c r="T383" s="127">
        <v>74152.0</v>
      </c>
      <c r="U383" s="128">
        <f t="shared" si="2"/>
        <v>0</v>
      </c>
      <c r="V383" s="79" t="s">
        <v>69</v>
      </c>
      <c r="W383" s="79" t="s">
        <v>69</v>
      </c>
      <c r="X383" s="79" t="s">
        <v>66</v>
      </c>
      <c r="Y383" s="130">
        <v>0.8</v>
      </c>
      <c r="Z383" s="111">
        <v>11.0</v>
      </c>
      <c r="AA383" s="133"/>
      <c r="AB383" s="133"/>
      <c r="AC383" s="111"/>
      <c r="AD383" s="133"/>
      <c r="AE383" s="111"/>
      <c r="AF383" s="111"/>
      <c r="AG383" s="147"/>
      <c r="AH383" s="73"/>
      <c r="AI383" s="135"/>
      <c r="AJ383" s="136"/>
      <c r="AK383" s="76"/>
      <c r="AL383" s="137"/>
      <c r="AM383" s="139" t="s">
        <v>71</v>
      </c>
      <c r="AN383" s="139">
        <v>222.0</v>
      </c>
      <c r="AO383" s="140">
        <v>60.65</v>
      </c>
      <c r="AP383" s="142">
        <v>22000.0</v>
      </c>
      <c r="AQ383" s="142">
        <v>209.0</v>
      </c>
      <c r="AR383" s="143"/>
      <c r="AS383" s="144">
        <v>0.9708850154674266</v>
      </c>
      <c r="AT383" s="144">
        <v>-0.014085015467426576</v>
      </c>
      <c r="AU383" s="146" t="s">
        <v>1788</v>
      </c>
      <c r="AV383" s="146" t="s">
        <v>1788</v>
      </c>
      <c r="AW383" s="148" t="s">
        <v>1788</v>
      </c>
      <c r="AX383" s="151"/>
      <c r="AY383" s="105"/>
      <c r="AZ383" s="186"/>
      <c r="BA383" s="186"/>
      <c r="BB383" s="222"/>
      <c r="BC383" s="45"/>
      <c r="BD383" s="45"/>
      <c r="BE383" s="155"/>
      <c r="BF383" s="45"/>
    </row>
    <row r="384" ht="16.5" customHeight="1">
      <c r="A384" s="111">
        <v>381.0</v>
      </c>
      <c r="B384" s="112" t="s">
        <v>207</v>
      </c>
      <c r="C384" s="115" t="s">
        <v>60</v>
      </c>
      <c r="D384" s="179">
        <v>41619.0</v>
      </c>
      <c r="E384" s="117">
        <v>42369.0</v>
      </c>
      <c r="F384" s="79" t="s">
        <v>79</v>
      </c>
      <c r="G384" s="118">
        <v>90000.0</v>
      </c>
      <c r="H384" s="114">
        <v>119.8</v>
      </c>
      <c r="I384" s="120">
        <v>385.0</v>
      </c>
      <c r="J384" s="111" t="s">
        <v>61</v>
      </c>
      <c r="K384" s="121">
        <v>389.87</v>
      </c>
      <c r="L384" s="120" t="s">
        <v>63</v>
      </c>
      <c r="M384" s="120"/>
      <c r="N384" s="120"/>
      <c r="O384" s="124">
        <v>90000.0</v>
      </c>
      <c r="P384" s="124">
        <v>751.0</v>
      </c>
      <c r="Q384" s="111">
        <v>222.0</v>
      </c>
      <c r="R384" s="125">
        <v>399.0</v>
      </c>
      <c r="S384" s="126">
        <v>0.9771</v>
      </c>
      <c r="T384" s="127">
        <v>75725.25</v>
      </c>
      <c r="U384" s="128">
        <f t="shared" si="2"/>
        <v>0</v>
      </c>
      <c r="V384" s="79" t="s">
        <v>80</v>
      </c>
      <c r="W384" s="79" t="s">
        <v>80</v>
      </c>
      <c r="X384" s="79" t="s">
        <v>64</v>
      </c>
      <c r="Y384" s="130">
        <v>0.9</v>
      </c>
      <c r="Z384" s="111">
        <v>11.0</v>
      </c>
      <c r="AA384" s="133"/>
      <c r="AB384" s="133"/>
      <c r="AC384" s="133"/>
      <c r="AD384" s="133"/>
      <c r="AE384" s="133"/>
      <c r="AF384" s="111"/>
      <c r="AG384" s="147"/>
      <c r="AH384" s="73"/>
      <c r="AI384" s="135"/>
      <c r="AJ384" s="136"/>
      <c r="AK384" s="76"/>
      <c r="AL384" s="137"/>
      <c r="AM384" s="139" t="s">
        <v>71</v>
      </c>
      <c r="AN384" s="139">
        <v>751.0</v>
      </c>
      <c r="AO384" s="140">
        <v>260.82</v>
      </c>
      <c r="AP384" s="142">
        <v>90000.0</v>
      </c>
      <c r="AQ384" s="142">
        <v>222.0</v>
      </c>
      <c r="AR384" s="143"/>
      <c r="AS384" s="144">
        <v>0.9467394813294219</v>
      </c>
      <c r="AT384" s="144">
        <v>0.030360518670578096</v>
      </c>
      <c r="AU384" s="146" t="s">
        <v>1790</v>
      </c>
      <c r="AV384" s="146" t="s">
        <v>1790</v>
      </c>
      <c r="AW384" s="148" t="s">
        <v>1790</v>
      </c>
      <c r="AX384" s="151"/>
      <c r="AY384" s="105"/>
      <c r="AZ384" s="186"/>
      <c r="BA384" s="186"/>
      <c r="BB384" s="222"/>
      <c r="BC384" s="45"/>
      <c r="BD384" s="45"/>
      <c r="BE384" s="155"/>
      <c r="BF384" s="45"/>
    </row>
    <row r="385" ht="16.5" customHeight="1">
      <c r="A385" s="111">
        <v>382.0</v>
      </c>
      <c r="B385" s="112" t="s">
        <v>1791</v>
      </c>
      <c r="C385" s="115" t="s">
        <v>60</v>
      </c>
      <c r="D385" s="157">
        <v>41509.0</v>
      </c>
      <c r="E385" s="117">
        <v>42371.0</v>
      </c>
      <c r="F385" s="79" t="s">
        <v>57</v>
      </c>
      <c r="G385" s="118">
        <v>47000.0</v>
      </c>
      <c r="H385" s="114">
        <v>54.5</v>
      </c>
      <c r="I385" s="120">
        <v>371.0</v>
      </c>
      <c r="J385" s="111" t="s">
        <v>62</v>
      </c>
      <c r="K385" s="121">
        <v>371.0</v>
      </c>
      <c r="L385" s="120" t="s">
        <v>63</v>
      </c>
      <c r="M385" s="120"/>
      <c r="N385" s="120"/>
      <c r="O385" s="124">
        <v>47000.0</v>
      </c>
      <c r="P385" s="124">
        <v>863.0</v>
      </c>
      <c r="Q385" s="111">
        <v>211.0</v>
      </c>
      <c r="R385" s="125">
        <v>399.0</v>
      </c>
      <c r="S385" s="126">
        <v>0.9298</v>
      </c>
      <c r="T385" s="127">
        <v>72059.5</v>
      </c>
      <c r="U385" s="128">
        <f t="shared" si="2"/>
        <v>0</v>
      </c>
      <c r="V385" s="79" t="s">
        <v>64</v>
      </c>
      <c r="W385" s="79" t="s">
        <v>69</v>
      </c>
      <c r="X385" s="79" t="s">
        <v>68</v>
      </c>
      <c r="Y385" s="130">
        <v>0.9</v>
      </c>
      <c r="Z385" s="111">
        <v>11.0</v>
      </c>
      <c r="AA385" s="133"/>
      <c r="AB385" s="133"/>
      <c r="AC385" s="133"/>
      <c r="AD385" s="133"/>
      <c r="AE385" s="133"/>
      <c r="AF385" s="111"/>
      <c r="AG385" s="147"/>
      <c r="AH385" s="73"/>
      <c r="AI385" s="135"/>
      <c r="AJ385" s="136"/>
      <c r="AK385" s="76"/>
      <c r="AL385" s="137"/>
      <c r="AM385" s="139" t="s">
        <v>71</v>
      </c>
      <c r="AN385" s="139">
        <v>863.0</v>
      </c>
      <c r="AO385" s="140">
        <v>132.65</v>
      </c>
      <c r="AP385" s="142">
        <v>47000.0</v>
      </c>
      <c r="AQ385" s="142">
        <v>211.0</v>
      </c>
      <c r="AR385" s="143"/>
      <c r="AS385" s="144">
        <v>0.9572227819445482</v>
      </c>
      <c r="AT385" s="144">
        <v>-0.02742278194454828</v>
      </c>
      <c r="AU385" s="146" t="s">
        <v>1793</v>
      </c>
      <c r="AV385" s="146" t="s">
        <v>1793</v>
      </c>
      <c r="AW385" s="148" t="s">
        <v>1793</v>
      </c>
      <c r="AX385" s="151"/>
      <c r="AY385" s="105"/>
      <c r="AZ385" s="186"/>
      <c r="BA385" s="186"/>
      <c r="BB385" s="222"/>
      <c r="BC385" s="45"/>
      <c r="BD385" s="45"/>
      <c r="BE385" s="155"/>
      <c r="BF385" s="45"/>
    </row>
    <row r="386" ht="16.5" customHeight="1">
      <c r="A386" s="111">
        <v>383.0</v>
      </c>
      <c r="B386" s="112" t="s">
        <v>513</v>
      </c>
      <c r="C386" s="115" t="s">
        <v>60</v>
      </c>
      <c r="D386" s="157">
        <v>41990.0</v>
      </c>
      <c r="E386" s="117">
        <v>42373.0</v>
      </c>
      <c r="F386" s="79" t="s">
        <v>59</v>
      </c>
      <c r="G386" s="118">
        <v>40000.0</v>
      </c>
      <c r="H386" s="114">
        <v>104.2</v>
      </c>
      <c r="I386" s="120">
        <v>384.0</v>
      </c>
      <c r="J386" s="111" t="s">
        <v>61</v>
      </c>
      <c r="K386" s="121">
        <v>388.86</v>
      </c>
      <c r="L386" s="120" t="s">
        <v>63</v>
      </c>
      <c r="M386" s="120"/>
      <c r="N386" s="120"/>
      <c r="O386" s="124">
        <v>40000.0</v>
      </c>
      <c r="P386" s="124">
        <v>384.0</v>
      </c>
      <c r="Q386" s="111">
        <v>225.0</v>
      </c>
      <c r="R386" s="125">
        <v>399.0</v>
      </c>
      <c r="S386" s="126">
        <v>0.9746</v>
      </c>
      <c r="T386" s="127">
        <v>75531.5</v>
      </c>
      <c r="U386" s="128">
        <f t="shared" si="2"/>
        <v>0</v>
      </c>
      <c r="V386" s="79" t="s">
        <v>64</v>
      </c>
      <c r="W386" s="79" t="s">
        <v>64</v>
      </c>
      <c r="X386" s="79" t="s">
        <v>68</v>
      </c>
      <c r="Y386" s="130">
        <v>0.8</v>
      </c>
      <c r="Z386" s="111">
        <v>11.0</v>
      </c>
      <c r="AA386" s="111">
        <v>398.0</v>
      </c>
      <c r="AB386" s="111" t="s">
        <v>61</v>
      </c>
      <c r="AC386" s="133"/>
      <c r="AD386" s="133"/>
      <c r="AE386" s="133"/>
      <c r="AF386" s="111"/>
      <c r="AG386" s="147"/>
      <c r="AH386" s="73"/>
      <c r="AI386" s="135"/>
      <c r="AJ386" s="136"/>
      <c r="AK386" s="76"/>
      <c r="AL386" s="137"/>
      <c r="AM386" s="139">
        <v>403.0</v>
      </c>
      <c r="AN386" s="139">
        <v>384.0</v>
      </c>
      <c r="AO386" s="140">
        <v>117.64</v>
      </c>
      <c r="AP386" s="142">
        <v>40000.0</v>
      </c>
      <c r="AQ386" s="142">
        <v>225.0</v>
      </c>
      <c r="AR386" s="143"/>
      <c r="AS386" s="144">
        <v>0.9600116349443162</v>
      </c>
      <c r="AT386" s="144">
        <v>0.014588365055683838</v>
      </c>
      <c r="AU386" s="146" t="s">
        <v>1794</v>
      </c>
      <c r="AV386" s="146" t="s">
        <v>1794</v>
      </c>
      <c r="AW386" s="148" t="s">
        <v>1794</v>
      </c>
      <c r="AX386" s="151"/>
      <c r="AY386" s="105"/>
      <c r="AZ386" s="186"/>
      <c r="BA386" s="186"/>
      <c r="BB386" s="222"/>
      <c r="BC386" s="45"/>
      <c r="BD386" s="45"/>
      <c r="BE386" s="155"/>
      <c r="BF386" s="45"/>
    </row>
    <row r="387" ht="16.5" customHeight="1">
      <c r="A387" s="111">
        <v>384.0</v>
      </c>
      <c r="B387" s="112" t="s">
        <v>1796</v>
      </c>
      <c r="C387" s="115" t="s">
        <v>60</v>
      </c>
      <c r="D387" s="157">
        <v>41944.0</v>
      </c>
      <c r="E387" s="117">
        <v>42374.0</v>
      </c>
      <c r="F387" s="79" t="s">
        <v>59</v>
      </c>
      <c r="G387" s="118">
        <v>27594.0</v>
      </c>
      <c r="H387" s="114">
        <v>64.0</v>
      </c>
      <c r="I387" s="120">
        <v>385.0</v>
      </c>
      <c r="J387" s="111" t="s">
        <v>61</v>
      </c>
      <c r="K387" s="121">
        <v>389.87</v>
      </c>
      <c r="L387" s="120" t="s">
        <v>63</v>
      </c>
      <c r="M387" s="120"/>
      <c r="N387" s="120"/>
      <c r="O387" s="124">
        <v>27594.0</v>
      </c>
      <c r="P387" s="124">
        <v>431.0</v>
      </c>
      <c r="Q387" s="159">
        <v>218.0</v>
      </c>
      <c r="R387" s="125">
        <v>399.0</v>
      </c>
      <c r="S387" s="126">
        <v>0.9771</v>
      </c>
      <c r="T387" s="127">
        <v>75725.25</v>
      </c>
      <c r="U387" s="128">
        <f t="shared" si="2"/>
        <v>0</v>
      </c>
      <c r="V387" s="79"/>
      <c r="W387" s="79"/>
      <c r="X387" s="79"/>
      <c r="Y387" s="130"/>
      <c r="Z387" s="111"/>
      <c r="AA387" s="133"/>
      <c r="AB387" s="133"/>
      <c r="AC387" s="133"/>
      <c r="AD387" s="133"/>
      <c r="AE387" s="133"/>
      <c r="AF387" s="111"/>
      <c r="AG387" s="147"/>
      <c r="AH387" s="73"/>
      <c r="AI387" s="135"/>
      <c r="AJ387" s="136"/>
      <c r="AK387" s="76"/>
      <c r="AL387" s="137"/>
      <c r="AM387" s="139" t="s">
        <v>71</v>
      </c>
      <c r="AN387" s="139">
        <v>431.0</v>
      </c>
      <c r="AO387" s="140">
        <v>78.54</v>
      </c>
      <c r="AP387" s="142">
        <v>27594.0</v>
      </c>
      <c r="AQ387" s="142">
        <v>218.0</v>
      </c>
      <c r="AR387" s="143"/>
      <c r="AS387" s="144">
        <v>0.9667437116557812</v>
      </c>
      <c r="AT387" s="144">
        <v>0.010356288344218756</v>
      </c>
      <c r="AU387" s="146" t="s">
        <v>1798</v>
      </c>
      <c r="AV387" s="146" t="s">
        <v>1798</v>
      </c>
      <c r="AW387" s="148" t="s">
        <v>1798</v>
      </c>
      <c r="AX387" s="151"/>
      <c r="AY387" s="105"/>
      <c r="AZ387" s="186"/>
      <c r="BA387" s="186"/>
      <c r="BB387" s="222"/>
      <c r="BC387" s="45"/>
      <c r="BD387" s="45"/>
      <c r="BE387" s="155"/>
      <c r="BF387" s="45"/>
    </row>
    <row r="388" ht="16.5" customHeight="1">
      <c r="A388" s="111">
        <v>385.0</v>
      </c>
      <c r="B388" s="112" t="s">
        <v>1772</v>
      </c>
      <c r="C388" s="115" t="s">
        <v>60</v>
      </c>
      <c r="D388" s="157">
        <v>42185.0</v>
      </c>
      <c r="E388" s="117">
        <v>42369.0</v>
      </c>
      <c r="F388" s="79" t="s">
        <v>118</v>
      </c>
      <c r="G388" s="118">
        <v>15300.0</v>
      </c>
      <c r="H388" s="114">
        <v>82.7</v>
      </c>
      <c r="I388" s="120">
        <v>360.0</v>
      </c>
      <c r="J388" s="111" t="s">
        <v>62</v>
      </c>
      <c r="K388" s="121">
        <v>360.0</v>
      </c>
      <c r="L388" s="120" t="s">
        <v>63</v>
      </c>
      <c r="M388" s="120"/>
      <c r="N388" s="120"/>
      <c r="O388" s="124">
        <v>15300.0</v>
      </c>
      <c r="P388" s="124">
        <v>185.0</v>
      </c>
      <c r="Q388" s="111">
        <v>221.0</v>
      </c>
      <c r="R388" s="125">
        <v>365.0</v>
      </c>
      <c r="S388" s="126">
        <v>0.9863</v>
      </c>
      <c r="T388" s="127">
        <v>67857.44</v>
      </c>
      <c r="U388" s="128">
        <f t="shared" si="2"/>
        <v>0</v>
      </c>
      <c r="V388" s="79" t="s">
        <v>67</v>
      </c>
      <c r="W388" s="79" t="s">
        <v>69</v>
      </c>
      <c r="X388" s="79" t="s">
        <v>66</v>
      </c>
      <c r="Y388" s="130"/>
      <c r="Z388" s="111"/>
      <c r="AA388" s="133"/>
      <c r="AB388" s="133"/>
      <c r="AC388" s="133"/>
      <c r="AD388" s="133"/>
      <c r="AE388" s="133"/>
      <c r="AF388" s="111"/>
      <c r="AG388" s="147"/>
      <c r="AH388" s="73"/>
      <c r="AI388" s="135"/>
      <c r="AJ388" s="136"/>
      <c r="AK388" s="76"/>
      <c r="AL388" s="137"/>
      <c r="AM388" s="139" t="s">
        <v>71</v>
      </c>
      <c r="AN388" s="139">
        <v>185.0</v>
      </c>
      <c r="AO388" s="140">
        <v>49.49</v>
      </c>
      <c r="AP388" s="142">
        <v>15300.0</v>
      </c>
      <c r="AQ388" s="142">
        <v>221.0</v>
      </c>
      <c r="AR388" s="143"/>
      <c r="AS388" s="144">
        <v>0.9771678072650881</v>
      </c>
      <c r="AT388" s="144">
        <v>0.009132192734911837</v>
      </c>
      <c r="AU388" s="146" t="s">
        <v>1802</v>
      </c>
      <c r="AV388" s="146" t="s">
        <v>1802</v>
      </c>
      <c r="AW388" s="148" t="s">
        <v>1802</v>
      </c>
      <c r="AX388" s="151"/>
      <c r="AY388" s="105"/>
      <c r="AZ388" s="186"/>
      <c r="BA388" s="186"/>
      <c r="BB388" s="222"/>
      <c r="BC388" s="45"/>
      <c r="BD388" s="45"/>
      <c r="BE388" s="155"/>
      <c r="BF388" s="45"/>
    </row>
    <row r="389" ht="16.5" customHeight="1">
      <c r="A389" s="111">
        <v>386.0</v>
      </c>
      <c r="B389" s="112" t="s">
        <v>300</v>
      </c>
      <c r="C389" s="115" t="s">
        <v>60</v>
      </c>
      <c r="D389" s="157">
        <v>41593.0</v>
      </c>
      <c r="E389" s="117">
        <v>42376.0</v>
      </c>
      <c r="F389" s="79" t="s">
        <v>59</v>
      </c>
      <c r="G389" s="118">
        <v>93906.0</v>
      </c>
      <c r="H389" s="114">
        <v>119.8</v>
      </c>
      <c r="I389" s="120">
        <v>368.0</v>
      </c>
      <c r="J389" s="111" t="s">
        <v>61</v>
      </c>
      <c r="K389" s="121">
        <v>372.66</v>
      </c>
      <c r="L389" s="120" t="s">
        <v>195</v>
      </c>
      <c r="M389" s="120" t="s">
        <v>196</v>
      </c>
      <c r="N389" s="120">
        <v>30000.0</v>
      </c>
      <c r="O389" s="124">
        <v>93906.0</v>
      </c>
      <c r="P389" s="124">
        <v>784.0</v>
      </c>
      <c r="Q389" s="111">
        <v>224.0</v>
      </c>
      <c r="R389" s="125">
        <v>399.0</v>
      </c>
      <c r="S389" s="126">
        <v>0.934</v>
      </c>
      <c r="T389" s="127">
        <v>72385.0</v>
      </c>
      <c r="U389" s="128">
        <f t="shared" si="2"/>
        <v>0</v>
      </c>
      <c r="V389" s="79" t="s">
        <v>69</v>
      </c>
      <c r="W389" s="79" t="s">
        <v>69</v>
      </c>
      <c r="X389" s="79" t="s">
        <v>66</v>
      </c>
      <c r="Y389" s="130">
        <v>0.9</v>
      </c>
      <c r="Z389" s="111">
        <v>11.0</v>
      </c>
      <c r="AA389" s="133"/>
      <c r="AB389" s="133"/>
      <c r="AC389" s="133"/>
      <c r="AD389" s="133"/>
      <c r="AE389" s="133"/>
      <c r="AF389" s="111"/>
      <c r="AG389" s="134" t="s">
        <v>111</v>
      </c>
      <c r="AH389" s="73"/>
      <c r="AI389" s="135"/>
      <c r="AJ389" s="136"/>
      <c r="AK389" s="76"/>
      <c r="AL389" s="137"/>
      <c r="AM389" s="139" t="s">
        <v>71</v>
      </c>
      <c r="AN389" s="139">
        <v>784.0</v>
      </c>
      <c r="AO389" s="140">
        <v>280.71</v>
      </c>
      <c r="AP389" s="142">
        <v>93906.0</v>
      </c>
      <c r="AQ389" s="142">
        <v>224.0</v>
      </c>
      <c r="AR389" s="143"/>
      <c r="AS389" s="144">
        <v>0.9460330221972877</v>
      </c>
      <c r="AT389" s="144">
        <v>-0.012033022197287635</v>
      </c>
      <c r="AU389" s="146" t="s">
        <v>1806</v>
      </c>
      <c r="AV389" s="146" t="s">
        <v>1806</v>
      </c>
      <c r="AW389" s="148" t="s">
        <v>1806</v>
      </c>
      <c r="AX389" s="151"/>
      <c r="AY389" s="105"/>
      <c r="AZ389" s="186"/>
      <c r="BA389" s="186"/>
      <c r="BB389" s="222"/>
      <c r="BC389" s="45"/>
      <c r="BD389" s="45"/>
      <c r="BE389" s="155"/>
      <c r="BF389" s="45"/>
    </row>
    <row r="390" ht="16.5" customHeight="1">
      <c r="A390" s="111">
        <v>387.0</v>
      </c>
      <c r="B390" s="112" t="s">
        <v>1726</v>
      </c>
      <c r="C390" s="115" t="s">
        <v>60</v>
      </c>
      <c r="D390" s="157">
        <v>42277.0</v>
      </c>
      <c r="E390" s="117">
        <v>42377.0</v>
      </c>
      <c r="F390" s="79" t="s">
        <v>316</v>
      </c>
      <c r="G390" s="118">
        <v>13889.0</v>
      </c>
      <c r="H390" s="114">
        <v>137.5</v>
      </c>
      <c r="I390" s="120">
        <v>408.0</v>
      </c>
      <c r="J390" s="111" t="s">
        <v>61</v>
      </c>
      <c r="K390" s="121">
        <v>413.16</v>
      </c>
      <c r="L390" s="120" t="s">
        <v>63</v>
      </c>
      <c r="M390" s="120"/>
      <c r="N390" s="120"/>
      <c r="O390" s="124">
        <v>13889.0</v>
      </c>
      <c r="P390" s="124">
        <v>101.0</v>
      </c>
      <c r="Q390" s="111">
        <v>250.0</v>
      </c>
      <c r="R390" s="125">
        <v>432.0</v>
      </c>
      <c r="S390" s="126">
        <v>0.9564</v>
      </c>
      <c r="T390" s="127">
        <v>78233.52</v>
      </c>
      <c r="U390" s="128">
        <f t="shared" si="2"/>
        <v>0</v>
      </c>
      <c r="V390" s="79" t="s">
        <v>69</v>
      </c>
      <c r="W390" s="79" t="s">
        <v>69</v>
      </c>
      <c r="X390" s="79" t="s">
        <v>69</v>
      </c>
      <c r="Y390" s="130">
        <v>0.8</v>
      </c>
      <c r="Z390" s="111">
        <v>11.0</v>
      </c>
      <c r="AA390" s="111">
        <v>409.0</v>
      </c>
      <c r="AB390" s="111" t="s">
        <v>61</v>
      </c>
      <c r="AC390" s="133"/>
      <c r="AD390" s="133"/>
      <c r="AE390" s="133"/>
      <c r="AF390" s="111"/>
      <c r="AG390" s="147"/>
      <c r="AH390" s="73"/>
      <c r="AI390" s="135"/>
      <c r="AJ390" s="136"/>
      <c r="AK390" s="76"/>
      <c r="AL390" s="137"/>
      <c r="AM390" s="139">
        <v>414.0</v>
      </c>
      <c r="AN390" s="139">
        <v>101.0</v>
      </c>
      <c r="AO390" s="140">
        <v>43.4</v>
      </c>
      <c r="AP390" s="142">
        <v>13889.0</v>
      </c>
      <c r="AQ390" s="142">
        <v>250.0</v>
      </c>
      <c r="AR390" s="143"/>
      <c r="AS390" s="144">
        <v>0.9787180941518155</v>
      </c>
      <c r="AT390" s="144">
        <v>-0.022318094151815515</v>
      </c>
      <c r="AU390" s="146" t="s">
        <v>1809</v>
      </c>
      <c r="AV390" s="146" t="s">
        <v>1809</v>
      </c>
      <c r="AW390" s="148" t="s">
        <v>1809</v>
      </c>
      <c r="AX390" s="151"/>
      <c r="AY390" s="105"/>
      <c r="AZ390" s="186"/>
      <c r="BA390" s="186"/>
      <c r="BB390" s="222"/>
      <c r="BC390" s="45"/>
      <c r="BD390" s="45"/>
      <c r="BE390" s="155"/>
      <c r="BF390" s="45"/>
    </row>
    <row r="391" ht="16.5" customHeight="1">
      <c r="A391" s="111">
        <v>388.0</v>
      </c>
      <c r="B391" s="112" t="s">
        <v>1803</v>
      </c>
      <c r="C391" s="115" t="s">
        <v>60</v>
      </c>
      <c r="D391" s="157">
        <v>41605.0</v>
      </c>
      <c r="E391" s="117">
        <v>42379.0</v>
      </c>
      <c r="F391" s="79" t="s">
        <v>59</v>
      </c>
      <c r="G391" s="118">
        <v>48623.0</v>
      </c>
      <c r="H391" s="114">
        <v>62.7</v>
      </c>
      <c r="I391" s="120">
        <v>380.0</v>
      </c>
      <c r="J391" s="111" t="s">
        <v>61</v>
      </c>
      <c r="K391" s="121">
        <v>384.81</v>
      </c>
      <c r="L391" s="120" t="s">
        <v>63</v>
      </c>
      <c r="M391" s="120"/>
      <c r="N391" s="120"/>
      <c r="O391" s="124">
        <v>48623.0</v>
      </c>
      <c r="P391" s="124">
        <v>775.0</v>
      </c>
      <c r="Q391" s="111">
        <v>240.0</v>
      </c>
      <c r="R391" s="125">
        <v>399.0</v>
      </c>
      <c r="S391" s="126">
        <v>0.9644</v>
      </c>
      <c r="T391" s="127">
        <v>74741.0</v>
      </c>
      <c r="U391" s="128">
        <f t="shared" si="2"/>
        <v>0</v>
      </c>
      <c r="V391" s="79" t="s">
        <v>64</v>
      </c>
      <c r="W391" s="79" t="s">
        <v>65</v>
      </c>
      <c r="X391" s="79" t="s">
        <v>64</v>
      </c>
      <c r="Y391" s="130">
        <v>0.8</v>
      </c>
      <c r="Z391" s="111">
        <v>11.0</v>
      </c>
      <c r="AA391" s="111">
        <v>411.0</v>
      </c>
      <c r="AB391" s="111" t="s">
        <v>61</v>
      </c>
      <c r="AC391" s="133"/>
      <c r="AD391" s="133"/>
      <c r="AE391" s="133"/>
      <c r="AF391" s="111"/>
      <c r="AG391" s="147"/>
      <c r="AH391" s="73"/>
      <c r="AI391" s="135"/>
      <c r="AJ391" s="136"/>
      <c r="AK391" s="76"/>
      <c r="AL391" s="137"/>
      <c r="AM391" s="139">
        <v>416.0</v>
      </c>
      <c r="AN391" s="139">
        <v>775.0</v>
      </c>
      <c r="AO391" s="140">
        <v>153.34</v>
      </c>
      <c r="AP391" s="142">
        <v>48623.0</v>
      </c>
      <c r="AQ391" s="142">
        <v>240.0</v>
      </c>
      <c r="AR391" s="143"/>
      <c r="AS391" s="144">
        <v>0.9566498467500311</v>
      </c>
      <c r="AT391" s="144">
        <v>0.007750153249968972</v>
      </c>
      <c r="AU391" s="146" t="s">
        <v>1813</v>
      </c>
      <c r="AV391" s="146" t="s">
        <v>1813</v>
      </c>
      <c r="AW391" s="148" t="s">
        <v>1813</v>
      </c>
      <c r="AX391" s="151"/>
      <c r="AY391" s="105"/>
      <c r="AZ391" s="186"/>
      <c r="BA391" s="186"/>
      <c r="BB391" s="222"/>
      <c r="BC391" s="45"/>
      <c r="BD391" s="45"/>
      <c r="BE391" s="155"/>
      <c r="BF391" s="45"/>
    </row>
    <row r="392" ht="16.5" customHeight="1">
      <c r="A392" s="111">
        <v>389.0</v>
      </c>
      <c r="B392" s="112" t="s">
        <v>237</v>
      </c>
      <c r="C392" s="115" t="s">
        <v>60</v>
      </c>
      <c r="D392" s="157">
        <v>41591.0</v>
      </c>
      <c r="E392" s="117">
        <v>42379.0</v>
      </c>
      <c r="F392" s="79" t="s">
        <v>57</v>
      </c>
      <c r="G392" s="118">
        <v>45400.0</v>
      </c>
      <c r="H392" s="114">
        <v>57.5</v>
      </c>
      <c r="I392" s="120">
        <v>381.0</v>
      </c>
      <c r="J392" s="111" t="s">
        <v>62</v>
      </c>
      <c r="K392" s="121">
        <v>381.0</v>
      </c>
      <c r="L392" s="120" t="s">
        <v>63</v>
      </c>
      <c r="M392" s="120"/>
      <c r="N392" s="120"/>
      <c r="O392" s="124">
        <v>45400.0</v>
      </c>
      <c r="P392" s="124">
        <v>789.0</v>
      </c>
      <c r="Q392" s="111">
        <v>224.0</v>
      </c>
      <c r="R392" s="125">
        <v>399.0</v>
      </c>
      <c r="S392" s="126">
        <v>0.9549</v>
      </c>
      <c r="T392" s="127">
        <v>74004.75</v>
      </c>
      <c r="U392" s="128">
        <f t="shared" si="2"/>
        <v>0</v>
      </c>
      <c r="V392" s="79" t="s">
        <v>65</v>
      </c>
      <c r="W392" s="79" t="s">
        <v>69</v>
      </c>
      <c r="X392" s="79" t="s">
        <v>66</v>
      </c>
      <c r="Y392" s="130">
        <v>0.8</v>
      </c>
      <c r="Z392" s="111">
        <v>11.0</v>
      </c>
      <c r="AA392" s="111">
        <v>402.0</v>
      </c>
      <c r="AB392" s="111" t="s">
        <v>62</v>
      </c>
      <c r="AC392" s="133"/>
      <c r="AD392" s="133"/>
      <c r="AE392" s="133"/>
      <c r="AF392" s="111"/>
      <c r="AG392" s="134" t="s">
        <v>1815</v>
      </c>
      <c r="AH392" s="73"/>
      <c r="AI392" s="135"/>
      <c r="AJ392" s="136"/>
      <c r="AK392" s="76"/>
      <c r="AL392" s="137"/>
      <c r="AM392" s="139">
        <v>402.0</v>
      </c>
      <c r="AN392" s="139">
        <v>789.0</v>
      </c>
      <c r="AO392" s="140">
        <v>134.28</v>
      </c>
      <c r="AP392" s="142">
        <v>45400.0</v>
      </c>
      <c r="AQ392" s="142">
        <v>224.0</v>
      </c>
      <c r="AR392" s="143"/>
      <c r="AS392" s="144">
        <v>0.9578124507111964</v>
      </c>
      <c r="AT392" s="144">
        <v>-0.0029124507111963904</v>
      </c>
      <c r="AU392" s="146" t="s">
        <v>1816</v>
      </c>
      <c r="AV392" s="146" t="s">
        <v>1816</v>
      </c>
      <c r="AW392" s="148" t="s">
        <v>1816</v>
      </c>
      <c r="AX392" s="151"/>
      <c r="AY392" s="105"/>
      <c r="AZ392" s="186"/>
      <c r="BA392" s="186"/>
      <c r="BB392" s="222"/>
      <c r="BC392" s="45"/>
      <c r="BD392" s="45"/>
      <c r="BE392" s="155"/>
      <c r="BF392" s="45"/>
    </row>
    <row r="393" ht="16.5" customHeight="1">
      <c r="A393" s="111">
        <v>390.0</v>
      </c>
      <c r="B393" s="112" t="s">
        <v>1817</v>
      </c>
      <c r="C393" s="115" t="s">
        <v>60</v>
      </c>
      <c r="D393" s="157">
        <v>41673.0</v>
      </c>
      <c r="E393" s="117">
        <v>42372.0</v>
      </c>
      <c r="F393" s="79" t="s">
        <v>79</v>
      </c>
      <c r="G393" s="118">
        <v>43500.0</v>
      </c>
      <c r="H393" s="114">
        <v>62.1</v>
      </c>
      <c r="I393" s="120">
        <v>384.0</v>
      </c>
      <c r="J393" s="111" t="s">
        <v>61</v>
      </c>
      <c r="K393" s="121">
        <v>388.86</v>
      </c>
      <c r="L393" s="120" t="s">
        <v>63</v>
      </c>
      <c r="M393" s="120"/>
      <c r="N393" s="120"/>
      <c r="O393" s="124">
        <v>43500.0</v>
      </c>
      <c r="P393" s="124">
        <v>700.0</v>
      </c>
      <c r="Q393" s="111">
        <v>210.0</v>
      </c>
      <c r="R393" s="125">
        <v>399.0</v>
      </c>
      <c r="S393" s="126">
        <v>0.9746</v>
      </c>
      <c r="T393" s="127">
        <v>75531.5</v>
      </c>
      <c r="U393" s="128">
        <f t="shared" si="2"/>
        <v>0</v>
      </c>
      <c r="V393" s="79" t="s">
        <v>69</v>
      </c>
      <c r="W393" s="79" t="s">
        <v>66</v>
      </c>
      <c r="X393" s="79" t="s">
        <v>68</v>
      </c>
      <c r="Y393" s="130">
        <v>0.6</v>
      </c>
      <c r="Z393" s="111">
        <v>2.0</v>
      </c>
      <c r="AA393" s="133"/>
      <c r="AB393" s="133"/>
      <c r="AC393" s="133"/>
      <c r="AD393" s="133"/>
      <c r="AE393" s="133"/>
      <c r="AF393" s="111"/>
      <c r="AG393" s="147"/>
      <c r="AH393" s="73"/>
      <c r="AI393" s="135"/>
      <c r="AJ393" s="136"/>
      <c r="AK393" s="76"/>
      <c r="AL393" s="137"/>
      <c r="AM393" s="139" t="s">
        <v>71</v>
      </c>
      <c r="AN393" s="139">
        <v>700.0</v>
      </c>
      <c r="AO393" s="140">
        <v>119.42</v>
      </c>
      <c r="AP393" s="142">
        <v>43500.0</v>
      </c>
      <c r="AQ393" s="142">
        <v>210.0</v>
      </c>
      <c r="AR393" s="143"/>
      <c r="AS393" s="144">
        <v>0.9585474229945141</v>
      </c>
      <c r="AT393" s="144">
        <v>0.016052577005485902</v>
      </c>
      <c r="AU393" s="146" t="s">
        <v>1822</v>
      </c>
      <c r="AV393" s="146" t="s">
        <v>1822</v>
      </c>
      <c r="AW393" s="148" t="s">
        <v>1822</v>
      </c>
      <c r="AX393" s="151"/>
      <c r="AY393" s="105"/>
      <c r="AZ393" s="186"/>
      <c r="BA393" s="186"/>
      <c r="BB393" s="222"/>
      <c r="BC393" s="45"/>
      <c r="BD393" s="45"/>
      <c r="BE393" s="155"/>
      <c r="BF393" s="45"/>
    </row>
    <row r="394" ht="16.5" customHeight="1">
      <c r="A394" s="111">
        <v>391.0</v>
      </c>
      <c r="B394" s="112" t="s">
        <v>147</v>
      </c>
      <c r="C394" s="115" t="s">
        <v>60</v>
      </c>
      <c r="D394" s="157">
        <v>41639.0</v>
      </c>
      <c r="E394" s="117">
        <v>42381.0</v>
      </c>
      <c r="F394" s="79" t="s">
        <v>79</v>
      </c>
      <c r="G394" s="118">
        <v>115000.0</v>
      </c>
      <c r="H394" s="114">
        <v>154.8</v>
      </c>
      <c r="I394" s="120">
        <v>367.0</v>
      </c>
      <c r="J394" s="111" t="s">
        <v>61</v>
      </c>
      <c r="K394" s="121">
        <v>371.65</v>
      </c>
      <c r="L394" s="120" t="s">
        <v>63</v>
      </c>
      <c r="M394" s="120"/>
      <c r="N394" s="120"/>
      <c r="O394" s="124">
        <v>115000.0</v>
      </c>
      <c r="P394" s="124">
        <v>743.0</v>
      </c>
      <c r="Q394" s="111">
        <v>233.0</v>
      </c>
      <c r="R394" s="125">
        <v>399.0</v>
      </c>
      <c r="S394" s="126">
        <v>0.9315</v>
      </c>
      <c r="T394" s="127">
        <v>72191.25</v>
      </c>
      <c r="U394" s="128">
        <f t="shared" si="2"/>
        <v>0</v>
      </c>
      <c r="V394" s="79" t="s">
        <v>67</v>
      </c>
      <c r="W394" s="79" t="s">
        <v>67</v>
      </c>
      <c r="X394" s="79" t="s">
        <v>67</v>
      </c>
      <c r="Y394" s="130">
        <v>0.8</v>
      </c>
      <c r="Z394" s="111">
        <v>11.0</v>
      </c>
      <c r="AA394" s="111">
        <v>395.0</v>
      </c>
      <c r="AB394" s="111" t="s">
        <v>61</v>
      </c>
      <c r="AC394" s="133"/>
      <c r="AD394" s="133"/>
      <c r="AE394" s="133"/>
      <c r="AF394" s="111"/>
      <c r="AG394" s="147"/>
      <c r="AH394" s="73"/>
      <c r="AI394" s="135"/>
      <c r="AJ394" s="136"/>
      <c r="AK394" s="76"/>
      <c r="AL394" s="137"/>
      <c r="AM394" s="139">
        <v>400.0</v>
      </c>
      <c r="AN394" s="139">
        <v>743.0</v>
      </c>
      <c r="AO394" s="140">
        <v>358.04</v>
      </c>
      <c r="AP394" s="142">
        <v>115000.0</v>
      </c>
      <c r="AQ394" s="142">
        <v>233.0</v>
      </c>
      <c r="AR394" s="143"/>
      <c r="AS394" s="144">
        <v>0.9424369606922876</v>
      </c>
      <c r="AT394" s="144">
        <v>-0.010936960692287556</v>
      </c>
      <c r="AU394" s="146" t="s">
        <v>1824</v>
      </c>
      <c r="AV394" s="146" t="s">
        <v>1824</v>
      </c>
      <c r="AW394" s="148" t="s">
        <v>1824</v>
      </c>
      <c r="AX394" s="151"/>
      <c r="AY394" s="105"/>
      <c r="AZ394" s="186"/>
      <c r="BA394" s="186"/>
      <c r="BB394" s="222"/>
      <c r="BC394" s="45"/>
      <c r="BD394" s="45"/>
      <c r="BE394" s="155"/>
      <c r="BF394" s="45"/>
    </row>
    <row r="395" ht="16.5" customHeight="1">
      <c r="A395" s="111">
        <v>392.0</v>
      </c>
      <c r="B395" s="112" t="s">
        <v>1783</v>
      </c>
      <c r="C395" s="115" t="s">
        <v>60</v>
      </c>
      <c r="D395" s="157">
        <v>42180.0</v>
      </c>
      <c r="E395" s="117">
        <v>42367.0</v>
      </c>
      <c r="F395" s="79" t="s">
        <v>59</v>
      </c>
      <c r="G395" s="118">
        <v>19225.0</v>
      </c>
      <c r="H395" s="114">
        <v>102.3</v>
      </c>
      <c r="I395" s="120">
        <v>379.0</v>
      </c>
      <c r="J395" s="111" t="s">
        <v>61</v>
      </c>
      <c r="K395" s="121">
        <v>383.8</v>
      </c>
      <c r="L395" s="120" t="s">
        <v>63</v>
      </c>
      <c r="M395" s="120"/>
      <c r="N395" s="120"/>
      <c r="O395" s="124">
        <v>19225.0</v>
      </c>
      <c r="P395" s="124">
        <v>188.0</v>
      </c>
      <c r="Q395" s="111">
        <v>228.0</v>
      </c>
      <c r="R395" s="125">
        <v>399.0</v>
      </c>
      <c r="S395" s="126">
        <v>0.9619</v>
      </c>
      <c r="T395" s="127">
        <v>74547.25</v>
      </c>
      <c r="U395" s="128">
        <f t="shared" si="2"/>
        <v>0</v>
      </c>
      <c r="V395" s="79" t="s">
        <v>65</v>
      </c>
      <c r="W395" s="79" t="s">
        <v>69</v>
      </c>
      <c r="X395" s="79" t="s">
        <v>69</v>
      </c>
      <c r="Y395" s="130">
        <v>0.8</v>
      </c>
      <c r="Z395" s="111">
        <v>11.0</v>
      </c>
      <c r="AA395" s="133"/>
      <c r="AB395" s="133"/>
      <c r="AC395" s="133"/>
      <c r="AD395" s="133"/>
      <c r="AE395" s="133"/>
      <c r="AF395" s="111"/>
      <c r="AG395" s="147"/>
      <c r="AH395" s="73"/>
      <c r="AI395" s="135"/>
      <c r="AJ395" s="136"/>
      <c r="AK395" s="76"/>
      <c r="AL395" s="137"/>
      <c r="AM395" s="139" t="s">
        <v>71</v>
      </c>
      <c r="AN395" s="139">
        <v>188.0</v>
      </c>
      <c r="AO395" s="140">
        <v>57.66</v>
      </c>
      <c r="AP395" s="142">
        <v>19225.0</v>
      </c>
      <c r="AQ395" s="142">
        <v>228.0</v>
      </c>
      <c r="AR395" s="143"/>
      <c r="AS395" s="144">
        <v>0.973288697885198</v>
      </c>
      <c r="AT395" s="144">
        <v>-0.01138869788519803</v>
      </c>
      <c r="AU395" s="146" t="s">
        <v>1828</v>
      </c>
      <c r="AV395" s="146" t="s">
        <v>1828</v>
      </c>
      <c r="AW395" s="148" t="s">
        <v>1828</v>
      </c>
      <c r="AX395" s="151"/>
      <c r="AY395" s="105"/>
      <c r="AZ395" s="186"/>
      <c r="BA395" s="186"/>
      <c r="BB395" s="222"/>
      <c r="BC395" s="45"/>
      <c r="BD395" s="45"/>
      <c r="BE395" s="155"/>
      <c r="BF395" s="45"/>
    </row>
    <row r="396" ht="16.5" customHeight="1">
      <c r="A396" s="111">
        <v>393.0</v>
      </c>
      <c r="B396" s="112" t="s">
        <v>376</v>
      </c>
      <c r="C396" s="115" t="s">
        <v>60</v>
      </c>
      <c r="D396" s="157">
        <v>41600.0</v>
      </c>
      <c r="E396" s="117">
        <v>42383.0</v>
      </c>
      <c r="F396" s="79" t="s">
        <v>59</v>
      </c>
      <c r="G396" s="118">
        <v>83000.0</v>
      </c>
      <c r="H396" s="114">
        <v>105.9</v>
      </c>
      <c r="I396" s="120">
        <v>365.0</v>
      </c>
      <c r="J396" s="111" t="s">
        <v>62</v>
      </c>
      <c r="K396" s="121">
        <v>365.0</v>
      </c>
      <c r="L396" s="120" t="s">
        <v>63</v>
      </c>
      <c r="M396" s="120"/>
      <c r="N396" s="120"/>
      <c r="O396" s="124">
        <v>83000.0</v>
      </c>
      <c r="P396" s="124">
        <v>784.0</v>
      </c>
      <c r="Q396" s="111">
        <v>201.0</v>
      </c>
      <c r="R396" s="125">
        <v>399.0</v>
      </c>
      <c r="S396" s="126">
        <v>0.9148</v>
      </c>
      <c r="T396" s="127">
        <v>70897.0</v>
      </c>
      <c r="U396" s="128">
        <f t="shared" si="2"/>
        <v>0</v>
      </c>
      <c r="V396" s="79" t="s">
        <v>64</v>
      </c>
      <c r="W396" s="79" t="s">
        <v>64</v>
      </c>
      <c r="X396" s="79" t="s">
        <v>68</v>
      </c>
      <c r="Y396" s="130">
        <v>0.9</v>
      </c>
      <c r="Z396" s="111">
        <v>11.0</v>
      </c>
      <c r="AA396" s="111">
        <v>383.0</v>
      </c>
      <c r="AB396" s="111" t="s">
        <v>61</v>
      </c>
      <c r="AC396" s="133"/>
      <c r="AD396" s="133"/>
      <c r="AE396" s="133"/>
      <c r="AF396" s="111"/>
      <c r="AG396" s="147"/>
      <c r="AH396" s="73"/>
      <c r="AI396" s="135"/>
      <c r="AJ396" s="136"/>
      <c r="AK396" s="76"/>
      <c r="AL396" s="137"/>
      <c r="AM396" s="139">
        <v>388.0</v>
      </c>
      <c r="AN396" s="139">
        <v>784.0</v>
      </c>
      <c r="AO396" s="140">
        <v>224.88</v>
      </c>
      <c r="AP396" s="142">
        <v>83000.0</v>
      </c>
      <c r="AQ396" s="142">
        <v>201.0</v>
      </c>
      <c r="AR396" s="143"/>
      <c r="AS396" s="144">
        <v>0.9480566386657675</v>
      </c>
      <c r="AT396" s="144">
        <v>-0.03325663866576756</v>
      </c>
      <c r="AU396" s="146" t="s">
        <v>1831</v>
      </c>
      <c r="AV396" s="146" t="s">
        <v>1831</v>
      </c>
      <c r="AW396" s="148" t="s">
        <v>1831</v>
      </c>
      <c r="AX396" s="151"/>
      <c r="AY396" s="105"/>
      <c r="AZ396" s="186"/>
      <c r="BA396" s="186"/>
      <c r="BB396" s="222"/>
      <c r="BC396" s="45"/>
      <c r="BD396" s="45"/>
      <c r="BE396" s="155"/>
      <c r="BF396" s="45"/>
    </row>
    <row r="397" ht="16.5" customHeight="1">
      <c r="A397" s="111">
        <v>394.0</v>
      </c>
      <c r="B397" s="112" t="s">
        <v>1637</v>
      </c>
      <c r="C397" s="115" t="s">
        <v>60</v>
      </c>
      <c r="D397" s="157">
        <v>42235.0</v>
      </c>
      <c r="E397" s="117">
        <v>42383.0</v>
      </c>
      <c r="F397" s="79" t="s">
        <v>118</v>
      </c>
      <c r="G397" s="118">
        <v>18723.0</v>
      </c>
      <c r="H397" s="114">
        <v>125.7</v>
      </c>
      <c r="I397" s="120">
        <v>356.0</v>
      </c>
      <c r="J397" s="111" t="s">
        <v>61</v>
      </c>
      <c r="K397" s="121">
        <v>360.51</v>
      </c>
      <c r="L397" s="120" t="s">
        <v>63</v>
      </c>
      <c r="M397" s="120"/>
      <c r="N397" s="120"/>
      <c r="O397" s="124">
        <v>18723.0</v>
      </c>
      <c r="P397" s="124">
        <v>149.0</v>
      </c>
      <c r="Q397" s="111">
        <v>226.0</v>
      </c>
      <c r="R397" s="125">
        <v>365.0</v>
      </c>
      <c r="S397" s="126">
        <v>0.9877</v>
      </c>
      <c r="T397" s="127">
        <v>67953.76</v>
      </c>
      <c r="U397" s="128">
        <f t="shared" si="2"/>
        <v>0</v>
      </c>
      <c r="V397" s="79" t="s">
        <v>67</v>
      </c>
      <c r="W397" s="79" t="s">
        <v>64</v>
      </c>
      <c r="X397" s="79" t="s">
        <v>69</v>
      </c>
      <c r="Y397" s="130">
        <v>0.9</v>
      </c>
      <c r="Z397" s="111">
        <v>11.0</v>
      </c>
      <c r="AA397" s="111">
        <v>365.0</v>
      </c>
      <c r="AB397" s="111" t="s">
        <v>61</v>
      </c>
      <c r="AC397" s="133"/>
      <c r="AD397" s="133"/>
      <c r="AE397" s="133"/>
      <c r="AF397" s="111"/>
      <c r="AG397" s="134" t="s">
        <v>1834</v>
      </c>
      <c r="AH397" s="73"/>
      <c r="AI397" s="135"/>
      <c r="AJ397" s="136"/>
      <c r="AK397" s="76"/>
      <c r="AL397" s="137"/>
      <c r="AM397" s="139">
        <v>370.0</v>
      </c>
      <c r="AN397" s="139">
        <v>149.0</v>
      </c>
      <c r="AO397" s="140">
        <v>61.89</v>
      </c>
      <c r="AP397" s="142">
        <v>18723.0</v>
      </c>
      <c r="AQ397" s="142">
        <v>226.0</v>
      </c>
      <c r="AR397" s="143"/>
      <c r="AS397" s="144">
        <v>0.9737518948416628</v>
      </c>
      <c r="AT397" s="144">
        <v>0.01394810515833722</v>
      </c>
      <c r="AU397" s="146" t="s">
        <v>1835</v>
      </c>
      <c r="AV397" s="146" t="s">
        <v>1835</v>
      </c>
      <c r="AW397" s="148" t="s">
        <v>1835</v>
      </c>
      <c r="AX397" s="151"/>
      <c r="AY397" s="105"/>
      <c r="AZ397" s="186"/>
      <c r="BA397" s="186"/>
      <c r="BB397" s="222"/>
      <c r="BC397" s="45"/>
      <c r="BD397" s="45"/>
      <c r="BE397" s="155"/>
      <c r="BF397" s="45"/>
    </row>
    <row r="398" ht="16.5" customHeight="1">
      <c r="A398" s="111">
        <v>395.0</v>
      </c>
      <c r="B398" s="112" t="s">
        <v>1617</v>
      </c>
      <c r="C398" s="115" t="s">
        <v>60</v>
      </c>
      <c r="D398" s="157">
        <v>41902.0</v>
      </c>
      <c r="E398" s="117">
        <v>42382.0</v>
      </c>
      <c r="F398" s="79" t="s">
        <v>59</v>
      </c>
      <c r="G398" s="118">
        <v>31300.0</v>
      </c>
      <c r="H398" s="114">
        <v>65.1</v>
      </c>
      <c r="I398" s="120">
        <v>372.0</v>
      </c>
      <c r="J398" s="111" t="s">
        <v>61</v>
      </c>
      <c r="K398" s="121">
        <v>376.71</v>
      </c>
      <c r="L398" s="120" t="s">
        <v>63</v>
      </c>
      <c r="M398" s="120"/>
      <c r="N398" s="120"/>
      <c r="O398" s="124">
        <v>31300.0</v>
      </c>
      <c r="P398" s="124">
        <v>481.0</v>
      </c>
      <c r="Q398" s="111">
        <v>247.0</v>
      </c>
      <c r="R398" s="125">
        <v>399.0</v>
      </c>
      <c r="S398" s="126">
        <v>0.9441</v>
      </c>
      <c r="T398" s="127">
        <v>73167.75</v>
      </c>
      <c r="U398" s="128">
        <f t="shared" si="2"/>
        <v>0</v>
      </c>
      <c r="V398" s="79" t="s">
        <v>64</v>
      </c>
      <c r="W398" s="79" t="s">
        <v>69</v>
      </c>
      <c r="X398" s="79" t="s">
        <v>69</v>
      </c>
      <c r="Y398" s="130">
        <v>0.8</v>
      </c>
      <c r="Z398" s="111">
        <v>11.0</v>
      </c>
      <c r="AA398" s="133"/>
      <c r="AB398" s="133"/>
      <c r="AC398" s="133"/>
      <c r="AD398" s="133"/>
      <c r="AE398" s="133"/>
      <c r="AF398" s="111"/>
      <c r="AG398" s="147"/>
      <c r="AH398" s="73"/>
      <c r="AI398" s="135"/>
      <c r="AJ398" s="136"/>
      <c r="AK398" s="76"/>
      <c r="AL398" s="137"/>
      <c r="AM398" s="139" t="s">
        <v>71</v>
      </c>
      <c r="AN398" s="139">
        <v>481.0</v>
      </c>
      <c r="AO398" s="140">
        <v>102.64</v>
      </c>
      <c r="AP398" s="142">
        <v>31300.0</v>
      </c>
      <c r="AQ398" s="142">
        <v>247.0</v>
      </c>
      <c r="AR398" s="143"/>
      <c r="AS398" s="144">
        <v>0.964429199693215</v>
      </c>
      <c r="AT398" s="144">
        <v>-0.020329199693214894</v>
      </c>
      <c r="AU398" s="146" t="s">
        <v>1838</v>
      </c>
      <c r="AV398" s="146" t="s">
        <v>1838</v>
      </c>
      <c r="AW398" s="148" t="s">
        <v>1838</v>
      </c>
      <c r="AX398" s="151"/>
      <c r="AY398" s="105"/>
      <c r="AZ398" s="186"/>
      <c r="BA398" s="186"/>
      <c r="BB398" s="222"/>
      <c r="BC398" s="45"/>
      <c r="BD398" s="45"/>
      <c r="BE398" s="155"/>
      <c r="BF398" s="45"/>
    </row>
    <row r="399" ht="16.5" customHeight="1">
      <c r="A399" s="111">
        <v>396.0</v>
      </c>
      <c r="B399" s="112" t="s">
        <v>126</v>
      </c>
      <c r="C399" s="115" t="s">
        <v>60</v>
      </c>
      <c r="D399" s="157">
        <v>41527.0</v>
      </c>
      <c r="E399" s="117">
        <v>42389.0</v>
      </c>
      <c r="F399" s="79" t="s">
        <v>79</v>
      </c>
      <c r="G399" s="118">
        <v>150000.0</v>
      </c>
      <c r="H399" s="114">
        <v>173.8</v>
      </c>
      <c r="I399" s="120">
        <v>356.0</v>
      </c>
      <c r="J399" s="111" t="s">
        <v>61</v>
      </c>
      <c r="K399" s="121">
        <v>360.51</v>
      </c>
      <c r="L399" s="120" t="s">
        <v>63</v>
      </c>
      <c r="M399" s="120"/>
      <c r="N399" s="120"/>
      <c r="O399" s="124">
        <v>150000.0</v>
      </c>
      <c r="P399" s="124">
        <v>863.0</v>
      </c>
      <c r="Q399" s="111">
        <v>214.0</v>
      </c>
      <c r="R399" s="125">
        <v>399.0</v>
      </c>
      <c r="S399" s="126">
        <v>0.9035</v>
      </c>
      <c r="T399" s="127">
        <v>70021.25</v>
      </c>
      <c r="U399" s="128">
        <f t="shared" si="2"/>
        <v>0</v>
      </c>
      <c r="V399" s="79" t="s">
        <v>65</v>
      </c>
      <c r="W399" s="79" t="s">
        <v>127</v>
      </c>
      <c r="X399" s="79" t="s">
        <v>69</v>
      </c>
      <c r="Y399" s="130">
        <v>1.0</v>
      </c>
      <c r="Z399" s="111">
        <v>22.0</v>
      </c>
      <c r="AA399" s="111">
        <v>400.0</v>
      </c>
      <c r="AB399" s="111" t="s">
        <v>62</v>
      </c>
      <c r="AC399" s="111"/>
      <c r="AD399" s="111"/>
      <c r="AE399" s="111"/>
      <c r="AF399" s="111"/>
      <c r="AG399" s="134" t="s">
        <v>128</v>
      </c>
      <c r="AH399" s="73"/>
      <c r="AI399" s="135"/>
      <c r="AJ399" s="136"/>
      <c r="AK399" s="76"/>
      <c r="AL399" s="137"/>
      <c r="AM399" s="139">
        <v>400.0</v>
      </c>
      <c r="AN399" s="139">
        <v>863.0</v>
      </c>
      <c r="AO399" s="140">
        <v>435.23</v>
      </c>
      <c r="AP399" s="142">
        <v>150000.0</v>
      </c>
      <c r="AQ399" s="142">
        <v>214.0</v>
      </c>
      <c r="AR399" s="143"/>
      <c r="AS399" s="144">
        <v>0.9368242836130021</v>
      </c>
      <c r="AT399" s="144">
        <v>-0.033324283613002104</v>
      </c>
      <c r="AU399" s="146" t="s">
        <v>1840</v>
      </c>
      <c r="AV399" s="146" t="s">
        <v>1840</v>
      </c>
      <c r="AW399" s="148" t="s">
        <v>1840</v>
      </c>
      <c r="AX399" s="151"/>
      <c r="AY399" s="105"/>
      <c r="AZ399" s="186"/>
      <c r="BA399" s="186"/>
      <c r="BB399" s="222"/>
      <c r="BC399" s="45"/>
      <c r="BD399" s="45"/>
      <c r="BE399" s="155"/>
      <c r="BF399" s="45"/>
    </row>
    <row r="400" ht="16.5" customHeight="1">
      <c r="A400" s="111">
        <v>397.0</v>
      </c>
      <c r="B400" s="112" t="s">
        <v>513</v>
      </c>
      <c r="C400" s="115" t="s">
        <v>60</v>
      </c>
      <c r="D400" s="157">
        <v>41990.0</v>
      </c>
      <c r="E400" s="117">
        <v>42393.0</v>
      </c>
      <c r="F400" s="79" t="s">
        <v>59</v>
      </c>
      <c r="G400" s="118">
        <v>41500.0</v>
      </c>
      <c r="H400" s="114">
        <v>102.7</v>
      </c>
      <c r="I400" s="120">
        <v>385.0</v>
      </c>
      <c r="J400" s="111" t="s">
        <v>61</v>
      </c>
      <c r="K400" s="121">
        <v>389.87</v>
      </c>
      <c r="L400" s="120" t="s">
        <v>63</v>
      </c>
      <c r="M400" s="120"/>
      <c r="N400" s="120"/>
      <c r="O400" s="124">
        <v>41500.0</v>
      </c>
      <c r="P400" s="124">
        <v>404.0</v>
      </c>
      <c r="Q400" s="111">
        <v>226.0</v>
      </c>
      <c r="R400" s="125">
        <v>399.0</v>
      </c>
      <c r="S400" s="126">
        <v>0.9771</v>
      </c>
      <c r="T400" s="127">
        <v>75725.25</v>
      </c>
      <c r="U400" s="128">
        <f t="shared" si="2"/>
        <v>0</v>
      </c>
      <c r="V400" s="79" t="s">
        <v>65</v>
      </c>
      <c r="W400" s="79" t="s">
        <v>69</v>
      </c>
      <c r="X400" s="79" t="s">
        <v>68</v>
      </c>
      <c r="Y400" s="130">
        <v>0.8</v>
      </c>
      <c r="Z400" s="111">
        <v>11.0</v>
      </c>
      <c r="AA400" s="111">
        <v>398.0</v>
      </c>
      <c r="AB400" s="111" t="s">
        <v>61</v>
      </c>
      <c r="AC400" s="133"/>
      <c r="AD400" s="133"/>
      <c r="AE400" s="133"/>
      <c r="AF400" s="111"/>
      <c r="AG400" s="134" t="s">
        <v>1842</v>
      </c>
      <c r="AH400" s="73"/>
      <c r="AI400" s="135"/>
      <c r="AJ400" s="136"/>
      <c r="AK400" s="76"/>
      <c r="AL400" s="137"/>
      <c r="AM400" s="139">
        <v>403.0</v>
      </c>
      <c r="AN400" s="139">
        <v>404.0</v>
      </c>
      <c r="AO400" s="140">
        <v>122.44</v>
      </c>
      <c r="AP400" s="142">
        <v>41500.0</v>
      </c>
      <c r="AQ400" s="142">
        <v>226.0</v>
      </c>
      <c r="AR400" s="143"/>
      <c r="AS400" s="144">
        <v>0.9593655131518605</v>
      </c>
      <c r="AT400" s="144">
        <v>0.017734486848139497</v>
      </c>
      <c r="AU400" s="146" t="s">
        <v>1843</v>
      </c>
      <c r="AV400" s="146" t="s">
        <v>1843</v>
      </c>
      <c r="AW400" s="148" t="s">
        <v>1843</v>
      </c>
      <c r="AX400" s="151"/>
      <c r="AY400" s="105"/>
      <c r="AZ400" s="186"/>
      <c r="BA400" s="186"/>
      <c r="BB400" s="222"/>
      <c r="BC400" s="45"/>
      <c r="BD400" s="45"/>
      <c r="BE400" s="155"/>
      <c r="BF400" s="45"/>
    </row>
    <row r="401" ht="16.5" customHeight="1">
      <c r="A401" s="111">
        <v>398.0</v>
      </c>
      <c r="B401" s="112" t="s">
        <v>1745</v>
      </c>
      <c r="C401" s="115" t="s">
        <v>60</v>
      </c>
      <c r="D401" s="157">
        <v>42130.0</v>
      </c>
      <c r="E401" s="117">
        <v>42393.0</v>
      </c>
      <c r="F401" s="79" t="s">
        <v>86</v>
      </c>
      <c r="G401" s="118">
        <v>20000.0</v>
      </c>
      <c r="H401" s="114">
        <v>75.8</v>
      </c>
      <c r="I401" s="120">
        <v>415.0</v>
      </c>
      <c r="J401" s="111" t="s">
        <v>61</v>
      </c>
      <c r="K401" s="121">
        <v>420.25</v>
      </c>
      <c r="L401" s="120" t="s">
        <v>63</v>
      </c>
      <c r="M401" s="120"/>
      <c r="N401" s="120"/>
      <c r="O401" s="124">
        <v>20000.0</v>
      </c>
      <c r="P401" s="124">
        <v>264.0</v>
      </c>
      <c r="Q401" s="111">
        <v>222.0</v>
      </c>
      <c r="R401" s="125">
        <v>430.0</v>
      </c>
      <c r="S401" s="126">
        <v>0.9773</v>
      </c>
      <c r="T401" s="127">
        <v>75740.75</v>
      </c>
      <c r="U401" s="128">
        <f t="shared" si="2"/>
        <v>0</v>
      </c>
      <c r="V401" s="79" t="s">
        <v>65</v>
      </c>
      <c r="W401" s="79" t="s">
        <v>64</v>
      </c>
      <c r="X401" s="79" t="s">
        <v>64</v>
      </c>
      <c r="Y401" s="130">
        <v>0.8</v>
      </c>
      <c r="Z401" s="111">
        <v>11.0</v>
      </c>
      <c r="AA401" s="133"/>
      <c r="AB401" s="133"/>
      <c r="AC401" s="133"/>
      <c r="AD401" s="133"/>
      <c r="AE401" s="133"/>
      <c r="AF401" s="111"/>
      <c r="AG401" s="147"/>
      <c r="AH401" s="73"/>
      <c r="AI401" s="135"/>
      <c r="AJ401" s="136"/>
      <c r="AK401" s="76"/>
      <c r="AL401" s="137"/>
      <c r="AM401" s="139" t="s">
        <v>71</v>
      </c>
      <c r="AN401" s="139">
        <v>264.0</v>
      </c>
      <c r="AO401" s="140">
        <v>57.96</v>
      </c>
      <c r="AP401" s="142">
        <v>20000.0</v>
      </c>
      <c r="AQ401" s="142">
        <v>222.0</v>
      </c>
      <c r="AR401" s="143"/>
      <c r="AS401" s="144">
        <v>0.9725912061961194</v>
      </c>
      <c r="AT401" s="144">
        <v>0.004708793803880562</v>
      </c>
      <c r="AU401" s="146" t="s">
        <v>1846</v>
      </c>
      <c r="AV401" s="146" t="s">
        <v>1846</v>
      </c>
      <c r="AW401" s="148" t="s">
        <v>1846</v>
      </c>
      <c r="AX401" s="151"/>
      <c r="AY401" s="105"/>
      <c r="AZ401" s="186"/>
      <c r="BA401" s="186"/>
      <c r="BB401" s="222"/>
      <c r="BC401" s="45"/>
      <c r="BD401" s="45"/>
      <c r="BE401" s="155"/>
      <c r="BF401" s="45"/>
    </row>
    <row r="402" ht="16.5" customHeight="1">
      <c r="A402" s="111">
        <v>399.0</v>
      </c>
      <c r="B402" s="112" t="s">
        <v>84</v>
      </c>
      <c r="C402" s="115" t="s">
        <v>60</v>
      </c>
      <c r="D402" s="157">
        <v>41817.0</v>
      </c>
      <c r="E402" s="117">
        <v>42393.0</v>
      </c>
      <c r="F402" s="79" t="s">
        <v>59</v>
      </c>
      <c r="G402" s="118">
        <v>51000.0</v>
      </c>
      <c r="H402" s="114">
        <v>88.4</v>
      </c>
      <c r="I402" s="120">
        <v>380.0</v>
      </c>
      <c r="J402" s="111" t="s">
        <v>62</v>
      </c>
      <c r="K402" s="121">
        <v>380.0</v>
      </c>
      <c r="L402" s="120" t="s">
        <v>63</v>
      </c>
      <c r="M402" s="120"/>
      <c r="N402" s="120"/>
      <c r="O402" s="124">
        <v>51000.0</v>
      </c>
      <c r="P402" s="124">
        <v>577.0</v>
      </c>
      <c r="Q402" s="111">
        <v>230.0</v>
      </c>
      <c r="R402" s="125">
        <v>399.0</v>
      </c>
      <c r="S402" s="126">
        <v>0.9524</v>
      </c>
      <c r="T402" s="127">
        <v>73811.0</v>
      </c>
      <c r="U402" s="128">
        <f t="shared" si="2"/>
        <v>0</v>
      </c>
      <c r="V402" s="79"/>
      <c r="W402" s="79"/>
      <c r="X402" s="79"/>
      <c r="Y402" s="130"/>
      <c r="Z402" s="111"/>
      <c r="AA402" s="133"/>
      <c r="AB402" s="133"/>
      <c r="AC402" s="133"/>
      <c r="AD402" s="133"/>
      <c r="AE402" s="133"/>
      <c r="AF402" s="111"/>
      <c r="AG402" s="147"/>
      <c r="AH402" s="73"/>
      <c r="AI402" s="135"/>
      <c r="AJ402" s="136"/>
      <c r="AK402" s="76"/>
      <c r="AL402" s="137"/>
      <c r="AM402" s="139" t="s">
        <v>71</v>
      </c>
      <c r="AN402" s="139">
        <v>577.0</v>
      </c>
      <c r="AO402" s="140">
        <v>155.07</v>
      </c>
      <c r="AP402" s="142">
        <v>51000.0</v>
      </c>
      <c r="AQ402" s="142">
        <v>230.0</v>
      </c>
      <c r="AR402" s="143"/>
      <c r="AS402" s="144">
        <v>0.9558527141133957</v>
      </c>
      <c r="AT402" s="144">
        <v>-0.0034527141133956496</v>
      </c>
      <c r="AU402" s="146" t="s">
        <v>1851</v>
      </c>
      <c r="AV402" s="146" t="s">
        <v>1851</v>
      </c>
      <c r="AW402" s="148" t="s">
        <v>1851</v>
      </c>
      <c r="AX402" s="151"/>
      <c r="AY402" s="105"/>
      <c r="AZ402" s="186"/>
      <c r="BA402" s="186"/>
      <c r="BB402" s="222"/>
      <c r="BC402" s="45"/>
      <c r="BD402" s="45"/>
      <c r="BE402" s="155"/>
      <c r="BF402" s="45"/>
    </row>
    <row r="403" ht="16.5" customHeight="1">
      <c r="A403" s="111">
        <v>400.0</v>
      </c>
      <c r="B403" s="112" t="s">
        <v>1852</v>
      </c>
      <c r="C403" s="115" t="s">
        <v>60</v>
      </c>
      <c r="D403" s="157">
        <v>42358.0</v>
      </c>
      <c r="E403" s="117">
        <v>42394.0</v>
      </c>
      <c r="F403" s="79" t="s">
        <v>86</v>
      </c>
      <c r="G403" s="118">
        <v>3200.0</v>
      </c>
      <c r="H403" s="114">
        <v>86.5</v>
      </c>
      <c r="I403" s="120">
        <v>408.0</v>
      </c>
      <c r="J403" s="111" t="s">
        <v>62</v>
      </c>
      <c r="K403" s="121">
        <v>408.0</v>
      </c>
      <c r="L403" s="120" t="s">
        <v>63</v>
      </c>
      <c r="M403" s="120"/>
      <c r="N403" s="120"/>
      <c r="O403" s="124">
        <v>3200.0</v>
      </c>
      <c r="P403" s="124">
        <v>37.0</v>
      </c>
      <c r="Q403" s="111">
        <v>230.0</v>
      </c>
      <c r="R403" s="125">
        <v>430.0</v>
      </c>
      <c r="S403" s="126">
        <v>0.9488</v>
      </c>
      <c r="T403" s="127">
        <v>73532.0</v>
      </c>
      <c r="U403" s="128">
        <f t="shared" si="2"/>
        <v>0</v>
      </c>
      <c r="V403" s="79" t="s">
        <v>80</v>
      </c>
      <c r="W403" s="79" t="s">
        <v>67</v>
      </c>
      <c r="X403" s="79" t="s">
        <v>66</v>
      </c>
      <c r="Y403" s="130">
        <v>0.8</v>
      </c>
      <c r="Z403" s="111">
        <v>11.0</v>
      </c>
      <c r="AA403" s="111">
        <v>408.0</v>
      </c>
      <c r="AB403" s="111" t="s">
        <v>62</v>
      </c>
      <c r="AC403" s="133"/>
      <c r="AD403" s="133"/>
      <c r="AE403" s="133"/>
      <c r="AF403" s="111"/>
      <c r="AG403" s="147"/>
      <c r="AH403" s="73"/>
      <c r="AI403" s="135"/>
      <c r="AJ403" s="136"/>
      <c r="AK403" s="76"/>
      <c r="AL403" s="137"/>
      <c r="AM403" s="139">
        <v>408.0</v>
      </c>
      <c r="AN403" s="139">
        <v>37.0</v>
      </c>
      <c r="AO403" s="140">
        <v>9.75</v>
      </c>
      <c r="AP403" s="142">
        <v>3200.0</v>
      </c>
      <c r="AQ403" s="142">
        <v>230.0</v>
      </c>
      <c r="AR403" s="143"/>
      <c r="AS403" s="144">
        <v>0.9939289983661519</v>
      </c>
      <c r="AT403" s="144">
        <v>-0.04512899836615192</v>
      </c>
      <c r="AU403" s="146" t="s">
        <v>1854</v>
      </c>
      <c r="AV403" s="146" t="s">
        <v>1854</v>
      </c>
      <c r="AW403" s="148" t="s">
        <v>1854</v>
      </c>
      <c r="AX403" s="151"/>
      <c r="AY403" s="105"/>
      <c r="AZ403" s="186"/>
      <c r="BA403" s="186"/>
      <c r="BB403" s="222"/>
      <c r="BC403" s="45"/>
      <c r="BD403" s="45"/>
      <c r="BE403" s="155"/>
      <c r="BF403" s="45"/>
    </row>
    <row r="404" ht="16.5" customHeight="1">
      <c r="A404" s="111">
        <v>401.0</v>
      </c>
      <c r="B404" s="112" t="s">
        <v>1681</v>
      </c>
      <c r="C404" s="115" t="s">
        <v>60</v>
      </c>
      <c r="D404" s="157">
        <v>41993.0</v>
      </c>
      <c r="E404" s="117">
        <v>42397.0</v>
      </c>
      <c r="F404" s="79" t="s">
        <v>79</v>
      </c>
      <c r="G404" s="118">
        <v>16133.0</v>
      </c>
      <c r="H404" s="114">
        <v>39.8</v>
      </c>
      <c r="I404" s="120">
        <v>391.0</v>
      </c>
      <c r="J404" s="111" t="s">
        <v>62</v>
      </c>
      <c r="K404" s="121">
        <v>391.0</v>
      </c>
      <c r="L404" s="120" t="s">
        <v>63</v>
      </c>
      <c r="M404" s="120"/>
      <c r="N404" s="120"/>
      <c r="O404" s="124">
        <v>16133.0</v>
      </c>
      <c r="P404" s="124">
        <v>405.0</v>
      </c>
      <c r="Q404" s="111">
        <v>261.0</v>
      </c>
      <c r="R404" s="125">
        <v>399.0</v>
      </c>
      <c r="S404" s="126">
        <v>0.9799</v>
      </c>
      <c r="T404" s="127">
        <v>75942.25</v>
      </c>
      <c r="U404" s="128">
        <f t="shared" si="2"/>
        <v>0</v>
      </c>
      <c r="V404" s="79" t="s">
        <v>67</v>
      </c>
      <c r="W404" s="79" t="s">
        <v>69</v>
      </c>
      <c r="X404" s="79" t="s">
        <v>69</v>
      </c>
      <c r="Y404" s="130">
        <v>0.9</v>
      </c>
      <c r="Z404" s="111"/>
      <c r="AA404" s="133"/>
      <c r="AB404" s="133"/>
      <c r="AC404" s="133"/>
      <c r="AD404" s="133"/>
      <c r="AE404" s="133"/>
      <c r="AF404" s="111"/>
      <c r="AG404" s="147"/>
      <c r="AH404" s="73"/>
      <c r="AI404" s="135"/>
      <c r="AJ404" s="136"/>
      <c r="AK404" s="76"/>
      <c r="AL404" s="137"/>
      <c r="AM404" s="139" t="s">
        <v>71</v>
      </c>
      <c r="AN404" s="139">
        <v>405.0</v>
      </c>
      <c r="AO404" s="140">
        <v>54.9</v>
      </c>
      <c r="AP404" s="142">
        <v>16133.0</v>
      </c>
      <c r="AQ404" s="142">
        <v>261.0</v>
      </c>
      <c r="AR404" s="143"/>
      <c r="AS404" s="144">
        <v>0.976293133621071</v>
      </c>
      <c r="AT404" s="144">
        <v>0.003606866378929041</v>
      </c>
      <c r="AU404" s="146" t="s">
        <v>1857</v>
      </c>
      <c r="AV404" s="146" t="s">
        <v>1857</v>
      </c>
      <c r="AW404" s="148" t="s">
        <v>1857</v>
      </c>
      <c r="AX404" s="151"/>
      <c r="AY404" s="105"/>
      <c r="AZ404" s="186"/>
      <c r="BA404" s="186"/>
      <c r="BB404" s="222"/>
      <c r="BC404" s="45"/>
      <c r="BD404" s="45"/>
      <c r="BE404" s="155"/>
      <c r="BF404" s="45"/>
    </row>
    <row r="405" ht="16.5" customHeight="1">
      <c r="A405" s="111">
        <v>402.0</v>
      </c>
      <c r="B405" s="112" t="s">
        <v>640</v>
      </c>
      <c r="C405" s="115" t="s">
        <v>60</v>
      </c>
      <c r="D405" s="157">
        <v>41927.0</v>
      </c>
      <c r="E405" s="117">
        <v>42398.0</v>
      </c>
      <c r="F405" s="79" t="s">
        <v>59</v>
      </c>
      <c r="G405" s="118">
        <v>52483.0</v>
      </c>
      <c r="H405" s="114">
        <v>111.2</v>
      </c>
      <c r="I405" s="120">
        <v>372.0</v>
      </c>
      <c r="J405" s="111" t="s">
        <v>61</v>
      </c>
      <c r="K405" s="121">
        <v>376.71</v>
      </c>
      <c r="L405" s="120" t="s">
        <v>63</v>
      </c>
      <c r="M405" s="120"/>
      <c r="N405" s="120"/>
      <c r="O405" s="124">
        <v>52483.0</v>
      </c>
      <c r="P405" s="124">
        <v>472.0</v>
      </c>
      <c r="Q405" s="111">
        <v>218.0</v>
      </c>
      <c r="R405" s="125">
        <v>399.0</v>
      </c>
      <c r="S405" s="126">
        <v>0.9441</v>
      </c>
      <c r="T405" s="127">
        <v>73167.75</v>
      </c>
      <c r="U405" s="128">
        <f t="shared" si="2"/>
        <v>0</v>
      </c>
      <c r="V405" s="79"/>
      <c r="W405" s="79"/>
      <c r="X405" s="79"/>
      <c r="Y405" s="130"/>
      <c r="Z405" s="111"/>
      <c r="AA405" s="133"/>
      <c r="AB405" s="133"/>
      <c r="AC405" s="133"/>
      <c r="AD405" s="133"/>
      <c r="AE405" s="133"/>
      <c r="AF405" s="111"/>
      <c r="AG405" s="147"/>
      <c r="AH405" s="73"/>
      <c r="AI405" s="135"/>
      <c r="AJ405" s="136"/>
      <c r="AK405" s="76"/>
      <c r="AL405" s="137"/>
      <c r="AM405" s="139" t="s">
        <v>71</v>
      </c>
      <c r="AN405" s="139">
        <v>472.0</v>
      </c>
      <c r="AO405" s="140">
        <v>151.89</v>
      </c>
      <c r="AP405" s="142">
        <v>52483.0</v>
      </c>
      <c r="AQ405" s="142">
        <v>218.0</v>
      </c>
      <c r="AR405" s="143"/>
      <c r="AS405" s="144">
        <v>0.9553785679314167</v>
      </c>
      <c r="AT405" s="144">
        <v>-0.011278567931416683</v>
      </c>
      <c r="AU405" s="146" t="s">
        <v>1859</v>
      </c>
      <c r="AV405" s="146" t="s">
        <v>1859</v>
      </c>
      <c r="AW405" s="148" t="s">
        <v>1859</v>
      </c>
      <c r="AX405" s="151"/>
      <c r="AY405" s="105"/>
      <c r="AZ405" s="186"/>
      <c r="BA405" s="186"/>
      <c r="BB405" s="222"/>
      <c r="BC405" s="45"/>
      <c r="BD405" s="45"/>
      <c r="BE405" s="155"/>
      <c r="BF405" s="45"/>
    </row>
    <row r="406" ht="16.5" customHeight="1">
      <c r="A406" s="111">
        <v>403.0</v>
      </c>
      <c r="B406" s="112" t="s">
        <v>328</v>
      </c>
      <c r="C406" s="115" t="s">
        <v>60</v>
      </c>
      <c r="D406" s="117">
        <v>41598.0</v>
      </c>
      <c r="E406" s="117">
        <v>42402.0</v>
      </c>
      <c r="F406" s="79" t="s">
        <v>59</v>
      </c>
      <c r="G406" s="118">
        <v>58000.0</v>
      </c>
      <c r="H406" s="114">
        <v>72.0</v>
      </c>
      <c r="I406" s="120">
        <v>374.0</v>
      </c>
      <c r="J406" s="111" t="s">
        <v>61</v>
      </c>
      <c r="K406" s="121">
        <v>378.73</v>
      </c>
      <c r="L406" s="120" t="s">
        <v>63</v>
      </c>
      <c r="M406" s="120"/>
      <c r="N406" s="120"/>
      <c r="O406" s="124">
        <v>58000.0</v>
      </c>
      <c r="P406" s="124">
        <v>805.0</v>
      </c>
      <c r="Q406" s="111">
        <v>211.0</v>
      </c>
      <c r="R406" s="125">
        <v>399.0</v>
      </c>
      <c r="S406" s="126">
        <v>0.9492</v>
      </c>
      <c r="T406" s="127">
        <v>73563.0</v>
      </c>
      <c r="U406" s="128">
        <f t="shared" si="2"/>
        <v>0</v>
      </c>
      <c r="V406" s="79" t="s">
        <v>69</v>
      </c>
      <c r="W406" s="79" t="s">
        <v>69</v>
      </c>
      <c r="X406" s="79" t="s">
        <v>66</v>
      </c>
      <c r="Y406" s="130">
        <v>0.8</v>
      </c>
      <c r="Z406" s="111">
        <v>6.2</v>
      </c>
      <c r="AA406" s="111">
        <v>387.0</v>
      </c>
      <c r="AB406" s="133"/>
      <c r="AC406" s="133"/>
      <c r="AD406" s="133"/>
      <c r="AE406" s="133"/>
      <c r="AF406" s="111"/>
      <c r="AG406" s="134" t="s">
        <v>1860</v>
      </c>
      <c r="AH406" s="73"/>
      <c r="AI406" s="135"/>
      <c r="AJ406" s="136"/>
      <c r="AK406" s="76"/>
      <c r="AL406" s="137"/>
      <c r="AM406" s="139">
        <v>387.0</v>
      </c>
      <c r="AN406" s="139">
        <v>805.0</v>
      </c>
      <c r="AO406" s="140">
        <v>162.06</v>
      </c>
      <c r="AP406" s="142">
        <v>58000.0</v>
      </c>
      <c r="AQ406" s="142">
        <v>211.0</v>
      </c>
      <c r="AR406" s="143"/>
      <c r="AS406" s="144">
        <v>0.9537498617677531</v>
      </c>
      <c r="AT406" s="144">
        <v>-0.004549861767753072</v>
      </c>
      <c r="AU406" s="146" t="s">
        <v>1861</v>
      </c>
      <c r="AV406" s="146" t="s">
        <v>1861</v>
      </c>
      <c r="AW406" s="148" t="s">
        <v>1861</v>
      </c>
      <c r="AX406" s="151"/>
      <c r="AY406" s="105"/>
      <c r="AZ406" s="186"/>
      <c r="BA406" s="186"/>
      <c r="BB406" s="222"/>
      <c r="BC406" s="45"/>
      <c r="BD406" s="45"/>
      <c r="BE406" s="155"/>
      <c r="BF406" s="45"/>
    </row>
    <row r="407" ht="16.5" customHeight="1">
      <c r="A407" s="111">
        <v>404.0</v>
      </c>
      <c r="B407" s="112" t="s">
        <v>1703</v>
      </c>
      <c r="C407" s="115" t="s">
        <v>60</v>
      </c>
      <c r="D407" s="117">
        <v>42353.0</v>
      </c>
      <c r="E407" s="117">
        <v>42404.0</v>
      </c>
      <c r="F407" s="79" t="s">
        <v>118</v>
      </c>
      <c r="G407" s="118">
        <v>3032.0</v>
      </c>
      <c r="H407" s="114">
        <v>58.3</v>
      </c>
      <c r="I407" s="120">
        <v>361.0</v>
      </c>
      <c r="J407" s="111" t="s">
        <v>61</v>
      </c>
      <c r="K407" s="121">
        <v>365.57</v>
      </c>
      <c r="L407" s="120" t="s">
        <v>63</v>
      </c>
      <c r="M407" s="120"/>
      <c r="N407" s="120"/>
      <c r="O407" s="124">
        <v>3032.0</v>
      </c>
      <c r="P407" s="124">
        <v>52.0</v>
      </c>
      <c r="Q407" s="111">
        <v>232.0</v>
      </c>
      <c r="R407" s="125">
        <v>365.0</v>
      </c>
      <c r="S407" s="126">
        <v>1.0016</v>
      </c>
      <c r="T407" s="127">
        <v>68910.08</v>
      </c>
      <c r="U407" s="128">
        <f t="shared" si="2"/>
        <v>0</v>
      </c>
      <c r="V407" s="79" t="s">
        <v>66</v>
      </c>
      <c r="W407" s="79" t="s">
        <v>68</v>
      </c>
      <c r="X407" s="79" t="s">
        <v>68</v>
      </c>
      <c r="Y407" s="130">
        <v>0.9</v>
      </c>
      <c r="Z407" s="111">
        <v>11.0</v>
      </c>
      <c r="AA407" s="111">
        <v>361.0</v>
      </c>
      <c r="AB407" s="111" t="s">
        <v>61</v>
      </c>
      <c r="AC407" s="133"/>
      <c r="AD407" s="133"/>
      <c r="AE407" s="133"/>
      <c r="AF407" s="111"/>
      <c r="AG407" s="147"/>
      <c r="AH407" s="73"/>
      <c r="AI407" s="135"/>
      <c r="AJ407" s="136"/>
      <c r="AK407" s="76"/>
      <c r="AL407" s="137"/>
      <c r="AM407" s="139">
        <v>366.0</v>
      </c>
      <c r="AN407" s="139">
        <v>52.0</v>
      </c>
      <c r="AO407" s="140">
        <v>10.22</v>
      </c>
      <c r="AP407" s="142">
        <v>3032.0</v>
      </c>
      <c r="AQ407" s="142">
        <v>232.0</v>
      </c>
      <c r="AR407" s="143"/>
      <c r="AS407" s="144">
        <v>0.9942272845046599</v>
      </c>
      <c r="AT407" s="144">
        <v>0.007372715495340132</v>
      </c>
      <c r="AU407" s="146" t="s">
        <v>1862</v>
      </c>
      <c r="AV407" s="146" t="s">
        <v>1862</v>
      </c>
      <c r="AW407" s="148" t="s">
        <v>1862</v>
      </c>
      <c r="AX407" s="151"/>
      <c r="AY407" s="105"/>
      <c r="AZ407" s="186"/>
      <c r="BA407" s="186"/>
      <c r="BB407" s="222"/>
      <c r="BC407" s="45"/>
      <c r="BD407" s="45"/>
      <c r="BE407" s="155"/>
      <c r="BF407" s="45"/>
    </row>
    <row r="408" ht="16.5" customHeight="1">
      <c r="A408" s="111">
        <v>405.0</v>
      </c>
      <c r="B408" s="112" t="s">
        <v>623</v>
      </c>
      <c r="C408" s="115" t="s">
        <v>60</v>
      </c>
      <c r="D408" s="117">
        <v>41794.0</v>
      </c>
      <c r="E408" s="117">
        <v>42403.0</v>
      </c>
      <c r="F408" s="79" t="s">
        <v>59</v>
      </c>
      <c r="G408" s="118">
        <v>93058.0</v>
      </c>
      <c r="H408" s="114">
        <v>152.6</v>
      </c>
      <c r="I408" s="120">
        <v>371.0</v>
      </c>
      <c r="J408" s="111" t="s">
        <v>62</v>
      </c>
      <c r="K408" s="121">
        <v>371.0</v>
      </c>
      <c r="L408" s="120" t="s">
        <v>63</v>
      </c>
      <c r="M408" s="120"/>
      <c r="N408" s="120"/>
      <c r="O408" s="124">
        <v>93058.0</v>
      </c>
      <c r="P408" s="124">
        <v>610.0</v>
      </c>
      <c r="Q408" s="111">
        <v>186.0</v>
      </c>
      <c r="R408" s="125">
        <v>399.0</v>
      </c>
      <c r="S408" s="126">
        <v>0.9298</v>
      </c>
      <c r="T408" s="127">
        <v>72059.5</v>
      </c>
      <c r="U408" s="128">
        <f t="shared" si="2"/>
        <v>0</v>
      </c>
      <c r="V408" s="79" t="s">
        <v>67</v>
      </c>
      <c r="W408" s="79" t="s">
        <v>69</v>
      </c>
      <c r="X408" s="79" t="s">
        <v>69</v>
      </c>
      <c r="Y408" s="130">
        <v>0.9</v>
      </c>
      <c r="Z408" s="111">
        <v>9.0</v>
      </c>
      <c r="AA408" s="111">
        <v>398.0</v>
      </c>
      <c r="AB408" s="111" t="s">
        <v>62</v>
      </c>
      <c r="AC408" s="133"/>
      <c r="AD408" s="133"/>
      <c r="AE408" s="133"/>
      <c r="AF408" s="111"/>
      <c r="AG408" s="134" t="s">
        <v>1864</v>
      </c>
      <c r="AH408" s="73"/>
      <c r="AI408" s="135"/>
      <c r="AJ408" s="136"/>
      <c r="AK408" s="76"/>
      <c r="AL408" s="137"/>
      <c r="AM408" s="139">
        <v>398.0</v>
      </c>
      <c r="AN408" s="139">
        <v>610.0</v>
      </c>
      <c r="AO408" s="140">
        <v>231.49</v>
      </c>
      <c r="AP408" s="142">
        <v>93058.0</v>
      </c>
      <c r="AQ408" s="142">
        <v>186.0</v>
      </c>
      <c r="AR408" s="143"/>
      <c r="AS408" s="144">
        <v>0.9461849211797402</v>
      </c>
      <c r="AT408" s="144">
        <v>-0.01638492117974022</v>
      </c>
      <c r="AU408" s="146" t="s">
        <v>1865</v>
      </c>
      <c r="AV408" s="146" t="s">
        <v>1865</v>
      </c>
      <c r="AW408" s="148" t="s">
        <v>1865</v>
      </c>
      <c r="AX408" s="151"/>
      <c r="AY408" s="105"/>
      <c r="AZ408" s="186"/>
      <c r="BA408" s="186"/>
      <c r="BB408" s="222"/>
      <c r="BC408" s="45"/>
      <c r="BD408" s="45"/>
      <c r="BE408" s="155"/>
      <c r="BF408" s="45"/>
    </row>
    <row r="409" ht="16.5" customHeight="1">
      <c r="A409" s="111">
        <v>406.0</v>
      </c>
      <c r="B409" s="112" t="s">
        <v>620</v>
      </c>
      <c r="C409" s="115" t="s">
        <v>60</v>
      </c>
      <c r="D409" s="117">
        <v>41598.0</v>
      </c>
      <c r="E409" s="117">
        <v>42405.0</v>
      </c>
      <c r="F409" s="79" t="s">
        <v>59</v>
      </c>
      <c r="G409" s="118">
        <v>58000.0</v>
      </c>
      <c r="H409" s="114">
        <v>71.8</v>
      </c>
      <c r="I409" s="120">
        <v>371.0</v>
      </c>
      <c r="J409" s="111" t="s">
        <v>61</v>
      </c>
      <c r="K409" s="121">
        <v>375.7</v>
      </c>
      <c r="L409" s="120" t="s">
        <v>195</v>
      </c>
      <c r="M409" s="120" t="s">
        <v>196</v>
      </c>
      <c r="N409" s="120">
        <v>35000.0</v>
      </c>
      <c r="O409" s="124">
        <v>58000.0</v>
      </c>
      <c r="P409" s="124">
        <v>808.0</v>
      </c>
      <c r="Q409" s="159">
        <v>218.0</v>
      </c>
      <c r="R409" s="125">
        <v>399.0</v>
      </c>
      <c r="S409" s="126">
        <v>0.9416</v>
      </c>
      <c r="T409" s="127">
        <v>72974.0</v>
      </c>
      <c r="U409" s="128">
        <f t="shared" si="2"/>
        <v>0</v>
      </c>
      <c r="V409" s="79" t="s">
        <v>64</v>
      </c>
      <c r="W409" s="79" t="s">
        <v>69</v>
      </c>
      <c r="X409" s="79" t="s">
        <v>69</v>
      </c>
      <c r="Y409" s="130">
        <v>0.9</v>
      </c>
      <c r="Z409" s="111">
        <v>11.0</v>
      </c>
      <c r="AA409" s="133"/>
      <c r="AB409" s="133"/>
      <c r="AC409" s="133"/>
      <c r="AD409" s="133"/>
      <c r="AE409" s="133"/>
      <c r="AF409" s="111"/>
      <c r="AG409" s="147"/>
      <c r="AH409" s="73"/>
      <c r="AI409" s="135"/>
      <c r="AJ409" s="136"/>
      <c r="AK409" s="76"/>
      <c r="AL409" s="137"/>
      <c r="AM409" s="139" t="s">
        <v>71</v>
      </c>
      <c r="AN409" s="139">
        <v>808.0</v>
      </c>
      <c r="AO409" s="140">
        <v>168.09</v>
      </c>
      <c r="AP409" s="142">
        <v>58000.0</v>
      </c>
      <c r="AQ409" s="142">
        <v>218.0</v>
      </c>
      <c r="AR409" s="143"/>
      <c r="AS409" s="144">
        <v>0.9537498617677531</v>
      </c>
      <c r="AT409" s="144">
        <v>-0.012149861767753123</v>
      </c>
      <c r="AU409" s="146" t="s">
        <v>1867</v>
      </c>
      <c r="AV409" s="146" t="s">
        <v>1867</v>
      </c>
      <c r="AW409" s="148" t="s">
        <v>1867</v>
      </c>
      <c r="AX409" s="151"/>
      <c r="AY409" s="105"/>
      <c r="AZ409" s="186"/>
      <c r="BA409" s="186"/>
      <c r="BB409" s="222"/>
      <c r="BC409" s="45"/>
      <c r="BD409" s="45"/>
      <c r="BE409" s="155"/>
      <c r="BF409" s="45"/>
    </row>
    <row r="410" ht="16.5" customHeight="1">
      <c r="A410" s="111">
        <v>407.0</v>
      </c>
      <c r="B410" s="112" t="s">
        <v>1726</v>
      </c>
      <c r="C410" s="115" t="s">
        <v>60</v>
      </c>
      <c r="D410" s="117">
        <v>42277.0</v>
      </c>
      <c r="E410" s="117">
        <v>42405.0</v>
      </c>
      <c r="F410" s="79" t="s">
        <v>305</v>
      </c>
      <c r="G410" s="118">
        <v>15058.0</v>
      </c>
      <c r="H410" s="114">
        <v>116.7</v>
      </c>
      <c r="I410" s="120">
        <v>434.0</v>
      </c>
      <c r="J410" s="111" t="s">
        <v>62</v>
      </c>
      <c r="K410" s="121">
        <v>434.0</v>
      </c>
      <c r="L410" s="120" t="s">
        <v>63</v>
      </c>
      <c r="M410" s="120"/>
      <c r="N410" s="120"/>
      <c r="O410" s="124">
        <v>15058.0</v>
      </c>
      <c r="P410" s="124">
        <v>129.0</v>
      </c>
      <c r="Q410" s="111">
        <v>249.0</v>
      </c>
      <c r="R410" s="125">
        <v>452.0</v>
      </c>
      <c r="S410" s="126">
        <v>0.9602</v>
      </c>
      <c r="T410" s="127">
        <v>78544.36</v>
      </c>
      <c r="U410" s="128">
        <f t="shared" si="2"/>
        <v>0</v>
      </c>
      <c r="V410" s="79" t="s">
        <v>64</v>
      </c>
      <c r="W410" s="79" t="s">
        <v>64</v>
      </c>
      <c r="X410" s="79" t="s">
        <v>69</v>
      </c>
      <c r="Y410" s="130">
        <v>0.8</v>
      </c>
      <c r="Z410" s="111">
        <v>11.0</v>
      </c>
      <c r="AA410" s="111">
        <v>408.0</v>
      </c>
      <c r="AB410" s="111" t="s">
        <v>61</v>
      </c>
      <c r="AC410" s="133"/>
      <c r="AD410" s="133"/>
      <c r="AE410" s="133"/>
      <c r="AF410" s="111"/>
      <c r="AG410" s="147"/>
      <c r="AH410" s="73"/>
      <c r="AI410" s="135"/>
      <c r="AJ410" s="136"/>
      <c r="AK410" s="76"/>
      <c r="AL410" s="137"/>
      <c r="AM410" s="139">
        <v>413.0</v>
      </c>
      <c r="AN410" s="139">
        <v>129.0</v>
      </c>
      <c r="AO410" s="140">
        <v>46.77</v>
      </c>
      <c r="AP410" s="142">
        <v>15058.0</v>
      </c>
      <c r="AQ410" s="142">
        <v>249.0</v>
      </c>
      <c r="AR410" s="143"/>
      <c r="AS410" s="144">
        <v>0.9774274546463675</v>
      </c>
      <c r="AT410" s="144">
        <v>-0.017227454646367435</v>
      </c>
      <c r="AU410" s="146" t="s">
        <v>1869</v>
      </c>
      <c r="AV410" s="146" t="s">
        <v>1869</v>
      </c>
      <c r="AW410" s="148" t="s">
        <v>1869</v>
      </c>
      <c r="AX410" s="151"/>
      <c r="AY410" s="105"/>
      <c r="AZ410" s="186"/>
      <c r="BA410" s="186"/>
      <c r="BB410" s="222"/>
      <c r="BC410" s="45"/>
      <c r="BD410" s="45"/>
      <c r="BE410" s="155"/>
      <c r="BF410" s="45"/>
    </row>
    <row r="411" ht="16.5" customHeight="1">
      <c r="A411" s="111">
        <v>408.0</v>
      </c>
      <c r="B411" s="112" t="s">
        <v>1870</v>
      </c>
      <c r="C411" s="115" t="s">
        <v>60</v>
      </c>
      <c r="D411" s="117">
        <v>41547.0</v>
      </c>
      <c r="E411" s="117">
        <v>42040.0</v>
      </c>
      <c r="F411" s="79" t="s">
        <v>79</v>
      </c>
      <c r="G411" s="118">
        <v>49000.0</v>
      </c>
      <c r="H411" s="114">
        <v>99.2</v>
      </c>
      <c r="I411" s="120">
        <v>373.0</v>
      </c>
      <c r="J411" s="111" t="s">
        <v>62</v>
      </c>
      <c r="K411" s="121">
        <v>373.0</v>
      </c>
      <c r="L411" s="120" t="s">
        <v>63</v>
      </c>
      <c r="M411" s="120"/>
      <c r="N411" s="120"/>
      <c r="O411" s="124">
        <v>49000.0</v>
      </c>
      <c r="P411" s="124">
        <v>494.0</v>
      </c>
      <c r="Q411" s="111">
        <v>209.0</v>
      </c>
      <c r="R411" s="125">
        <v>399.0</v>
      </c>
      <c r="S411" s="126">
        <v>0.9348</v>
      </c>
      <c r="T411" s="127">
        <v>72447.0</v>
      </c>
      <c r="U411" s="128">
        <f t="shared" si="2"/>
        <v>0</v>
      </c>
      <c r="V411" s="79" t="s">
        <v>69</v>
      </c>
      <c r="W411" s="79" t="s">
        <v>69</v>
      </c>
      <c r="X411" s="79" t="s">
        <v>69</v>
      </c>
      <c r="Y411" s="130">
        <v>0.8</v>
      </c>
      <c r="Z411" s="111">
        <v>11.0</v>
      </c>
      <c r="AA411" s="133"/>
      <c r="AB411" s="133"/>
      <c r="AC411" s="133"/>
      <c r="AD411" s="133"/>
      <c r="AE411" s="133"/>
      <c r="AF411" s="111"/>
      <c r="AG411" s="147"/>
      <c r="AH411" s="73"/>
      <c r="AI411" s="135"/>
      <c r="AJ411" s="136"/>
      <c r="AK411" s="76"/>
      <c r="AL411" s="137"/>
      <c r="AM411" s="139" t="s">
        <v>71</v>
      </c>
      <c r="AN411" s="139">
        <v>494.0</v>
      </c>
      <c r="AO411" s="140">
        <v>136.62</v>
      </c>
      <c r="AP411" s="142">
        <v>49000.0</v>
      </c>
      <c r="AQ411" s="142">
        <v>209.0</v>
      </c>
      <c r="AR411" s="143"/>
      <c r="AS411" s="144">
        <v>0.9565201949254118</v>
      </c>
      <c r="AT411" s="144">
        <v>-0.021720194925411884</v>
      </c>
      <c r="AU411" s="146" t="s">
        <v>1871</v>
      </c>
      <c r="AV411" s="146" t="s">
        <v>1871</v>
      </c>
      <c r="AW411" s="148" t="s">
        <v>1871</v>
      </c>
      <c r="AX411" s="151"/>
      <c r="AY411" s="105"/>
      <c r="AZ411" s="186"/>
      <c r="BA411" s="186"/>
      <c r="BB411" s="222"/>
      <c r="BC411" s="45"/>
      <c r="BD411" s="45"/>
      <c r="BE411" s="155"/>
      <c r="BF411" s="45"/>
    </row>
    <row r="412" ht="16.5" customHeight="1">
      <c r="A412" s="111">
        <v>409.0</v>
      </c>
      <c r="B412" s="112" t="s">
        <v>1825</v>
      </c>
      <c r="C412" s="115" t="s">
        <v>60</v>
      </c>
      <c r="D412" s="117">
        <v>42341.0</v>
      </c>
      <c r="E412" s="117">
        <v>42408.0</v>
      </c>
      <c r="F412" s="79" t="s">
        <v>86</v>
      </c>
      <c r="G412" s="118">
        <v>6900.0</v>
      </c>
      <c r="H412" s="114">
        <v>101.5</v>
      </c>
      <c r="I412" s="120">
        <v>423.0</v>
      </c>
      <c r="J412" s="111" t="s">
        <v>61</v>
      </c>
      <c r="K412" s="121">
        <v>428.35</v>
      </c>
      <c r="L412" s="120" t="s">
        <v>63</v>
      </c>
      <c r="M412" s="120"/>
      <c r="N412" s="120"/>
      <c r="O412" s="124">
        <v>6900.0</v>
      </c>
      <c r="P412" s="124">
        <v>68.0</v>
      </c>
      <c r="Q412" s="111">
        <v>220.0</v>
      </c>
      <c r="R412" s="125">
        <v>430.0</v>
      </c>
      <c r="S412" s="126">
        <v>0.9962</v>
      </c>
      <c r="T412" s="127">
        <v>77205.5</v>
      </c>
      <c r="U412" s="128">
        <f t="shared" si="2"/>
        <v>0</v>
      </c>
      <c r="V412" s="79" t="s">
        <v>64</v>
      </c>
      <c r="W412" s="79" t="s">
        <v>66</v>
      </c>
      <c r="X412" s="79" t="s">
        <v>66</v>
      </c>
      <c r="Y412" s="130">
        <v>0.9</v>
      </c>
      <c r="Z412" s="111">
        <v>11.0</v>
      </c>
      <c r="AA412" s="133"/>
      <c r="AB412" s="133"/>
      <c r="AC412" s="133"/>
      <c r="AD412" s="133"/>
      <c r="AE412" s="133"/>
      <c r="AF412" s="111"/>
      <c r="AG412" s="147"/>
      <c r="AH412" s="73"/>
      <c r="AI412" s="135"/>
      <c r="AJ412" s="136"/>
      <c r="AK412" s="76"/>
      <c r="AL412" s="137"/>
      <c r="AM412" s="139" t="s">
        <v>71</v>
      </c>
      <c r="AN412" s="139">
        <v>68.0</v>
      </c>
      <c r="AO412" s="140">
        <v>19.63</v>
      </c>
      <c r="AP412" s="142">
        <v>6900.0</v>
      </c>
      <c r="AQ412" s="142">
        <v>220.0</v>
      </c>
      <c r="AR412" s="143"/>
      <c r="AS412" s="144">
        <v>0.9878750238863173</v>
      </c>
      <c r="AT412" s="144">
        <v>0.008324976113682658</v>
      </c>
      <c r="AU412" s="146" t="s">
        <v>1875</v>
      </c>
      <c r="AV412" s="146" t="s">
        <v>1875</v>
      </c>
      <c r="AW412" s="148" t="s">
        <v>1875</v>
      </c>
      <c r="AX412" s="151"/>
      <c r="AY412" s="105"/>
      <c r="AZ412" s="186"/>
      <c r="BA412" s="186"/>
      <c r="BB412" s="222"/>
      <c r="BC412" s="45"/>
      <c r="BD412" s="45"/>
      <c r="BE412" s="155"/>
      <c r="BF412" s="45"/>
    </row>
    <row r="413" ht="16.5" customHeight="1">
      <c r="A413" s="111">
        <v>410.0</v>
      </c>
      <c r="B413" s="112" t="s">
        <v>147</v>
      </c>
      <c r="C413" s="115" t="s">
        <v>60</v>
      </c>
      <c r="D413" s="117">
        <v>41639.0</v>
      </c>
      <c r="E413" s="117">
        <v>42410.0</v>
      </c>
      <c r="F413" s="79" t="s">
        <v>79</v>
      </c>
      <c r="G413" s="118">
        <v>120000.0</v>
      </c>
      <c r="H413" s="114">
        <v>155.4</v>
      </c>
      <c r="I413" s="120">
        <v>369.0</v>
      </c>
      <c r="J413" s="111" t="s">
        <v>61</v>
      </c>
      <c r="K413" s="121">
        <v>373.67</v>
      </c>
      <c r="L413" s="120" t="s">
        <v>63</v>
      </c>
      <c r="M413" s="120"/>
      <c r="N413" s="120"/>
      <c r="O413" s="124">
        <v>120000.0</v>
      </c>
      <c r="P413" s="124">
        <v>772.0</v>
      </c>
      <c r="Q413" s="111">
        <v>233.0</v>
      </c>
      <c r="R413" s="125">
        <v>399.0</v>
      </c>
      <c r="S413" s="126">
        <v>0.9365</v>
      </c>
      <c r="T413" s="127">
        <v>72578.75</v>
      </c>
      <c r="U413" s="128">
        <f t="shared" si="2"/>
        <v>0</v>
      </c>
      <c r="V413" s="79" t="s">
        <v>67</v>
      </c>
      <c r="W413" s="79"/>
      <c r="X413" s="79" t="s">
        <v>66</v>
      </c>
      <c r="Y413" s="130"/>
      <c r="Z413" s="111"/>
      <c r="AA413" s="133"/>
      <c r="AB413" s="133"/>
      <c r="AC413" s="133"/>
      <c r="AD413" s="133"/>
      <c r="AE413" s="133"/>
      <c r="AF413" s="111"/>
      <c r="AG413" s="147"/>
      <c r="AH413" s="73"/>
      <c r="AI413" s="135"/>
      <c r="AJ413" s="136"/>
      <c r="AK413" s="76"/>
      <c r="AL413" s="137"/>
      <c r="AM413" s="139" t="s">
        <v>71</v>
      </c>
      <c r="AN413" s="139">
        <v>772.0</v>
      </c>
      <c r="AO413" s="140">
        <v>372.64</v>
      </c>
      <c r="AP413" s="142">
        <v>120000.0</v>
      </c>
      <c r="AQ413" s="142">
        <v>233.0</v>
      </c>
      <c r="AR413" s="143"/>
      <c r="AS413" s="144">
        <v>0.9416185630516702</v>
      </c>
      <c r="AT413" s="144">
        <v>-0.005118563051670244</v>
      </c>
      <c r="AU413" s="146" t="s">
        <v>1877</v>
      </c>
      <c r="AV413" s="146" t="s">
        <v>1877</v>
      </c>
      <c r="AW413" s="148" t="s">
        <v>1877</v>
      </c>
      <c r="AX413" s="151"/>
      <c r="AY413" s="105"/>
      <c r="AZ413" s="186"/>
      <c r="BA413" s="186"/>
      <c r="BB413" s="222"/>
      <c r="BC413" s="45"/>
      <c r="BD413" s="45"/>
      <c r="BE413" s="155"/>
      <c r="BF413" s="45"/>
    </row>
    <row r="414" ht="16.5" customHeight="1">
      <c r="A414" s="111">
        <v>411.0</v>
      </c>
      <c r="B414" s="112" t="s">
        <v>449</v>
      </c>
      <c r="C414" s="115" t="s">
        <v>60</v>
      </c>
      <c r="D414" s="117">
        <v>41598.0</v>
      </c>
      <c r="E414" s="117">
        <v>42420.0</v>
      </c>
      <c r="F414" s="79" t="s">
        <v>59</v>
      </c>
      <c r="G414" s="118">
        <v>117000.0</v>
      </c>
      <c r="H414" s="114">
        <v>142.2</v>
      </c>
      <c r="I414" s="120">
        <v>368.0</v>
      </c>
      <c r="J414" s="111" t="s">
        <v>62</v>
      </c>
      <c r="K414" s="121">
        <v>368.0</v>
      </c>
      <c r="L414" s="120" t="s">
        <v>63</v>
      </c>
      <c r="M414" s="120"/>
      <c r="N414" s="120"/>
      <c r="O414" s="124">
        <v>117000.0</v>
      </c>
      <c r="P414" s="124">
        <v>823.0</v>
      </c>
      <c r="Q414" s="111">
        <v>186.0</v>
      </c>
      <c r="R414" s="125">
        <v>399.0</v>
      </c>
      <c r="S414" s="126">
        <v>0.9223</v>
      </c>
      <c r="T414" s="127">
        <v>71478.25</v>
      </c>
      <c r="U414" s="128">
        <f t="shared" si="2"/>
        <v>0</v>
      </c>
      <c r="V414" s="79" t="s">
        <v>67</v>
      </c>
      <c r="W414" s="79" t="s">
        <v>65</v>
      </c>
      <c r="X414" s="79" t="s">
        <v>66</v>
      </c>
      <c r="Y414" s="130">
        <v>0.8</v>
      </c>
      <c r="Z414" s="111">
        <v>13.0</v>
      </c>
      <c r="AA414" s="133"/>
      <c r="AB414" s="133"/>
      <c r="AC414" s="133"/>
      <c r="AD414" s="133"/>
      <c r="AE414" s="133"/>
      <c r="AF414" s="111"/>
      <c r="AG414" s="147"/>
      <c r="AH414" s="73"/>
      <c r="AI414" s="135"/>
      <c r="AJ414" s="136"/>
      <c r="AK414" s="76"/>
      <c r="AL414" s="137"/>
      <c r="AM414" s="139" t="s">
        <v>71</v>
      </c>
      <c r="AN414" s="139">
        <v>823.0</v>
      </c>
      <c r="AO414" s="140">
        <v>292.19</v>
      </c>
      <c r="AP414" s="142">
        <v>117000.0</v>
      </c>
      <c r="AQ414" s="142">
        <v>186.0</v>
      </c>
      <c r="AR414" s="143"/>
      <c r="AS414" s="144">
        <v>0.9421085526181635</v>
      </c>
      <c r="AT414" s="144">
        <v>-0.0198085526181635</v>
      </c>
      <c r="AU414" s="146" t="s">
        <v>1879</v>
      </c>
      <c r="AV414" s="146" t="s">
        <v>1879</v>
      </c>
      <c r="AW414" s="148" t="s">
        <v>1879</v>
      </c>
      <c r="AX414" s="151"/>
      <c r="AY414" s="105"/>
      <c r="AZ414" s="186"/>
      <c r="BA414" s="186"/>
      <c r="BB414" s="222"/>
      <c r="BC414" s="45"/>
      <c r="BD414" s="45"/>
      <c r="BE414" s="155"/>
      <c r="BF414" s="45"/>
    </row>
    <row r="415" ht="16.5" customHeight="1">
      <c r="A415" s="111">
        <v>412.0</v>
      </c>
      <c r="B415" s="112" t="s">
        <v>1127</v>
      </c>
      <c r="C415" s="115" t="s">
        <v>60</v>
      </c>
      <c r="D415" s="117">
        <v>42160.0</v>
      </c>
      <c r="E415" s="117">
        <v>42412.0</v>
      </c>
      <c r="F415" s="79" t="s">
        <v>86</v>
      </c>
      <c r="G415" s="118">
        <v>39100.0</v>
      </c>
      <c r="H415" s="114">
        <v>154.5</v>
      </c>
      <c r="I415" s="120">
        <v>409.0</v>
      </c>
      <c r="J415" s="111" t="s">
        <v>61</v>
      </c>
      <c r="K415" s="121">
        <v>414.18</v>
      </c>
      <c r="L415" s="120" t="s">
        <v>63</v>
      </c>
      <c r="M415" s="120"/>
      <c r="N415" s="120"/>
      <c r="O415" s="124">
        <v>39100.0</v>
      </c>
      <c r="P415" s="124">
        <v>253.0</v>
      </c>
      <c r="Q415" s="111">
        <v>211.0</v>
      </c>
      <c r="R415" s="125">
        <v>430.0</v>
      </c>
      <c r="S415" s="126">
        <v>0.9632</v>
      </c>
      <c r="T415" s="127">
        <v>74648.0</v>
      </c>
      <c r="U415" s="128">
        <f t="shared" si="2"/>
        <v>0</v>
      </c>
      <c r="V415" s="79" t="s">
        <v>67</v>
      </c>
      <c r="W415" s="79" t="s">
        <v>69</v>
      </c>
      <c r="X415" s="79" t="s">
        <v>66</v>
      </c>
      <c r="Y415" s="130">
        <v>0.9</v>
      </c>
      <c r="Z415" s="111">
        <v>11.0</v>
      </c>
      <c r="AA415" s="133"/>
      <c r="AB415" s="133"/>
      <c r="AC415" s="133"/>
      <c r="AD415" s="133"/>
      <c r="AE415" s="133"/>
      <c r="AF415" s="111"/>
      <c r="AG415" s="147"/>
      <c r="AH415" s="73"/>
      <c r="AI415" s="135"/>
      <c r="AJ415" s="136"/>
      <c r="AK415" s="76"/>
      <c r="AL415" s="137"/>
      <c r="AM415" s="139" t="s">
        <v>71</v>
      </c>
      <c r="AN415" s="139">
        <v>253.0</v>
      </c>
      <c r="AO415" s="140">
        <v>108.46</v>
      </c>
      <c r="AP415" s="142">
        <v>39100.0</v>
      </c>
      <c r="AQ415" s="142">
        <v>211.0</v>
      </c>
      <c r="AR415" s="143"/>
      <c r="AS415" s="144">
        <v>0.9604136568643507</v>
      </c>
      <c r="AT415" s="144">
        <v>0.002786343135649294</v>
      </c>
      <c r="AU415" s="146" t="s">
        <v>1881</v>
      </c>
      <c r="AV415" s="146" t="s">
        <v>1881</v>
      </c>
      <c r="AW415" s="148" t="s">
        <v>1881</v>
      </c>
      <c r="AX415" s="151"/>
      <c r="AY415" s="105"/>
      <c r="AZ415" s="186"/>
      <c r="BA415" s="186"/>
      <c r="BB415" s="222"/>
      <c r="BC415" s="45"/>
      <c r="BD415" s="45"/>
      <c r="BE415" s="155"/>
      <c r="BF415" s="45"/>
    </row>
    <row r="416" ht="16.5" customHeight="1">
      <c r="A416" s="111">
        <v>413.0</v>
      </c>
      <c r="B416" s="112" t="s">
        <v>541</v>
      </c>
      <c r="C416" s="115" t="s">
        <v>60</v>
      </c>
      <c r="D416" s="117">
        <v>41603.0</v>
      </c>
      <c r="E416" s="117">
        <v>42414.0</v>
      </c>
      <c r="F416" s="79" t="s">
        <v>57</v>
      </c>
      <c r="G416" s="118">
        <v>88870.0</v>
      </c>
      <c r="H416" s="114">
        <v>109.4</v>
      </c>
      <c r="I416" s="120">
        <v>373.0</v>
      </c>
      <c r="J416" s="111" t="s">
        <v>61</v>
      </c>
      <c r="K416" s="121">
        <v>377.72</v>
      </c>
      <c r="L416" s="120" t="s">
        <v>63</v>
      </c>
      <c r="M416" s="120"/>
      <c r="N416" s="120"/>
      <c r="O416" s="124">
        <v>88870.0</v>
      </c>
      <c r="P416" s="124">
        <v>812.0</v>
      </c>
      <c r="Q416" s="111">
        <v>225.0</v>
      </c>
      <c r="R416" s="125">
        <v>399.0</v>
      </c>
      <c r="S416" s="126">
        <v>0.9467</v>
      </c>
      <c r="T416" s="127">
        <v>73369.25</v>
      </c>
      <c r="U416" s="128">
        <f t="shared" si="2"/>
        <v>0</v>
      </c>
      <c r="V416" s="79" t="s">
        <v>69</v>
      </c>
      <c r="W416" s="79" t="s">
        <v>67</v>
      </c>
      <c r="X416" s="79" t="s">
        <v>64</v>
      </c>
      <c r="Y416" s="130">
        <v>0.9</v>
      </c>
      <c r="Z416" s="111">
        <v>11.0</v>
      </c>
      <c r="AA416" s="111">
        <v>400.0</v>
      </c>
      <c r="AB416" s="133"/>
      <c r="AC416" s="133"/>
      <c r="AD416" s="133"/>
      <c r="AE416" s="133"/>
      <c r="AF416" s="111"/>
      <c r="AG416" s="147"/>
      <c r="AH416" s="73"/>
      <c r="AI416" s="135"/>
      <c r="AJ416" s="136"/>
      <c r="AK416" s="76"/>
      <c r="AL416" s="137"/>
      <c r="AM416" s="139">
        <v>400.0</v>
      </c>
      <c r="AN416" s="139">
        <v>812.0</v>
      </c>
      <c r="AO416" s="140">
        <v>265.11</v>
      </c>
      <c r="AP416" s="142">
        <v>88870.0</v>
      </c>
      <c r="AQ416" s="142">
        <v>225.0</v>
      </c>
      <c r="AR416" s="143"/>
      <c r="AS416" s="144">
        <v>0.9469473169373941</v>
      </c>
      <c r="AT416" s="144">
        <v>-2.473169373941042E-4</v>
      </c>
      <c r="AU416" s="146" t="s">
        <v>1886</v>
      </c>
      <c r="AV416" s="146" t="s">
        <v>1886</v>
      </c>
      <c r="AW416" s="148" t="s">
        <v>1886</v>
      </c>
      <c r="AX416" s="151"/>
      <c r="AY416" s="105"/>
      <c r="AZ416" s="186"/>
      <c r="BA416" s="186"/>
      <c r="BB416" s="222"/>
      <c r="BC416" s="45"/>
      <c r="BD416" s="45"/>
      <c r="BE416" s="155"/>
      <c r="BF416" s="45"/>
    </row>
    <row r="417" ht="16.5" customHeight="1">
      <c r="A417" s="111">
        <v>414.0</v>
      </c>
      <c r="B417" s="112" t="s">
        <v>1868</v>
      </c>
      <c r="C417" s="115" t="s">
        <v>60</v>
      </c>
      <c r="D417" s="117">
        <v>41701.0</v>
      </c>
      <c r="E417" s="117">
        <v>42415.0</v>
      </c>
      <c r="F417" s="79" t="s">
        <v>59</v>
      </c>
      <c r="G417" s="118">
        <v>45777.0</v>
      </c>
      <c r="H417" s="114">
        <v>64.0</v>
      </c>
      <c r="I417" s="120">
        <v>365.0</v>
      </c>
      <c r="J417" s="111" t="s">
        <v>62</v>
      </c>
      <c r="K417" s="121">
        <v>365.0</v>
      </c>
      <c r="L417" s="120" t="s">
        <v>63</v>
      </c>
      <c r="M417" s="120"/>
      <c r="N417" s="120"/>
      <c r="O417" s="124">
        <v>45777.0</v>
      </c>
      <c r="P417" s="124">
        <v>715.0</v>
      </c>
      <c r="Q417" s="111">
        <v>220.0</v>
      </c>
      <c r="R417" s="125">
        <v>399.0</v>
      </c>
      <c r="S417" s="126">
        <v>0.9148</v>
      </c>
      <c r="T417" s="127">
        <v>70897.0</v>
      </c>
      <c r="U417" s="128">
        <f t="shared" si="2"/>
        <v>0</v>
      </c>
      <c r="V417" s="79" t="s">
        <v>64</v>
      </c>
      <c r="W417" s="79" t="s">
        <v>66</v>
      </c>
      <c r="X417" s="79" t="s">
        <v>66</v>
      </c>
      <c r="Y417" s="130">
        <v>0.8</v>
      </c>
      <c r="Z417" s="111">
        <v>7.0</v>
      </c>
      <c r="AA417" s="133"/>
      <c r="AB417" s="133"/>
      <c r="AC417" s="133"/>
      <c r="AD417" s="133"/>
      <c r="AE417" s="133"/>
      <c r="AF417" s="111"/>
      <c r="AG417" s="147"/>
      <c r="AH417" s="73"/>
      <c r="AI417" s="135"/>
      <c r="AJ417" s="136"/>
      <c r="AK417" s="76"/>
      <c r="AL417" s="137"/>
      <c r="AM417" s="139" t="s">
        <v>71</v>
      </c>
      <c r="AN417" s="139">
        <v>715.0</v>
      </c>
      <c r="AO417" s="140">
        <v>135.76</v>
      </c>
      <c r="AP417" s="142">
        <v>45777.0</v>
      </c>
      <c r="AQ417" s="142">
        <v>220.0</v>
      </c>
      <c r="AR417" s="143"/>
      <c r="AS417" s="144">
        <v>0.9576711870360484</v>
      </c>
      <c r="AT417" s="144">
        <v>-0.04287118703604842</v>
      </c>
      <c r="AU417" s="146" t="s">
        <v>1888</v>
      </c>
      <c r="AV417" s="146" t="s">
        <v>1888</v>
      </c>
      <c r="AW417" s="148" t="s">
        <v>1888</v>
      </c>
      <c r="AX417" s="151"/>
      <c r="AY417" s="105"/>
      <c r="AZ417" s="186"/>
      <c r="BA417" s="186"/>
      <c r="BB417" s="222"/>
      <c r="BC417" s="45"/>
      <c r="BD417" s="45"/>
      <c r="BE417" s="155"/>
      <c r="BF417" s="45"/>
    </row>
    <row r="418" ht="16.5" customHeight="1">
      <c r="A418" s="111">
        <v>415.0</v>
      </c>
      <c r="B418" s="112" t="s">
        <v>1856</v>
      </c>
      <c r="C418" s="115" t="s">
        <v>60</v>
      </c>
      <c r="D418" s="117">
        <v>42186.0</v>
      </c>
      <c r="E418" s="117">
        <v>42415.0</v>
      </c>
      <c r="F418" s="79" t="s">
        <v>90</v>
      </c>
      <c r="G418" s="118">
        <v>28000.0</v>
      </c>
      <c r="H418" s="114">
        <v>121.7</v>
      </c>
      <c r="I418" s="120">
        <v>385.0</v>
      </c>
      <c r="J418" s="111" t="s">
        <v>61</v>
      </c>
      <c r="K418" s="121">
        <v>389.87</v>
      </c>
      <c r="L418" s="120" t="s">
        <v>63</v>
      </c>
      <c r="M418" s="120"/>
      <c r="N418" s="120"/>
      <c r="O418" s="124">
        <v>28000.0</v>
      </c>
      <c r="P418" s="124">
        <v>230.0</v>
      </c>
      <c r="Q418" s="111">
        <v>208.0</v>
      </c>
      <c r="R418" s="125">
        <v>408.0</v>
      </c>
      <c r="S418" s="126">
        <v>0.9556</v>
      </c>
      <c r="T418" s="127">
        <v>74059.0</v>
      </c>
      <c r="U418" s="128">
        <f t="shared" si="2"/>
        <v>0</v>
      </c>
      <c r="V418" s="79" t="s">
        <v>65</v>
      </c>
      <c r="W418" s="79" t="s">
        <v>69</v>
      </c>
      <c r="X418" s="79" t="s">
        <v>68</v>
      </c>
      <c r="Y418" s="130">
        <v>0.8</v>
      </c>
      <c r="Z418" s="111">
        <v>22.0</v>
      </c>
      <c r="AA418" s="111">
        <v>398.0</v>
      </c>
      <c r="AB418" s="111" t="s">
        <v>61</v>
      </c>
      <c r="AC418" s="133"/>
      <c r="AD418" s="133"/>
      <c r="AE418" s="133"/>
      <c r="AF418" s="111"/>
      <c r="AG418" s="147"/>
      <c r="AH418" s="73"/>
      <c r="AI418" s="135"/>
      <c r="AJ418" s="136"/>
      <c r="AK418" s="76"/>
      <c r="AL418" s="137"/>
      <c r="AM418" s="139">
        <v>403.0</v>
      </c>
      <c r="AN418" s="139">
        <v>230.0</v>
      </c>
      <c r="AO418" s="140">
        <v>76.86</v>
      </c>
      <c r="AP418" s="142">
        <v>28000.0</v>
      </c>
      <c r="AQ418" s="142">
        <v>208.0</v>
      </c>
      <c r="AR418" s="143"/>
      <c r="AS418" s="144">
        <v>0.9664750241928189</v>
      </c>
      <c r="AT418" s="144">
        <v>-0.010875024192818938</v>
      </c>
      <c r="AU418" s="146" t="s">
        <v>1889</v>
      </c>
      <c r="AV418" s="146" t="s">
        <v>1889</v>
      </c>
      <c r="AW418" s="148" t="s">
        <v>1889</v>
      </c>
      <c r="AX418" s="151"/>
      <c r="AY418" s="105"/>
      <c r="AZ418" s="186"/>
      <c r="BA418" s="186"/>
      <c r="BB418" s="222"/>
      <c r="BC418" s="45"/>
      <c r="BD418" s="45"/>
      <c r="BE418" s="155"/>
      <c r="BF418" s="45"/>
    </row>
    <row r="419" ht="16.5" customHeight="1">
      <c r="A419" s="111">
        <v>416.0</v>
      </c>
      <c r="B419" s="112" t="s">
        <v>181</v>
      </c>
      <c r="C419" s="115" t="s">
        <v>60</v>
      </c>
      <c r="D419" s="117">
        <v>41787.0</v>
      </c>
      <c r="E419" s="117">
        <v>42415.0</v>
      </c>
      <c r="F419" s="79" t="s">
        <v>59</v>
      </c>
      <c r="G419" s="118">
        <v>34317.0</v>
      </c>
      <c r="H419" s="114">
        <v>54.6</v>
      </c>
      <c r="I419" s="120">
        <v>372.0</v>
      </c>
      <c r="J419" s="111" t="s">
        <v>61</v>
      </c>
      <c r="K419" s="121">
        <v>376.71</v>
      </c>
      <c r="L419" s="120" t="s">
        <v>63</v>
      </c>
      <c r="M419" s="120"/>
      <c r="N419" s="120"/>
      <c r="O419" s="124">
        <v>34317.0</v>
      </c>
      <c r="P419" s="124">
        <v>629.0</v>
      </c>
      <c r="Q419" s="111">
        <v>229.0</v>
      </c>
      <c r="R419" s="125">
        <v>399.0</v>
      </c>
      <c r="S419" s="126">
        <v>0.9441</v>
      </c>
      <c r="T419" s="127">
        <v>73167.75</v>
      </c>
      <c r="U419" s="128">
        <f t="shared" si="2"/>
        <v>0</v>
      </c>
      <c r="V419" s="79" t="s">
        <v>69</v>
      </c>
      <c r="W419" s="79" t="s">
        <v>66</v>
      </c>
      <c r="X419" s="79" t="s">
        <v>66</v>
      </c>
      <c r="Y419" s="130">
        <v>0.9</v>
      </c>
      <c r="Z419" s="111">
        <v>7.0</v>
      </c>
      <c r="AA419" s="133"/>
      <c r="AB419" s="111" t="s">
        <v>61</v>
      </c>
      <c r="AC419" s="133"/>
      <c r="AD419" s="133"/>
      <c r="AE419" s="133"/>
      <c r="AF419" s="111"/>
      <c r="AG419" s="147"/>
      <c r="AH419" s="73"/>
      <c r="AI419" s="135"/>
      <c r="AJ419" s="136"/>
      <c r="AK419" s="76"/>
      <c r="AL419" s="137"/>
      <c r="AM419" s="139" t="s">
        <v>71</v>
      </c>
      <c r="AN419" s="139">
        <v>629.0</v>
      </c>
      <c r="AO419" s="140">
        <v>104.34</v>
      </c>
      <c r="AP419" s="142">
        <v>34317.0</v>
      </c>
      <c r="AQ419" s="142">
        <v>229.0</v>
      </c>
      <c r="AR419" s="143"/>
      <c r="AS419" s="144">
        <v>0.962752636247687</v>
      </c>
      <c r="AT419" s="144">
        <v>-0.018652636247686982</v>
      </c>
      <c r="AU419" s="146" t="s">
        <v>1891</v>
      </c>
      <c r="AV419" s="146" t="s">
        <v>1891</v>
      </c>
      <c r="AW419" s="148" t="s">
        <v>1891</v>
      </c>
      <c r="AX419" s="151"/>
      <c r="AY419" s="105"/>
      <c r="AZ419" s="186"/>
      <c r="BA419" s="186"/>
      <c r="BB419" s="222"/>
      <c r="BC419" s="45"/>
      <c r="BD419" s="45"/>
      <c r="BE419" s="155"/>
      <c r="BF419" s="45"/>
    </row>
    <row r="420" ht="16.5" customHeight="1">
      <c r="A420" s="111">
        <v>417.0</v>
      </c>
      <c r="B420" s="112" t="s">
        <v>126</v>
      </c>
      <c r="C420" s="115" t="s">
        <v>60</v>
      </c>
      <c r="D420" s="117">
        <v>41527.0</v>
      </c>
      <c r="E420" s="117">
        <v>42416.0</v>
      </c>
      <c r="F420" s="79" t="s">
        <v>79</v>
      </c>
      <c r="G420" s="118">
        <v>155000.0</v>
      </c>
      <c r="H420" s="114">
        <v>174.2</v>
      </c>
      <c r="I420" s="120">
        <v>357.0</v>
      </c>
      <c r="J420" s="111" t="s">
        <v>61</v>
      </c>
      <c r="K420" s="121">
        <v>361.52</v>
      </c>
      <c r="L420" s="120" t="s">
        <v>63</v>
      </c>
      <c r="M420" s="120"/>
      <c r="N420" s="120"/>
      <c r="O420" s="124">
        <v>155000.0</v>
      </c>
      <c r="P420" s="124">
        <v>890.0</v>
      </c>
      <c r="Q420" s="111">
        <v>211.0</v>
      </c>
      <c r="R420" s="125">
        <v>399.0</v>
      </c>
      <c r="S420" s="126">
        <v>0.9061</v>
      </c>
      <c r="T420" s="127">
        <v>70222.75</v>
      </c>
      <c r="U420" s="128">
        <f t="shared" si="2"/>
        <v>0</v>
      </c>
      <c r="V420" s="79" t="s">
        <v>65</v>
      </c>
      <c r="W420" s="79" t="s">
        <v>127</v>
      </c>
      <c r="X420" s="79" t="s">
        <v>69</v>
      </c>
      <c r="Y420" s="130">
        <v>1.0</v>
      </c>
      <c r="Z420" s="111">
        <v>22.0</v>
      </c>
      <c r="AA420" s="111">
        <v>400.0</v>
      </c>
      <c r="AB420" s="111" t="s">
        <v>62</v>
      </c>
      <c r="AC420" s="111">
        <v>357.0</v>
      </c>
      <c r="AD420" s="111">
        <v>257.0</v>
      </c>
      <c r="AE420" s="111">
        <v>18.2</v>
      </c>
      <c r="AF420" s="111" t="s">
        <v>61</v>
      </c>
      <c r="AG420" s="134" t="s">
        <v>128</v>
      </c>
      <c r="AH420" s="73">
        <v>100.0</v>
      </c>
      <c r="AI420" s="135">
        <v>101.26582278481013</v>
      </c>
      <c r="AJ420" s="136">
        <v>64.974182</v>
      </c>
      <c r="AK420" s="76">
        <v>0.8383765419354838</v>
      </c>
      <c r="AL420" s="137" t="s">
        <v>1892</v>
      </c>
      <c r="AM420" s="139">
        <v>400.0</v>
      </c>
      <c r="AN420" s="139">
        <v>890.0</v>
      </c>
      <c r="AO420" s="140">
        <v>442.83</v>
      </c>
      <c r="AP420" s="142">
        <v>155000.0</v>
      </c>
      <c r="AQ420" s="142">
        <v>211.0</v>
      </c>
      <c r="AR420" s="143"/>
      <c r="AS420" s="144">
        <v>0.936035639114821</v>
      </c>
      <c r="AT420" s="144">
        <v>-0.029935639114821</v>
      </c>
      <c r="AU420" s="146" t="s">
        <v>1894</v>
      </c>
      <c r="AV420" s="146" t="s">
        <v>1894</v>
      </c>
      <c r="AW420" s="148" t="s">
        <v>1894</v>
      </c>
      <c r="AX420" s="151"/>
      <c r="AY420" s="105"/>
      <c r="AZ420" s="186"/>
      <c r="BA420" s="186"/>
      <c r="BB420" s="222"/>
      <c r="BC420" s="45"/>
      <c r="BD420" s="45"/>
      <c r="BE420" s="155"/>
      <c r="BF420" s="45"/>
    </row>
    <row r="421" ht="16.5" customHeight="1">
      <c r="A421" s="111">
        <v>418.0</v>
      </c>
      <c r="B421" s="112" t="s">
        <v>1693</v>
      </c>
      <c r="C421" s="115" t="s">
        <v>60</v>
      </c>
      <c r="D421" s="117">
        <v>41724.0</v>
      </c>
      <c r="E421" s="117">
        <v>42419.0</v>
      </c>
      <c r="F421" s="79" t="s">
        <v>59</v>
      </c>
      <c r="G421" s="118">
        <v>54000.0</v>
      </c>
      <c r="H421" s="114">
        <v>77.6</v>
      </c>
      <c r="I421" s="120">
        <v>372.0</v>
      </c>
      <c r="J421" s="111" t="s">
        <v>61</v>
      </c>
      <c r="K421" s="121">
        <v>376.71</v>
      </c>
      <c r="L421" s="120" t="s">
        <v>63</v>
      </c>
      <c r="M421" s="120"/>
      <c r="N421" s="120"/>
      <c r="O421" s="124">
        <v>54000.0</v>
      </c>
      <c r="P421" s="124">
        <v>696.0</v>
      </c>
      <c r="Q421" s="111">
        <v>222.0</v>
      </c>
      <c r="R421" s="125">
        <v>399.0</v>
      </c>
      <c r="S421" s="126">
        <v>0.9441</v>
      </c>
      <c r="T421" s="127">
        <v>73167.75</v>
      </c>
      <c r="U421" s="128">
        <f t="shared" si="2"/>
        <v>0</v>
      </c>
      <c r="V421" s="79" t="s">
        <v>67</v>
      </c>
      <c r="W421" s="79" t="s">
        <v>64</v>
      </c>
      <c r="X421" s="79" t="s">
        <v>68</v>
      </c>
      <c r="Y421" s="130">
        <v>0.9</v>
      </c>
      <c r="Z421" s="111">
        <v>11.0</v>
      </c>
      <c r="AA421" s="133"/>
      <c r="AB421" s="133"/>
      <c r="AC421" s="133"/>
      <c r="AD421" s="133"/>
      <c r="AE421" s="133"/>
      <c r="AF421" s="111"/>
      <c r="AG421" s="147"/>
      <c r="AH421" s="73"/>
      <c r="AI421" s="135"/>
      <c r="AJ421" s="136"/>
      <c r="AK421" s="76"/>
      <c r="AL421" s="137"/>
      <c r="AM421" s="139" t="s">
        <v>71</v>
      </c>
      <c r="AN421" s="139">
        <v>696.0</v>
      </c>
      <c r="AO421" s="140">
        <v>159.16</v>
      </c>
      <c r="AP421" s="142">
        <v>54000.0</v>
      </c>
      <c r="AQ421" s="142">
        <v>222.0</v>
      </c>
      <c r="AR421" s="143"/>
      <c r="AS421" s="144">
        <v>0.9549104819935579</v>
      </c>
      <c r="AT421" s="144">
        <v>-0.01081048199355783</v>
      </c>
      <c r="AU421" s="146" t="s">
        <v>1897</v>
      </c>
      <c r="AV421" s="146" t="s">
        <v>1897</v>
      </c>
      <c r="AW421" s="148" t="s">
        <v>1897</v>
      </c>
      <c r="AX421" s="151"/>
      <c r="AY421" s="105"/>
      <c r="AZ421" s="186"/>
      <c r="BA421" s="186"/>
      <c r="BB421" s="222"/>
      <c r="BC421" s="45"/>
      <c r="BD421" s="45"/>
      <c r="BE421" s="155"/>
      <c r="BF421" s="45"/>
    </row>
    <row r="422" ht="16.5" customHeight="1">
      <c r="A422" s="111">
        <v>419.0</v>
      </c>
      <c r="B422" s="112" t="s">
        <v>761</v>
      </c>
      <c r="C422" s="115" t="s">
        <v>60</v>
      </c>
      <c r="D422" s="582">
        <v>42097.0</v>
      </c>
      <c r="E422" s="117">
        <v>42419.0</v>
      </c>
      <c r="F422" s="79" t="s">
        <v>90</v>
      </c>
      <c r="G422" s="118">
        <v>21620.0</v>
      </c>
      <c r="H422" s="114">
        <v>66.9</v>
      </c>
      <c r="I422" s="120">
        <v>374.0</v>
      </c>
      <c r="J422" s="111" t="s">
        <v>62</v>
      </c>
      <c r="K422" s="121">
        <v>374.0</v>
      </c>
      <c r="L422" s="120" t="s">
        <v>63</v>
      </c>
      <c r="M422" s="120"/>
      <c r="N422" s="120"/>
      <c r="O422" s="124">
        <v>21620.0</v>
      </c>
      <c r="P422" s="124">
        <v>323.0</v>
      </c>
      <c r="Q422" s="111">
        <v>235.0</v>
      </c>
      <c r="R422" s="125">
        <v>408.0</v>
      </c>
      <c r="S422" s="126">
        <v>0.9167</v>
      </c>
      <c r="T422" s="127">
        <v>71044.25</v>
      </c>
      <c r="U422" s="128">
        <f t="shared" si="2"/>
        <v>0</v>
      </c>
      <c r="V422" s="79" t="s">
        <v>65</v>
      </c>
      <c r="W422" s="79" t="s">
        <v>64</v>
      </c>
      <c r="X422" s="79" t="s">
        <v>66</v>
      </c>
      <c r="Y422" s="130">
        <v>0.7</v>
      </c>
      <c r="Z422" s="111">
        <v>11.0</v>
      </c>
      <c r="AA422" s="111">
        <v>406.0</v>
      </c>
      <c r="AB422" s="111" t="s">
        <v>62</v>
      </c>
      <c r="AC422" s="133"/>
      <c r="AD422" s="133"/>
      <c r="AE422" s="133"/>
      <c r="AF422" s="111"/>
      <c r="AG422" s="134" t="s">
        <v>1899</v>
      </c>
      <c r="AH422" s="73"/>
      <c r="AI422" s="135"/>
      <c r="AJ422" s="136"/>
      <c r="AK422" s="76"/>
      <c r="AL422" s="137"/>
      <c r="AM422" s="139">
        <v>406.0</v>
      </c>
      <c r="AN422" s="139">
        <v>323.0</v>
      </c>
      <c r="AO422" s="140">
        <v>68.42</v>
      </c>
      <c r="AP422" s="142">
        <v>21620.0</v>
      </c>
      <c r="AQ422" s="142">
        <v>235.0</v>
      </c>
      <c r="AR422" s="143"/>
      <c r="AS422" s="144">
        <v>0.971199175012096</v>
      </c>
      <c r="AT422" s="144">
        <v>-0.054499175012096</v>
      </c>
      <c r="AU422" s="146" t="s">
        <v>1901</v>
      </c>
      <c r="AV422" s="146" t="s">
        <v>1901</v>
      </c>
      <c r="AW422" s="148" t="s">
        <v>1901</v>
      </c>
      <c r="AX422" s="151"/>
      <c r="AY422" s="105"/>
      <c r="AZ422" s="186"/>
      <c r="BA422" s="186"/>
      <c r="BB422" s="222"/>
      <c r="BC422" s="45"/>
      <c r="BD422" s="45"/>
      <c r="BE422" s="155"/>
      <c r="BF422" s="45"/>
    </row>
    <row r="423" ht="16.5" customHeight="1">
      <c r="A423" s="111">
        <v>420.0</v>
      </c>
      <c r="B423" s="112" t="s">
        <v>761</v>
      </c>
      <c r="C423" s="115" t="s">
        <v>60</v>
      </c>
      <c r="D423" s="157">
        <v>42097.0</v>
      </c>
      <c r="E423" s="117">
        <v>42420.0</v>
      </c>
      <c r="F423" s="79" t="s">
        <v>90</v>
      </c>
      <c r="G423" s="118">
        <v>21878.0</v>
      </c>
      <c r="H423" s="114">
        <v>67.5</v>
      </c>
      <c r="I423" s="120">
        <v>375.0</v>
      </c>
      <c r="J423" s="111" t="s">
        <v>62</v>
      </c>
      <c r="K423" s="121">
        <v>375.0</v>
      </c>
      <c r="L423" s="120" t="s">
        <v>63</v>
      </c>
      <c r="M423" s="120"/>
      <c r="N423" s="120"/>
      <c r="O423" s="124">
        <v>21878.0</v>
      </c>
      <c r="P423" s="124">
        <v>324.0</v>
      </c>
      <c r="Q423" s="111">
        <v>235.0</v>
      </c>
      <c r="R423" s="125">
        <v>408.0</v>
      </c>
      <c r="S423" s="126">
        <v>0.9191</v>
      </c>
      <c r="T423" s="127">
        <v>71230.25</v>
      </c>
      <c r="U423" s="128">
        <f t="shared" si="2"/>
        <v>0</v>
      </c>
      <c r="V423" s="79" t="s">
        <v>65</v>
      </c>
      <c r="W423" s="79" t="s">
        <v>64</v>
      </c>
      <c r="X423" s="79" t="s">
        <v>66</v>
      </c>
      <c r="Y423" s="130">
        <v>0.7</v>
      </c>
      <c r="Z423" s="111">
        <v>11.0</v>
      </c>
      <c r="AA423" s="111">
        <v>406.0</v>
      </c>
      <c r="AB423" s="111" t="s">
        <v>62</v>
      </c>
      <c r="AC423" s="133"/>
      <c r="AD423" s="133"/>
      <c r="AE423" s="133"/>
      <c r="AF423" s="111"/>
      <c r="AG423" s="134" t="s">
        <v>1899</v>
      </c>
      <c r="AH423" s="73"/>
      <c r="AI423" s="135"/>
      <c r="AJ423" s="136"/>
      <c r="AK423" s="76"/>
      <c r="AL423" s="137"/>
      <c r="AM423" s="139">
        <v>406.0</v>
      </c>
      <c r="AN423" s="139">
        <v>324.0</v>
      </c>
      <c r="AO423" s="140">
        <v>69.15</v>
      </c>
      <c r="AP423" s="142">
        <v>21878.0</v>
      </c>
      <c r="AQ423" s="142">
        <v>235.0</v>
      </c>
      <c r="AR423" s="143"/>
      <c r="AS423" s="144">
        <v>0.9709853800593491</v>
      </c>
      <c r="AT423" s="144">
        <v>-0.05188538005934906</v>
      </c>
      <c r="AU423" s="146" t="s">
        <v>1903</v>
      </c>
      <c r="AV423" s="146" t="s">
        <v>1903</v>
      </c>
      <c r="AW423" s="148" t="s">
        <v>1903</v>
      </c>
      <c r="AX423" s="151"/>
      <c r="AY423" s="105"/>
      <c r="AZ423" s="186"/>
      <c r="BA423" s="186"/>
      <c r="BB423" s="222"/>
      <c r="BC423" s="45"/>
      <c r="BD423" s="45"/>
      <c r="BE423" s="155"/>
      <c r="BF423" s="45"/>
    </row>
    <row r="424" ht="16.5" customHeight="1">
      <c r="A424" s="111">
        <v>421.0</v>
      </c>
      <c r="B424" s="112" t="s">
        <v>566</v>
      </c>
      <c r="C424" s="115" t="s">
        <v>60</v>
      </c>
      <c r="D424" s="117">
        <v>41968.0</v>
      </c>
      <c r="E424" s="117">
        <v>42420.0</v>
      </c>
      <c r="F424" s="79" t="s">
        <v>59</v>
      </c>
      <c r="G424" s="118">
        <v>40501.0</v>
      </c>
      <c r="H424" s="114">
        <v>89.4</v>
      </c>
      <c r="I424" s="120">
        <v>377.0</v>
      </c>
      <c r="J424" s="111" t="s">
        <v>61</v>
      </c>
      <c r="K424" s="121">
        <v>381.77</v>
      </c>
      <c r="L424" s="120" t="s">
        <v>63</v>
      </c>
      <c r="M424" s="120"/>
      <c r="N424" s="120"/>
      <c r="O424" s="124">
        <v>40501.0</v>
      </c>
      <c r="P424" s="124">
        <v>453.0</v>
      </c>
      <c r="Q424" s="159">
        <v>218.0</v>
      </c>
      <c r="R424" s="125">
        <v>399.0</v>
      </c>
      <c r="S424" s="126">
        <v>0.9568</v>
      </c>
      <c r="T424" s="127">
        <v>74152.0</v>
      </c>
      <c r="U424" s="128">
        <f t="shared" si="2"/>
        <v>0</v>
      </c>
      <c r="V424" s="79"/>
      <c r="W424" s="79"/>
      <c r="X424" s="79"/>
      <c r="Y424" s="130"/>
      <c r="Z424" s="111"/>
      <c r="AA424" s="133"/>
      <c r="AB424" s="133"/>
      <c r="AC424" s="133"/>
      <c r="AD424" s="133"/>
      <c r="AE424" s="133"/>
      <c r="AF424" s="111"/>
      <c r="AG424" s="147"/>
      <c r="AH424" s="73"/>
      <c r="AI424" s="135"/>
      <c r="AJ424" s="136"/>
      <c r="AK424" s="76"/>
      <c r="AL424" s="137"/>
      <c r="AM424" s="139" t="s">
        <v>71</v>
      </c>
      <c r="AN424" s="139">
        <v>453.0</v>
      </c>
      <c r="AO424" s="140">
        <v>116.46</v>
      </c>
      <c r="AP424" s="142">
        <v>40501.0</v>
      </c>
      <c r="AQ424" s="142">
        <v>218.0</v>
      </c>
      <c r="AR424" s="143"/>
      <c r="AS424" s="144">
        <v>0.9597925784316813</v>
      </c>
      <c r="AT424" s="144">
        <v>-0.0029925784316813253</v>
      </c>
      <c r="AU424" s="146" t="s">
        <v>1904</v>
      </c>
      <c r="AV424" s="146" t="s">
        <v>1904</v>
      </c>
      <c r="AW424" s="148" t="s">
        <v>1904</v>
      </c>
      <c r="AX424" s="151"/>
      <c r="AY424" s="105"/>
      <c r="AZ424" s="186"/>
      <c r="BA424" s="186"/>
      <c r="BB424" s="222"/>
      <c r="BC424" s="45"/>
      <c r="BD424" s="45"/>
      <c r="BE424" s="155"/>
      <c r="BF424" s="45"/>
    </row>
    <row r="425" ht="16.5" customHeight="1">
      <c r="A425" s="111">
        <v>422.0</v>
      </c>
      <c r="B425" s="112" t="s">
        <v>1876</v>
      </c>
      <c r="C425" s="115" t="s">
        <v>60</v>
      </c>
      <c r="D425" s="117">
        <v>41717.0</v>
      </c>
      <c r="E425" s="117">
        <v>42427.0</v>
      </c>
      <c r="F425" s="79" t="s">
        <v>59</v>
      </c>
      <c r="G425" s="118">
        <v>42200.0</v>
      </c>
      <c r="H425" s="114">
        <v>59.4</v>
      </c>
      <c r="I425" s="120">
        <v>365.0</v>
      </c>
      <c r="J425" s="111" t="s">
        <v>61</v>
      </c>
      <c r="K425" s="121">
        <v>369.62</v>
      </c>
      <c r="L425" s="120" t="s">
        <v>63</v>
      </c>
      <c r="M425" s="120"/>
      <c r="N425" s="120"/>
      <c r="O425" s="124">
        <v>42200.0</v>
      </c>
      <c r="P425" s="124">
        <v>711.0</v>
      </c>
      <c r="Q425" s="111">
        <v>222.0</v>
      </c>
      <c r="R425" s="125">
        <v>399.0</v>
      </c>
      <c r="S425" s="126">
        <v>0.9264</v>
      </c>
      <c r="T425" s="127">
        <v>71796.0</v>
      </c>
      <c r="U425" s="128">
        <f t="shared" si="2"/>
        <v>0</v>
      </c>
      <c r="V425" s="79"/>
      <c r="W425" s="79"/>
      <c r="X425" s="79"/>
      <c r="Y425" s="130"/>
      <c r="Z425" s="111"/>
      <c r="AA425" s="133"/>
      <c r="AB425" s="133"/>
      <c r="AC425" s="133"/>
      <c r="AD425" s="133"/>
      <c r="AE425" s="133"/>
      <c r="AF425" s="111"/>
      <c r="AG425" s="134" t="s">
        <v>1905</v>
      </c>
      <c r="AH425" s="73"/>
      <c r="AI425" s="135"/>
      <c r="AJ425" s="136"/>
      <c r="AK425" s="76"/>
      <c r="AL425" s="137"/>
      <c r="AM425" s="139" t="s">
        <v>71</v>
      </c>
      <c r="AN425" s="139">
        <v>711.0</v>
      </c>
      <c r="AO425" s="140">
        <v>125.53</v>
      </c>
      <c r="AP425" s="142">
        <v>42200.0</v>
      </c>
      <c r="AQ425" s="142">
        <v>222.0</v>
      </c>
      <c r="AR425" s="143"/>
      <c r="AS425" s="144">
        <v>0.9590737327961996</v>
      </c>
      <c r="AT425" s="144">
        <v>-0.03267373279619956</v>
      </c>
      <c r="AU425" s="146" t="s">
        <v>1906</v>
      </c>
      <c r="AV425" s="146" t="s">
        <v>1906</v>
      </c>
      <c r="AW425" s="148" t="s">
        <v>1906</v>
      </c>
      <c r="AX425" s="151"/>
      <c r="AY425" s="105"/>
      <c r="AZ425" s="186"/>
      <c r="BA425" s="186"/>
      <c r="BB425" s="222"/>
      <c r="BC425" s="45"/>
      <c r="BD425" s="45"/>
      <c r="BE425" s="155"/>
      <c r="BF425" s="45"/>
    </row>
    <row r="426" ht="16.5" customHeight="1">
      <c r="A426" s="111">
        <v>423.0</v>
      </c>
      <c r="B426" s="112" t="s">
        <v>541</v>
      </c>
      <c r="C426" s="115" t="s">
        <v>60</v>
      </c>
      <c r="D426" s="117">
        <v>41603.0</v>
      </c>
      <c r="E426" s="117">
        <v>42414.0</v>
      </c>
      <c r="F426" s="79" t="s">
        <v>57</v>
      </c>
      <c r="G426" s="118">
        <v>89850.0</v>
      </c>
      <c r="H426" s="114">
        <v>110.7</v>
      </c>
      <c r="I426" s="120">
        <v>376.0</v>
      </c>
      <c r="J426" s="111" t="s">
        <v>61</v>
      </c>
      <c r="K426" s="121">
        <v>380.76</v>
      </c>
      <c r="L426" s="120" t="s">
        <v>63</v>
      </c>
      <c r="M426" s="120"/>
      <c r="N426" s="120"/>
      <c r="O426" s="124">
        <v>89850.0</v>
      </c>
      <c r="P426" s="124">
        <v>812.0</v>
      </c>
      <c r="Q426" s="111">
        <v>225.0</v>
      </c>
      <c r="R426" s="125">
        <v>399.0</v>
      </c>
      <c r="S426" s="126">
        <v>0.9543</v>
      </c>
      <c r="T426" s="127">
        <v>73958.25</v>
      </c>
      <c r="U426" s="128">
        <f t="shared" si="2"/>
        <v>0</v>
      </c>
      <c r="V426" s="79" t="s">
        <v>69</v>
      </c>
      <c r="W426" s="79" t="s">
        <v>67</v>
      </c>
      <c r="X426" s="79" t="s">
        <v>64</v>
      </c>
      <c r="Y426" s="130">
        <v>0.9</v>
      </c>
      <c r="Z426" s="111">
        <v>11.0</v>
      </c>
      <c r="AA426" s="111">
        <v>400.0</v>
      </c>
      <c r="AB426" s="111" t="s">
        <v>61</v>
      </c>
      <c r="AC426" s="133"/>
      <c r="AD426" s="133"/>
      <c r="AE426" s="133"/>
      <c r="AF426" s="111"/>
      <c r="AG426" s="147"/>
      <c r="AH426" s="73"/>
      <c r="AI426" s="135"/>
      <c r="AJ426" s="136"/>
      <c r="AK426" s="76"/>
      <c r="AL426" s="137"/>
      <c r="AM426" s="139">
        <v>405.0</v>
      </c>
      <c r="AN426" s="139">
        <v>812.0</v>
      </c>
      <c r="AO426" s="140">
        <v>266.99</v>
      </c>
      <c r="AP426" s="142">
        <v>89850.0</v>
      </c>
      <c r="AQ426" s="142">
        <v>225.0</v>
      </c>
      <c r="AR426" s="143"/>
      <c r="AS426" s="144">
        <v>0.9467669750334142</v>
      </c>
      <c r="AT426" s="144">
        <v>0.007533024966585811</v>
      </c>
      <c r="AU426" s="146" t="s">
        <v>1907</v>
      </c>
      <c r="AV426" s="146" t="s">
        <v>1907</v>
      </c>
      <c r="AW426" s="148" t="s">
        <v>1907</v>
      </c>
      <c r="AX426" s="151"/>
      <c r="AY426" s="105"/>
      <c r="AZ426" s="186"/>
      <c r="BA426" s="186"/>
      <c r="BB426" s="222"/>
      <c r="BC426" s="45"/>
      <c r="BD426" s="45"/>
      <c r="BE426" s="155"/>
      <c r="BF426" s="45"/>
    </row>
    <row r="427" ht="16.5" customHeight="1">
      <c r="A427" s="111">
        <v>424.0</v>
      </c>
      <c r="B427" s="112" t="s">
        <v>1818</v>
      </c>
      <c r="C427" s="115" t="s">
        <v>60</v>
      </c>
      <c r="D427" s="117">
        <v>42267.0</v>
      </c>
      <c r="E427" s="117">
        <v>42422.0</v>
      </c>
      <c r="F427" s="79" t="s">
        <v>86</v>
      </c>
      <c r="G427" s="118">
        <v>3856.0</v>
      </c>
      <c r="H427" s="114">
        <v>24.7</v>
      </c>
      <c r="I427" s="120">
        <v>421.0</v>
      </c>
      <c r="J427" s="111" t="s">
        <v>61</v>
      </c>
      <c r="K427" s="121">
        <v>426.33</v>
      </c>
      <c r="L427" s="120" t="s">
        <v>63</v>
      </c>
      <c r="M427" s="120"/>
      <c r="N427" s="120"/>
      <c r="O427" s="124">
        <v>3856.0</v>
      </c>
      <c r="P427" s="124">
        <v>156.0</v>
      </c>
      <c r="Q427" s="111">
        <v>269.0</v>
      </c>
      <c r="R427" s="125">
        <v>430.0</v>
      </c>
      <c r="S427" s="126">
        <v>0.9915</v>
      </c>
      <c r="T427" s="127">
        <v>76841.25</v>
      </c>
      <c r="U427" s="128">
        <f t="shared" si="2"/>
        <v>0</v>
      </c>
      <c r="V427" s="79" t="s">
        <v>64</v>
      </c>
      <c r="W427" s="79" t="s">
        <v>69</v>
      </c>
      <c r="X427" s="79" t="s">
        <v>69</v>
      </c>
      <c r="Y427" s="130">
        <v>0.9</v>
      </c>
      <c r="Z427" s="111">
        <v>11.0</v>
      </c>
      <c r="AA427" s="111">
        <v>421.0</v>
      </c>
      <c r="AB427" s="111" t="s">
        <v>61</v>
      </c>
      <c r="AC427" s="133"/>
      <c r="AD427" s="133"/>
      <c r="AE427" s="133"/>
      <c r="AF427" s="111"/>
      <c r="AG427" s="147"/>
      <c r="AH427" s="73"/>
      <c r="AI427" s="135"/>
      <c r="AJ427" s="136"/>
      <c r="AK427" s="76"/>
      <c r="AL427" s="137"/>
      <c r="AM427" s="139">
        <v>426.0</v>
      </c>
      <c r="AN427" s="139">
        <v>156.0</v>
      </c>
      <c r="AO427" s="140">
        <v>13.45</v>
      </c>
      <c r="AP427" s="142">
        <v>3856.0</v>
      </c>
      <c r="AQ427" s="142">
        <v>269.0</v>
      </c>
      <c r="AR427" s="143"/>
      <c r="AS427" s="144">
        <v>0.9927846665078388</v>
      </c>
      <c r="AT427" s="144">
        <v>-0.001284666507838761</v>
      </c>
      <c r="AU427" s="146" t="s">
        <v>1908</v>
      </c>
      <c r="AV427" s="146" t="s">
        <v>1908</v>
      </c>
      <c r="AW427" s="148" t="s">
        <v>1908</v>
      </c>
      <c r="AX427" s="151"/>
      <c r="AY427" s="105"/>
      <c r="AZ427" s="186"/>
      <c r="BA427" s="186"/>
      <c r="BB427" s="222"/>
      <c r="BC427" s="45"/>
      <c r="BD427" s="45"/>
      <c r="BE427" s="155"/>
      <c r="BF427" s="45"/>
    </row>
    <row r="428" ht="16.5" customHeight="1">
      <c r="A428" s="111">
        <v>425.0</v>
      </c>
      <c r="B428" s="112" t="s">
        <v>1703</v>
      </c>
      <c r="C428" s="115" t="s">
        <v>60</v>
      </c>
      <c r="D428" s="117">
        <v>42353.0</v>
      </c>
      <c r="E428" s="117">
        <v>42423.0</v>
      </c>
      <c r="F428" s="79" t="s">
        <v>118</v>
      </c>
      <c r="G428" s="118">
        <v>4093.0</v>
      </c>
      <c r="H428" s="114">
        <v>57.6</v>
      </c>
      <c r="I428" s="120">
        <v>361.0</v>
      </c>
      <c r="J428" s="111" t="s">
        <v>61</v>
      </c>
      <c r="K428" s="121">
        <v>365.57</v>
      </c>
      <c r="L428" s="120" t="s">
        <v>63</v>
      </c>
      <c r="M428" s="120"/>
      <c r="N428" s="120"/>
      <c r="O428" s="124">
        <v>4093.0</v>
      </c>
      <c r="P428" s="124">
        <v>71.0</v>
      </c>
      <c r="Q428" s="111">
        <v>230.0</v>
      </c>
      <c r="R428" s="125">
        <v>365.0</v>
      </c>
      <c r="S428" s="126">
        <v>1.0016</v>
      </c>
      <c r="T428" s="127">
        <v>68910.08</v>
      </c>
      <c r="U428" s="128">
        <f t="shared" si="2"/>
        <v>0</v>
      </c>
      <c r="V428" s="79"/>
      <c r="W428" s="79"/>
      <c r="X428" s="79"/>
      <c r="Y428" s="130"/>
      <c r="Z428" s="111"/>
      <c r="AA428" s="133"/>
      <c r="AB428" s="133"/>
      <c r="AC428" s="133"/>
      <c r="AD428" s="133"/>
      <c r="AE428" s="133"/>
      <c r="AF428" s="111"/>
      <c r="AG428" s="147"/>
      <c r="AH428" s="73"/>
      <c r="AI428" s="135"/>
      <c r="AJ428" s="136"/>
      <c r="AK428" s="76"/>
      <c r="AL428" s="137"/>
      <c r="AM428" s="139" t="s">
        <v>71</v>
      </c>
      <c r="AN428" s="139">
        <v>71.0</v>
      </c>
      <c r="AO428" s="140">
        <v>13.68</v>
      </c>
      <c r="AP428" s="142">
        <v>4093.0</v>
      </c>
      <c r="AQ428" s="142">
        <v>230.0</v>
      </c>
      <c r="AR428" s="143"/>
      <c r="AS428" s="144">
        <v>0.9923790986404173</v>
      </c>
      <c r="AT428" s="144">
        <v>0.009220901359582756</v>
      </c>
      <c r="AU428" s="146" t="s">
        <v>1909</v>
      </c>
      <c r="AV428" s="146" t="s">
        <v>1909</v>
      </c>
      <c r="AW428" s="148" t="s">
        <v>1909</v>
      </c>
      <c r="AX428" s="151"/>
      <c r="AY428" s="105"/>
      <c r="AZ428" s="186"/>
      <c r="BA428" s="186"/>
      <c r="BB428" s="222"/>
      <c r="BC428" s="45"/>
      <c r="BD428" s="45"/>
      <c r="BE428" s="155"/>
      <c r="BF428" s="45"/>
    </row>
    <row r="429" ht="16.5" customHeight="1">
      <c r="A429" s="111">
        <v>426.0</v>
      </c>
      <c r="B429" s="112" t="s">
        <v>1748</v>
      </c>
      <c r="C429" s="115" t="s">
        <v>60</v>
      </c>
      <c r="D429" s="117">
        <v>41804.0</v>
      </c>
      <c r="E429" s="117">
        <v>42427.0</v>
      </c>
      <c r="F429" s="79" t="s">
        <v>59</v>
      </c>
      <c r="G429" s="118">
        <v>37000.0</v>
      </c>
      <c r="H429" s="114">
        <v>59.3</v>
      </c>
      <c r="I429" s="120">
        <v>377.0</v>
      </c>
      <c r="J429" s="111" t="s">
        <v>61</v>
      </c>
      <c r="K429" s="121">
        <v>381.77</v>
      </c>
      <c r="L429" s="120" t="s">
        <v>63</v>
      </c>
      <c r="M429" s="120"/>
      <c r="N429" s="120"/>
      <c r="O429" s="124">
        <v>37000.0</v>
      </c>
      <c r="P429" s="124">
        <v>624.0</v>
      </c>
      <c r="Q429" s="111">
        <v>227.0</v>
      </c>
      <c r="R429" s="125">
        <v>399.0</v>
      </c>
      <c r="S429" s="126">
        <v>0.9568</v>
      </c>
      <c r="T429" s="127">
        <v>74152.0</v>
      </c>
      <c r="U429" s="128">
        <f t="shared" si="2"/>
        <v>0</v>
      </c>
      <c r="V429" s="79" t="s">
        <v>69</v>
      </c>
      <c r="W429" s="79" t="s">
        <v>64</v>
      </c>
      <c r="X429" s="79" t="s">
        <v>68</v>
      </c>
      <c r="Y429" s="130">
        <v>0.8</v>
      </c>
      <c r="Z429" s="111"/>
      <c r="AA429" s="133"/>
      <c r="AB429" s="133"/>
      <c r="AC429" s="133"/>
      <c r="AD429" s="133"/>
      <c r="AE429" s="133"/>
      <c r="AF429" s="111"/>
      <c r="AG429" s="147"/>
      <c r="AH429" s="73"/>
      <c r="AI429" s="135"/>
      <c r="AJ429" s="136"/>
      <c r="AK429" s="76"/>
      <c r="AL429" s="137"/>
      <c r="AM429" s="139" t="s">
        <v>71</v>
      </c>
      <c r="AN429" s="139">
        <v>624.0</v>
      </c>
      <c r="AO429" s="140">
        <v>110.79</v>
      </c>
      <c r="AP429" s="142">
        <v>37000.0</v>
      </c>
      <c r="AQ429" s="142">
        <v>227.0</v>
      </c>
      <c r="AR429" s="143"/>
      <c r="AS429" s="144">
        <v>0.9613966348092685</v>
      </c>
      <c r="AT429" s="144">
        <v>-0.004596634809268529</v>
      </c>
      <c r="AU429" s="146" t="s">
        <v>1910</v>
      </c>
      <c r="AV429" s="146" t="s">
        <v>1910</v>
      </c>
      <c r="AW429" s="148" t="s">
        <v>1910</v>
      </c>
      <c r="AX429" s="151"/>
      <c r="AY429" s="105"/>
      <c r="AZ429" s="186"/>
      <c r="BA429" s="186"/>
      <c r="BB429" s="222"/>
      <c r="BC429" s="45"/>
      <c r="BD429" s="45"/>
      <c r="BE429" s="155"/>
      <c r="BF429" s="45"/>
    </row>
    <row r="430" ht="16.5" customHeight="1">
      <c r="A430" s="111">
        <v>427.0</v>
      </c>
      <c r="B430" s="112" t="s">
        <v>339</v>
      </c>
      <c r="C430" s="115" t="s">
        <v>60</v>
      </c>
      <c r="D430" s="117">
        <v>41912.0</v>
      </c>
      <c r="E430" s="117">
        <v>42427.0</v>
      </c>
      <c r="F430" s="79" t="s">
        <v>59</v>
      </c>
      <c r="G430" s="118">
        <v>48277.0</v>
      </c>
      <c r="H430" s="114">
        <v>93.6</v>
      </c>
      <c r="I430" s="120">
        <v>366.0</v>
      </c>
      <c r="J430" s="111" t="s">
        <v>61</v>
      </c>
      <c r="K430" s="121">
        <v>370.63</v>
      </c>
      <c r="L430" s="120" t="s">
        <v>63</v>
      </c>
      <c r="M430" s="120"/>
      <c r="N430" s="120"/>
      <c r="O430" s="124">
        <v>48277.0</v>
      </c>
      <c r="P430" s="124">
        <v>516.0</v>
      </c>
      <c r="Q430" s="111">
        <v>258.0</v>
      </c>
      <c r="R430" s="125">
        <v>399.0</v>
      </c>
      <c r="S430" s="126">
        <v>0.9289</v>
      </c>
      <c r="T430" s="127">
        <v>71989.75</v>
      </c>
      <c r="U430" s="128">
        <f t="shared" si="2"/>
        <v>0</v>
      </c>
      <c r="V430" s="79" t="s">
        <v>69</v>
      </c>
      <c r="W430" s="79" t="s">
        <v>64</v>
      </c>
      <c r="X430" s="79" t="s">
        <v>68</v>
      </c>
      <c r="Y430" s="130">
        <v>0.8</v>
      </c>
      <c r="Z430" s="111">
        <v>15.0</v>
      </c>
      <c r="AA430" s="133"/>
      <c r="AB430" s="133"/>
      <c r="AC430" s="111">
        <v>366.0</v>
      </c>
      <c r="AD430" s="111">
        <v>50.0</v>
      </c>
      <c r="AE430" s="111">
        <v>60.3</v>
      </c>
      <c r="AF430" s="111" t="s">
        <v>61</v>
      </c>
      <c r="AG430" s="147"/>
      <c r="AH430" s="73">
        <v>316.0</v>
      </c>
      <c r="AI430" s="135">
        <v>320.0</v>
      </c>
      <c r="AJ430" s="136">
        <v>69.84059062499999</v>
      </c>
      <c r="AK430" s="76">
        <v>0.9011689112903225</v>
      </c>
      <c r="AL430" s="137" t="s">
        <v>1911</v>
      </c>
      <c r="AM430" s="139" t="s">
        <v>71</v>
      </c>
      <c r="AN430" s="139">
        <v>516.0</v>
      </c>
      <c r="AO430" s="140">
        <v>166.66</v>
      </c>
      <c r="AP430" s="142">
        <v>48277.0</v>
      </c>
      <c r="AQ430" s="142">
        <v>258.0</v>
      </c>
      <c r="AR430" s="143"/>
      <c r="AS430" s="144">
        <v>0.9567699536622521</v>
      </c>
      <c r="AT430" s="144">
        <v>-0.0278699536622522</v>
      </c>
      <c r="AU430" s="146" t="s">
        <v>1912</v>
      </c>
      <c r="AV430" s="146" t="s">
        <v>1912</v>
      </c>
      <c r="AW430" s="148" t="s">
        <v>1912</v>
      </c>
      <c r="AX430" s="151"/>
      <c r="AY430" s="105"/>
      <c r="AZ430" s="186"/>
      <c r="BA430" s="186"/>
      <c r="BB430" s="222"/>
      <c r="BC430" s="45"/>
      <c r="BD430" s="45"/>
      <c r="BE430" s="155"/>
      <c r="BF430" s="45"/>
    </row>
    <row r="431" ht="16.5" customHeight="1">
      <c r="A431" s="111">
        <v>428.0</v>
      </c>
      <c r="B431" s="112" t="s">
        <v>339</v>
      </c>
      <c r="C431" s="115" t="s">
        <v>60</v>
      </c>
      <c r="D431" s="117">
        <v>41912.0</v>
      </c>
      <c r="E431" s="117">
        <v>42428.0</v>
      </c>
      <c r="F431" s="79" t="s">
        <v>59</v>
      </c>
      <c r="G431" s="118">
        <v>48521.0</v>
      </c>
      <c r="H431" s="114">
        <v>93.9</v>
      </c>
      <c r="I431" s="120">
        <v>367.0</v>
      </c>
      <c r="J431" s="111" t="s">
        <v>61</v>
      </c>
      <c r="K431" s="121">
        <v>371.65</v>
      </c>
      <c r="L431" s="120" t="s">
        <v>63</v>
      </c>
      <c r="M431" s="120"/>
      <c r="N431" s="120"/>
      <c r="O431" s="124">
        <v>48521.0</v>
      </c>
      <c r="P431" s="124">
        <v>517.0</v>
      </c>
      <c r="Q431" s="111">
        <v>258.0</v>
      </c>
      <c r="R431" s="125">
        <v>399.0</v>
      </c>
      <c r="S431" s="126">
        <v>0.9315</v>
      </c>
      <c r="T431" s="127">
        <v>72191.25</v>
      </c>
      <c r="U431" s="128">
        <f t="shared" si="2"/>
        <v>0</v>
      </c>
      <c r="V431" s="79" t="s">
        <v>69</v>
      </c>
      <c r="W431" s="79" t="s">
        <v>64</v>
      </c>
      <c r="X431" s="79" t="s">
        <v>68</v>
      </c>
      <c r="Y431" s="130">
        <v>0.8</v>
      </c>
      <c r="Z431" s="111">
        <v>15.0</v>
      </c>
      <c r="AA431" s="133"/>
      <c r="AB431" s="133"/>
      <c r="AC431" s="111">
        <v>367.0</v>
      </c>
      <c r="AD431" s="111">
        <v>218.0</v>
      </c>
      <c r="AE431" s="111">
        <v>27.7</v>
      </c>
      <c r="AF431" s="111" t="s">
        <v>61</v>
      </c>
      <c r="AG431" s="147"/>
      <c r="AH431" s="73">
        <v>149.0</v>
      </c>
      <c r="AI431" s="135">
        <v>150.8860759493671</v>
      </c>
      <c r="AJ431" s="136">
        <v>68.22833011744966</v>
      </c>
      <c r="AK431" s="76">
        <v>0.8803655499025762</v>
      </c>
      <c r="AL431" s="137" t="s">
        <v>1913</v>
      </c>
      <c r="AM431" s="139" t="s">
        <v>71</v>
      </c>
      <c r="AN431" s="139">
        <v>517.0</v>
      </c>
      <c r="AO431" s="140">
        <v>167.28</v>
      </c>
      <c r="AP431" s="142">
        <v>48521.0</v>
      </c>
      <c r="AQ431" s="142">
        <v>258.0</v>
      </c>
      <c r="AR431" s="143"/>
      <c r="AS431" s="144">
        <v>0.9566851421115486</v>
      </c>
      <c r="AT431" s="144">
        <v>-0.025185142111548653</v>
      </c>
      <c r="AU431" s="146" t="s">
        <v>1914</v>
      </c>
      <c r="AV431" s="146" t="s">
        <v>1914</v>
      </c>
      <c r="AW431" s="148" t="s">
        <v>1914</v>
      </c>
      <c r="AX431" s="151"/>
      <c r="AY431" s="105"/>
      <c r="AZ431" s="186"/>
      <c r="BA431" s="186"/>
      <c r="BB431" s="222"/>
      <c r="BC431" s="45"/>
      <c r="BD431" s="45"/>
      <c r="BE431" s="155"/>
      <c r="BF431" s="45"/>
    </row>
    <row r="432" ht="16.5" customHeight="1">
      <c r="A432" s="111">
        <v>429.0</v>
      </c>
      <c r="B432" s="112" t="s">
        <v>1691</v>
      </c>
      <c r="C432" s="115" t="s">
        <v>60</v>
      </c>
      <c r="D432" s="117">
        <v>42066.0</v>
      </c>
      <c r="E432" s="117">
        <v>42431.0</v>
      </c>
      <c r="F432" s="79" t="s">
        <v>86</v>
      </c>
      <c r="G432" s="118">
        <v>36800.0</v>
      </c>
      <c r="H432" s="114">
        <v>100.5</v>
      </c>
      <c r="I432" s="120">
        <v>413.0</v>
      </c>
      <c r="J432" s="111" t="s">
        <v>61</v>
      </c>
      <c r="K432" s="121">
        <v>418.23</v>
      </c>
      <c r="L432" s="120" t="s">
        <v>63</v>
      </c>
      <c r="M432" s="120"/>
      <c r="N432" s="120"/>
      <c r="O432" s="124">
        <v>36800.0</v>
      </c>
      <c r="P432" s="124">
        <v>366.0</v>
      </c>
      <c r="Q432" s="111">
        <v>214.0</v>
      </c>
      <c r="R432" s="125">
        <v>430.0</v>
      </c>
      <c r="S432" s="126">
        <v>0.9726</v>
      </c>
      <c r="T432" s="127">
        <v>75376.5</v>
      </c>
      <c r="U432" s="128">
        <f t="shared" si="2"/>
        <v>0</v>
      </c>
      <c r="V432" s="79" t="s">
        <v>65</v>
      </c>
      <c r="W432" s="79" t="s">
        <v>64</v>
      </c>
      <c r="X432" s="79" t="s">
        <v>69</v>
      </c>
      <c r="Y432" s="130">
        <v>0.8</v>
      </c>
      <c r="Z432" s="111" t="s">
        <v>1915</v>
      </c>
      <c r="AA432" s="111">
        <v>409.0</v>
      </c>
      <c r="AB432" s="111" t="s">
        <v>62</v>
      </c>
      <c r="AC432" s="133"/>
      <c r="AD432" s="133"/>
      <c r="AE432" s="133"/>
      <c r="AF432" s="111"/>
      <c r="AG432" s="147"/>
      <c r="AH432" s="73"/>
      <c r="AI432" s="135"/>
      <c r="AJ432" s="136"/>
      <c r="AK432" s="76"/>
      <c r="AL432" s="137"/>
      <c r="AM432" s="139">
        <v>409.0</v>
      </c>
      <c r="AN432" s="139">
        <v>366.0</v>
      </c>
      <c r="AO432" s="140">
        <v>103.04</v>
      </c>
      <c r="AP432" s="142">
        <v>36800.0</v>
      </c>
      <c r="AQ432" s="142">
        <v>214.0</v>
      </c>
      <c r="AR432" s="143"/>
      <c r="AS432" s="144">
        <v>0.961493700911036</v>
      </c>
      <c r="AT432" s="144">
        <v>0.011106299088963989</v>
      </c>
      <c r="AU432" s="146" t="s">
        <v>1916</v>
      </c>
      <c r="AV432" s="146" t="s">
        <v>1916</v>
      </c>
      <c r="AW432" s="148" t="s">
        <v>1916</v>
      </c>
      <c r="AX432" s="151"/>
      <c r="AY432" s="105"/>
      <c r="AZ432" s="186"/>
      <c r="BA432" s="186"/>
      <c r="BB432" s="222"/>
      <c r="BC432" s="45"/>
      <c r="BD432" s="45"/>
      <c r="BE432" s="155"/>
      <c r="BF432" s="45"/>
    </row>
    <row r="433" ht="16.5" customHeight="1">
      <c r="A433" s="111">
        <v>430.0</v>
      </c>
      <c r="B433" s="112" t="s">
        <v>1836</v>
      </c>
      <c r="C433" s="115" t="s">
        <v>60</v>
      </c>
      <c r="D433" s="117">
        <v>42376.0</v>
      </c>
      <c r="E433" s="117">
        <v>42433.0</v>
      </c>
      <c r="F433" s="79" t="s">
        <v>86</v>
      </c>
      <c r="G433" s="118">
        <v>370.0</v>
      </c>
      <c r="H433" s="114">
        <v>6.4</v>
      </c>
      <c r="I433" s="120">
        <v>426.0</v>
      </c>
      <c r="J433" s="111" t="s">
        <v>61</v>
      </c>
      <c r="K433" s="121">
        <v>431.39</v>
      </c>
      <c r="L433" s="120" t="s">
        <v>63</v>
      </c>
      <c r="M433" s="120"/>
      <c r="N433" s="120"/>
      <c r="O433" s="124">
        <v>370.0</v>
      </c>
      <c r="P433" s="124">
        <v>58.0</v>
      </c>
      <c r="Q433" s="111">
        <v>248.0</v>
      </c>
      <c r="R433" s="125">
        <v>430.0</v>
      </c>
      <c r="S433" s="126">
        <v>1.0032</v>
      </c>
      <c r="T433" s="127">
        <v>77748.0</v>
      </c>
      <c r="U433" s="128">
        <f t="shared" si="2"/>
        <v>0</v>
      </c>
      <c r="V433" s="79"/>
      <c r="W433" s="79"/>
      <c r="X433" s="79"/>
      <c r="Y433" s="130">
        <v>0.9</v>
      </c>
      <c r="Z433" s="111"/>
      <c r="AA433" s="111">
        <v>426.0</v>
      </c>
      <c r="AB433" s="111" t="s">
        <v>61</v>
      </c>
      <c r="AC433" s="133"/>
      <c r="AD433" s="133"/>
      <c r="AE433" s="133"/>
      <c r="AF433" s="111"/>
      <c r="AG433" s="147"/>
      <c r="AH433" s="73"/>
      <c r="AI433" s="135"/>
      <c r="AJ433" s="136"/>
      <c r="AK433" s="76"/>
      <c r="AL433" s="137"/>
      <c r="AM433" s="139">
        <v>431.0</v>
      </c>
      <c r="AN433" s="139">
        <v>58.0</v>
      </c>
      <c r="AO433" s="140">
        <v>1.18</v>
      </c>
      <c r="AP433" s="142">
        <v>370.0</v>
      </c>
      <c r="AQ433" s="142">
        <v>248.0</v>
      </c>
      <c r="AR433" s="143"/>
      <c r="AS433" s="144">
        <v>0.9992542255935446</v>
      </c>
      <c r="AT433" s="144">
        <v>0.003945774406455493</v>
      </c>
      <c r="AU433" s="146" t="s">
        <v>1917</v>
      </c>
      <c r="AV433" s="146" t="s">
        <v>1917</v>
      </c>
      <c r="AW433" s="148" t="s">
        <v>1917</v>
      </c>
      <c r="AX433" s="151"/>
      <c r="AY433" s="105"/>
      <c r="AZ433" s="186"/>
      <c r="BA433" s="186"/>
      <c r="BB433" s="222"/>
      <c r="BC433" s="45"/>
      <c r="BD433" s="45"/>
      <c r="BE433" s="155"/>
      <c r="BF433" s="45"/>
    </row>
    <row r="434" ht="16.5" customHeight="1">
      <c r="A434" s="111">
        <v>431.0</v>
      </c>
      <c r="B434" s="112" t="s">
        <v>1726</v>
      </c>
      <c r="C434" s="115" t="s">
        <v>60</v>
      </c>
      <c r="D434" s="117">
        <v>42276.0</v>
      </c>
      <c r="E434" s="117">
        <v>42433.0</v>
      </c>
      <c r="F434" s="79" t="s">
        <v>305</v>
      </c>
      <c r="G434" s="118">
        <v>16500.0</v>
      </c>
      <c r="H434" s="114">
        <v>104.4</v>
      </c>
      <c r="I434" s="120">
        <v>424.0</v>
      </c>
      <c r="J434" s="111" t="s">
        <v>61</v>
      </c>
      <c r="K434" s="121">
        <v>429.37</v>
      </c>
      <c r="L434" s="120" t="s">
        <v>63</v>
      </c>
      <c r="M434" s="120"/>
      <c r="N434" s="120"/>
      <c r="O434" s="124">
        <v>16500.0</v>
      </c>
      <c r="P434" s="124">
        <v>158.0</v>
      </c>
      <c r="Q434" s="111">
        <v>248.0</v>
      </c>
      <c r="R434" s="125">
        <v>452.0</v>
      </c>
      <c r="S434" s="126">
        <v>0.9499</v>
      </c>
      <c r="T434" s="127">
        <v>77701.81999999999</v>
      </c>
      <c r="U434" s="128">
        <f t="shared" si="2"/>
        <v>0</v>
      </c>
      <c r="V434" s="79" t="s">
        <v>69</v>
      </c>
      <c r="W434" s="79" t="s">
        <v>69</v>
      </c>
      <c r="X434" s="79" t="s">
        <v>69</v>
      </c>
      <c r="Y434" s="130">
        <v>0.8</v>
      </c>
      <c r="Z434" s="111">
        <v>11.0</v>
      </c>
      <c r="AA434" s="133"/>
      <c r="AB434" s="133"/>
      <c r="AC434" s="133"/>
      <c r="AD434" s="133"/>
      <c r="AE434" s="133"/>
      <c r="AF434" s="111"/>
      <c r="AG434" s="147"/>
      <c r="AH434" s="73"/>
      <c r="AI434" s="135"/>
      <c r="AJ434" s="136"/>
      <c r="AK434" s="76"/>
      <c r="AL434" s="137"/>
      <c r="AM434" s="139" t="s">
        <v>71</v>
      </c>
      <c r="AN434" s="139">
        <v>158.0</v>
      </c>
      <c r="AO434" s="140">
        <v>51.32</v>
      </c>
      <c r="AP434" s="142">
        <v>16500.0</v>
      </c>
      <c r="AQ434" s="142">
        <v>248.0</v>
      </c>
      <c r="AR434" s="143"/>
      <c r="AS434" s="144">
        <v>0.975916942407044</v>
      </c>
      <c r="AT434" s="144">
        <v>-0.026016942407043997</v>
      </c>
      <c r="AU434" s="146" t="s">
        <v>1918</v>
      </c>
      <c r="AV434" s="146" t="s">
        <v>1918</v>
      </c>
      <c r="AW434" s="148" t="s">
        <v>1918</v>
      </c>
      <c r="AX434" s="151"/>
      <c r="AY434" s="105"/>
      <c r="AZ434" s="186"/>
      <c r="BA434" s="186"/>
      <c r="BB434" s="222"/>
      <c r="BC434" s="45"/>
      <c r="BD434" s="45"/>
      <c r="BE434" s="155"/>
      <c r="BF434" s="45"/>
    </row>
    <row r="435" ht="16.5" customHeight="1">
      <c r="A435" s="111">
        <v>432.0</v>
      </c>
      <c r="B435" s="112" t="s">
        <v>1692</v>
      </c>
      <c r="C435" s="115" t="s">
        <v>60</v>
      </c>
      <c r="D435" s="117">
        <v>41722.0</v>
      </c>
      <c r="E435" s="117">
        <v>42436.0</v>
      </c>
      <c r="F435" s="79" t="s">
        <v>59</v>
      </c>
      <c r="G435" s="118">
        <v>65000.0</v>
      </c>
      <c r="H435" s="114">
        <v>90.9</v>
      </c>
      <c r="I435" s="120">
        <v>360.0</v>
      </c>
      <c r="J435" s="111" t="s">
        <v>61</v>
      </c>
      <c r="K435" s="121">
        <v>364.56</v>
      </c>
      <c r="L435" s="120" t="s">
        <v>63</v>
      </c>
      <c r="M435" s="120"/>
      <c r="N435" s="120"/>
      <c r="O435" s="124">
        <v>65000.0</v>
      </c>
      <c r="P435" s="124">
        <v>715.0</v>
      </c>
      <c r="Q435" s="111">
        <v>211.0</v>
      </c>
      <c r="R435" s="125">
        <v>399.0</v>
      </c>
      <c r="S435" s="126">
        <v>0.9137</v>
      </c>
      <c r="T435" s="127">
        <v>70811.75</v>
      </c>
      <c r="U435" s="128">
        <f t="shared" si="2"/>
        <v>0</v>
      </c>
      <c r="V435" s="79" t="s">
        <v>64</v>
      </c>
      <c r="W435" s="79" t="s">
        <v>66</v>
      </c>
      <c r="X435" s="79" t="s">
        <v>66</v>
      </c>
      <c r="Y435" s="130">
        <v>0.8</v>
      </c>
      <c r="Z435" s="111" t="s">
        <v>1915</v>
      </c>
      <c r="AA435" s="133"/>
      <c r="AB435" s="133"/>
      <c r="AC435" s="133"/>
      <c r="AD435" s="133"/>
      <c r="AE435" s="133"/>
      <c r="AF435" s="111"/>
      <c r="AG435" s="147"/>
      <c r="AH435" s="73"/>
      <c r="AI435" s="135"/>
      <c r="AJ435" s="136"/>
      <c r="AK435" s="76"/>
      <c r="AL435" s="137"/>
      <c r="AM435" s="139" t="s">
        <v>71</v>
      </c>
      <c r="AN435" s="139">
        <v>715.0</v>
      </c>
      <c r="AO435" s="140">
        <v>184.98</v>
      </c>
      <c r="AP435" s="142">
        <v>65000.0</v>
      </c>
      <c r="AQ435" s="142">
        <v>211.0</v>
      </c>
      <c r="AR435" s="143"/>
      <c r="AS435" s="144">
        <v>0.9519306509237052</v>
      </c>
      <c r="AT435" s="144">
        <v>-0.038230650923705256</v>
      </c>
      <c r="AU435" s="146" t="s">
        <v>1919</v>
      </c>
      <c r="AV435" s="146" t="s">
        <v>1919</v>
      </c>
      <c r="AW435" s="148" t="s">
        <v>1919</v>
      </c>
      <c r="AX435" s="151"/>
      <c r="AY435" s="105"/>
      <c r="AZ435" s="186"/>
      <c r="BA435" s="186"/>
      <c r="BB435" s="222"/>
      <c r="BC435" s="45"/>
      <c r="BD435" s="45"/>
      <c r="BE435" s="155"/>
      <c r="BF435" s="45"/>
    </row>
    <row r="436" ht="16.5" customHeight="1">
      <c r="A436" s="111">
        <v>433.0</v>
      </c>
      <c r="B436" s="112" t="s">
        <v>1493</v>
      </c>
      <c r="C436" s="115" t="s">
        <v>60</v>
      </c>
      <c r="D436" s="117">
        <v>41629.0</v>
      </c>
      <c r="E436" s="117">
        <v>42434.0</v>
      </c>
      <c r="F436" s="79" t="s">
        <v>59</v>
      </c>
      <c r="G436" s="118">
        <v>70614.0</v>
      </c>
      <c r="H436" s="114">
        <v>87.6</v>
      </c>
      <c r="I436" s="120">
        <v>369.0</v>
      </c>
      <c r="J436" s="111" t="s">
        <v>62</v>
      </c>
      <c r="K436" s="121">
        <v>369.0</v>
      </c>
      <c r="L436" s="120" t="s">
        <v>63</v>
      </c>
      <c r="M436" s="120"/>
      <c r="N436" s="120"/>
      <c r="O436" s="124">
        <v>70614.0</v>
      </c>
      <c r="P436" s="124">
        <v>806.0</v>
      </c>
      <c r="Q436" s="111">
        <v>220.0</v>
      </c>
      <c r="R436" s="125">
        <v>399.0</v>
      </c>
      <c r="S436" s="126">
        <v>0.9248</v>
      </c>
      <c r="T436" s="127">
        <v>71672.0</v>
      </c>
      <c r="U436" s="128">
        <f t="shared" si="2"/>
        <v>0</v>
      </c>
      <c r="V436" s="79" t="s">
        <v>65</v>
      </c>
      <c r="W436" s="79" t="s">
        <v>64</v>
      </c>
      <c r="X436" s="79" t="s">
        <v>69</v>
      </c>
      <c r="Y436" s="130">
        <v>0.8</v>
      </c>
      <c r="Z436" s="111">
        <v>11.0</v>
      </c>
      <c r="AA436" s="133"/>
      <c r="AB436" s="133"/>
      <c r="AC436" s="133"/>
      <c r="AD436" s="133"/>
      <c r="AE436" s="133"/>
      <c r="AF436" s="111"/>
      <c r="AG436" s="147"/>
      <c r="AH436" s="73"/>
      <c r="AI436" s="135"/>
      <c r="AJ436" s="136"/>
      <c r="AK436" s="76"/>
      <c r="AL436" s="137"/>
      <c r="AM436" s="139" t="s">
        <v>71</v>
      </c>
      <c r="AN436" s="139">
        <v>806.0</v>
      </c>
      <c r="AO436" s="140">
        <v>208.32</v>
      </c>
      <c r="AP436" s="142">
        <v>70614.0</v>
      </c>
      <c r="AQ436" s="142">
        <v>220.0</v>
      </c>
      <c r="AR436" s="143"/>
      <c r="AS436" s="144">
        <v>0.9506219647942644</v>
      </c>
      <c r="AT436" s="144">
        <v>-0.025821964794264463</v>
      </c>
      <c r="AU436" s="146" t="s">
        <v>1920</v>
      </c>
      <c r="AV436" s="146" t="s">
        <v>1920</v>
      </c>
      <c r="AW436" s="148" t="s">
        <v>1920</v>
      </c>
      <c r="AX436" s="151"/>
      <c r="AY436" s="105"/>
      <c r="AZ436" s="186"/>
      <c r="BA436" s="186"/>
      <c r="BB436" s="222"/>
      <c r="BC436" s="45"/>
      <c r="BD436" s="45"/>
      <c r="BE436" s="155"/>
      <c r="BF436" s="45"/>
    </row>
    <row r="437" ht="16.5" customHeight="1">
      <c r="A437" s="111">
        <v>434.0</v>
      </c>
      <c r="B437" s="112" t="s">
        <v>1627</v>
      </c>
      <c r="C437" s="115" t="s">
        <v>60</v>
      </c>
      <c r="D437" s="117">
        <v>42139.0</v>
      </c>
      <c r="E437" s="117">
        <v>42433.0</v>
      </c>
      <c r="F437" s="79" t="s">
        <v>118</v>
      </c>
      <c r="G437" s="118">
        <v>17800.0</v>
      </c>
      <c r="H437" s="114">
        <v>60.3</v>
      </c>
      <c r="I437" s="120">
        <v>353.0</v>
      </c>
      <c r="J437" s="111" t="s">
        <v>62</v>
      </c>
      <c r="K437" s="121">
        <v>353.0</v>
      </c>
      <c r="L437" s="120" t="s">
        <v>63</v>
      </c>
      <c r="M437" s="120"/>
      <c r="N437" s="120"/>
      <c r="O437" s="124">
        <v>17800.0</v>
      </c>
      <c r="P437" s="124">
        <v>295.0</v>
      </c>
      <c r="Q437" s="159">
        <v>218.0</v>
      </c>
      <c r="R437" s="125">
        <v>365.0</v>
      </c>
      <c r="S437" s="126">
        <v>0.9671</v>
      </c>
      <c r="T437" s="127">
        <v>66536.48</v>
      </c>
      <c r="U437" s="128">
        <f t="shared" si="2"/>
        <v>0</v>
      </c>
      <c r="V437" s="79"/>
      <c r="W437" s="79"/>
      <c r="X437" s="79"/>
      <c r="Y437" s="130"/>
      <c r="Z437" s="111"/>
      <c r="AA437" s="133"/>
      <c r="AB437" s="133"/>
      <c r="AC437" s="133"/>
      <c r="AD437" s="133"/>
      <c r="AE437" s="133"/>
      <c r="AF437" s="111"/>
      <c r="AG437" s="147"/>
      <c r="AH437" s="73"/>
      <c r="AI437" s="135"/>
      <c r="AJ437" s="136"/>
      <c r="AK437" s="76"/>
      <c r="AL437" s="137"/>
      <c r="AM437" s="139" t="s">
        <v>71</v>
      </c>
      <c r="AN437" s="139">
        <v>295.0</v>
      </c>
      <c r="AO437" s="140">
        <v>57.36</v>
      </c>
      <c r="AP437" s="142">
        <v>17800.0</v>
      </c>
      <c r="AQ437" s="142">
        <v>218.0</v>
      </c>
      <c r="AR437" s="143"/>
      <c r="AS437" s="144">
        <v>0.9746277683187956</v>
      </c>
      <c r="AT437" s="144">
        <v>-0.007527768318795647</v>
      </c>
      <c r="AU437" s="146" t="s">
        <v>1921</v>
      </c>
      <c r="AV437" s="146" t="s">
        <v>1921</v>
      </c>
      <c r="AW437" s="148" t="s">
        <v>1921</v>
      </c>
      <c r="AX437" s="151"/>
      <c r="AY437" s="105"/>
      <c r="AZ437" s="186"/>
      <c r="BA437" s="186"/>
      <c r="BB437" s="222"/>
      <c r="BC437" s="45"/>
      <c r="BD437" s="45"/>
      <c r="BE437" s="155"/>
      <c r="BF437" s="45"/>
    </row>
    <row r="438" ht="16.5" customHeight="1">
      <c r="A438" s="111">
        <v>435.0</v>
      </c>
      <c r="B438" s="112" t="s">
        <v>554</v>
      </c>
      <c r="C438" s="115" t="s">
        <v>60</v>
      </c>
      <c r="D438" s="157">
        <v>41615.0</v>
      </c>
      <c r="E438" s="117">
        <v>42084.0</v>
      </c>
      <c r="F438" s="79" t="s">
        <v>59</v>
      </c>
      <c r="G438" s="118">
        <v>132950.0</v>
      </c>
      <c r="H438" s="114">
        <v>282.9</v>
      </c>
      <c r="I438" s="120">
        <v>372.0</v>
      </c>
      <c r="J438" s="111" t="s">
        <v>62</v>
      </c>
      <c r="K438" s="121">
        <v>372.0</v>
      </c>
      <c r="L438" s="120" t="s">
        <v>63</v>
      </c>
      <c r="M438" s="120"/>
      <c r="N438" s="120"/>
      <c r="O438" s="124">
        <v>132950.0</v>
      </c>
      <c r="P438" s="124">
        <v>470.0</v>
      </c>
      <c r="Q438" s="111">
        <v>220.0</v>
      </c>
      <c r="R438" s="125">
        <v>399.0</v>
      </c>
      <c r="S438" s="126">
        <v>0.9323</v>
      </c>
      <c r="T438" s="127">
        <v>72253.25</v>
      </c>
      <c r="U438" s="128">
        <f t="shared" si="2"/>
        <v>0</v>
      </c>
      <c r="V438" s="79" t="s">
        <v>69</v>
      </c>
      <c r="W438" s="79" t="s">
        <v>80</v>
      </c>
      <c r="X438" s="79" t="s">
        <v>66</v>
      </c>
      <c r="Y438" s="130">
        <v>0.9</v>
      </c>
      <c r="Z438" s="111">
        <v>18.0</v>
      </c>
      <c r="AA438" s="111">
        <v>399.0</v>
      </c>
      <c r="AB438" s="111" t="s">
        <v>61</v>
      </c>
      <c r="AC438" s="133"/>
      <c r="AD438" s="133"/>
      <c r="AE438" s="133"/>
      <c r="AF438" s="111"/>
      <c r="AG438" s="147"/>
      <c r="AH438" s="73"/>
      <c r="AI438" s="135"/>
      <c r="AJ438" s="136"/>
      <c r="AK438" s="76"/>
      <c r="AL438" s="137"/>
      <c r="AM438" s="139">
        <v>404.0</v>
      </c>
      <c r="AN438" s="139">
        <v>470.0</v>
      </c>
      <c r="AO438" s="140">
        <v>390.65</v>
      </c>
      <c r="AP438" s="142">
        <v>132950.0</v>
      </c>
      <c r="AQ438" s="142">
        <v>220.0</v>
      </c>
      <c r="AR438" s="143"/>
      <c r="AS438" s="144">
        <v>0.9395309968582058</v>
      </c>
      <c r="AT438" s="144">
        <v>-0.007230996858205829</v>
      </c>
      <c r="AU438" s="146" t="s">
        <v>1922</v>
      </c>
      <c r="AV438" s="146" t="s">
        <v>1922</v>
      </c>
      <c r="AW438" s="148" t="s">
        <v>1922</v>
      </c>
      <c r="AX438" s="151"/>
      <c r="AY438" s="105"/>
      <c r="AZ438" s="186"/>
      <c r="BA438" s="186"/>
      <c r="BB438" s="222"/>
      <c r="BC438" s="45"/>
      <c r="BD438" s="45"/>
      <c r="BE438" s="155"/>
      <c r="BF438" s="45"/>
    </row>
    <row r="439" ht="16.5" customHeight="1">
      <c r="A439" s="111">
        <v>436.0</v>
      </c>
      <c r="B439" s="112" t="s">
        <v>361</v>
      </c>
      <c r="C439" s="115" t="s">
        <v>60</v>
      </c>
      <c r="D439" s="157">
        <v>41604.0</v>
      </c>
      <c r="E439" s="117">
        <v>42438.0</v>
      </c>
      <c r="F439" s="79" t="s">
        <v>59</v>
      </c>
      <c r="G439" s="118">
        <v>92560.2733704338</v>
      </c>
      <c r="H439" s="114">
        <v>110.9</v>
      </c>
      <c r="I439" s="120">
        <v>368.0</v>
      </c>
      <c r="J439" s="111" t="s">
        <v>61</v>
      </c>
      <c r="K439" s="121">
        <v>372.66</v>
      </c>
      <c r="L439" s="120" t="s">
        <v>63</v>
      </c>
      <c r="M439" s="120"/>
      <c r="N439" s="120"/>
      <c r="O439" s="124">
        <v>92560.2733704338</v>
      </c>
      <c r="P439" s="124">
        <v>835.0</v>
      </c>
      <c r="Q439" s="111">
        <v>228.0</v>
      </c>
      <c r="R439" s="125">
        <v>399.0</v>
      </c>
      <c r="S439" s="126">
        <v>0.934</v>
      </c>
      <c r="T439" s="127">
        <v>72385.0</v>
      </c>
      <c r="U439" s="128">
        <f t="shared" si="2"/>
        <v>0</v>
      </c>
      <c r="V439" s="79" t="s">
        <v>69</v>
      </c>
      <c r="W439" s="79" t="s">
        <v>69</v>
      </c>
      <c r="X439" s="79" t="s">
        <v>69</v>
      </c>
      <c r="Y439" s="130">
        <v>0.7</v>
      </c>
      <c r="Z439" s="111">
        <v>18.0</v>
      </c>
      <c r="AA439" s="111">
        <v>399.0</v>
      </c>
      <c r="AB439" s="111" t="s">
        <v>61</v>
      </c>
      <c r="AC439" s="133"/>
      <c r="AD439" s="133"/>
      <c r="AE439" s="133"/>
      <c r="AF439" s="111"/>
      <c r="AG439" s="147"/>
      <c r="AH439" s="73"/>
      <c r="AI439" s="135"/>
      <c r="AJ439" s="136"/>
      <c r="AK439" s="76"/>
      <c r="AL439" s="137"/>
      <c r="AM439" s="139">
        <v>404.0</v>
      </c>
      <c r="AN439" s="139">
        <v>835.0</v>
      </c>
      <c r="AO439" s="140">
        <v>281.63</v>
      </c>
      <c r="AP439" s="142">
        <v>92560.2733704338</v>
      </c>
      <c r="AQ439" s="142">
        <v>228.0</v>
      </c>
      <c r="AR439" s="143"/>
      <c r="AS439" s="144">
        <v>0.9462744426428621</v>
      </c>
      <c r="AT439" s="144">
        <v>-0.012274442642862038</v>
      </c>
      <c r="AU439" s="146" t="s">
        <v>1923</v>
      </c>
      <c r="AV439" s="146" t="s">
        <v>1923</v>
      </c>
      <c r="AW439" s="148" t="s">
        <v>1923</v>
      </c>
      <c r="AX439" s="151"/>
      <c r="AY439" s="105"/>
      <c r="AZ439" s="186"/>
      <c r="BA439" s="186"/>
      <c r="BB439" s="222"/>
      <c r="BC439" s="45"/>
      <c r="BD439" s="45"/>
      <c r="BE439" s="155"/>
      <c r="BF439" s="45"/>
    </row>
    <row r="440" ht="16.5" customHeight="1">
      <c r="A440" s="111">
        <v>437.0</v>
      </c>
      <c r="B440" s="112" t="s">
        <v>1858</v>
      </c>
      <c r="C440" s="115" t="s">
        <v>60</v>
      </c>
      <c r="D440" s="117">
        <v>42439.0</v>
      </c>
      <c r="E440" s="117">
        <v>42440.0</v>
      </c>
      <c r="F440" s="79" t="s">
        <v>305</v>
      </c>
      <c r="G440" s="118">
        <v>300.0</v>
      </c>
      <c r="H440" s="114">
        <v>150.0</v>
      </c>
      <c r="I440" s="120">
        <v>458.0</v>
      </c>
      <c r="J440" s="111" t="s">
        <v>61</v>
      </c>
      <c r="K440" s="121">
        <v>463.8</v>
      </c>
      <c r="L440" s="120" t="s">
        <v>63</v>
      </c>
      <c r="M440" s="120"/>
      <c r="N440" s="120"/>
      <c r="O440" s="124">
        <v>300.0</v>
      </c>
      <c r="P440" s="124">
        <v>2.0</v>
      </c>
      <c r="Q440" s="159">
        <v>218.0</v>
      </c>
      <c r="R440" s="125">
        <v>452.0</v>
      </c>
      <c r="S440" s="126">
        <v>1.0261</v>
      </c>
      <c r="T440" s="127">
        <v>83934.98</v>
      </c>
      <c r="U440" s="128">
        <f t="shared" si="2"/>
        <v>0</v>
      </c>
      <c r="V440" s="79"/>
      <c r="W440" s="79"/>
      <c r="X440" s="79"/>
      <c r="Y440" s="130"/>
      <c r="Z440" s="111"/>
      <c r="AA440" s="133"/>
      <c r="AB440" s="133"/>
      <c r="AC440" s="133"/>
      <c r="AD440" s="133"/>
      <c r="AE440" s="133"/>
      <c r="AF440" s="111"/>
      <c r="AG440" s="147"/>
      <c r="AH440" s="73"/>
      <c r="AI440" s="135"/>
      <c r="AJ440" s="136"/>
      <c r="AK440" s="76"/>
      <c r="AL440" s="137"/>
      <c r="AM440" s="139" t="s">
        <v>71</v>
      </c>
      <c r="AN440" s="139">
        <v>2.0</v>
      </c>
      <c r="AO440" s="140">
        <v>0.79</v>
      </c>
      <c r="AP440" s="142">
        <v>300.0</v>
      </c>
      <c r="AQ440" s="142">
        <v>218.0</v>
      </c>
      <c r="AR440" s="143"/>
      <c r="AS440" s="144">
        <v>0.9993943988425253</v>
      </c>
      <c r="AT440" s="144">
        <v>0.026705601157474668</v>
      </c>
      <c r="AU440" s="146" t="s">
        <v>1924</v>
      </c>
      <c r="AV440" s="146" t="s">
        <v>1924</v>
      </c>
      <c r="AW440" s="148" t="s">
        <v>1924</v>
      </c>
      <c r="AX440" s="151"/>
      <c r="AY440" s="105"/>
      <c r="AZ440" s="186"/>
      <c r="BA440" s="186"/>
      <c r="BB440" s="222"/>
      <c r="BC440" s="45"/>
      <c r="BD440" s="45"/>
      <c r="BE440" s="155"/>
      <c r="BF440" s="45"/>
    </row>
    <row r="441" ht="16.5" customHeight="1">
      <c r="A441" s="111">
        <v>438.0</v>
      </c>
      <c r="B441" s="112" t="s">
        <v>1829</v>
      </c>
      <c r="C441" s="115" t="s">
        <v>60</v>
      </c>
      <c r="D441" s="117">
        <v>41792.0</v>
      </c>
      <c r="E441" s="117">
        <v>42440.0</v>
      </c>
      <c r="F441" s="79" t="s">
        <v>59</v>
      </c>
      <c r="G441" s="118">
        <v>36500.0</v>
      </c>
      <c r="H441" s="114">
        <v>56.2</v>
      </c>
      <c r="I441" s="120">
        <v>372.0</v>
      </c>
      <c r="J441" s="111" t="s">
        <v>62</v>
      </c>
      <c r="K441" s="121">
        <v>372.0</v>
      </c>
      <c r="L441" s="120" t="s">
        <v>63</v>
      </c>
      <c r="M441" s="120"/>
      <c r="N441" s="120"/>
      <c r="O441" s="124">
        <v>36500.0</v>
      </c>
      <c r="P441" s="124">
        <v>649.0</v>
      </c>
      <c r="Q441" s="111">
        <v>215.0</v>
      </c>
      <c r="R441" s="125">
        <v>399.0</v>
      </c>
      <c r="S441" s="126">
        <v>0.9323</v>
      </c>
      <c r="T441" s="127">
        <v>72253.25</v>
      </c>
      <c r="U441" s="128">
        <f t="shared" si="2"/>
        <v>0</v>
      </c>
      <c r="V441" s="79" t="s">
        <v>69</v>
      </c>
      <c r="W441" s="79" t="s">
        <v>69</v>
      </c>
      <c r="X441" s="79" t="s">
        <v>66</v>
      </c>
      <c r="Y441" s="130">
        <v>0.9</v>
      </c>
      <c r="Z441" s="111"/>
      <c r="AA441" s="111">
        <v>407.0</v>
      </c>
      <c r="AB441" s="111" t="s">
        <v>62</v>
      </c>
      <c r="AC441" s="133"/>
      <c r="AD441" s="133"/>
      <c r="AE441" s="133"/>
      <c r="AF441" s="111"/>
      <c r="AG441" s="147"/>
      <c r="AH441" s="73"/>
      <c r="AI441" s="135"/>
      <c r="AJ441" s="136"/>
      <c r="AK441" s="76"/>
      <c r="AL441" s="137"/>
      <c r="AM441" s="139">
        <v>407.0</v>
      </c>
      <c r="AN441" s="139">
        <v>649.0</v>
      </c>
      <c r="AO441" s="140">
        <v>104.83</v>
      </c>
      <c r="AP441" s="142">
        <v>36500.0</v>
      </c>
      <c r="AQ441" s="142">
        <v>215.0</v>
      </c>
      <c r="AR441" s="143"/>
      <c r="AS441" s="144">
        <v>0.9616404713828373</v>
      </c>
      <c r="AT441" s="144">
        <v>-0.02934047138283724</v>
      </c>
      <c r="AU441" s="146" t="s">
        <v>1925</v>
      </c>
      <c r="AV441" s="146" t="s">
        <v>1925</v>
      </c>
      <c r="AW441" s="148" t="s">
        <v>1925</v>
      </c>
      <c r="AX441" s="151"/>
      <c r="AY441" s="105"/>
      <c r="AZ441" s="186"/>
      <c r="BA441" s="186"/>
      <c r="BB441" s="222"/>
      <c r="BC441" s="45"/>
      <c r="BD441" s="45"/>
      <c r="BE441" s="155"/>
      <c r="BF441" s="45"/>
    </row>
    <row r="442" ht="16.5" customHeight="1">
      <c r="A442" s="111">
        <v>439.0</v>
      </c>
      <c r="B442" s="112" t="s">
        <v>1637</v>
      </c>
      <c r="C442" s="115" t="s">
        <v>60</v>
      </c>
      <c r="D442" s="117">
        <v>42235.0</v>
      </c>
      <c r="E442" s="117">
        <v>42441.0</v>
      </c>
      <c r="F442" s="79" t="s">
        <v>118</v>
      </c>
      <c r="G442" s="118">
        <v>27355.0</v>
      </c>
      <c r="H442" s="114">
        <v>132.1</v>
      </c>
      <c r="I442" s="120">
        <v>357.0</v>
      </c>
      <c r="J442" s="111" t="s">
        <v>61</v>
      </c>
      <c r="K442" s="121">
        <v>361.52</v>
      </c>
      <c r="L442" s="120" t="s">
        <v>63</v>
      </c>
      <c r="M442" s="120"/>
      <c r="N442" s="120"/>
      <c r="O442" s="124">
        <v>27355.0</v>
      </c>
      <c r="P442" s="124">
        <v>207.0</v>
      </c>
      <c r="Q442" s="111">
        <v>225.0</v>
      </c>
      <c r="R442" s="125">
        <v>365.0</v>
      </c>
      <c r="S442" s="126">
        <v>0.9905</v>
      </c>
      <c r="T442" s="127">
        <v>68146.40000000001</v>
      </c>
      <c r="U442" s="128">
        <f t="shared" si="2"/>
        <v>0</v>
      </c>
      <c r="V442" s="79" t="s">
        <v>80</v>
      </c>
      <c r="W442" s="79" t="s">
        <v>64</v>
      </c>
      <c r="X442" s="79" t="s">
        <v>69</v>
      </c>
      <c r="Y442" s="130">
        <v>0.8</v>
      </c>
      <c r="Z442" s="111">
        <v>11.0</v>
      </c>
      <c r="AA442" s="111">
        <v>365.0</v>
      </c>
      <c r="AB442" s="111" t="s">
        <v>61</v>
      </c>
      <c r="AC442" s="133"/>
      <c r="AD442" s="133"/>
      <c r="AE442" s="133"/>
      <c r="AF442" s="111"/>
      <c r="AG442" s="147"/>
      <c r="AH442" s="73"/>
      <c r="AI442" s="135"/>
      <c r="AJ442" s="136"/>
      <c r="AK442" s="76"/>
      <c r="AL442" s="137"/>
      <c r="AM442" s="139">
        <v>370.0</v>
      </c>
      <c r="AN442" s="139">
        <v>207.0</v>
      </c>
      <c r="AO442" s="140">
        <v>89.9</v>
      </c>
      <c r="AP442" s="142">
        <v>27355.0</v>
      </c>
      <c r="AQ442" s="142">
        <v>225.0</v>
      </c>
      <c r="AR442" s="143"/>
      <c r="AS442" s="144">
        <v>0.9669037304897122</v>
      </c>
      <c r="AT442" s="144">
        <v>0.023596269510287815</v>
      </c>
      <c r="AU442" s="146" t="s">
        <v>1926</v>
      </c>
      <c r="AV442" s="146" t="s">
        <v>1926</v>
      </c>
      <c r="AW442" s="148" t="s">
        <v>1926</v>
      </c>
      <c r="AX442" s="151"/>
      <c r="AY442" s="105"/>
      <c r="AZ442" s="186"/>
      <c r="BA442" s="186"/>
      <c r="BB442" s="222"/>
      <c r="BC442" s="45"/>
      <c r="BD442" s="45"/>
      <c r="BE442" s="155"/>
      <c r="BF442" s="45"/>
    </row>
    <row r="443" ht="16.5" customHeight="1">
      <c r="A443" s="111">
        <v>440.0</v>
      </c>
      <c r="B443" s="112" t="s">
        <v>513</v>
      </c>
      <c r="C443" s="115" t="s">
        <v>60</v>
      </c>
      <c r="D443" s="117">
        <v>41990.0</v>
      </c>
      <c r="E443" s="117">
        <v>42443.0</v>
      </c>
      <c r="F443" s="79" t="s">
        <v>59</v>
      </c>
      <c r="G443" s="118">
        <v>48000.0</v>
      </c>
      <c r="H443" s="114">
        <v>105.7</v>
      </c>
      <c r="I443" s="120">
        <v>384.0</v>
      </c>
      <c r="J443" s="111" t="s">
        <v>61</v>
      </c>
      <c r="K443" s="121">
        <v>388.86</v>
      </c>
      <c r="L443" s="120" t="s">
        <v>63</v>
      </c>
      <c r="M443" s="120"/>
      <c r="N443" s="120"/>
      <c r="O443" s="124">
        <v>48000.0</v>
      </c>
      <c r="P443" s="124">
        <v>454.0</v>
      </c>
      <c r="Q443" s="111">
        <v>227.0</v>
      </c>
      <c r="R443" s="125">
        <v>399.0</v>
      </c>
      <c r="S443" s="126">
        <v>0.9746</v>
      </c>
      <c r="T443" s="127">
        <v>75531.5</v>
      </c>
      <c r="U443" s="128">
        <f t="shared" si="2"/>
        <v>0</v>
      </c>
      <c r="V443" s="79" t="s">
        <v>65</v>
      </c>
      <c r="W443" s="79" t="s">
        <v>69</v>
      </c>
      <c r="X443" s="79" t="s">
        <v>68</v>
      </c>
      <c r="Y443" s="130">
        <v>0.8</v>
      </c>
      <c r="Z443" s="111">
        <v>11.0</v>
      </c>
      <c r="AA443" s="111">
        <v>395.0</v>
      </c>
      <c r="AB443" s="111" t="s">
        <v>61</v>
      </c>
      <c r="AC443" s="133"/>
      <c r="AD443" s="133"/>
      <c r="AE443" s="133"/>
      <c r="AF443" s="111"/>
      <c r="AG443" s="147"/>
      <c r="AH443" s="73"/>
      <c r="AI443" s="135"/>
      <c r="AJ443" s="136"/>
      <c r="AK443" s="76"/>
      <c r="AL443" s="137"/>
      <c r="AM443" s="139">
        <v>400.0</v>
      </c>
      <c r="AN443" s="139">
        <v>454.0</v>
      </c>
      <c r="AO443" s="140">
        <v>142.42</v>
      </c>
      <c r="AP443" s="142">
        <v>48000.0</v>
      </c>
      <c r="AQ443" s="142">
        <v>227.0</v>
      </c>
      <c r="AR443" s="143"/>
      <c r="AS443" s="144">
        <v>0.9568668907632519</v>
      </c>
      <c r="AT443" s="144">
        <v>0.01773310923674809</v>
      </c>
      <c r="AU443" s="146" t="s">
        <v>1927</v>
      </c>
      <c r="AV443" s="146" t="s">
        <v>1927</v>
      </c>
      <c r="AW443" s="148" t="s">
        <v>1927</v>
      </c>
      <c r="AX443" s="151"/>
      <c r="AY443" s="105"/>
      <c r="AZ443" s="186"/>
      <c r="BA443" s="186"/>
      <c r="BB443" s="222"/>
      <c r="BC443" s="45"/>
      <c r="BD443" s="45"/>
      <c r="BE443" s="155"/>
      <c r="BF443" s="45"/>
    </row>
    <row r="444" ht="16.5" customHeight="1">
      <c r="A444" s="111">
        <v>441.0</v>
      </c>
      <c r="B444" s="112" t="s">
        <v>1703</v>
      </c>
      <c r="C444" s="115" t="s">
        <v>60</v>
      </c>
      <c r="D444" s="117">
        <v>42353.0</v>
      </c>
      <c r="E444" s="117">
        <v>42447.0</v>
      </c>
      <c r="F444" s="79" t="s">
        <v>118</v>
      </c>
      <c r="G444" s="118">
        <v>6076.0</v>
      </c>
      <c r="H444" s="114">
        <v>64.0</v>
      </c>
      <c r="I444" s="120">
        <v>361.0</v>
      </c>
      <c r="J444" s="111" t="s">
        <v>61</v>
      </c>
      <c r="K444" s="121">
        <v>365.57</v>
      </c>
      <c r="L444" s="120" t="s">
        <v>63</v>
      </c>
      <c r="M444" s="120"/>
      <c r="N444" s="120"/>
      <c r="O444" s="124">
        <v>6076.0</v>
      </c>
      <c r="P444" s="124">
        <v>95.0</v>
      </c>
      <c r="Q444" s="111">
        <v>228.0</v>
      </c>
      <c r="R444" s="125">
        <v>365.0</v>
      </c>
      <c r="S444" s="126">
        <v>1.0016</v>
      </c>
      <c r="T444" s="127">
        <v>68910.08</v>
      </c>
      <c r="U444" s="128">
        <f t="shared" si="2"/>
        <v>0</v>
      </c>
      <c r="V444" s="79" t="s">
        <v>69</v>
      </c>
      <c r="W444" s="79" t="s">
        <v>68</v>
      </c>
      <c r="X444" s="79" t="s">
        <v>68</v>
      </c>
      <c r="Y444" s="130">
        <v>0.9</v>
      </c>
      <c r="Z444" s="111">
        <v>11.0</v>
      </c>
      <c r="AA444" s="111">
        <v>361.0</v>
      </c>
      <c r="AB444" s="111" t="s">
        <v>61</v>
      </c>
      <c r="AC444" s="111">
        <v>325.0</v>
      </c>
      <c r="AD444" s="133"/>
      <c r="AE444" s="133"/>
      <c r="AF444" s="111"/>
      <c r="AG444" s="147"/>
      <c r="AH444" s="73" t="s">
        <v>74</v>
      </c>
      <c r="AI444" s="135"/>
      <c r="AJ444" s="136"/>
      <c r="AK444" s="76"/>
      <c r="AL444" s="137"/>
      <c r="AM444" s="139">
        <v>366.0</v>
      </c>
      <c r="AN444" s="139">
        <v>95.0</v>
      </c>
      <c r="AO444" s="140">
        <v>20.12</v>
      </c>
      <c r="AP444" s="142">
        <v>6076.0</v>
      </c>
      <c r="AQ444" s="142">
        <v>228.0</v>
      </c>
      <c r="AR444" s="143"/>
      <c r="AS444" s="144">
        <v>0.9891419157058106</v>
      </c>
      <c r="AT444" s="144">
        <v>0.012458084294189486</v>
      </c>
      <c r="AU444" s="146" t="s">
        <v>1928</v>
      </c>
      <c r="AV444" s="146" t="s">
        <v>1928</v>
      </c>
      <c r="AW444" s="148" t="s">
        <v>1928</v>
      </c>
      <c r="AX444" s="151"/>
      <c r="AY444" s="105"/>
      <c r="AZ444" s="186"/>
      <c r="BA444" s="186"/>
      <c r="BB444" s="222"/>
      <c r="BC444" s="45"/>
      <c r="BD444" s="45"/>
      <c r="BE444" s="155"/>
      <c r="BF444" s="45"/>
    </row>
    <row r="445" ht="16.5" customHeight="1">
      <c r="A445" s="111">
        <v>442.0</v>
      </c>
      <c r="B445" s="112" t="s">
        <v>640</v>
      </c>
      <c r="C445" s="115" t="s">
        <v>60</v>
      </c>
      <c r="D445" s="117">
        <v>41927.0</v>
      </c>
      <c r="E445" s="117">
        <v>42447.0</v>
      </c>
      <c r="F445" s="79" t="s">
        <v>59</v>
      </c>
      <c r="G445" s="118">
        <v>61737.0</v>
      </c>
      <c r="H445" s="114">
        <v>118.5</v>
      </c>
      <c r="I445" s="120">
        <v>378.0</v>
      </c>
      <c r="J445" s="111" t="s">
        <v>61</v>
      </c>
      <c r="K445" s="121">
        <v>382.78</v>
      </c>
      <c r="L445" s="120" t="s">
        <v>63</v>
      </c>
      <c r="M445" s="120"/>
      <c r="N445" s="120"/>
      <c r="O445" s="124">
        <v>61737.0</v>
      </c>
      <c r="P445" s="124">
        <v>521.0</v>
      </c>
      <c r="Q445" s="111">
        <v>237.0</v>
      </c>
      <c r="R445" s="125">
        <v>399.0</v>
      </c>
      <c r="S445" s="126">
        <v>0.9593</v>
      </c>
      <c r="T445" s="127">
        <v>74345.75</v>
      </c>
      <c r="U445" s="128">
        <f t="shared" si="2"/>
        <v>0</v>
      </c>
      <c r="V445" s="79"/>
      <c r="W445" s="79"/>
      <c r="X445" s="79"/>
      <c r="Y445" s="130"/>
      <c r="Z445" s="111"/>
      <c r="AA445" s="133"/>
      <c r="AB445" s="133"/>
      <c r="AC445" s="133"/>
      <c r="AD445" s="133"/>
      <c r="AE445" s="133"/>
      <c r="AF445" s="111"/>
      <c r="AG445" s="147"/>
      <c r="AH445" s="73"/>
      <c r="AI445" s="135"/>
      <c r="AJ445" s="136"/>
      <c r="AK445" s="76"/>
      <c r="AL445" s="137"/>
      <c r="AM445" s="139" t="s">
        <v>71</v>
      </c>
      <c r="AN445" s="139">
        <v>521.0</v>
      </c>
      <c r="AO445" s="140">
        <v>192.74</v>
      </c>
      <c r="AP445" s="142">
        <v>61737.0</v>
      </c>
      <c r="AQ445" s="142">
        <v>237.0</v>
      </c>
      <c r="AR445" s="143"/>
      <c r="AS445" s="144">
        <v>0.9527490547977671</v>
      </c>
      <c r="AT445" s="144">
        <v>0.006550945202232983</v>
      </c>
      <c r="AU445" s="146" t="s">
        <v>1929</v>
      </c>
      <c r="AV445" s="146" t="s">
        <v>1929</v>
      </c>
      <c r="AW445" s="148" t="s">
        <v>1929</v>
      </c>
      <c r="AX445" s="151"/>
      <c r="AY445" s="105"/>
      <c r="AZ445" s="186"/>
      <c r="BA445" s="186"/>
      <c r="BB445" s="222"/>
      <c r="BC445" s="45"/>
      <c r="BD445" s="45"/>
      <c r="BE445" s="155"/>
      <c r="BF445" s="45"/>
    </row>
    <row r="446" ht="16.5" customHeight="1">
      <c r="A446" s="111">
        <v>443.0</v>
      </c>
      <c r="B446" s="112" t="s">
        <v>1726</v>
      </c>
      <c r="C446" s="115" t="s">
        <v>60</v>
      </c>
      <c r="D446" s="117">
        <v>42276.0</v>
      </c>
      <c r="E446" s="117">
        <v>42447.0</v>
      </c>
      <c r="F446" s="79" t="s">
        <v>305</v>
      </c>
      <c r="G446" s="118">
        <v>17326.0</v>
      </c>
      <c r="H446" s="114">
        <v>100.7</v>
      </c>
      <c r="I446" s="120">
        <v>433.0</v>
      </c>
      <c r="J446" s="111" t="s">
        <v>61</v>
      </c>
      <c r="K446" s="121">
        <v>438.48</v>
      </c>
      <c r="L446" s="120" t="s">
        <v>63</v>
      </c>
      <c r="M446" s="120"/>
      <c r="N446" s="120"/>
      <c r="O446" s="124">
        <v>17326.0</v>
      </c>
      <c r="P446" s="124">
        <v>172.0</v>
      </c>
      <c r="Q446" s="111">
        <v>248.0</v>
      </c>
      <c r="R446" s="125">
        <v>452.0</v>
      </c>
      <c r="S446" s="126">
        <v>0.9701</v>
      </c>
      <c r="T446" s="127">
        <v>79354.18</v>
      </c>
      <c r="U446" s="128">
        <f t="shared" si="2"/>
        <v>0</v>
      </c>
      <c r="V446" s="79" t="s">
        <v>69</v>
      </c>
      <c r="W446" s="79" t="s">
        <v>69</v>
      </c>
      <c r="X446" s="79" t="s">
        <v>69</v>
      </c>
      <c r="Y446" s="130">
        <v>0.8</v>
      </c>
      <c r="Z446" s="111">
        <v>11.0</v>
      </c>
      <c r="AA446" s="111">
        <v>426.0</v>
      </c>
      <c r="AB446" s="111" t="s">
        <v>61</v>
      </c>
      <c r="AC446" s="133"/>
      <c r="AD446" s="133"/>
      <c r="AE446" s="133"/>
      <c r="AF446" s="111"/>
      <c r="AG446" s="147"/>
      <c r="AH446" s="73"/>
      <c r="AI446" s="135"/>
      <c r="AJ446" s="136"/>
      <c r="AK446" s="76"/>
      <c r="AL446" s="137"/>
      <c r="AM446" s="139">
        <v>431.0</v>
      </c>
      <c r="AN446" s="139">
        <v>172.0</v>
      </c>
      <c r="AO446" s="140">
        <v>53.33</v>
      </c>
      <c r="AP446" s="142">
        <v>17326.0</v>
      </c>
      <c r="AQ446" s="142">
        <v>248.0</v>
      </c>
      <c r="AR446" s="143"/>
      <c r="AS446" s="144">
        <v>0.9750901292013628</v>
      </c>
      <c r="AT446" s="144">
        <v>-0.004990129201362881</v>
      </c>
      <c r="AU446" s="146" t="s">
        <v>1930</v>
      </c>
      <c r="AV446" s="146" t="s">
        <v>1930</v>
      </c>
      <c r="AW446" s="148" t="s">
        <v>1930</v>
      </c>
      <c r="AX446" s="151"/>
      <c r="AY446" s="105"/>
      <c r="AZ446" s="186"/>
      <c r="BA446" s="186"/>
      <c r="BB446" s="222"/>
      <c r="BC446" s="45"/>
      <c r="BD446" s="45"/>
      <c r="BE446" s="155"/>
      <c r="BF446" s="45"/>
    </row>
    <row r="447" ht="16.5" customHeight="1">
      <c r="A447" s="111">
        <v>444.0</v>
      </c>
      <c r="B447" s="112" t="s">
        <v>1336</v>
      </c>
      <c r="C447" s="115" t="s">
        <v>60</v>
      </c>
      <c r="D447" s="117">
        <v>42137.0</v>
      </c>
      <c r="E447" s="117">
        <v>42448.0</v>
      </c>
      <c r="F447" s="79" t="s">
        <v>59</v>
      </c>
      <c r="G447" s="118">
        <v>28805.0</v>
      </c>
      <c r="H447" s="114">
        <v>92.3</v>
      </c>
      <c r="I447" s="120">
        <v>370.0</v>
      </c>
      <c r="J447" s="111" t="s">
        <v>61</v>
      </c>
      <c r="K447" s="121">
        <v>374.68</v>
      </c>
      <c r="L447" s="120" t="s">
        <v>63</v>
      </c>
      <c r="M447" s="120"/>
      <c r="N447" s="120"/>
      <c r="O447" s="124">
        <v>28805.0</v>
      </c>
      <c r="P447" s="124">
        <v>312.0</v>
      </c>
      <c r="Q447" s="111">
        <v>214.0</v>
      </c>
      <c r="R447" s="125">
        <v>399.0</v>
      </c>
      <c r="S447" s="126">
        <v>0.939</v>
      </c>
      <c r="T447" s="127">
        <v>72772.5</v>
      </c>
      <c r="U447" s="128">
        <f t="shared" si="2"/>
        <v>0</v>
      </c>
      <c r="V447" s="79" t="s">
        <v>69</v>
      </c>
      <c r="W447" s="79" t="s">
        <v>69</v>
      </c>
      <c r="X447" s="79" t="s">
        <v>69</v>
      </c>
      <c r="Y447" s="130">
        <v>0.8</v>
      </c>
      <c r="Z447" s="111">
        <v>11.0</v>
      </c>
      <c r="AA447" s="133"/>
      <c r="AB447" s="133"/>
      <c r="AC447" s="133"/>
      <c r="AD447" s="133"/>
      <c r="AE447" s="133"/>
      <c r="AF447" s="111"/>
      <c r="AG447" s="147"/>
      <c r="AH447" s="73"/>
      <c r="AI447" s="135"/>
      <c r="AJ447" s="136"/>
      <c r="AK447" s="76"/>
      <c r="AL447" s="137"/>
      <c r="AM447" s="139" t="s">
        <v>71</v>
      </c>
      <c r="AN447" s="139">
        <v>312.0</v>
      </c>
      <c r="AO447" s="140">
        <v>82.05</v>
      </c>
      <c r="AP447" s="142">
        <v>28805.0</v>
      </c>
      <c r="AQ447" s="142">
        <v>214.0</v>
      </c>
      <c r="AR447" s="143"/>
      <c r="AS447" s="144">
        <v>0.9659537215243875</v>
      </c>
      <c r="AT447" s="144">
        <v>-0.026953721524387575</v>
      </c>
      <c r="AU447" s="146" t="s">
        <v>1931</v>
      </c>
      <c r="AV447" s="146" t="s">
        <v>1931</v>
      </c>
      <c r="AW447" s="148" t="s">
        <v>1931</v>
      </c>
      <c r="AX447" s="151"/>
      <c r="AY447" s="105"/>
      <c r="AZ447" s="186"/>
      <c r="BA447" s="186"/>
      <c r="BB447" s="222"/>
      <c r="BC447" s="45"/>
      <c r="BD447" s="45"/>
      <c r="BE447" s="155"/>
      <c r="BF447" s="45"/>
    </row>
    <row r="448" ht="16.5" customHeight="1">
      <c r="A448" s="111">
        <v>445.0</v>
      </c>
      <c r="B448" s="112" t="s">
        <v>1876</v>
      </c>
      <c r="C448" s="115" t="s">
        <v>60</v>
      </c>
      <c r="D448" s="117">
        <v>41717.0</v>
      </c>
      <c r="E448" s="117">
        <v>42448.0</v>
      </c>
      <c r="F448" s="79" t="s">
        <v>59</v>
      </c>
      <c r="G448" s="118">
        <v>42900.0</v>
      </c>
      <c r="H448" s="114">
        <v>58.6</v>
      </c>
      <c r="I448" s="120">
        <v>376.0</v>
      </c>
      <c r="J448" s="111" t="s">
        <v>62</v>
      </c>
      <c r="K448" s="121">
        <v>376.0</v>
      </c>
      <c r="L448" s="120" t="s">
        <v>63</v>
      </c>
      <c r="M448" s="120"/>
      <c r="N448" s="120"/>
      <c r="O448" s="124">
        <v>42900.0</v>
      </c>
      <c r="P448" s="124">
        <v>732.0</v>
      </c>
      <c r="Q448" s="111">
        <v>222.0</v>
      </c>
      <c r="R448" s="125">
        <v>399.0</v>
      </c>
      <c r="S448" s="126">
        <v>0.9424</v>
      </c>
      <c r="T448" s="127">
        <v>73036.0</v>
      </c>
      <c r="U448" s="128">
        <f t="shared" si="2"/>
        <v>0</v>
      </c>
      <c r="V448" s="79"/>
      <c r="W448" s="79"/>
      <c r="X448" s="79"/>
      <c r="Y448" s="130"/>
      <c r="Z448" s="111"/>
      <c r="AA448" s="133"/>
      <c r="AB448" s="133"/>
      <c r="AC448" s="133"/>
      <c r="AD448" s="133"/>
      <c r="AE448" s="133"/>
      <c r="AF448" s="111"/>
      <c r="AG448" s="147"/>
      <c r="AH448" s="73"/>
      <c r="AI448" s="135"/>
      <c r="AJ448" s="136"/>
      <c r="AK448" s="76"/>
      <c r="AL448" s="137"/>
      <c r="AM448" s="139" t="s">
        <v>71</v>
      </c>
      <c r="AN448" s="139">
        <v>732.0</v>
      </c>
      <c r="AO448" s="140">
        <v>126.56</v>
      </c>
      <c r="AP448" s="142">
        <v>42900.0</v>
      </c>
      <c r="AQ448" s="142">
        <v>222.0</v>
      </c>
      <c r="AR448" s="143"/>
      <c r="AS448" s="144">
        <v>0.9587878754085001</v>
      </c>
      <c r="AT448" s="144">
        <v>-0.016387875408500063</v>
      </c>
      <c r="AU448" s="146" t="s">
        <v>1932</v>
      </c>
      <c r="AV448" s="146" t="s">
        <v>1932</v>
      </c>
      <c r="AW448" s="148" t="s">
        <v>1932</v>
      </c>
      <c r="AX448" s="151"/>
      <c r="AY448" s="105"/>
      <c r="AZ448" s="186"/>
      <c r="BA448" s="186"/>
      <c r="BB448" s="222"/>
      <c r="BC448" s="45"/>
      <c r="BD448" s="45"/>
      <c r="BE448" s="155"/>
      <c r="BF448" s="45"/>
    </row>
    <row r="449" ht="16.5" customHeight="1">
      <c r="A449" s="111">
        <v>446.0</v>
      </c>
      <c r="B449" s="112" t="s">
        <v>1128</v>
      </c>
      <c r="C449" s="115" t="s">
        <v>60</v>
      </c>
      <c r="D449" s="117">
        <v>42137.0</v>
      </c>
      <c r="E449" s="117">
        <v>42449.0</v>
      </c>
      <c r="F449" s="79" t="s">
        <v>59</v>
      </c>
      <c r="G449" s="118">
        <v>28479.0</v>
      </c>
      <c r="H449" s="114">
        <v>91.0</v>
      </c>
      <c r="I449" s="120">
        <v>381.0</v>
      </c>
      <c r="J449" s="111" t="s">
        <v>61</v>
      </c>
      <c r="K449" s="121">
        <v>385.82</v>
      </c>
      <c r="L449" s="120" t="s">
        <v>63</v>
      </c>
      <c r="M449" s="120"/>
      <c r="N449" s="120"/>
      <c r="O449" s="124">
        <v>28479.0</v>
      </c>
      <c r="P449" s="124">
        <v>313.0</v>
      </c>
      <c r="Q449" s="111">
        <v>212.0</v>
      </c>
      <c r="R449" s="125">
        <v>399.0</v>
      </c>
      <c r="S449" s="126">
        <v>0.967</v>
      </c>
      <c r="T449" s="127">
        <v>74942.5</v>
      </c>
      <c r="U449" s="128">
        <f t="shared" si="2"/>
        <v>0</v>
      </c>
      <c r="V449" s="79" t="s">
        <v>67</v>
      </c>
      <c r="W449" s="79" t="s">
        <v>64</v>
      </c>
      <c r="X449" s="79" t="s">
        <v>69</v>
      </c>
      <c r="Y449" s="130">
        <v>0.8</v>
      </c>
      <c r="Z449" s="111">
        <v>11.0</v>
      </c>
      <c r="AA449" s="133"/>
      <c r="AB449" s="133"/>
      <c r="AC449" s="133"/>
      <c r="AD449" s="133"/>
      <c r="AE449" s="133"/>
      <c r="AF449" s="111"/>
      <c r="AG449" s="134"/>
      <c r="AH449" s="73"/>
      <c r="AI449" s="135"/>
      <c r="AJ449" s="136"/>
      <c r="AK449" s="76"/>
      <c r="AL449" s="137"/>
      <c r="AM449" s="139" t="s">
        <v>71</v>
      </c>
      <c r="AN449" s="139">
        <v>313.0</v>
      </c>
      <c r="AO449" s="140">
        <v>79.22</v>
      </c>
      <c r="AP449" s="142">
        <v>28479.0</v>
      </c>
      <c r="AQ449" s="142">
        <v>212.0</v>
      </c>
      <c r="AR449" s="143"/>
      <c r="AS449" s="144">
        <v>0.9661630258758461</v>
      </c>
      <c r="AT449" s="144">
        <v>8.369741241538442E-4</v>
      </c>
      <c r="AU449" s="146" t="s">
        <v>1933</v>
      </c>
      <c r="AV449" s="146" t="s">
        <v>1933</v>
      </c>
      <c r="AW449" s="148" t="s">
        <v>1933</v>
      </c>
      <c r="AX449" s="151"/>
      <c r="AY449" s="105"/>
      <c r="AZ449" s="186"/>
      <c r="BA449" s="186"/>
      <c r="BB449" s="222"/>
      <c r="BC449" s="45"/>
      <c r="BD449" s="45"/>
      <c r="BE449" s="155"/>
      <c r="BF449" s="45"/>
    </row>
    <row r="450" ht="16.5" customHeight="1">
      <c r="A450" s="111">
        <v>447.0</v>
      </c>
      <c r="B450" s="112" t="s">
        <v>1637</v>
      </c>
      <c r="C450" s="115" t="s">
        <v>60</v>
      </c>
      <c r="D450" s="117">
        <v>42235.0</v>
      </c>
      <c r="E450" s="117">
        <v>42454.0</v>
      </c>
      <c r="F450" s="79" t="s">
        <v>118</v>
      </c>
      <c r="G450" s="118">
        <v>29300.0</v>
      </c>
      <c r="H450" s="114">
        <v>133.2</v>
      </c>
      <c r="I450" s="120">
        <v>356.0</v>
      </c>
      <c r="J450" s="111" t="s">
        <v>61</v>
      </c>
      <c r="K450" s="121">
        <v>360.51</v>
      </c>
      <c r="L450" s="120" t="s">
        <v>63</v>
      </c>
      <c r="M450" s="120"/>
      <c r="N450" s="120"/>
      <c r="O450" s="124">
        <v>29300.0</v>
      </c>
      <c r="P450" s="124">
        <v>220.0</v>
      </c>
      <c r="Q450" s="111">
        <v>224.0</v>
      </c>
      <c r="R450" s="125">
        <v>365.0</v>
      </c>
      <c r="S450" s="126">
        <v>0.9877</v>
      </c>
      <c r="T450" s="127">
        <v>67953.76</v>
      </c>
      <c r="U450" s="128">
        <f t="shared" si="2"/>
        <v>0</v>
      </c>
      <c r="V450" s="79" t="s">
        <v>80</v>
      </c>
      <c r="W450" s="79" t="s">
        <v>64</v>
      </c>
      <c r="X450" s="79" t="s">
        <v>66</v>
      </c>
      <c r="Y450" s="130">
        <v>0.8</v>
      </c>
      <c r="Z450" s="111">
        <v>11.0</v>
      </c>
      <c r="AA450" s="111">
        <v>365.0</v>
      </c>
      <c r="AB450" s="111" t="s">
        <v>61</v>
      </c>
      <c r="AC450" s="133"/>
      <c r="AD450" s="133"/>
      <c r="AE450" s="133"/>
      <c r="AF450" s="111"/>
      <c r="AG450" s="147"/>
      <c r="AH450" s="73"/>
      <c r="AI450" s="135"/>
      <c r="AJ450" s="136"/>
      <c r="AK450" s="76"/>
      <c r="AL450" s="137"/>
      <c r="AM450" s="139">
        <v>370.0</v>
      </c>
      <c r="AN450" s="139">
        <v>220.0</v>
      </c>
      <c r="AO450" s="140">
        <v>96.0</v>
      </c>
      <c r="AP450" s="142">
        <v>29300.0</v>
      </c>
      <c r="AQ450" s="142">
        <v>224.0</v>
      </c>
      <c r="AR450" s="143"/>
      <c r="AS450" s="144">
        <v>0.9656405204932724</v>
      </c>
      <c r="AT450" s="144">
        <v>0.022059479506727597</v>
      </c>
      <c r="AU450" s="146" t="s">
        <v>1934</v>
      </c>
      <c r="AV450" s="146" t="s">
        <v>1934</v>
      </c>
      <c r="AW450" s="148" t="s">
        <v>1934</v>
      </c>
      <c r="AX450" s="151"/>
      <c r="AY450" s="105"/>
      <c r="AZ450" s="186"/>
      <c r="BA450" s="186"/>
      <c r="BB450" s="222"/>
      <c r="BC450" s="45"/>
      <c r="BD450" s="45"/>
      <c r="BE450" s="211"/>
      <c r="BF450" s="45"/>
    </row>
    <row r="451" ht="16.5" customHeight="1">
      <c r="A451" s="111">
        <v>448.0</v>
      </c>
      <c r="B451" s="112" t="s">
        <v>1882</v>
      </c>
      <c r="C451" s="115" t="s">
        <v>60</v>
      </c>
      <c r="D451" s="117">
        <v>42342.0</v>
      </c>
      <c r="E451" s="117">
        <v>42454.0</v>
      </c>
      <c r="F451" s="79" t="s">
        <v>118</v>
      </c>
      <c r="G451" s="118">
        <v>11500.0</v>
      </c>
      <c r="H451" s="114">
        <v>101.8</v>
      </c>
      <c r="I451" s="120">
        <v>360.0</v>
      </c>
      <c r="J451" s="111" t="s">
        <v>61</v>
      </c>
      <c r="K451" s="121">
        <v>364.56</v>
      </c>
      <c r="L451" s="120" t="s">
        <v>63</v>
      </c>
      <c r="M451" s="120"/>
      <c r="N451" s="120"/>
      <c r="O451" s="124">
        <v>11500.0</v>
      </c>
      <c r="P451" s="124">
        <v>113.0</v>
      </c>
      <c r="Q451" s="111">
        <v>223.0</v>
      </c>
      <c r="R451" s="125">
        <v>365.0</v>
      </c>
      <c r="S451" s="126">
        <v>0.9988</v>
      </c>
      <c r="T451" s="127">
        <v>68717.44</v>
      </c>
      <c r="U451" s="128">
        <f t="shared" si="2"/>
        <v>0</v>
      </c>
      <c r="V451" s="79"/>
      <c r="W451" s="79" t="s">
        <v>69</v>
      </c>
      <c r="X451" s="79" t="s">
        <v>68</v>
      </c>
      <c r="Y451" s="130">
        <v>0.8</v>
      </c>
      <c r="Z451" s="111">
        <v>11.0</v>
      </c>
      <c r="AA451" s="111">
        <v>365.0</v>
      </c>
      <c r="AB451" s="111" t="s">
        <v>61</v>
      </c>
      <c r="AC451" s="133"/>
      <c r="AD451" s="133"/>
      <c r="AE451" s="133"/>
      <c r="AF451" s="111"/>
      <c r="AG451" s="147"/>
      <c r="AH451" s="73"/>
      <c r="AI451" s="135"/>
      <c r="AJ451" s="136"/>
      <c r="AK451" s="76"/>
      <c r="AL451" s="137"/>
      <c r="AM451" s="139">
        <v>370.0</v>
      </c>
      <c r="AN451" s="139">
        <v>113.0</v>
      </c>
      <c r="AO451" s="140">
        <v>37.3</v>
      </c>
      <c r="AP451" s="142">
        <v>11500.0</v>
      </c>
      <c r="AQ451" s="142">
        <v>223.0</v>
      </c>
      <c r="AR451" s="143"/>
      <c r="AS451" s="144">
        <v>0.9815548664970688</v>
      </c>
      <c r="AT451" s="144">
        <v>0.01724513350293122</v>
      </c>
      <c r="AU451" s="146" t="s">
        <v>1935</v>
      </c>
      <c r="AV451" s="146" t="s">
        <v>1935</v>
      </c>
      <c r="AW451" s="148" t="s">
        <v>1935</v>
      </c>
      <c r="AX451" s="151"/>
      <c r="AY451" s="105"/>
      <c r="AZ451" s="186"/>
      <c r="BA451" s="186"/>
      <c r="BB451" s="222"/>
      <c r="BC451" s="45"/>
      <c r="BD451" s="45"/>
      <c r="BE451" s="155"/>
      <c r="BF451" s="45"/>
    </row>
    <row r="452" ht="16.5" customHeight="1">
      <c r="A452" s="111">
        <v>449.0</v>
      </c>
      <c r="B452" s="112" t="s">
        <v>1786</v>
      </c>
      <c r="C452" s="115" t="s">
        <v>60</v>
      </c>
      <c r="D452" s="117">
        <v>41628.0</v>
      </c>
      <c r="E452" s="117">
        <v>42454.0</v>
      </c>
      <c r="F452" s="79" t="s">
        <v>59</v>
      </c>
      <c r="G452" s="118">
        <v>51000.0</v>
      </c>
      <c r="H452" s="114">
        <v>61.7</v>
      </c>
      <c r="I452" s="120">
        <v>369.0</v>
      </c>
      <c r="J452" s="111" t="s">
        <v>61</v>
      </c>
      <c r="K452" s="121">
        <v>373.67</v>
      </c>
      <c r="L452" s="120" t="s">
        <v>63</v>
      </c>
      <c r="M452" s="120"/>
      <c r="N452" s="120"/>
      <c r="O452" s="124">
        <v>51000.0</v>
      </c>
      <c r="P452" s="124">
        <v>827.0</v>
      </c>
      <c r="Q452" s="111">
        <v>222.0</v>
      </c>
      <c r="R452" s="125">
        <v>399.0</v>
      </c>
      <c r="S452" s="126">
        <v>0.9365</v>
      </c>
      <c r="T452" s="127">
        <v>72578.75</v>
      </c>
      <c r="U452" s="128">
        <f t="shared" si="2"/>
        <v>0</v>
      </c>
      <c r="V452" s="79" t="s">
        <v>69</v>
      </c>
      <c r="W452" s="79" t="s">
        <v>69</v>
      </c>
      <c r="X452" s="79" t="s">
        <v>66</v>
      </c>
      <c r="Y452" s="130">
        <v>0.8</v>
      </c>
      <c r="Z452" s="111" t="s">
        <v>1936</v>
      </c>
      <c r="AA452" s="133"/>
      <c r="AB452" s="133"/>
      <c r="AC452" s="133"/>
      <c r="AD452" s="133"/>
      <c r="AE452" s="133"/>
      <c r="AF452" s="111"/>
      <c r="AG452" s="147"/>
      <c r="AH452" s="73"/>
      <c r="AI452" s="135"/>
      <c r="AJ452" s="136"/>
      <c r="AK452" s="76"/>
      <c r="AL452" s="137"/>
      <c r="AM452" s="139" t="s">
        <v>71</v>
      </c>
      <c r="AN452" s="139">
        <v>827.0</v>
      </c>
      <c r="AO452" s="140">
        <v>150.92</v>
      </c>
      <c r="AP452" s="142">
        <v>51000.0</v>
      </c>
      <c r="AQ452" s="142">
        <v>222.0</v>
      </c>
      <c r="AR452" s="143"/>
      <c r="AS452" s="144">
        <v>0.9558527141133957</v>
      </c>
      <c r="AT452" s="144">
        <v>-0.019352714113395675</v>
      </c>
      <c r="AU452" s="146" t="s">
        <v>1937</v>
      </c>
      <c r="AV452" s="146" t="s">
        <v>1937</v>
      </c>
      <c r="AW452" s="148" t="s">
        <v>1937</v>
      </c>
      <c r="AX452" s="151"/>
      <c r="AY452" s="105"/>
      <c r="AZ452" s="186"/>
      <c r="BA452" s="186"/>
      <c r="BB452" s="222"/>
      <c r="BC452" s="45"/>
      <c r="BD452" s="45"/>
      <c r="BE452" s="155"/>
      <c r="BF452" s="45"/>
    </row>
    <row r="453" ht="16.5" customHeight="1">
      <c r="A453" s="111">
        <v>450.0</v>
      </c>
      <c r="B453" s="112" t="s">
        <v>548</v>
      </c>
      <c r="C453" s="115" t="s">
        <v>60</v>
      </c>
      <c r="D453" s="117">
        <v>41631.0</v>
      </c>
      <c r="E453" s="117">
        <v>42457.0</v>
      </c>
      <c r="F453" s="79" t="s">
        <v>79</v>
      </c>
      <c r="G453" s="118">
        <v>71000.0</v>
      </c>
      <c r="H453" s="114">
        <v>85.9</v>
      </c>
      <c r="I453" s="120">
        <v>376.0</v>
      </c>
      <c r="J453" s="111" t="s">
        <v>61</v>
      </c>
      <c r="K453" s="121">
        <v>380.76</v>
      </c>
      <c r="L453" s="120" t="s">
        <v>63</v>
      </c>
      <c r="M453" s="120"/>
      <c r="N453" s="120"/>
      <c r="O453" s="124">
        <v>71000.0</v>
      </c>
      <c r="P453" s="124">
        <v>827.0</v>
      </c>
      <c r="Q453" s="111">
        <v>221.0</v>
      </c>
      <c r="R453" s="125">
        <v>399.0</v>
      </c>
      <c r="S453" s="126">
        <v>0.9543</v>
      </c>
      <c r="T453" s="127">
        <v>73958.25</v>
      </c>
      <c r="U453" s="128">
        <f t="shared" si="2"/>
        <v>0</v>
      </c>
      <c r="V453" s="79" t="s">
        <v>69</v>
      </c>
      <c r="W453" s="79" t="s">
        <v>69</v>
      </c>
      <c r="X453" s="79" t="s">
        <v>69</v>
      </c>
      <c r="Y453" s="130">
        <v>0.9</v>
      </c>
      <c r="Z453" s="111">
        <v>11.0</v>
      </c>
      <c r="AA453" s="111">
        <v>396.0</v>
      </c>
      <c r="AB453" s="111" t="s">
        <v>61</v>
      </c>
      <c r="AC453" s="133"/>
      <c r="AD453" s="133"/>
      <c r="AE453" s="133"/>
      <c r="AF453" s="111"/>
      <c r="AG453" s="147"/>
      <c r="AH453" s="73"/>
      <c r="AI453" s="135"/>
      <c r="AJ453" s="136"/>
      <c r="AK453" s="76"/>
      <c r="AL453" s="137"/>
      <c r="AM453" s="139">
        <v>401.0</v>
      </c>
      <c r="AN453" s="139">
        <v>827.0</v>
      </c>
      <c r="AO453" s="140">
        <v>207.23</v>
      </c>
      <c r="AP453" s="142">
        <v>71000.0</v>
      </c>
      <c r="AQ453" s="142">
        <v>221.0</v>
      </c>
      <c r="AR453" s="143"/>
      <c r="AS453" s="144">
        <v>0.9505359700279581</v>
      </c>
      <c r="AT453" s="144">
        <v>0.003764029972041949</v>
      </c>
      <c r="AU453" s="146" t="s">
        <v>1938</v>
      </c>
      <c r="AV453" s="146" t="s">
        <v>1938</v>
      </c>
      <c r="AW453" s="148" t="s">
        <v>1938</v>
      </c>
      <c r="AX453" s="151"/>
      <c r="AY453" s="105"/>
      <c r="AZ453" s="186"/>
      <c r="BA453" s="186"/>
      <c r="BB453" s="222"/>
      <c r="BC453" s="45"/>
      <c r="BD453" s="45"/>
      <c r="BE453" s="155"/>
      <c r="BF453" s="45"/>
    </row>
    <row r="454" ht="16.5" customHeight="1">
      <c r="A454" s="111">
        <v>451.0</v>
      </c>
      <c r="B454" s="112" t="s">
        <v>1783</v>
      </c>
      <c r="C454" s="115" t="s">
        <v>60</v>
      </c>
      <c r="D454" s="117">
        <v>42180.0</v>
      </c>
      <c r="E454" s="117">
        <v>42405.0</v>
      </c>
      <c r="F454" s="79" t="s">
        <v>59</v>
      </c>
      <c r="G454" s="118">
        <v>24639.0</v>
      </c>
      <c r="H454" s="114">
        <v>109.0</v>
      </c>
      <c r="I454" s="120">
        <v>382.0</v>
      </c>
      <c r="J454" s="111" t="s">
        <v>61</v>
      </c>
      <c r="K454" s="121">
        <v>386.84</v>
      </c>
      <c r="L454" s="120" t="s">
        <v>63</v>
      </c>
      <c r="M454" s="120"/>
      <c r="N454" s="120"/>
      <c r="O454" s="124">
        <v>24639.0</v>
      </c>
      <c r="P454" s="124">
        <v>226.0</v>
      </c>
      <c r="Q454" s="111">
        <v>228.0</v>
      </c>
      <c r="R454" s="125">
        <v>399.0</v>
      </c>
      <c r="S454" s="126">
        <v>0.9695</v>
      </c>
      <c r="T454" s="127">
        <v>75136.25</v>
      </c>
      <c r="U454" s="128">
        <f t="shared" si="2"/>
        <v>0</v>
      </c>
      <c r="V454" s="79" t="s">
        <v>65</v>
      </c>
      <c r="W454" s="79" t="s">
        <v>69</v>
      </c>
      <c r="X454" s="79" t="s">
        <v>69</v>
      </c>
      <c r="Y454" s="130">
        <v>0.8</v>
      </c>
      <c r="Z454" s="111">
        <v>11.0</v>
      </c>
      <c r="AA454" s="133"/>
      <c r="AB454" s="133"/>
      <c r="AC454" s="133"/>
      <c r="AD454" s="133"/>
      <c r="AE454" s="133"/>
      <c r="AF454" s="111"/>
      <c r="AG454" s="147"/>
      <c r="AH454" s="73"/>
      <c r="AI454" s="135"/>
      <c r="AJ454" s="136"/>
      <c r="AK454" s="76"/>
      <c r="AL454" s="137"/>
      <c r="AM454" s="139" t="s">
        <v>71</v>
      </c>
      <c r="AN454" s="139">
        <v>226.0</v>
      </c>
      <c r="AO454" s="140">
        <v>73.62</v>
      </c>
      <c r="AP454" s="142">
        <v>24639.0</v>
      </c>
      <c r="AQ454" s="142">
        <v>228.0</v>
      </c>
      <c r="AR454" s="143"/>
      <c r="AS454" s="144">
        <v>0.9688238125678185</v>
      </c>
      <c r="AT454" s="144">
        <v>6.761874321815631E-4</v>
      </c>
      <c r="AU454" s="146" t="s">
        <v>1939</v>
      </c>
      <c r="AV454" s="146" t="s">
        <v>1939</v>
      </c>
      <c r="AW454" s="148" t="s">
        <v>1939</v>
      </c>
      <c r="AX454" s="151"/>
      <c r="AY454" s="105"/>
      <c r="AZ454" s="186"/>
      <c r="BA454" s="186"/>
      <c r="BB454" s="222"/>
      <c r="BC454" s="45"/>
      <c r="BD454" s="45"/>
      <c r="BE454" s="155"/>
      <c r="BF454" s="45"/>
    </row>
    <row r="455" ht="16.5" customHeight="1">
      <c r="A455" s="111">
        <v>452.0</v>
      </c>
      <c r="B455" s="112" t="s">
        <v>342</v>
      </c>
      <c r="C455" s="115" t="s">
        <v>60</v>
      </c>
      <c r="D455" s="117">
        <v>41613.0</v>
      </c>
      <c r="E455" s="117">
        <v>42457.0</v>
      </c>
      <c r="F455" s="79" t="s">
        <v>79</v>
      </c>
      <c r="G455" s="118">
        <v>69000.0</v>
      </c>
      <c r="H455" s="114">
        <v>81.7</v>
      </c>
      <c r="I455" s="120">
        <v>373.0</v>
      </c>
      <c r="J455" s="111" t="s">
        <v>61</v>
      </c>
      <c r="K455" s="121">
        <v>377.72</v>
      </c>
      <c r="L455" s="120" t="s">
        <v>63</v>
      </c>
      <c r="M455" s="120"/>
      <c r="N455" s="120"/>
      <c r="O455" s="124">
        <v>69000.0</v>
      </c>
      <c r="P455" s="124">
        <v>845.0</v>
      </c>
      <c r="Q455" s="111">
        <v>230.0</v>
      </c>
      <c r="R455" s="125">
        <v>399.0</v>
      </c>
      <c r="S455" s="126">
        <v>0.9467</v>
      </c>
      <c r="T455" s="127">
        <v>73369.25</v>
      </c>
      <c r="U455" s="128">
        <f t="shared" si="2"/>
        <v>0</v>
      </c>
      <c r="V455" s="79" t="s">
        <v>67</v>
      </c>
      <c r="W455" s="79" t="s">
        <v>66</v>
      </c>
      <c r="X455" s="79" t="s">
        <v>69</v>
      </c>
      <c r="Y455" s="130"/>
      <c r="Z455" s="111"/>
      <c r="AA455" s="133"/>
      <c r="AB455" s="133"/>
      <c r="AC455" s="133"/>
      <c r="AD455" s="133"/>
      <c r="AE455" s="133"/>
      <c r="AF455" s="111"/>
      <c r="AG455" s="147"/>
      <c r="AH455" s="73"/>
      <c r="AI455" s="135"/>
      <c r="AJ455" s="136"/>
      <c r="AK455" s="76"/>
      <c r="AL455" s="137"/>
      <c r="AM455" s="139" t="s">
        <v>71</v>
      </c>
      <c r="AN455" s="139">
        <v>845.0</v>
      </c>
      <c r="AO455" s="140">
        <v>210.42</v>
      </c>
      <c r="AP455" s="142">
        <v>69000.0</v>
      </c>
      <c r="AQ455" s="142">
        <v>230.0</v>
      </c>
      <c r="AR455" s="143"/>
      <c r="AS455" s="144">
        <v>0.9509867459889624</v>
      </c>
      <c r="AT455" s="144">
        <v>-0.004286745988962393</v>
      </c>
      <c r="AU455" s="146" t="s">
        <v>1940</v>
      </c>
      <c r="AV455" s="146" t="s">
        <v>1940</v>
      </c>
      <c r="AW455" s="148" t="s">
        <v>1940</v>
      </c>
      <c r="AX455" s="151"/>
      <c r="AY455" s="105"/>
      <c r="AZ455" s="186"/>
      <c r="BA455" s="186"/>
      <c r="BB455" s="222"/>
      <c r="BC455" s="45"/>
      <c r="BD455" s="45"/>
      <c r="BE455" s="155"/>
      <c r="BF455" s="45"/>
    </row>
    <row r="456" ht="16.5" customHeight="1">
      <c r="A456" s="111">
        <v>453.0</v>
      </c>
      <c r="B456" s="112" t="s">
        <v>1322</v>
      </c>
      <c r="C456" s="115" t="s">
        <v>60</v>
      </c>
      <c r="D456" s="117">
        <v>42110.0</v>
      </c>
      <c r="E456" s="117">
        <v>42459.0</v>
      </c>
      <c r="F456" s="79" t="s">
        <v>86</v>
      </c>
      <c r="G456" s="118">
        <v>41187.0</v>
      </c>
      <c r="H456" s="114">
        <v>117.7</v>
      </c>
      <c r="I456" s="120">
        <v>404.0</v>
      </c>
      <c r="J456" s="111" t="s">
        <v>62</v>
      </c>
      <c r="K456" s="121">
        <v>404.0</v>
      </c>
      <c r="L456" s="120" t="s">
        <v>63</v>
      </c>
      <c r="M456" s="120"/>
      <c r="N456" s="120"/>
      <c r="O456" s="124">
        <v>41187.0</v>
      </c>
      <c r="P456" s="124">
        <v>350.0</v>
      </c>
      <c r="Q456" s="111">
        <v>256.0</v>
      </c>
      <c r="R456" s="125">
        <v>430.0</v>
      </c>
      <c r="S456" s="126">
        <v>0.9395</v>
      </c>
      <c r="T456" s="127">
        <v>72811.25</v>
      </c>
      <c r="U456" s="128">
        <f t="shared" si="2"/>
        <v>0</v>
      </c>
      <c r="V456" s="79" t="s">
        <v>80</v>
      </c>
      <c r="W456" s="79" t="s">
        <v>69</v>
      </c>
      <c r="X456" s="79" t="s">
        <v>65</v>
      </c>
      <c r="Y456" s="130">
        <v>0.5</v>
      </c>
      <c r="Z456" s="111" t="s">
        <v>1941</v>
      </c>
      <c r="AA456" s="111">
        <v>404.0</v>
      </c>
      <c r="AB456" s="111" t="s">
        <v>62</v>
      </c>
      <c r="AC456" s="133"/>
      <c r="AD456" s="133"/>
      <c r="AE456" s="133"/>
      <c r="AF456" s="111"/>
      <c r="AG456" s="134"/>
      <c r="AH456" s="73"/>
      <c r="AI456" s="135"/>
      <c r="AJ456" s="136"/>
      <c r="AK456" s="76"/>
      <c r="AL456" s="137"/>
      <c r="AM456" s="139">
        <v>404.0</v>
      </c>
      <c r="AN456" s="139">
        <v>350.0</v>
      </c>
      <c r="AO456" s="140">
        <v>140.31</v>
      </c>
      <c r="AP456" s="142">
        <v>41187.0</v>
      </c>
      <c r="AQ456" s="142">
        <v>256.0</v>
      </c>
      <c r="AR456" s="143"/>
      <c r="AS456" s="144">
        <v>0.9594979492041709</v>
      </c>
      <c r="AT456" s="144">
        <v>-0.019997949204170862</v>
      </c>
      <c r="AU456" s="146" t="s">
        <v>1942</v>
      </c>
      <c r="AV456" s="146" t="s">
        <v>1942</v>
      </c>
      <c r="AW456" s="148" t="s">
        <v>1942</v>
      </c>
      <c r="AX456" s="151"/>
      <c r="AY456" s="105"/>
      <c r="AZ456" s="186"/>
      <c r="BA456" s="186"/>
      <c r="BB456" s="222"/>
      <c r="BC456" s="45"/>
      <c r="BD456" s="45"/>
      <c r="BE456" s="155"/>
      <c r="BF456" s="45"/>
    </row>
    <row r="457" ht="16.5" customHeight="1">
      <c r="A457" s="111">
        <v>454.0</v>
      </c>
      <c r="B457" s="112" t="s">
        <v>449</v>
      </c>
      <c r="C457" s="115" t="s">
        <v>60</v>
      </c>
      <c r="D457" s="117">
        <v>41598.0</v>
      </c>
      <c r="E457" s="117">
        <v>42449.0</v>
      </c>
      <c r="F457" s="79" t="s">
        <v>59</v>
      </c>
      <c r="G457" s="118">
        <v>126800.0</v>
      </c>
      <c r="H457" s="114">
        <v>148.8</v>
      </c>
      <c r="I457" s="120">
        <v>372.0</v>
      </c>
      <c r="J457" s="111" t="s">
        <v>62</v>
      </c>
      <c r="K457" s="121">
        <v>372.0</v>
      </c>
      <c r="L457" s="120" t="s">
        <v>63</v>
      </c>
      <c r="M457" s="120"/>
      <c r="N457" s="120"/>
      <c r="O457" s="124">
        <v>126800.0</v>
      </c>
      <c r="P457" s="124">
        <v>852.0</v>
      </c>
      <c r="Q457" s="111">
        <v>187.0</v>
      </c>
      <c r="R457" s="125">
        <v>399.0</v>
      </c>
      <c r="S457" s="126">
        <v>0.9323</v>
      </c>
      <c r="T457" s="127">
        <v>72253.25</v>
      </c>
      <c r="U457" s="128">
        <f t="shared" si="2"/>
        <v>0</v>
      </c>
      <c r="V457" s="79" t="s">
        <v>80</v>
      </c>
      <c r="W457" s="79" t="s">
        <v>65</v>
      </c>
      <c r="X457" s="79" t="s">
        <v>66</v>
      </c>
      <c r="Y457" s="130">
        <v>0.7</v>
      </c>
      <c r="Z457" s="111">
        <v>12.0</v>
      </c>
      <c r="AA457" s="133"/>
      <c r="AB457" s="133"/>
      <c r="AC457" s="133"/>
      <c r="AD457" s="133"/>
      <c r="AE457" s="133"/>
      <c r="AF457" s="111"/>
      <c r="AG457" s="147"/>
      <c r="AH457" s="73"/>
      <c r="AI457" s="135"/>
      <c r="AJ457" s="136"/>
      <c r="AK457" s="76"/>
      <c r="AL457" s="137"/>
      <c r="AM457" s="139" t="s">
        <v>71</v>
      </c>
      <c r="AN457" s="139">
        <v>852.0</v>
      </c>
      <c r="AO457" s="140">
        <v>316.71</v>
      </c>
      <c r="AP457" s="142">
        <v>126800.0</v>
      </c>
      <c r="AQ457" s="142">
        <v>187.0</v>
      </c>
      <c r="AR457" s="143"/>
      <c r="AS457" s="144">
        <v>0.9405176315788224</v>
      </c>
      <c r="AT457" s="144">
        <v>-0.008217631578822382</v>
      </c>
      <c r="AU457" s="146" t="s">
        <v>1943</v>
      </c>
      <c r="AV457" s="146" t="s">
        <v>1943</v>
      </c>
      <c r="AW457" s="148" t="s">
        <v>1943</v>
      </c>
      <c r="AX457" s="151"/>
      <c r="AY457" s="105"/>
      <c r="AZ457" s="186"/>
      <c r="BA457" s="186"/>
      <c r="BB457" s="222"/>
      <c r="BC457" s="45"/>
      <c r="BD457" s="45"/>
      <c r="BE457" s="155"/>
      <c r="BF457" s="45"/>
    </row>
    <row r="458" ht="16.5" customHeight="1">
      <c r="A458" s="111">
        <v>455.0</v>
      </c>
      <c r="B458" s="112" t="s">
        <v>1847</v>
      </c>
      <c r="C458" s="115" t="s">
        <v>60</v>
      </c>
      <c r="D458" s="117">
        <v>42094.0</v>
      </c>
      <c r="E458" s="117">
        <v>42519.0</v>
      </c>
      <c r="F458" s="79" t="s">
        <v>90</v>
      </c>
      <c r="G458" s="118">
        <v>53000.0</v>
      </c>
      <c r="H458" s="114">
        <v>124.4</v>
      </c>
      <c r="I458" s="120">
        <v>375.0</v>
      </c>
      <c r="J458" s="111" t="s">
        <v>61</v>
      </c>
      <c r="K458" s="121">
        <v>379.75</v>
      </c>
      <c r="L458" s="120" t="s">
        <v>63</v>
      </c>
      <c r="M458" s="120"/>
      <c r="N458" s="120"/>
      <c r="O458" s="124">
        <v>53000.0</v>
      </c>
      <c r="P458" s="124">
        <v>426.0</v>
      </c>
      <c r="Q458" s="111">
        <v>220.0</v>
      </c>
      <c r="R458" s="125">
        <v>408.0</v>
      </c>
      <c r="S458" s="126">
        <v>0.9308</v>
      </c>
      <c r="T458" s="127">
        <v>72137.0</v>
      </c>
      <c r="U458" s="128">
        <f t="shared" si="2"/>
        <v>0</v>
      </c>
      <c r="V458" s="79" t="s">
        <v>67</v>
      </c>
      <c r="W458" s="79" t="s">
        <v>64</v>
      </c>
      <c r="X458" s="79" t="s">
        <v>69</v>
      </c>
      <c r="Y458" s="130">
        <v>0.8</v>
      </c>
      <c r="Z458" s="111">
        <v>11.0</v>
      </c>
      <c r="AA458" s="111">
        <v>407.0</v>
      </c>
      <c r="AB458" s="111" t="s">
        <v>61</v>
      </c>
      <c r="AC458" s="133"/>
      <c r="AD458" s="133"/>
      <c r="AE458" s="133"/>
      <c r="AF458" s="111"/>
      <c r="AG458" s="147"/>
      <c r="AH458" s="73"/>
      <c r="AI458" s="135"/>
      <c r="AJ458" s="136"/>
      <c r="AK458" s="76"/>
      <c r="AL458" s="137"/>
      <c r="AM458" s="139">
        <v>412.0</v>
      </c>
      <c r="AN458" s="139">
        <v>426.0</v>
      </c>
      <c r="AO458" s="140">
        <v>155.86</v>
      </c>
      <c r="AP458" s="142">
        <v>53000.0</v>
      </c>
      <c r="AQ458" s="142">
        <v>220.0</v>
      </c>
      <c r="AR458" s="143"/>
      <c r="AS458" s="144">
        <v>0.9552171790252348</v>
      </c>
      <c r="AT458" s="144">
        <v>-0.02441717902523488</v>
      </c>
      <c r="AU458" s="146" t="s">
        <v>1945</v>
      </c>
      <c r="AV458" s="146" t="s">
        <v>1945</v>
      </c>
      <c r="AW458" s="148" t="s">
        <v>1945</v>
      </c>
      <c r="AX458" s="151"/>
      <c r="AY458" s="105"/>
      <c r="AZ458" s="186"/>
      <c r="BA458" s="186"/>
      <c r="BB458" s="222"/>
      <c r="BC458" s="45"/>
      <c r="BD458" s="45"/>
      <c r="BE458" s="155"/>
      <c r="BF458" s="45"/>
    </row>
    <row r="459" ht="16.5" customHeight="1">
      <c r="A459" s="111">
        <v>456.0</v>
      </c>
      <c r="B459" s="112" t="s">
        <v>1805</v>
      </c>
      <c r="C459" s="115" t="s">
        <v>60</v>
      </c>
      <c r="D459" s="117">
        <v>42156.0</v>
      </c>
      <c r="E459" s="117">
        <v>42459.0</v>
      </c>
      <c r="F459" s="79" t="s">
        <v>118</v>
      </c>
      <c r="G459" s="118">
        <v>49987.0</v>
      </c>
      <c r="H459" s="114">
        <v>164.4</v>
      </c>
      <c r="I459" s="120">
        <v>358.0</v>
      </c>
      <c r="J459" s="111" t="s">
        <v>62</v>
      </c>
      <c r="K459" s="121">
        <v>358.0</v>
      </c>
      <c r="L459" s="120" t="s">
        <v>63</v>
      </c>
      <c r="M459" s="120"/>
      <c r="N459" s="120"/>
      <c r="O459" s="124">
        <v>49987.0</v>
      </c>
      <c r="P459" s="124">
        <v>304.0</v>
      </c>
      <c r="Q459" s="111">
        <v>207.0</v>
      </c>
      <c r="R459" s="125">
        <v>365.0</v>
      </c>
      <c r="S459" s="126">
        <v>0.9808</v>
      </c>
      <c r="T459" s="127">
        <v>67479.04</v>
      </c>
      <c r="U459" s="128">
        <f t="shared" si="2"/>
        <v>0</v>
      </c>
      <c r="V459" s="79" t="s">
        <v>80</v>
      </c>
      <c r="W459" s="79" t="s">
        <v>69</v>
      </c>
      <c r="X459" s="79" t="s">
        <v>68</v>
      </c>
      <c r="Y459" s="130"/>
      <c r="Z459" s="111"/>
      <c r="AA459" s="111">
        <v>366.0</v>
      </c>
      <c r="AB459" s="111" t="s">
        <v>62</v>
      </c>
      <c r="AC459" s="133"/>
      <c r="AD459" s="133"/>
      <c r="AE459" s="133"/>
      <c r="AF459" s="111"/>
      <c r="AG459" s="134" t="s">
        <v>1946</v>
      </c>
      <c r="AH459" s="73"/>
      <c r="AI459" s="135"/>
      <c r="AJ459" s="136"/>
      <c r="AK459" s="76"/>
      <c r="AL459" s="137"/>
      <c r="AM459" s="139">
        <v>366.0</v>
      </c>
      <c r="AN459" s="139">
        <v>304.0</v>
      </c>
      <c r="AO459" s="140">
        <v>151.87</v>
      </c>
      <c r="AP459" s="142">
        <v>49987.0</v>
      </c>
      <c r="AQ459" s="142">
        <v>207.0</v>
      </c>
      <c r="AR459" s="143"/>
      <c r="AS459" s="144">
        <v>0.9561866092364635</v>
      </c>
      <c r="AT459" s="144">
        <v>0.024613390763536525</v>
      </c>
      <c r="AU459" s="146" t="s">
        <v>1947</v>
      </c>
      <c r="AV459" s="146" t="s">
        <v>1947</v>
      </c>
      <c r="AW459" s="148" t="s">
        <v>1947</v>
      </c>
      <c r="AX459" s="151"/>
      <c r="AY459" s="105"/>
      <c r="AZ459" s="186"/>
      <c r="BA459" s="186"/>
      <c r="BB459" s="222"/>
      <c r="BC459" s="45"/>
      <c r="BD459" s="45"/>
      <c r="BE459" s="155"/>
      <c r="BF459" s="45"/>
    </row>
    <row r="460" ht="16.5" customHeight="1">
      <c r="A460" s="111">
        <v>457.0</v>
      </c>
      <c r="B460" s="112" t="s">
        <v>1128</v>
      </c>
      <c r="C460" s="115" t="s">
        <v>60</v>
      </c>
      <c r="D460" s="117">
        <v>42137.0</v>
      </c>
      <c r="E460" s="117">
        <v>42460.0</v>
      </c>
      <c r="F460" s="79" t="s">
        <v>59</v>
      </c>
      <c r="G460" s="118">
        <v>30311.0</v>
      </c>
      <c r="H460" s="114">
        <v>93.6</v>
      </c>
      <c r="I460" s="120">
        <v>388.0</v>
      </c>
      <c r="J460" s="111" t="s">
        <v>62</v>
      </c>
      <c r="K460" s="121">
        <v>388.0</v>
      </c>
      <c r="L460" s="120" t="s">
        <v>63</v>
      </c>
      <c r="M460" s="120"/>
      <c r="N460" s="120"/>
      <c r="O460" s="124">
        <v>30311.0</v>
      </c>
      <c r="P460" s="124">
        <v>324.0</v>
      </c>
      <c r="Q460" s="111">
        <v>210.0</v>
      </c>
      <c r="R460" s="125">
        <v>399.0</v>
      </c>
      <c r="S460" s="126">
        <v>0.9724</v>
      </c>
      <c r="T460" s="127">
        <v>75361.0</v>
      </c>
      <c r="U460" s="128">
        <f t="shared" si="2"/>
        <v>0</v>
      </c>
      <c r="V460" s="79"/>
      <c r="W460" s="79"/>
      <c r="X460" s="79"/>
      <c r="Y460" s="130"/>
      <c r="Z460" s="111"/>
      <c r="AA460" s="133"/>
      <c r="AB460" s="133"/>
      <c r="AC460" s="133"/>
      <c r="AD460" s="133"/>
      <c r="AE460" s="133"/>
      <c r="AF460" s="111"/>
      <c r="AG460" s="147"/>
      <c r="AH460" s="73"/>
      <c r="AI460" s="135"/>
      <c r="AJ460" s="136"/>
      <c r="AK460" s="76"/>
      <c r="AL460" s="137"/>
      <c r="AM460" s="139" t="s">
        <v>71</v>
      </c>
      <c r="AN460" s="139">
        <v>324.0</v>
      </c>
      <c r="AO460" s="140">
        <v>83.3</v>
      </c>
      <c r="AP460" s="142">
        <v>30311.0</v>
      </c>
      <c r="AQ460" s="142">
        <v>210.0</v>
      </c>
      <c r="AR460" s="143"/>
      <c r="AS460" s="144">
        <v>0.9650176051642012</v>
      </c>
      <c r="AT460" s="144">
        <v>0.007382394835798833</v>
      </c>
      <c r="AU460" s="146" t="s">
        <v>1949</v>
      </c>
      <c r="AV460" s="146" t="s">
        <v>1949</v>
      </c>
      <c r="AW460" s="148" t="s">
        <v>1949</v>
      </c>
      <c r="AX460" s="151"/>
      <c r="AY460" s="105"/>
      <c r="AZ460" s="186"/>
      <c r="BA460" s="186"/>
      <c r="BB460" s="222"/>
      <c r="BC460" s="45"/>
      <c r="BD460" s="45"/>
      <c r="BE460" s="155"/>
      <c r="BF460" s="45"/>
    </row>
    <row r="461" ht="16.5" customHeight="1">
      <c r="A461" s="111">
        <v>458.0</v>
      </c>
      <c r="B461" s="112" t="s">
        <v>1611</v>
      </c>
      <c r="C461" s="115" t="s">
        <v>60</v>
      </c>
      <c r="D461" s="117">
        <v>41715.0</v>
      </c>
      <c r="E461" s="117">
        <v>42461.0</v>
      </c>
      <c r="F461" s="79" t="s">
        <v>79</v>
      </c>
      <c r="G461" s="118">
        <v>70000.0</v>
      </c>
      <c r="H461" s="114">
        <v>93.7</v>
      </c>
      <c r="I461" s="120">
        <v>384.0</v>
      </c>
      <c r="J461" s="111" t="s">
        <v>61</v>
      </c>
      <c r="K461" s="121">
        <v>388.86</v>
      </c>
      <c r="L461" s="120" t="s">
        <v>63</v>
      </c>
      <c r="M461" s="120"/>
      <c r="N461" s="120"/>
      <c r="O461" s="124">
        <v>70000.0</v>
      </c>
      <c r="P461" s="124">
        <v>747.0</v>
      </c>
      <c r="Q461" s="111">
        <v>203.0</v>
      </c>
      <c r="R461" s="125">
        <v>399.0</v>
      </c>
      <c r="S461" s="126">
        <v>0.9746</v>
      </c>
      <c r="T461" s="127">
        <v>75531.5</v>
      </c>
      <c r="U461" s="128">
        <f t="shared" si="2"/>
        <v>0</v>
      </c>
      <c r="V461" s="79" t="s">
        <v>69</v>
      </c>
      <c r="W461" s="79" t="s">
        <v>69</v>
      </c>
      <c r="X461" s="79" t="s">
        <v>68</v>
      </c>
      <c r="Y461" s="130">
        <v>0.9</v>
      </c>
      <c r="Z461" s="111">
        <v>11.0</v>
      </c>
      <c r="AA461" s="111">
        <v>392.0</v>
      </c>
      <c r="AB461" s="111" t="s">
        <v>61</v>
      </c>
      <c r="AC461" s="133"/>
      <c r="AD461" s="133"/>
      <c r="AE461" s="133"/>
      <c r="AF461" s="111"/>
      <c r="AG461" s="134" t="s">
        <v>1950</v>
      </c>
      <c r="AH461" s="73"/>
      <c r="AI461" s="135"/>
      <c r="AJ461" s="136"/>
      <c r="AK461" s="76"/>
      <c r="AL461" s="137"/>
      <c r="AM461" s="139">
        <v>397.0</v>
      </c>
      <c r="AN461" s="139">
        <v>747.0</v>
      </c>
      <c r="AO461" s="140">
        <v>185.74</v>
      </c>
      <c r="AP461" s="142">
        <v>70000.0</v>
      </c>
      <c r="AQ461" s="142">
        <v>203.0</v>
      </c>
      <c r="AR461" s="143"/>
      <c r="AS461" s="144">
        <v>0.9507597292562927</v>
      </c>
      <c r="AT461" s="144">
        <v>0.023840270743707315</v>
      </c>
      <c r="AU461" s="146" t="s">
        <v>1951</v>
      </c>
      <c r="AV461" s="146" t="s">
        <v>1951</v>
      </c>
      <c r="AW461" s="148" t="s">
        <v>1951</v>
      </c>
      <c r="AX461" s="151"/>
      <c r="AY461" s="105"/>
      <c r="AZ461" s="186"/>
      <c r="BA461" s="186"/>
      <c r="BB461" s="222"/>
      <c r="BC461" s="45"/>
      <c r="BD461" s="45"/>
      <c r="BE461" s="155"/>
      <c r="BF461" s="45"/>
    </row>
    <row r="462" ht="16.5" customHeight="1">
      <c r="A462" s="111">
        <v>459.0</v>
      </c>
      <c r="B462" s="112" t="s">
        <v>201</v>
      </c>
      <c r="C462" s="115" t="s">
        <v>60</v>
      </c>
      <c r="D462" s="592">
        <v>41724.0</v>
      </c>
      <c r="E462" s="117">
        <v>42461.0</v>
      </c>
      <c r="F462" s="79" t="s">
        <v>79</v>
      </c>
      <c r="G462" s="118">
        <v>54700.0</v>
      </c>
      <c r="H462" s="114">
        <v>74.1</v>
      </c>
      <c r="I462" s="120">
        <v>384.0</v>
      </c>
      <c r="J462" s="111" t="s">
        <v>62</v>
      </c>
      <c r="K462" s="121">
        <v>384.0</v>
      </c>
      <c r="L462" s="120" t="s">
        <v>63</v>
      </c>
      <c r="M462" s="120"/>
      <c r="N462" s="120"/>
      <c r="O462" s="124">
        <v>54700.0</v>
      </c>
      <c r="P462" s="124">
        <v>738.0</v>
      </c>
      <c r="Q462" s="111">
        <v>171.0</v>
      </c>
      <c r="R462" s="125">
        <v>399.0</v>
      </c>
      <c r="S462" s="126">
        <v>0.9624</v>
      </c>
      <c r="T462" s="127">
        <v>74586.0</v>
      </c>
      <c r="U462" s="128">
        <f t="shared" si="2"/>
        <v>0</v>
      </c>
      <c r="V462" s="79" t="s">
        <v>64</v>
      </c>
      <c r="W462" s="79" t="s">
        <v>69</v>
      </c>
      <c r="X462" s="79" t="s">
        <v>66</v>
      </c>
      <c r="Y462" s="130">
        <v>0.8</v>
      </c>
      <c r="Z462" s="111"/>
      <c r="AA462" s="133"/>
      <c r="AB462" s="133"/>
      <c r="AC462" s="133"/>
      <c r="AD462" s="133"/>
      <c r="AE462" s="133"/>
      <c r="AF462" s="111"/>
      <c r="AG462" s="147"/>
      <c r="AH462" s="73"/>
      <c r="AI462" s="135"/>
      <c r="AJ462" s="136"/>
      <c r="AK462" s="76"/>
      <c r="AL462" s="137"/>
      <c r="AM462" s="139" t="s">
        <v>71</v>
      </c>
      <c r="AN462" s="139">
        <v>738.0</v>
      </c>
      <c r="AO462" s="140">
        <v>123.04</v>
      </c>
      <c r="AP462" s="142">
        <v>54700.0</v>
      </c>
      <c r="AQ462" s="142">
        <v>171.0</v>
      </c>
      <c r="AR462" s="143"/>
      <c r="AS462" s="144">
        <v>0.9546999359585239</v>
      </c>
      <c r="AT462" s="144">
        <v>0.007700064041476162</v>
      </c>
      <c r="AU462" s="146" t="s">
        <v>1952</v>
      </c>
      <c r="AV462" s="146" t="s">
        <v>1952</v>
      </c>
      <c r="AW462" s="148" t="s">
        <v>1952</v>
      </c>
      <c r="AX462" s="151"/>
      <c r="AY462" s="105"/>
      <c r="AZ462" s="186"/>
      <c r="BA462" s="186"/>
      <c r="BB462" s="222"/>
      <c r="BC462" s="45"/>
      <c r="BD462" s="45"/>
      <c r="BE462" s="155"/>
      <c r="BF462" s="45"/>
    </row>
    <row r="463" ht="16.5" customHeight="1">
      <c r="A463" s="111">
        <v>460.0</v>
      </c>
      <c r="B463" s="112" t="s">
        <v>761</v>
      </c>
      <c r="C463" s="115" t="s">
        <v>60</v>
      </c>
      <c r="D463" s="157">
        <v>42097.0</v>
      </c>
      <c r="E463" s="117">
        <v>42464.0</v>
      </c>
      <c r="F463" s="79" t="s">
        <v>90</v>
      </c>
      <c r="G463" s="118">
        <v>24606.0</v>
      </c>
      <c r="H463" s="114">
        <v>66.9</v>
      </c>
      <c r="I463" s="120">
        <v>376.0</v>
      </c>
      <c r="J463" s="111" t="s">
        <v>62</v>
      </c>
      <c r="K463" s="121">
        <v>376.0</v>
      </c>
      <c r="L463" s="120" t="s">
        <v>63</v>
      </c>
      <c r="M463" s="120"/>
      <c r="N463" s="120"/>
      <c r="O463" s="124">
        <v>24606.0</v>
      </c>
      <c r="P463" s="124">
        <v>368.0</v>
      </c>
      <c r="Q463" s="111">
        <v>235.0</v>
      </c>
      <c r="R463" s="125">
        <v>408.0</v>
      </c>
      <c r="S463" s="126">
        <v>0.9216</v>
      </c>
      <c r="T463" s="127">
        <v>71424.0</v>
      </c>
      <c r="U463" s="128">
        <f t="shared" si="2"/>
        <v>0</v>
      </c>
      <c r="V463" s="79" t="s">
        <v>65</v>
      </c>
      <c r="W463" s="79" t="s">
        <v>64</v>
      </c>
      <c r="X463" s="79" t="s">
        <v>66</v>
      </c>
      <c r="Y463" s="130">
        <v>0.8</v>
      </c>
      <c r="Z463" s="111">
        <v>11.0</v>
      </c>
      <c r="AA463" s="111">
        <v>406.0</v>
      </c>
      <c r="AB463" s="111" t="s">
        <v>62</v>
      </c>
      <c r="AC463" s="133"/>
      <c r="AD463" s="133"/>
      <c r="AE463" s="133"/>
      <c r="AF463" s="111"/>
      <c r="AG463" s="134" t="s">
        <v>1899</v>
      </c>
      <c r="AH463" s="73"/>
      <c r="AI463" s="135"/>
      <c r="AJ463" s="136"/>
      <c r="AK463" s="76"/>
      <c r="AL463" s="137"/>
      <c r="AM463" s="139">
        <v>406.0</v>
      </c>
      <c r="AN463" s="139">
        <v>368.0</v>
      </c>
      <c r="AO463" s="140">
        <v>77.67</v>
      </c>
      <c r="AP463" s="142">
        <v>24606.0</v>
      </c>
      <c r="AQ463" s="142">
        <v>235.0</v>
      </c>
      <c r="AR463" s="143"/>
      <c r="AS463" s="144">
        <v>0.9688483458833506</v>
      </c>
      <c r="AT463" s="144">
        <v>-0.047248345883350584</v>
      </c>
      <c r="AU463" s="146" t="s">
        <v>1953</v>
      </c>
      <c r="AV463" s="146" t="s">
        <v>1953</v>
      </c>
      <c r="AW463" s="148" t="s">
        <v>1953</v>
      </c>
      <c r="AX463" s="151"/>
      <c r="AY463" s="105"/>
      <c r="AZ463" s="186"/>
      <c r="BA463" s="186"/>
      <c r="BB463" s="222"/>
      <c r="BC463" s="45"/>
      <c r="BD463" s="45"/>
      <c r="BE463" s="155"/>
      <c r="BF463" s="45"/>
    </row>
    <row r="464" ht="16.5" customHeight="1">
      <c r="A464" s="111">
        <v>461.0</v>
      </c>
      <c r="B464" s="112" t="s">
        <v>1826</v>
      </c>
      <c r="C464" s="115" t="s">
        <v>60</v>
      </c>
      <c r="D464" s="117">
        <v>41646.0</v>
      </c>
      <c r="E464" s="117">
        <v>42464.0</v>
      </c>
      <c r="F464" s="79" t="s">
        <v>79</v>
      </c>
      <c r="G464" s="118">
        <v>121121.0</v>
      </c>
      <c r="H464" s="114">
        <v>147.9</v>
      </c>
      <c r="I464" s="120">
        <v>373.0</v>
      </c>
      <c r="J464" s="111" t="s">
        <v>62</v>
      </c>
      <c r="K464" s="121">
        <v>373.0</v>
      </c>
      <c r="L464" s="120" t="s">
        <v>63</v>
      </c>
      <c r="M464" s="120"/>
      <c r="N464" s="120"/>
      <c r="O464" s="124">
        <v>121121.0</v>
      </c>
      <c r="P464" s="124">
        <v>819.0</v>
      </c>
      <c r="Q464" s="111">
        <v>214.0</v>
      </c>
      <c r="R464" s="125">
        <v>399.0</v>
      </c>
      <c r="S464" s="126">
        <v>0.9348</v>
      </c>
      <c r="T464" s="127">
        <v>72447.0</v>
      </c>
      <c r="U464" s="128">
        <f t="shared" si="2"/>
        <v>0</v>
      </c>
      <c r="V464" s="79" t="s">
        <v>67</v>
      </c>
      <c r="W464" s="79" t="s">
        <v>64</v>
      </c>
      <c r="X464" s="79" t="s">
        <v>66</v>
      </c>
      <c r="Y464" s="130">
        <v>0.9</v>
      </c>
      <c r="Z464" s="111">
        <v>11.0</v>
      </c>
      <c r="AA464" s="111">
        <v>407.0</v>
      </c>
      <c r="AB464" s="111" t="s">
        <v>62</v>
      </c>
      <c r="AC464" s="133"/>
      <c r="AD464" s="133"/>
      <c r="AE464" s="133"/>
      <c r="AF464" s="111"/>
      <c r="AG464" s="147"/>
      <c r="AH464" s="73"/>
      <c r="AI464" s="135"/>
      <c r="AJ464" s="136"/>
      <c r="AK464" s="76"/>
      <c r="AL464" s="137"/>
      <c r="AM464" s="139">
        <v>407.0</v>
      </c>
      <c r="AN464" s="139">
        <v>819.0</v>
      </c>
      <c r="AO464" s="140">
        <v>345.76</v>
      </c>
      <c r="AP464" s="142">
        <v>121121.0</v>
      </c>
      <c r="AQ464" s="142">
        <v>214.0</v>
      </c>
      <c r="AR464" s="143"/>
      <c r="AS464" s="144">
        <v>0.9414362036172762</v>
      </c>
      <c r="AT464" s="144">
        <v>-0.006636203617276237</v>
      </c>
      <c r="AU464" s="146" t="s">
        <v>1954</v>
      </c>
      <c r="AV464" s="146" t="s">
        <v>1954</v>
      </c>
      <c r="AW464" s="148" t="s">
        <v>1954</v>
      </c>
      <c r="AX464" s="151"/>
      <c r="AY464" s="105"/>
      <c r="AZ464" s="186"/>
      <c r="BA464" s="186"/>
      <c r="BB464" s="222"/>
      <c r="BC464" s="45"/>
      <c r="BD464" s="45"/>
      <c r="BE464" s="155"/>
      <c r="BF464" s="45"/>
    </row>
    <row r="465" ht="16.5" customHeight="1">
      <c r="A465" s="111">
        <v>462.0</v>
      </c>
      <c r="B465" s="112" t="s">
        <v>126</v>
      </c>
      <c r="C465" s="115" t="s">
        <v>60</v>
      </c>
      <c r="D465" s="592">
        <v>41527.0</v>
      </c>
      <c r="E465" s="117">
        <v>42465.0</v>
      </c>
      <c r="F465" s="79" t="s">
        <v>79</v>
      </c>
      <c r="G465" s="118">
        <v>165000.0</v>
      </c>
      <c r="H465" s="114">
        <v>175.7</v>
      </c>
      <c r="I465" s="120">
        <v>366.0</v>
      </c>
      <c r="J465" s="111" t="s">
        <v>61</v>
      </c>
      <c r="K465" s="121">
        <v>370.63</v>
      </c>
      <c r="L465" s="120" t="s">
        <v>63</v>
      </c>
      <c r="M465" s="120"/>
      <c r="N465" s="120"/>
      <c r="O465" s="124">
        <v>165000.0</v>
      </c>
      <c r="P465" s="124">
        <v>939.0</v>
      </c>
      <c r="Q465" s="111">
        <v>211.0</v>
      </c>
      <c r="R465" s="125">
        <v>399.0</v>
      </c>
      <c r="S465" s="126">
        <v>0.9289</v>
      </c>
      <c r="T465" s="127">
        <v>71989.75</v>
      </c>
      <c r="U465" s="128">
        <f t="shared" si="2"/>
        <v>0</v>
      </c>
      <c r="V465" s="79" t="s">
        <v>65</v>
      </c>
      <c r="W465" s="79" t="s">
        <v>127</v>
      </c>
      <c r="X465" s="79" t="s">
        <v>69</v>
      </c>
      <c r="Y465" s="130">
        <v>1.0</v>
      </c>
      <c r="Z465" s="111">
        <v>22.0</v>
      </c>
      <c r="AA465" s="111">
        <v>400.0</v>
      </c>
      <c r="AB465" s="111" t="s">
        <v>61</v>
      </c>
      <c r="AC465" s="111">
        <v>365.0</v>
      </c>
      <c r="AD465" s="111">
        <v>274.0</v>
      </c>
      <c r="AE465" s="111">
        <v>17.4</v>
      </c>
      <c r="AF465" s="111" t="s">
        <v>61</v>
      </c>
      <c r="AG465" s="134" t="s">
        <v>128</v>
      </c>
      <c r="AH465" s="73">
        <v>91.0</v>
      </c>
      <c r="AI465" s="135">
        <v>92.15189873417722</v>
      </c>
      <c r="AJ465" s="136">
        <v>69.98186785714284</v>
      </c>
      <c r="AK465" s="76">
        <v>0.9029918433179722</v>
      </c>
      <c r="AL465" s="137" t="s">
        <v>1955</v>
      </c>
      <c r="AM465" s="139">
        <v>405.0</v>
      </c>
      <c r="AN465" s="139">
        <v>939.0</v>
      </c>
      <c r="AO465" s="140">
        <v>465.82</v>
      </c>
      <c r="AP465" s="142">
        <v>165000.0</v>
      </c>
      <c r="AQ465" s="142">
        <v>211.0</v>
      </c>
      <c r="AR465" s="143"/>
      <c r="AS465" s="144">
        <v>0.9344624907850096</v>
      </c>
      <c r="AT465" s="144">
        <v>-0.005562490785009699</v>
      </c>
      <c r="AU465" s="146" t="s">
        <v>1956</v>
      </c>
      <c r="AV465" s="146" t="s">
        <v>1956</v>
      </c>
      <c r="AW465" s="148" t="s">
        <v>1956</v>
      </c>
      <c r="AX465" s="151"/>
      <c r="AY465" s="105"/>
      <c r="AZ465" s="186"/>
      <c r="BA465" s="186"/>
      <c r="BB465" s="222"/>
      <c r="BC465" s="45"/>
      <c r="BD465" s="45"/>
      <c r="BE465" s="155"/>
      <c r="BF465" s="45"/>
    </row>
    <row r="466" ht="16.5" customHeight="1">
      <c r="A466" s="111">
        <v>463.0</v>
      </c>
      <c r="B466" s="112" t="s">
        <v>761</v>
      </c>
      <c r="C466" s="115" t="s">
        <v>60</v>
      </c>
      <c r="D466" s="582">
        <v>42097.0</v>
      </c>
      <c r="E466" s="117">
        <v>42466.0</v>
      </c>
      <c r="F466" s="79" t="s">
        <v>90</v>
      </c>
      <c r="G466" s="118">
        <v>24758.0</v>
      </c>
      <c r="H466" s="114">
        <v>66.9</v>
      </c>
      <c r="I466" s="120">
        <v>376.0</v>
      </c>
      <c r="J466" s="111" t="s">
        <v>62</v>
      </c>
      <c r="K466" s="121">
        <v>376.0</v>
      </c>
      <c r="L466" s="120" t="s">
        <v>63</v>
      </c>
      <c r="M466" s="120"/>
      <c r="N466" s="120"/>
      <c r="O466" s="124">
        <v>24758.0</v>
      </c>
      <c r="P466" s="124">
        <v>370.0</v>
      </c>
      <c r="Q466" s="111">
        <v>235.0</v>
      </c>
      <c r="R466" s="125">
        <v>408.0</v>
      </c>
      <c r="S466" s="126">
        <v>0.9216</v>
      </c>
      <c r="T466" s="127">
        <v>71424.0</v>
      </c>
      <c r="U466" s="128">
        <f t="shared" si="2"/>
        <v>0</v>
      </c>
      <c r="V466" s="79" t="s">
        <v>65</v>
      </c>
      <c r="W466" s="79" t="s">
        <v>64</v>
      </c>
      <c r="X466" s="79" t="s">
        <v>66</v>
      </c>
      <c r="Y466" s="130">
        <v>0.8</v>
      </c>
      <c r="Z466" s="111">
        <v>11.0</v>
      </c>
      <c r="AA466" s="111">
        <v>406.0</v>
      </c>
      <c r="AB466" s="111" t="s">
        <v>62</v>
      </c>
      <c r="AC466" s="133"/>
      <c r="AD466" s="133"/>
      <c r="AE466" s="133"/>
      <c r="AF466" s="111"/>
      <c r="AG466" s="134" t="s">
        <v>1899</v>
      </c>
      <c r="AH466" s="73"/>
      <c r="AI466" s="135"/>
      <c r="AJ466" s="136"/>
      <c r="AK466" s="76"/>
      <c r="AL466" s="137"/>
      <c r="AM466" s="139">
        <v>406.0</v>
      </c>
      <c r="AN466" s="139">
        <v>370.0</v>
      </c>
      <c r="AO466" s="140">
        <v>78.15</v>
      </c>
      <c r="AP466" s="142">
        <v>24758.0</v>
      </c>
      <c r="AQ466" s="142">
        <v>235.0</v>
      </c>
      <c r="AR466" s="143"/>
      <c r="AS466" s="144">
        <v>0.968735593878996</v>
      </c>
      <c r="AT466" s="144">
        <v>-0.04713559387899602</v>
      </c>
      <c r="AU466" s="146" t="s">
        <v>1957</v>
      </c>
      <c r="AV466" s="146" t="s">
        <v>1957</v>
      </c>
      <c r="AW466" s="148" t="s">
        <v>1957</v>
      </c>
      <c r="AX466" s="151"/>
      <c r="AY466" s="105"/>
      <c r="AZ466" s="186"/>
      <c r="BA466" s="186"/>
      <c r="BB466" s="222"/>
      <c r="BC466" s="45"/>
      <c r="BD466" s="45"/>
      <c r="BE466" s="155"/>
      <c r="BF466" s="45"/>
    </row>
    <row r="467" ht="16.5" customHeight="1">
      <c r="A467" s="111">
        <v>464.0</v>
      </c>
      <c r="B467" s="112" t="s">
        <v>761</v>
      </c>
      <c r="C467" s="115" t="s">
        <v>60</v>
      </c>
      <c r="D467" s="157">
        <v>42097.0</v>
      </c>
      <c r="E467" s="117">
        <v>42470.0</v>
      </c>
      <c r="F467" s="79" t="s">
        <v>90</v>
      </c>
      <c r="G467" s="118">
        <v>24956.0</v>
      </c>
      <c r="H467" s="114">
        <v>66.7</v>
      </c>
      <c r="I467" s="120">
        <v>376.0</v>
      </c>
      <c r="J467" s="111" t="s">
        <v>62</v>
      </c>
      <c r="K467" s="121">
        <v>376.0</v>
      </c>
      <c r="L467" s="120" t="s">
        <v>63</v>
      </c>
      <c r="M467" s="120"/>
      <c r="N467" s="120"/>
      <c r="O467" s="124">
        <v>24956.0</v>
      </c>
      <c r="P467" s="124">
        <v>374.0</v>
      </c>
      <c r="Q467" s="111">
        <v>235.0</v>
      </c>
      <c r="R467" s="125">
        <v>408.0</v>
      </c>
      <c r="S467" s="126">
        <v>0.9216</v>
      </c>
      <c r="T467" s="127">
        <v>71424.0</v>
      </c>
      <c r="U467" s="128">
        <f t="shared" si="2"/>
        <v>0</v>
      </c>
      <c r="V467" s="79" t="s">
        <v>65</v>
      </c>
      <c r="W467" s="79" t="s">
        <v>64</v>
      </c>
      <c r="X467" s="79" t="s">
        <v>66</v>
      </c>
      <c r="Y467" s="130">
        <v>0.8</v>
      </c>
      <c r="Z467" s="111">
        <v>11.0</v>
      </c>
      <c r="AA467" s="111">
        <v>406.0</v>
      </c>
      <c r="AB467" s="111" t="s">
        <v>62</v>
      </c>
      <c r="AC467" s="133"/>
      <c r="AD467" s="133"/>
      <c r="AE467" s="133"/>
      <c r="AF467" s="111"/>
      <c r="AG467" s="134" t="s">
        <v>1899</v>
      </c>
      <c r="AH467" s="73"/>
      <c r="AI467" s="135"/>
      <c r="AJ467" s="136"/>
      <c r="AK467" s="76"/>
      <c r="AL467" s="137"/>
      <c r="AM467" s="139">
        <v>406.0</v>
      </c>
      <c r="AN467" s="139">
        <v>374.0</v>
      </c>
      <c r="AO467" s="140">
        <v>78.78</v>
      </c>
      <c r="AP467" s="142">
        <v>24956.0</v>
      </c>
      <c r="AQ467" s="142">
        <v>235.0</v>
      </c>
      <c r="AR467" s="143"/>
      <c r="AS467" s="144">
        <v>0.9685896723648703</v>
      </c>
      <c r="AT467" s="144">
        <v>-0.04698967236487028</v>
      </c>
      <c r="AU467" s="146" t="s">
        <v>1958</v>
      </c>
      <c r="AV467" s="146" t="s">
        <v>1958</v>
      </c>
      <c r="AW467" s="148" t="s">
        <v>1958</v>
      </c>
      <c r="AX467" s="151"/>
      <c r="AY467" s="105"/>
      <c r="AZ467" s="186"/>
      <c r="BA467" s="186"/>
      <c r="BB467" s="222"/>
      <c r="BC467" s="45"/>
      <c r="BD467" s="45"/>
      <c r="BE467" s="155"/>
      <c r="BF467" s="45"/>
    </row>
    <row r="468" ht="16.5" customHeight="1">
      <c r="A468" s="111">
        <v>465.0</v>
      </c>
      <c r="B468" s="112" t="s">
        <v>1336</v>
      </c>
      <c r="C468" s="115" t="s">
        <v>60</v>
      </c>
      <c r="D468" s="117">
        <v>42137.0</v>
      </c>
      <c r="E468" s="117">
        <v>42469.0</v>
      </c>
      <c r="F468" s="79" t="s">
        <v>59</v>
      </c>
      <c r="G468" s="118">
        <v>31293.0</v>
      </c>
      <c r="H468" s="114">
        <v>94.0</v>
      </c>
      <c r="I468" s="120">
        <v>375.0</v>
      </c>
      <c r="J468" s="111" t="s">
        <v>61</v>
      </c>
      <c r="K468" s="121">
        <v>379.75</v>
      </c>
      <c r="L468" s="120" t="s">
        <v>63</v>
      </c>
      <c r="M468" s="120"/>
      <c r="N468" s="120"/>
      <c r="O468" s="124">
        <v>31293.0</v>
      </c>
      <c r="P468" s="124">
        <v>333.0</v>
      </c>
      <c r="Q468" s="111">
        <v>213.0</v>
      </c>
      <c r="R468" s="125">
        <v>399.0</v>
      </c>
      <c r="S468" s="126">
        <v>0.9518</v>
      </c>
      <c r="T468" s="127">
        <v>73764.5</v>
      </c>
      <c r="U468" s="128">
        <f t="shared" si="2"/>
        <v>0</v>
      </c>
      <c r="V468" s="79" t="s">
        <v>69</v>
      </c>
      <c r="W468" s="79" t="s">
        <v>69</v>
      </c>
      <c r="X468" s="79" t="s">
        <v>69</v>
      </c>
      <c r="Y468" s="130">
        <v>0.8</v>
      </c>
      <c r="Z468" s="111">
        <v>11.0</v>
      </c>
      <c r="AA468" s="133"/>
      <c r="AB468" s="133"/>
      <c r="AC468" s="111">
        <v>375.0</v>
      </c>
      <c r="AD468" s="111">
        <v>196.0</v>
      </c>
      <c r="AE468" s="111" t="s">
        <v>1960</v>
      </c>
      <c r="AF468" s="111" t="s">
        <v>61</v>
      </c>
      <c r="AG468" s="147"/>
      <c r="AH468" s="73">
        <v>179.0</v>
      </c>
      <c r="AI468" s="135">
        <v>181.26582278481013</v>
      </c>
      <c r="AJ468" s="136">
        <v>71.43914280726257</v>
      </c>
      <c r="AK468" s="76">
        <v>0.9217953910614526</v>
      </c>
      <c r="AL468" s="137" t="s">
        <v>1962</v>
      </c>
      <c r="AM468" s="139" t="s">
        <v>71</v>
      </c>
      <c r="AN468" s="139">
        <v>333.0</v>
      </c>
      <c r="AO468" s="140">
        <v>88.14</v>
      </c>
      <c r="AP468" s="142">
        <v>31293.0</v>
      </c>
      <c r="AQ468" s="142">
        <v>213.0</v>
      </c>
      <c r="AR468" s="143"/>
      <c r="AS468" s="144">
        <v>0.9644332937753338</v>
      </c>
      <c r="AT468" s="144">
        <v>-0.012633293775333843</v>
      </c>
      <c r="AU468" s="146" t="s">
        <v>1963</v>
      </c>
      <c r="AV468" s="146" t="s">
        <v>1963</v>
      </c>
      <c r="AW468" s="148" t="s">
        <v>1963</v>
      </c>
      <c r="AX468" s="151"/>
      <c r="AY468" s="105"/>
      <c r="AZ468" s="186"/>
      <c r="BA468" s="186"/>
      <c r="BB468" s="222"/>
      <c r="BC468" s="45"/>
      <c r="BD468" s="45"/>
      <c r="BE468" s="155"/>
      <c r="BF468" s="45"/>
    </row>
    <row r="469" ht="16.5" customHeight="1">
      <c r="A469" s="111">
        <v>466.0</v>
      </c>
      <c r="B469" s="112" t="s">
        <v>513</v>
      </c>
      <c r="C469" s="115" t="s">
        <v>60</v>
      </c>
      <c r="D469" s="117">
        <v>41990.0</v>
      </c>
      <c r="E469" s="117">
        <v>42475.0</v>
      </c>
      <c r="F469" s="79" t="s">
        <v>59</v>
      </c>
      <c r="G469" s="118">
        <v>49200.0</v>
      </c>
      <c r="H469" s="114">
        <v>101.2</v>
      </c>
      <c r="I469" s="120">
        <v>386.0</v>
      </c>
      <c r="J469" s="111" t="s">
        <v>61</v>
      </c>
      <c r="K469" s="121">
        <v>390.89</v>
      </c>
      <c r="L469" s="120" t="s">
        <v>63</v>
      </c>
      <c r="M469" s="120"/>
      <c r="N469" s="120"/>
      <c r="O469" s="124">
        <v>49200.0</v>
      </c>
      <c r="P469" s="124">
        <v>486.0</v>
      </c>
      <c r="Q469" s="111">
        <v>227.0</v>
      </c>
      <c r="R469" s="125">
        <v>399.0</v>
      </c>
      <c r="S469" s="126">
        <v>0.9797</v>
      </c>
      <c r="T469" s="127">
        <v>75926.75</v>
      </c>
      <c r="U469" s="128">
        <f t="shared" si="2"/>
        <v>0</v>
      </c>
      <c r="V469" s="79" t="s">
        <v>64</v>
      </c>
      <c r="W469" s="79" t="s">
        <v>64</v>
      </c>
      <c r="X469" s="79" t="s">
        <v>68</v>
      </c>
      <c r="Y469" s="130">
        <v>0.8</v>
      </c>
      <c r="Z469" s="111">
        <v>11.0</v>
      </c>
      <c r="AA469" s="111">
        <v>396.0</v>
      </c>
      <c r="AB469" s="111" t="s">
        <v>61</v>
      </c>
      <c r="AC469" s="133"/>
      <c r="AD469" s="133"/>
      <c r="AE469" s="133"/>
      <c r="AF469" s="111"/>
      <c r="AG469" s="147"/>
      <c r="AH469" s="73"/>
      <c r="AI469" s="135"/>
      <c r="AJ469" s="136"/>
      <c r="AK469" s="76"/>
      <c r="AL469" s="137"/>
      <c r="AM469" s="139">
        <v>401.0</v>
      </c>
      <c r="AN469" s="139">
        <v>486.0</v>
      </c>
      <c r="AO469" s="140">
        <v>145.61</v>
      </c>
      <c r="AP469" s="142">
        <v>49200.0</v>
      </c>
      <c r="AQ469" s="142">
        <v>227.0</v>
      </c>
      <c r="AR469" s="143"/>
      <c r="AS469" s="144">
        <v>0.9564519215665546</v>
      </c>
      <c r="AT469" s="144">
        <v>0.02324807843344545</v>
      </c>
      <c r="AU469" s="146" t="s">
        <v>1967</v>
      </c>
      <c r="AV469" s="146" t="s">
        <v>1967</v>
      </c>
      <c r="AW469" s="148" t="s">
        <v>1967</v>
      </c>
      <c r="AX469" s="151"/>
      <c r="AY469" s="105"/>
      <c r="AZ469" s="186"/>
      <c r="BA469" s="186"/>
      <c r="BB469" s="222"/>
      <c r="BC469" s="45"/>
      <c r="BD469" s="45"/>
      <c r="BE469" s="155"/>
      <c r="BF469" s="45"/>
    </row>
    <row r="470" ht="16.5" customHeight="1">
      <c r="A470" s="111">
        <v>467.0</v>
      </c>
      <c r="B470" s="112" t="s">
        <v>1760</v>
      </c>
      <c r="C470" s="115" t="s">
        <v>60</v>
      </c>
      <c r="D470" s="117">
        <v>42271.0</v>
      </c>
      <c r="E470" s="117">
        <v>42359.0</v>
      </c>
      <c r="F470" s="79" t="s">
        <v>118</v>
      </c>
      <c r="G470" s="118">
        <v>7800.0</v>
      </c>
      <c r="H470" s="114">
        <v>87.6</v>
      </c>
      <c r="I470" s="120">
        <v>358.0</v>
      </c>
      <c r="J470" s="111" t="s">
        <v>61</v>
      </c>
      <c r="K470" s="121">
        <v>362.53</v>
      </c>
      <c r="L470" s="120" t="s">
        <v>63</v>
      </c>
      <c r="M470" s="120"/>
      <c r="N470" s="120"/>
      <c r="O470" s="124">
        <v>7800.0</v>
      </c>
      <c r="P470" s="124">
        <v>89.0</v>
      </c>
      <c r="Q470" s="111">
        <v>220.0</v>
      </c>
      <c r="R470" s="125">
        <v>365.0</v>
      </c>
      <c r="S470" s="126">
        <v>0.9932</v>
      </c>
      <c r="T470" s="127">
        <v>68332.16</v>
      </c>
      <c r="U470" s="128">
        <f t="shared" si="2"/>
        <v>0</v>
      </c>
      <c r="V470" s="79" t="s">
        <v>69</v>
      </c>
      <c r="W470" s="79" t="s">
        <v>64</v>
      </c>
      <c r="X470" s="79" t="s">
        <v>69</v>
      </c>
      <c r="Y470" s="130">
        <v>0.9</v>
      </c>
      <c r="Z470" s="111">
        <v>11.0</v>
      </c>
      <c r="AA470" s="111">
        <v>365.0</v>
      </c>
      <c r="AB470" s="111" t="s">
        <v>61</v>
      </c>
      <c r="AC470" s="133"/>
      <c r="AD470" s="133"/>
      <c r="AE470" s="133"/>
      <c r="AF470" s="111"/>
      <c r="AG470" s="134" t="s">
        <v>1970</v>
      </c>
      <c r="AH470" s="73"/>
      <c r="AI470" s="135"/>
      <c r="AJ470" s="136"/>
      <c r="AK470" s="76"/>
      <c r="AL470" s="137"/>
      <c r="AM470" s="139">
        <v>370.0</v>
      </c>
      <c r="AN470" s="139">
        <v>89.0</v>
      </c>
      <c r="AO470" s="140">
        <v>25.03</v>
      </c>
      <c r="AP470" s="142">
        <v>7800.0</v>
      </c>
      <c r="AQ470" s="142">
        <v>220.0</v>
      </c>
      <c r="AR470" s="143"/>
      <c r="AS470" s="144">
        <v>0.9865407977085796</v>
      </c>
      <c r="AT470" s="144">
        <v>0.006659202291420363</v>
      </c>
      <c r="AU470" s="146" t="s">
        <v>1972</v>
      </c>
      <c r="AV470" s="146" t="s">
        <v>1972</v>
      </c>
      <c r="AW470" s="148" t="s">
        <v>1972</v>
      </c>
      <c r="AX470" s="151"/>
      <c r="AY470" s="105"/>
      <c r="AZ470" s="186"/>
      <c r="BA470" s="186"/>
      <c r="BB470" s="222"/>
      <c r="BC470" s="45"/>
      <c r="BD470" s="45"/>
      <c r="BE470" s="155"/>
      <c r="BF470" s="45"/>
    </row>
    <row r="471" ht="16.5" customHeight="1">
      <c r="A471" s="111">
        <v>468.0</v>
      </c>
      <c r="B471" s="112" t="s">
        <v>1852</v>
      </c>
      <c r="C471" s="115" t="s">
        <v>60</v>
      </c>
      <c r="D471" s="117">
        <v>42350.0</v>
      </c>
      <c r="E471" s="117">
        <v>42477.0</v>
      </c>
      <c r="F471" s="79" t="s">
        <v>86</v>
      </c>
      <c r="G471" s="118">
        <v>15000.0</v>
      </c>
      <c r="H471" s="114">
        <v>117.2</v>
      </c>
      <c r="I471" s="120">
        <v>413.0</v>
      </c>
      <c r="J471" s="111" t="s">
        <v>61</v>
      </c>
      <c r="K471" s="121">
        <v>418.23</v>
      </c>
      <c r="L471" s="120" t="s">
        <v>63</v>
      </c>
      <c r="M471" s="120"/>
      <c r="N471" s="120"/>
      <c r="O471" s="124">
        <v>15000.0</v>
      </c>
      <c r="P471" s="124">
        <v>128.0</v>
      </c>
      <c r="Q471" s="111">
        <v>223.0</v>
      </c>
      <c r="R471" s="125">
        <v>430.0</v>
      </c>
      <c r="S471" s="126">
        <v>0.9726</v>
      </c>
      <c r="T471" s="127">
        <v>75376.5</v>
      </c>
      <c r="U471" s="128">
        <f t="shared" si="2"/>
        <v>0</v>
      </c>
      <c r="V471" s="79" t="s">
        <v>80</v>
      </c>
      <c r="W471" s="79" t="s">
        <v>65</v>
      </c>
      <c r="X471" s="79" t="s">
        <v>68</v>
      </c>
      <c r="Y471" s="130">
        <v>0.8</v>
      </c>
      <c r="Z471" s="111">
        <v>11.0</v>
      </c>
      <c r="AA471" s="111">
        <v>408.0</v>
      </c>
      <c r="AB471" s="111" t="s">
        <v>61</v>
      </c>
      <c r="AC471" s="133"/>
      <c r="AD471" s="133"/>
      <c r="AE471" s="133"/>
      <c r="AF471" s="111"/>
      <c r="AG471" s="147"/>
      <c r="AH471" s="73"/>
      <c r="AI471" s="135"/>
      <c r="AJ471" s="136"/>
      <c r="AK471" s="76"/>
      <c r="AL471" s="137"/>
      <c r="AM471" s="139">
        <v>413.0</v>
      </c>
      <c r="AN471" s="139">
        <v>128.0</v>
      </c>
      <c r="AO471" s="140">
        <v>43.77</v>
      </c>
      <c r="AP471" s="142">
        <v>15000.0</v>
      </c>
      <c r="AQ471" s="142">
        <v>223.0</v>
      </c>
      <c r="AR471" s="143"/>
      <c r="AS471" s="144">
        <v>0.977490061398668</v>
      </c>
      <c r="AT471" s="144">
        <v>-0.004890061398667989</v>
      </c>
      <c r="AU471" s="146" t="s">
        <v>1977</v>
      </c>
      <c r="AV471" s="146" t="s">
        <v>1977</v>
      </c>
      <c r="AW471" s="148" t="s">
        <v>1977</v>
      </c>
      <c r="AX471" s="151"/>
      <c r="AY471" s="105"/>
      <c r="AZ471" s="186"/>
      <c r="BA471" s="186"/>
      <c r="BB471" s="222"/>
      <c r="BC471" s="45"/>
      <c r="BD471" s="45"/>
      <c r="BE471" s="155"/>
      <c r="BF471" s="45"/>
    </row>
    <row r="472" ht="16.5" customHeight="1">
      <c r="A472" s="111">
        <v>469.0</v>
      </c>
      <c r="B472" s="112" t="s">
        <v>449</v>
      </c>
      <c r="C472" s="115" t="s">
        <v>60</v>
      </c>
      <c r="D472" s="117">
        <v>41598.0</v>
      </c>
      <c r="E472" s="117">
        <v>42477.0</v>
      </c>
      <c r="F472" s="79" t="s">
        <v>59</v>
      </c>
      <c r="G472" s="118">
        <v>130820.0</v>
      </c>
      <c r="H472" s="114">
        <v>148.7</v>
      </c>
      <c r="I472" s="120">
        <v>377.0</v>
      </c>
      <c r="J472" s="111" t="s">
        <v>62</v>
      </c>
      <c r="K472" s="121">
        <v>377.0</v>
      </c>
      <c r="L472" s="120" t="s">
        <v>63</v>
      </c>
      <c r="M472" s="120"/>
      <c r="N472" s="120"/>
      <c r="O472" s="124">
        <v>130820.0</v>
      </c>
      <c r="P472" s="124">
        <v>880.0</v>
      </c>
      <c r="Q472" s="111">
        <v>187.0</v>
      </c>
      <c r="R472" s="125">
        <v>399.0</v>
      </c>
      <c r="S472" s="126">
        <v>0.9449</v>
      </c>
      <c r="T472" s="127">
        <v>73229.75</v>
      </c>
      <c r="U472" s="128">
        <f t="shared" si="2"/>
        <v>0</v>
      </c>
      <c r="V472" s="79" t="s">
        <v>80</v>
      </c>
      <c r="W472" s="79" t="s">
        <v>65</v>
      </c>
      <c r="X472" s="79" t="s">
        <v>68</v>
      </c>
      <c r="Y472" s="130">
        <v>0.7</v>
      </c>
      <c r="Z472" s="111">
        <v>15.0</v>
      </c>
      <c r="AA472" s="133"/>
      <c r="AB472" s="133"/>
      <c r="AC472" s="133"/>
      <c r="AD472" s="133"/>
      <c r="AE472" s="133"/>
      <c r="AF472" s="111"/>
      <c r="AG472" s="134" t="s">
        <v>1979</v>
      </c>
      <c r="AH472" s="73"/>
      <c r="AI472" s="135"/>
      <c r="AJ472" s="136"/>
      <c r="AK472" s="76"/>
      <c r="AL472" s="137"/>
      <c r="AM472" s="139" t="s">
        <v>71</v>
      </c>
      <c r="AN472" s="139">
        <v>880.0</v>
      </c>
      <c r="AO472" s="140">
        <v>324.64</v>
      </c>
      <c r="AP472" s="142">
        <v>130820.0</v>
      </c>
      <c r="AQ472" s="142">
        <v>187.0</v>
      </c>
      <c r="AR472" s="143"/>
      <c r="AS472" s="144">
        <v>0.9398718925212822</v>
      </c>
      <c r="AT472" s="144">
        <v>0.005028107478717736</v>
      </c>
      <c r="AU472" s="146" t="s">
        <v>1980</v>
      </c>
      <c r="AV472" s="146" t="s">
        <v>1980</v>
      </c>
      <c r="AW472" s="148" t="s">
        <v>1980</v>
      </c>
      <c r="AX472" s="151"/>
      <c r="AY472" s="105"/>
      <c r="AZ472" s="186"/>
      <c r="BA472" s="186"/>
      <c r="BB472" s="222"/>
      <c r="BC472" s="45"/>
      <c r="BD472" s="45"/>
      <c r="BE472" s="155"/>
      <c r="BF472" s="45"/>
    </row>
    <row r="473" ht="16.5" customHeight="1">
      <c r="A473" s="111">
        <v>470.0</v>
      </c>
      <c r="B473" s="112" t="s">
        <v>1127</v>
      </c>
      <c r="C473" s="115" t="s">
        <v>60</v>
      </c>
      <c r="D473" s="117">
        <v>42160.0</v>
      </c>
      <c r="E473" s="117">
        <v>42477.0</v>
      </c>
      <c r="F473" s="79" t="s">
        <v>86</v>
      </c>
      <c r="G473" s="118">
        <v>43210.0</v>
      </c>
      <c r="H473" s="114">
        <v>135.9</v>
      </c>
      <c r="I473" s="120">
        <v>410.0</v>
      </c>
      <c r="J473" s="111" t="s">
        <v>61</v>
      </c>
      <c r="K473" s="121">
        <v>415.19</v>
      </c>
      <c r="L473" s="120" t="s">
        <v>63</v>
      </c>
      <c r="M473" s="120"/>
      <c r="N473" s="120"/>
      <c r="O473" s="124">
        <v>43210.0</v>
      </c>
      <c r="P473" s="124">
        <v>318.0</v>
      </c>
      <c r="Q473" s="111">
        <v>210.0</v>
      </c>
      <c r="R473" s="125">
        <v>430.0</v>
      </c>
      <c r="S473" s="126">
        <v>0.9656</v>
      </c>
      <c r="T473" s="127">
        <v>74834.0</v>
      </c>
      <c r="U473" s="128">
        <f t="shared" si="2"/>
        <v>0</v>
      </c>
      <c r="V473" s="79" t="s">
        <v>67</v>
      </c>
      <c r="W473" s="79" t="s">
        <v>64</v>
      </c>
      <c r="X473" s="79" t="s">
        <v>68</v>
      </c>
      <c r="Y473" s="130">
        <v>0.9</v>
      </c>
      <c r="Z473" s="111">
        <v>11.0</v>
      </c>
      <c r="AA473" s="133"/>
      <c r="AB473" s="133"/>
      <c r="AC473" s="133"/>
      <c r="AD473" s="133"/>
      <c r="AE473" s="133"/>
      <c r="AF473" s="111"/>
      <c r="AG473" s="147"/>
      <c r="AH473" s="73"/>
      <c r="AI473" s="135"/>
      <c r="AJ473" s="136"/>
      <c r="AK473" s="76"/>
      <c r="AL473" s="137"/>
      <c r="AM473" s="139" t="s">
        <v>71</v>
      </c>
      <c r="AN473" s="139">
        <v>318.0</v>
      </c>
      <c r="AO473" s="140">
        <v>119.15</v>
      </c>
      <c r="AP473" s="142">
        <v>43210.0</v>
      </c>
      <c r="AQ473" s="142">
        <v>210.0</v>
      </c>
      <c r="AR473" s="143"/>
      <c r="AS473" s="144">
        <v>0.9586631234737902</v>
      </c>
      <c r="AT473" s="144">
        <v>0.006936876526209779</v>
      </c>
      <c r="AU473" s="146" t="s">
        <v>1981</v>
      </c>
      <c r="AV473" s="146" t="s">
        <v>1981</v>
      </c>
      <c r="AW473" s="148" t="s">
        <v>1981</v>
      </c>
      <c r="AX473" s="151"/>
      <c r="AY473" s="105"/>
      <c r="AZ473" s="186"/>
      <c r="BA473" s="186"/>
      <c r="BB473" s="222"/>
      <c r="BC473" s="45"/>
      <c r="BD473" s="45"/>
      <c r="BE473" s="155"/>
      <c r="BF473" s="45"/>
    </row>
    <row r="474" ht="16.5" customHeight="1">
      <c r="A474" s="111">
        <v>471.0</v>
      </c>
      <c r="B474" s="112" t="s">
        <v>1703</v>
      </c>
      <c r="C474" s="115" t="s">
        <v>60</v>
      </c>
      <c r="D474" s="117">
        <v>42353.0</v>
      </c>
      <c r="E474" s="117">
        <v>42478.0</v>
      </c>
      <c r="F474" s="79" t="s">
        <v>118</v>
      </c>
      <c r="G474" s="118">
        <v>8643.0</v>
      </c>
      <c r="H474" s="114">
        <v>68.6</v>
      </c>
      <c r="I474" s="120">
        <v>361.0</v>
      </c>
      <c r="J474" s="111" t="s">
        <v>61</v>
      </c>
      <c r="K474" s="121">
        <v>365.57</v>
      </c>
      <c r="L474" s="120" t="s">
        <v>63</v>
      </c>
      <c r="M474" s="120"/>
      <c r="N474" s="120"/>
      <c r="O474" s="124">
        <v>8643.0</v>
      </c>
      <c r="P474" s="124">
        <v>126.0</v>
      </c>
      <c r="Q474" s="111">
        <v>220.0</v>
      </c>
      <c r="R474" s="125">
        <v>365.0</v>
      </c>
      <c r="S474" s="126">
        <v>1.0016</v>
      </c>
      <c r="T474" s="127">
        <v>68910.08</v>
      </c>
      <c r="U474" s="128">
        <f t="shared" si="2"/>
        <v>0</v>
      </c>
      <c r="V474" s="79"/>
      <c r="W474" s="79"/>
      <c r="X474" s="79"/>
      <c r="Y474" s="130"/>
      <c r="Z474" s="111"/>
      <c r="AA474" s="133"/>
      <c r="AB474" s="133"/>
      <c r="AC474" s="133"/>
      <c r="AD474" s="133"/>
      <c r="AE474" s="133"/>
      <c r="AF474" s="111"/>
      <c r="AG474" s="147"/>
      <c r="AH474" s="73"/>
      <c r="AI474" s="135"/>
      <c r="AJ474" s="136"/>
      <c r="AK474" s="76"/>
      <c r="AL474" s="137"/>
      <c r="AM474" s="139" t="s">
        <v>71</v>
      </c>
      <c r="AN474" s="139">
        <v>126.0</v>
      </c>
      <c r="AO474" s="140">
        <v>27.62</v>
      </c>
      <c r="AP474" s="142">
        <v>8643.0</v>
      </c>
      <c r="AQ474" s="142">
        <v>220.0</v>
      </c>
      <c r="AR474" s="143"/>
      <c r="AS474" s="144">
        <v>0.9853361078660664</v>
      </c>
      <c r="AT474" s="144">
        <v>0.016263892133933644</v>
      </c>
      <c r="AU474" s="146" t="s">
        <v>1984</v>
      </c>
      <c r="AV474" s="146" t="s">
        <v>1984</v>
      </c>
      <c r="AW474" s="148" t="s">
        <v>1984</v>
      </c>
      <c r="AX474" s="151"/>
      <c r="AY474" s="105"/>
      <c r="AZ474" s="186"/>
      <c r="BA474" s="186"/>
      <c r="BB474" s="222"/>
      <c r="BC474" s="45"/>
      <c r="BD474" s="45"/>
      <c r="BE474" s="155"/>
      <c r="BF474" s="45"/>
    </row>
    <row r="475" ht="16.5" customHeight="1">
      <c r="A475" s="111">
        <v>472.0</v>
      </c>
      <c r="B475" s="112" t="s">
        <v>541</v>
      </c>
      <c r="C475" s="115" t="s">
        <v>60</v>
      </c>
      <c r="D475" s="117">
        <v>41603.0</v>
      </c>
      <c r="E475" s="117">
        <v>42474.0</v>
      </c>
      <c r="F475" s="79" t="s">
        <v>57</v>
      </c>
      <c r="G475" s="118">
        <v>97310.0</v>
      </c>
      <c r="H475" s="114">
        <v>111.6</v>
      </c>
      <c r="I475" s="120">
        <v>376.0</v>
      </c>
      <c r="J475" s="111" t="s">
        <v>62</v>
      </c>
      <c r="K475" s="121">
        <v>376.0</v>
      </c>
      <c r="L475" s="120" t="s">
        <v>63</v>
      </c>
      <c r="M475" s="120"/>
      <c r="N475" s="120"/>
      <c r="O475" s="124">
        <v>97310.0</v>
      </c>
      <c r="P475" s="124">
        <v>872.0</v>
      </c>
      <c r="Q475" s="111">
        <v>228.0</v>
      </c>
      <c r="R475" s="125">
        <v>399.0</v>
      </c>
      <c r="S475" s="126">
        <v>0.9424</v>
      </c>
      <c r="T475" s="127">
        <v>73036.0</v>
      </c>
      <c r="U475" s="128">
        <f t="shared" si="2"/>
        <v>0</v>
      </c>
      <c r="V475" s="79"/>
      <c r="W475" s="79"/>
      <c r="X475" s="79"/>
      <c r="Y475" s="130"/>
      <c r="Z475" s="111"/>
      <c r="AA475" s="133"/>
      <c r="AB475" s="133"/>
      <c r="AC475" s="133"/>
      <c r="AD475" s="133"/>
      <c r="AE475" s="133"/>
      <c r="AF475" s="111"/>
      <c r="AG475" s="147"/>
      <c r="AH475" s="73"/>
      <c r="AI475" s="135"/>
      <c r="AJ475" s="136"/>
      <c r="AK475" s="76"/>
      <c r="AL475" s="137"/>
      <c r="AM475" s="139" t="s">
        <v>71</v>
      </c>
      <c r="AN475" s="139">
        <v>872.0</v>
      </c>
      <c r="AO475" s="140">
        <v>294.81</v>
      </c>
      <c r="AP475" s="142">
        <v>97310.0</v>
      </c>
      <c r="AQ475" s="142">
        <v>228.0</v>
      </c>
      <c r="AR475" s="143"/>
      <c r="AS475" s="144">
        <v>0.9454306147930219</v>
      </c>
      <c r="AT475" s="144">
        <v>-0.003030614793021913</v>
      </c>
      <c r="AU475" s="146" t="s">
        <v>1988</v>
      </c>
      <c r="AV475" s="146" t="s">
        <v>1988</v>
      </c>
      <c r="AW475" s="148" t="s">
        <v>1988</v>
      </c>
      <c r="AX475" s="151"/>
      <c r="AY475" s="105"/>
      <c r="AZ475" s="186"/>
      <c r="BA475" s="186"/>
      <c r="BB475" s="222"/>
      <c r="BC475" s="45"/>
      <c r="BD475" s="45"/>
      <c r="BE475" s="155"/>
      <c r="BF475" s="45"/>
    </row>
    <row r="476" ht="16.5" customHeight="1">
      <c r="A476" s="111">
        <v>473.0</v>
      </c>
      <c r="B476" s="112" t="s">
        <v>376</v>
      </c>
      <c r="C476" s="115" t="s">
        <v>60</v>
      </c>
      <c r="D476" s="117">
        <v>41600.0</v>
      </c>
      <c r="E476" s="117">
        <v>42479.0</v>
      </c>
      <c r="F476" s="79" t="s">
        <v>59</v>
      </c>
      <c r="G476" s="118">
        <v>93400.0</v>
      </c>
      <c r="H476" s="114">
        <v>106.1</v>
      </c>
      <c r="I476" s="120">
        <v>369.0</v>
      </c>
      <c r="J476" s="111" t="s">
        <v>62</v>
      </c>
      <c r="K476" s="121">
        <v>369.0</v>
      </c>
      <c r="L476" s="120" t="s">
        <v>63</v>
      </c>
      <c r="M476" s="120"/>
      <c r="N476" s="120"/>
      <c r="O476" s="124">
        <v>93400.0</v>
      </c>
      <c r="P476" s="124">
        <v>880.0</v>
      </c>
      <c r="Q476" s="111">
        <v>202.0</v>
      </c>
      <c r="R476" s="125">
        <v>399.0</v>
      </c>
      <c r="S476" s="126">
        <v>0.9248</v>
      </c>
      <c r="T476" s="127">
        <v>71672.0</v>
      </c>
      <c r="U476" s="128">
        <f t="shared" si="2"/>
        <v>0</v>
      </c>
      <c r="V476" s="79" t="s">
        <v>69</v>
      </c>
      <c r="W476" s="79" t="s">
        <v>64</v>
      </c>
      <c r="X476" s="79" t="s">
        <v>68</v>
      </c>
      <c r="Y476" s="130">
        <v>0.9</v>
      </c>
      <c r="Z476" s="111">
        <v>11.0</v>
      </c>
      <c r="AA476" s="111">
        <v>383.0</v>
      </c>
      <c r="AB476" s="111" t="s">
        <v>61</v>
      </c>
      <c r="AC476" s="133"/>
      <c r="AD476" s="133"/>
      <c r="AE476" s="133"/>
      <c r="AF476" s="111"/>
      <c r="AG476" s="147"/>
      <c r="AH476" s="73"/>
      <c r="AI476" s="135"/>
      <c r="AJ476" s="136"/>
      <c r="AK476" s="76"/>
      <c r="AL476" s="137"/>
      <c r="AM476" s="139">
        <v>388.0</v>
      </c>
      <c r="AN476" s="139">
        <v>880.0</v>
      </c>
      <c r="AO476" s="140">
        <v>252.99</v>
      </c>
      <c r="AP476" s="142">
        <v>93400.0</v>
      </c>
      <c r="AQ476" s="142">
        <v>202.0</v>
      </c>
      <c r="AR476" s="143"/>
      <c r="AS476" s="144">
        <v>0.9461235668190957</v>
      </c>
      <c r="AT476" s="144">
        <v>-0.02132356681909575</v>
      </c>
      <c r="AU476" s="146" t="s">
        <v>1989</v>
      </c>
      <c r="AV476" s="146" t="s">
        <v>1989</v>
      </c>
      <c r="AW476" s="148" t="s">
        <v>1989</v>
      </c>
      <c r="AX476" s="151"/>
      <c r="AY476" s="105"/>
      <c r="AZ476" s="186"/>
      <c r="BA476" s="186"/>
      <c r="BB476" s="222"/>
      <c r="BC476" s="45"/>
      <c r="BD476" s="45"/>
      <c r="BE476" s="155"/>
      <c r="BF476" s="45"/>
    </row>
    <row r="477" ht="16.5" customHeight="1">
      <c r="A477" s="111">
        <v>474.0</v>
      </c>
      <c r="B477" s="112" t="s">
        <v>361</v>
      </c>
      <c r="C477" s="115" t="s">
        <v>60</v>
      </c>
      <c r="D477" s="582">
        <v>41604.0</v>
      </c>
      <c r="E477" s="117">
        <v>42482.0</v>
      </c>
      <c r="F477" s="79" t="s">
        <v>59</v>
      </c>
      <c r="G477" s="118">
        <v>98528.0</v>
      </c>
      <c r="H477" s="114">
        <v>112.1</v>
      </c>
      <c r="I477" s="120">
        <v>374.0</v>
      </c>
      <c r="J477" s="111" t="s">
        <v>61</v>
      </c>
      <c r="K477" s="121">
        <v>378.73</v>
      </c>
      <c r="L477" s="120" t="s">
        <v>63</v>
      </c>
      <c r="M477" s="120"/>
      <c r="N477" s="120"/>
      <c r="O477" s="124">
        <v>98528.0</v>
      </c>
      <c r="P477" s="124">
        <v>879.0</v>
      </c>
      <c r="Q477" s="111">
        <v>228.0</v>
      </c>
      <c r="R477" s="125">
        <v>399.0</v>
      </c>
      <c r="S477" s="126">
        <v>0.9492</v>
      </c>
      <c r="T477" s="127">
        <v>73563.0</v>
      </c>
      <c r="U477" s="128">
        <f t="shared" si="2"/>
        <v>0</v>
      </c>
      <c r="V477" s="79" t="s">
        <v>69</v>
      </c>
      <c r="W477" s="195" t="s">
        <v>69</v>
      </c>
      <c r="X477" s="195" t="s">
        <v>69</v>
      </c>
      <c r="Y477" s="207">
        <v>0.7</v>
      </c>
      <c r="Z477" s="208">
        <v>18.0</v>
      </c>
      <c r="AA477" s="202"/>
      <c r="AB477" s="202"/>
      <c r="AC477" s="133"/>
      <c r="AD477" s="133"/>
      <c r="AE477" s="133"/>
      <c r="AF477" s="111"/>
      <c r="AG477" s="147"/>
      <c r="AH477" s="73"/>
      <c r="AI477" s="135"/>
      <c r="AJ477" s="136"/>
      <c r="AK477" s="76"/>
      <c r="AL477" s="137"/>
      <c r="AM477" s="139" t="s">
        <v>71</v>
      </c>
      <c r="AN477" s="139">
        <v>879.0</v>
      </c>
      <c r="AO477" s="140">
        <v>297.45</v>
      </c>
      <c r="AP477" s="142">
        <v>98528.0</v>
      </c>
      <c r="AQ477" s="142">
        <v>228.0</v>
      </c>
      <c r="AR477" s="143"/>
      <c r="AS477" s="144">
        <v>0.9452176840705311</v>
      </c>
      <c r="AT477" s="144">
        <v>0.00398231592946896</v>
      </c>
      <c r="AU477" s="146" t="s">
        <v>1990</v>
      </c>
      <c r="AV477" s="146" t="s">
        <v>1990</v>
      </c>
      <c r="AW477" s="148" t="s">
        <v>1990</v>
      </c>
      <c r="AX477" s="151"/>
      <c r="AY477" s="105"/>
      <c r="AZ477" s="186"/>
      <c r="BA477" s="186"/>
      <c r="BB477" s="222"/>
      <c r="BC477" s="45"/>
      <c r="BD477" s="45"/>
      <c r="BE477" s="155"/>
      <c r="BF477" s="45"/>
    </row>
    <row r="478" ht="16.5" customHeight="1">
      <c r="A478" s="111">
        <v>475.0</v>
      </c>
      <c r="B478" s="112" t="s">
        <v>761</v>
      </c>
      <c r="C478" s="115" t="s">
        <v>60</v>
      </c>
      <c r="D478" s="157">
        <v>42097.0</v>
      </c>
      <c r="E478" s="117">
        <v>42482.0</v>
      </c>
      <c r="F478" s="79" t="s">
        <v>90</v>
      </c>
      <c r="G478" s="118">
        <v>26081.0</v>
      </c>
      <c r="H478" s="114">
        <v>67.6</v>
      </c>
      <c r="I478" s="120">
        <v>375.0</v>
      </c>
      <c r="J478" s="111" t="s">
        <v>62</v>
      </c>
      <c r="K478" s="121">
        <v>375.0</v>
      </c>
      <c r="L478" s="120" t="s">
        <v>63</v>
      </c>
      <c r="M478" s="120"/>
      <c r="N478" s="120"/>
      <c r="O478" s="124">
        <v>26081.0</v>
      </c>
      <c r="P478" s="124">
        <v>386.0</v>
      </c>
      <c r="Q478" s="111">
        <v>234.0</v>
      </c>
      <c r="R478" s="125">
        <v>408.0</v>
      </c>
      <c r="S478" s="126">
        <v>0.9191</v>
      </c>
      <c r="T478" s="127">
        <v>71230.25</v>
      </c>
      <c r="U478" s="128">
        <f t="shared" si="2"/>
        <v>0</v>
      </c>
      <c r="V478" s="636" t="s">
        <v>65</v>
      </c>
      <c r="W478" s="636" t="s">
        <v>64</v>
      </c>
      <c r="X478" s="636" t="s">
        <v>66</v>
      </c>
      <c r="Y478" s="637">
        <v>0.8</v>
      </c>
      <c r="Z478" s="639">
        <v>11.0</v>
      </c>
      <c r="AA478" s="133">
        <v>406.0</v>
      </c>
      <c r="AB478" s="133" t="s">
        <v>62</v>
      </c>
      <c r="AC478" s="133"/>
      <c r="AD478" s="133"/>
      <c r="AE478" s="133"/>
      <c r="AF478" s="111"/>
      <c r="AG478" s="134" t="s">
        <v>1899</v>
      </c>
      <c r="AH478" s="73"/>
      <c r="AI478" s="135"/>
      <c r="AJ478" s="136"/>
      <c r="AK478" s="76"/>
      <c r="AL478" s="137"/>
      <c r="AM478" s="139">
        <v>406.0</v>
      </c>
      <c r="AN478" s="139">
        <v>386.0</v>
      </c>
      <c r="AO478" s="140">
        <v>82.08</v>
      </c>
      <c r="AP478" s="142">
        <v>26081.0</v>
      </c>
      <c r="AQ478" s="142">
        <v>234.0</v>
      </c>
      <c r="AR478" s="143"/>
      <c r="AS478" s="144">
        <v>0.9677805691953754</v>
      </c>
      <c r="AT478" s="144">
        <v>-0.048680569195375334</v>
      </c>
      <c r="AU478" s="146" t="s">
        <v>1992</v>
      </c>
      <c r="AV478" s="146" t="s">
        <v>1992</v>
      </c>
      <c r="AW478" s="148" t="s">
        <v>1992</v>
      </c>
      <c r="AX478" s="151"/>
      <c r="AY478" s="105"/>
      <c r="AZ478" s="186"/>
      <c r="BA478" s="186"/>
      <c r="BB478" s="222"/>
      <c r="BC478" s="45"/>
      <c r="BD478" s="45"/>
      <c r="BE478" s="155"/>
      <c r="BF478" s="45"/>
    </row>
    <row r="479" ht="16.5" customHeight="1">
      <c r="A479" s="111">
        <v>476.0</v>
      </c>
      <c r="B479" s="112" t="s">
        <v>1637</v>
      </c>
      <c r="C479" s="115" t="s">
        <v>60</v>
      </c>
      <c r="D479" s="643">
        <v>42235.0</v>
      </c>
      <c r="E479" s="117">
        <v>42490.0</v>
      </c>
      <c r="F479" s="79" t="s">
        <v>118</v>
      </c>
      <c r="G479" s="118">
        <v>36870.0</v>
      </c>
      <c r="H479" s="114">
        <v>144.0</v>
      </c>
      <c r="I479" s="120">
        <v>352.0</v>
      </c>
      <c r="J479" s="111" t="s">
        <v>61</v>
      </c>
      <c r="K479" s="121">
        <v>356.46</v>
      </c>
      <c r="L479" s="120" t="s">
        <v>63</v>
      </c>
      <c r="M479" s="120"/>
      <c r="N479" s="120"/>
      <c r="O479" s="124">
        <v>36870.0</v>
      </c>
      <c r="P479" s="124">
        <v>256.0</v>
      </c>
      <c r="Q479" s="111">
        <v>219.0</v>
      </c>
      <c r="R479" s="125">
        <v>365.0</v>
      </c>
      <c r="S479" s="126">
        <v>0.9766</v>
      </c>
      <c r="T479" s="127">
        <v>67190.08</v>
      </c>
      <c r="U479" s="128">
        <f t="shared" si="2"/>
        <v>0</v>
      </c>
      <c r="V479" s="79" t="s">
        <v>80</v>
      </c>
      <c r="W479" s="79" t="s">
        <v>64</v>
      </c>
      <c r="X479" s="79" t="s">
        <v>69</v>
      </c>
      <c r="Y479" s="130">
        <v>0.8</v>
      </c>
      <c r="Z479" s="111">
        <v>11.0</v>
      </c>
      <c r="AA479" s="111">
        <v>360.0</v>
      </c>
      <c r="AB479" s="111" t="s">
        <v>61</v>
      </c>
      <c r="AC479" s="133"/>
      <c r="AD479" s="133"/>
      <c r="AE479" s="133"/>
      <c r="AF479" s="111"/>
      <c r="AG479" s="147"/>
      <c r="AH479" s="73"/>
      <c r="AI479" s="135"/>
      <c r="AJ479" s="136"/>
      <c r="AK479" s="76"/>
      <c r="AL479" s="137"/>
      <c r="AM479" s="139">
        <v>365.0</v>
      </c>
      <c r="AN479" s="139">
        <v>256.0</v>
      </c>
      <c r="AO479" s="140">
        <v>118.76</v>
      </c>
      <c r="AP479" s="142">
        <v>36870.0</v>
      </c>
      <c r="AQ479" s="142">
        <v>219.0</v>
      </c>
      <c r="AR479" s="143"/>
      <c r="AS479" s="144">
        <v>0.9614596571282833</v>
      </c>
      <c r="AT479" s="144">
        <v>0.015140342871716728</v>
      </c>
      <c r="AU479" s="146" t="s">
        <v>1996</v>
      </c>
      <c r="AV479" s="146" t="s">
        <v>1996</v>
      </c>
      <c r="AW479" s="148" t="s">
        <v>1996</v>
      </c>
      <c r="AX479" s="151"/>
      <c r="AY479" s="105"/>
      <c r="AZ479" s="186"/>
      <c r="BA479" s="186"/>
      <c r="BB479" s="222"/>
      <c r="BC479" s="45"/>
      <c r="BD479" s="45"/>
      <c r="BE479" s="155"/>
      <c r="BF479" s="45"/>
    </row>
    <row r="480" ht="16.5" customHeight="1">
      <c r="A480" s="111">
        <v>477.0</v>
      </c>
      <c r="B480" s="112" t="s">
        <v>1013</v>
      </c>
      <c r="C480" s="115" t="s">
        <v>60</v>
      </c>
      <c r="D480" s="649">
        <v>41814.0</v>
      </c>
      <c r="E480" s="117">
        <v>42491.0</v>
      </c>
      <c r="F480" s="79" t="s">
        <v>59</v>
      </c>
      <c r="G480" s="118">
        <v>89983.0</v>
      </c>
      <c r="H480" s="114">
        <v>132.7</v>
      </c>
      <c r="I480" s="120">
        <v>377.0</v>
      </c>
      <c r="J480" s="111" t="s">
        <v>62</v>
      </c>
      <c r="K480" s="121">
        <v>377.0</v>
      </c>
      <c r="L480" s="120" t="s">
        <v>63</v>
      </c>
      <c r="M480" s="120"/>
      <c r="N480" s="120"/>
      <c r="O480" s="124">
        <v>89983.0</v>
      </c>
      <c r="P480" s="124">
        <v>678.0</v>
      </c>
      <c r="Q480" s="111">
        <v>222.0</v>
      </c>
      <c r="R480" s="125">
        <v>399.0</v>
      </c>
      <c r="S480" s="126">
        <v>0.9449</v>
      </c>
      <c r="T480" s="127">
        <v>73229.75</v>
      </c>
      <c r="U480" s="128">
        <f t="shared" si="2"/>
        <v>0</v>
      </c>
      <c r="V480" s="79" t="s">
        <v>65</v>
      </c>
      <c r="W480" s="79" t="s">
        <v>65</v>
      </c>
      <c r="X480" s="79" t="s">
        <v>69</v>
      </c>
      <c r="Y480" s="130">
        <v>0.9</v>
      </c>
      <c r="Z480" s="111">
        <v>17.0</v>
      </c>
      <c r="AA480" s="133"/>
      <c r="AB480" s="133"/>
      <c r="AC480" s="133"/>
      <c r="AD480" s="133"/>
      <c r="AE480" s="133"/>
      <c r="AF480" s="111"/>
      <c r="AG480" s="147"/>
      <c r="AH480" s="73"/>
      <c r="AI480" s="135"/>
      <c r="AJ480" s="136"/>
      <c r="AK480" s="76"/>
      <c r="AL480" s="137"/>
      <c r="AM480" s="139" t="s">
        <v>71</v>
      </c>
      <c r="AN480" s="139">
        <v>678.0</v>
      </c>
      <c r="AO480" s="140">
        <v>265.09</v>
      </c>
      <c r="AP480" s="142">
        <v>89983.0</v>
      </c>
      <c r="AQ480" s="142">
        <v>222.0</v>
      </c>
      <c r="AR480" s="143"/>
      <c r="AS480" s="144">
        <v>0.946742595845384</v>
      </c>
      <c r="AT480" s="144">
        <v>-0.001842595845384043</v>
      </c>
      <c r="AU480" s="146" t="s">
        <v>2003</v>
      </c>
      <c r="AV480" s="146" t="s">
        <v>2003</v>
      </c>
      <c r="AW480" s="148" t="s">
        <v>2003</v>
      </c>
      <c r="AX480" s="151"/>
      <c r="AY480" s="105"/>
      <c r="AZ480" s="186"/>
      <c r="BA480" s="186"/>
      <c r="BB480" s="222"/>
      <c r="BC480" s="45"/>
      <c r="BD480" s="45"/>
      <c r="BE480" s="155"/>
      <c r="BF480" s="45"/>
    </row>
    <row r="481" ht="16.5" customHeight="1">
      <c r="A481" s="111">
        <v>478.0</v>
      </c>
      <c r="B481" s="112" t="s">
        <v>623</v>
      </c>
      <c r="C481" s="115" t="s">
        <v>60</v>
      </c>
      <c r="D481" s="117">
        <v>41794.0</v>
      </c>
      <c r="E481" s="117">
        <v>42490.0</v>
      </c>
      <c r="F481" s="79" t="s">
        <v>59</v>
      </c>
      <c r="G481" s="118">
        <v>108644.0</v>
      </c>
      <c r="H481" s="114">
        <v>155.9</v>
      </c>
      <c r="I481" s="120">
        <v>374.0</v>
      </c>
      <c r="J481" s="111" t="s">
        <v>62</v>
      </c>
      <c r="K481" s="121">
        <v>374.0</v>
      </c>
      <c r="L481" s="120" t="s">
        <v>63</v>
      </c>
      <c r="M481" s="120"/>
      <c r="N481" s="120"/>
      <c r="O481" s="124">
        <v>108644.0</v>
      </c>
      <c r="P481" s="124">
        <v>697.0</v>
      </c>
      <c r="Q481" s="111">
        <v>185.0</v>
      </c>
      <c r="R481" s="125">
        <v>399.0</v>
      </c>
      <c r="S481" s="126">
        <v>0.9373</v>
      </c>
      <c r="T481" s="127">
        <v>72640.75</v>
      </c>
      <c r="U481" s="128">
        <f t="shared" si="2"/>
        <v>0</v>
      </c>
      <c r="V481" s="79" t="s">
        <v>67</v>
      </c>
      <c r="W481" s="79" t="s">
        <v>69</v>
      </c>
      <c r="X481" s="79" t="s">
        <v>69</v>
      </c>
      <c r="Y481" s="130">
        <v>0.9</v>
      </c>
      <c r="Z481" s="111">
        <v>9.0</v>
      </c>
      <c r="AA481" s="111">
        <v>398.0</v>
      </c>
      <c r="AB481" s="111" t="s">
        <v>62</v>
      </c>
      <c r="AC481" s="133"/>
      <c r="AD481" s="133"/>
      <c r="AE481" s="133"/>
      <c r="AF481" s="111"/>
      <c r="AG481" s="134" t="s">
        <v>1549</v>
      </c>
      <c r="AH481" s="73"/>
      <c r="AI481" s="135"/>
      <c r="AJ481" s="136"/>
      <c r="AK481" s="76"/>
      <c r="AL481" s="137"/>
      <c r="AM481" s="139">
        <v>398.0</v>
      </c>
      <c r="AN481" s="139">
        <v>697.0</v>
      </c>
      <c r="AO481" s="140">
        <v>267.77</v>
      </c>
      <c r="AP481" s="142">
        <v>108644.0</v>
      </c>
      <c r="AQ481" s="142">
        <v>185.0</v>
      </c>
      <c r="AR481" s="143"/>
      <c r="AS481" s="144">
        <v>0.9434917691500756</v>
      </c>
      <c r="AT481" s="144">
        <v>-0.006191769150075577</v>
      </c>
      <c r="AU481" s="146" t="s">
        <v>2004</v>
      </c>
      <c r="AV481" s="146" t="s">
        <v>2004</v>
      </c>
      <c r="AW481" s="148" t="s">
        <v>2004</v>
      </c>
      <c r="AX481" s="151"/>
      <c r="AY481" s="105"/>
      <c r="AZ481" s="186"/>
      <c r="BA481" s="186"/>
      <c r="BB481" s="222"/>
      <c r="BC481" s="45"/>
      <c r="BD481" s="45"/>
      <c r="BE481" s="155"/>
      <c r="BF481" s="45"/>
    </row>
    <row r="482" ht="16.5" customHeight="1">
      <c r="A482" s="111">
        <v>479.0</v>
      </c>
      <c r="B482" s="112" t="s">
        <v>1850</v>
      </c>
      <c r="C482" s="115" t="s">
        <v>60</v>
      </c>
      <c r="D482" s="117">
        <v>41475.0</v>
      </c>
      <c r="E482" s="117">
        <v>42492.0</v>
      </c>
      <c r="F482" s="79" t="s">
        <v>59</v>
      </c>
      <c r="G482" s="118">
        <v>69255.0</v>
      </c>
      <c r="H482" s="114">
        <v>68.0</v>
      </c>
      <c r="I482" s="120">
        <v>387.0</v>
      </c>
      <c r="J482" s="111" t="s">
        <v>62</v>
      </c>
      <c r="K482" s="121">
        <v>387.0</v>
      </c>
      <c r="L482" s="120" t="s">
        <v>63</v>
      </c>
      <c r="M482" s="120"/>
      <c r="N482" s="120"/>
      <c r="O482" s="124">
        <v>69255.0</v>
      </c>
      <c r="P482" s="124">
        <v>1018.0</v>
      </c>
      <c r="Q482" s="159">
        <v>218.0</v>
      </c>
      <c r="R482" s="125">
        <v>399.0</v>
      </c>
      <c r="S482" s="126">
        <v>0.9699</v>
      </c>
      <c r="T482" s="127">
        <v>75167.25</v>
      </c>
      <c r="U482" s="128">
        <f t="shared" si="2"/>
        <v>0</v>
      </c>
      <c r="V482" s="79" t="s">
        <v>69</v>
      </c>
      <c r="W482" s="79" t="s">
        <v>69</v>
      </c>
      <c r="X482" s="79" t="s">
        <v>69</v>
      </c>
      <c r="Y482" s="130">
        <v>0.9</v>
      </c>
      <c r="Z482" s="111">
        <v>11.0</v>
      </c>
      <c r="AA482" s="111">
        <v>398.0</v>
      </c>
      <c r="AB482" s="111" t="s">
        <v>62</v>
      </c>
      <c r="AC482" s="133"/>
      <c r="AD482" s="133"/>
      <c r="AE482" s="133"/>
      <c r="AF482" s="111"/>
      <c r="AG482" s="147"/>
      <c r="AH482" s="73"/>
      <c r="AI482" s="135"/>
      <c r="AJ482" s="136"/>
      <c r="AK482" s="76"/>
      <c r="AL482" s="137"/>
      <c r="AM482" s="139">
        <v>398.0</v>
      </c>
      <c r="AN482" s="139">
        <v>1018.0</v>
      </c>
      <c r="AO482" s="140">
        <v>197.83</v>
      </c>
      <c r="AP482" s="142">
        <v>69255.0</v>
      </c>
      <c r="AQ482" s="142">
        <v>218.0</v>
      </c>
      <c r="AR482" s="143"/>
      <c r="AS482" s="144">
        <v>0.9509285387358148</v>
      </c>
      <c r="AT482" s="144">
        <v>0.01897146126418514</v>
      </c>
      <c r="AU482" s="146" t="s">
        <v>2005</v>
      </c>
      <c r="AV482" s="146" t="s">
        <v>2005</v>
      </c>
      <c r="AW482" s="148" t="s">
        <v>2005</v>
      </c>
      <c r="AX482" s="151"/>
      <c r="AY482" s="105"/>
      <c r="AZ482" s="186"/>
      <c r="BA482" s="186"/>
      <c r="BB482" s="222"/>
      <c r="BC482" s="45"/>
      <c r="BD482" s="45"/>
      <c r="BE482" s="155"/>
      <c r="BF482" s="45"/>
    </row>
    <row r="483" ht="16.5" customHeight="1">
      <c r="A483" s="111">
        <v>480.0</v>
      </c>
      <c r="B483" s="112" t="s">
        <v>1646</v>
      </c>
      <c r="C483" s="115" t="s">
        <v>60</v>
      </c>
      <c r="D483" s="117">
        <v>42139.0</v>
      </c>
      <c r="E483" s="117">
        <v>42492.0</v>
      </c>
      <c r="F483" s="79" t="s">
        <v>86</v>
      </c>
      <c r="G483" s="118">
        <v>54500.0</v>
      </c>
      <c r="H483" s="114">
        <v>154.0</v>
      </c>
      <c r="I483" s="120">
        <v>425.0</v>
      </c>
      <c r="J483" s="111" t="s">
        <v>61</v>
      </c>
      <c r="K483" s="121">
        <v>430.38</v>
      </c>
      <c r="L483" s="120" t="s">
        <v>195</v>
      </c>
      <c r="M483" s="120" t="s">
        <v>320</v>
      </c>
      <c r="N483" s="120">
        <v>36000.0</v>
      </c>
      <c r="O483" s="124">
        <v>18500.0</v>
      </c>
      <c r="P483" s="124">
        <v>120.0</v>
      </c>
      <c r="Q483" s="111">
        <v>224.0</v>
      </c>
      <c r="R483" s="125">
        <v>430.0</v>
      </c>
      <c r="S483" s="126">
        <v>1.0009</v>
      </c>
      <c r="T483" s="127">
        <v>77569.74999999999</v>
      </c>
      <c r="U483" s="128">
        <f t="shared" si="2"/>
        <v>0</v>
      </c>
      <c r="V483" s="79" t="s">
        <v>127</v>
      </c>
      <c r="W483" s="79" t="s">
        <v>66</v>
      </c>
      <c r="X483" s="79" t="s">
        <v>66</v>
      </c>
      <c r="Y483" s="130">
        <v>0.9</v>
      </c>
      <c r="Z483" s="111"/>
      <c r="AA483" s="111">
        <v>425.0</v>
      </c>
      <c r="AB483" s="111" t="s">
        <v>61</v>
      </c>
      <c r="AC483" s="133"/>
      <c r="AD483" s="133"/>
      <c r="AE483" s="133"/>
      <c r="AF483" s="111"/>
      <c r="AG483" s="134" t="s">
        <v>2006</v>
      </c>
      <c r="AH483" s="73"/>
      <c r="AI483" s="135"/>
      <c r="AJ483" s="136"/>
      <c r="AK483" s="76"/>
      <c r="AL483" s="137"/>
      <c r="AM483" s="139">
        <v>430.0</v>
      </c>
      <c r="AN483" s="139">
        <v>354.0</v>
      </c>
      <c r="AO483" s="140">
        <v>53.45</v>
      </c>
      <c r="AP483" s="142">
        <v>18500.0</v>
      </c>
      <c r="AQ483" s="142">
        <v>224.0</v>
      </c>
      <c r="AR483" s="143"/>
      <c r="AS483" s="144">
        <v>0.9739606018026725</v>
      </c>
      <c r="AT483" s="144">
        <v>0.02693939819732738</v>
      </c>
      <c r="AU483" s="146" t="s">
        <v>2007</v>
      </c>
      <c r="AV483" s="146" t="s">
        <v>2007</v>
      </c>
      <c r="AW483" s="148" t="s">
        <v>2007</v>
      </c>
      <c r="AX483" s="151"/>
      <c r="AY483" s="105"/>
      <c r="AZ483" s="186"/>
      <c r="BA483" s="186"/>
      <c r="BB483" s="222"/>
      <c r="BC483" s="45"/>
      <c r="BD483" s="45"/>
      <c r="BE483" s="155"/>
      <c r="BF483" s="45"/>
    </row>
    <row r="484" ht="16.5" customHeight="1">
      <c r="A484" s="111">
        <v>481.0</v>
      </c>
      <c r="B484" s="112" t="s">
        <v>1624</v>
      </c>
      <c r="C484" s="115" t="s">
        <v>60</v>
      </c>
      <c r="D484" s="117">
        <v>41795.0</v>
      </c>
      <c r="E484" s="117">
        <v>42502.0</v>
      </c>
      <c r="F484" s="79" t="s">
        <v>59</v>
      </c>
      <c r="G484" s="118">
        <v>62660.0</v>
      </c>
      <c r="H484" s="114">
        <v>88.5</v>
      </c>
      <c r="I484" s="120">
        <v>374.0</v>
      </c>
      <c r="J484" s="111" t="s">
        <v>61</v>
      </c>
      <c r="K484" s="121">
        <v>378.73</v>
      </c>
      <c r="L484" s="120" t="s">
        <v>63</v>
      </c>
      <c r="M484" s="120"/>
      <c r="N484" s="120"/>
      <c r="O484" s="124">
        <v>62660.0</v>
      </c>
      <c r="P484" s="124">
        <v>708.0</v>
      </c>
      <c r="Q484" s="111">
        <v>223.0</v>
      </c>
      <c r="R484" s="125">
        <v>399.0</v>
      </c>
      <c r="S484" s="126">
        <v>0.9492</v>
      </c>
      <c r="T484" s="127">
        <v>73563.0</v>
      </c>
      <c r="U484" s="128">
        <f t="shared" si="2"/>
        <v>0</v>
      </c>
      <c r="V484" s="79" t="s">
        <v>65</v>
      </c>
      <c r="W484" s="79" t="s">
        <v>64</v>
      </c>
      <c r="X484" s="79" t="s">
        <v>69</v>
      </c>
      <c r="Y484" s="130">
        <v>0.9</v>
      </c>
      <c r="Z484" s="111">
        <v>11.0</v>
      </c>
      <c r="AA484" s="111">
        <v>392.0</v>
      </c>
      <c r="AB484" s="111" t="s">
        <v>61</v>
      </c>
      <c r="AC484" s="133"/>
      <c r="AD484" s="133"/>
      <c r="AE484" s="133"/>
      <c r="AF484" s="111"/>
      <c r="AG484" s="147"/>
      <c r="AH484" s="73"/>
      <c r="AI484" s="135"/>
      <c r="AJ484" s="136"/>
      <c r="AK484" s="76"/>
      <c r="AL484" s="137"/>
      <c r="AM484" s="139">
        <v>397.0</v>
      </c>
      <c r="AN484" s="139">
        <v>708.0</v>
      </c>
      <c r="AO484" s="140">
        <v>185.03</v>
      </c>
      <c r="AP484" s="142">
        <v>62660.0</v>
      </c>
      <c r="AQ484" s="142">
        <v>223.0</v>
      </c>
      <c r="AR484" s="143"/>
      <c r="AS484" s="144">
        <v>0.9525126888285521</v>
      </c>
      <c r="AT484" s="144">
        <v>-0.0033126888285520684</v>
      </c>
      <c r="AU484" s="146" t="s">
        <v>2008</v>
      </c>
      <c r="AV484" s="146" t="s">
        <v>2008</v>
      </c>
      <c r="AW484" s="148" t="s">
        <v>2008</v>
      </c>
      <c r="AX484" s="151"/>
      <c r="AY484" s="105"/>
      <c r="AZ484" s="186"/>
      <c r="BA484" s="186"/>
      <c r="BB484" s="222"/>
      <c r="BC484" s="45"/>
      <c r="BD484" s="45"/>
      <c r="BE484" s="155"/>
      <c r="BF484" s="45"/>
    </row>
    <row r="485" ht="16.5" customHeight="1">
      <c r="A485" s="111">
        <v>482.0</v>
      </c>
      <c r="B485" s="112" t="s">
        <v>1873</v>
      </c>
      <c r="C485" s="115" t="s">
        <v>60</v>
      </c>
      <c r="D485" s="117">
        <v>41783.0</v>
      </c>
      <c r="E485" s="117">
        <v>42500.0</v>
      </c>
      <c r="F485" s="79" t="s">
        <v>109</v>
      </c>
      <c r="G485" s="118">
        <v>39500.0</v>
      </c>
      <c r="H485" s="114">
        <v>55.0</v>
      </c>
      <c r="I485" s="120">
        <v>279.0</v>
      </c>
      <c r="J485" s="111" t="s">
        <v>62</v>
      </c>
      <c r="K485" s="121">
        <v>279.0</v>
      </c>
      <c r="L485" s="120" t="s">
        <v>63</v>
      </c>
      <c r="M485" s="120"/>
      <c r="N485" s="120"/>
      <c r="O485" s="124">
        <v>39500.0</v>
      </c>
      <c r="P485" s="124">
        <v>718.0</v>
      </c>
      <c r="Q485" s="111">
        <v>199.0</v>
      </c>
      <c r="R485" s="125">
        <v>289.0</v>
      </c>
      <c r="S485" s="126">
        <v>0.9654</v>
      </c>
      <c r="T485" s="127">
        <v>56475.9</v>
      </c>
      <c r="U485" s="128">
        <f t="shared" si="2"/>
        <v>0</v>
      </c>
      <c r="V485" s="79" t="s">
        <v>64</v>
      </c>
      <c r="W485" s="79" t="s">
        <v>69</v>
      </c>
      <c r="X485" s="79" t="s">
        <v>68</v>
      </c>
      <c r="Y485" s="130">
        <v>0.9</v>
      </c>
      <c r="Z485" s="111" t="s">
        <v>2009</v>
      </c>
      <c r="AA485" s="133"/>
      <c r="AB485" s="133"/>
      <c r="AC485" s="133"/>
      <c r="AD485" s="133"/>
      <c r="AE485" s="133"/>
      <c r="AF485" s="111"/>
      <c r="AG485" s="147"/>
      <c r="AH485" s="73"/>
      <c r="AI485" s="135"/>
      <c r="AJ485" s="136"/>
      <c r="AK485" s="76"/>
      <c r="AL485" s="137"/>
      <c r="AM485" s="139" t="s">
        <v>71</v>
      </c>
      <c r="AN485" s="139">
        <v>718.0</v>
      </c>
      <c r="AO485" s="140">
        <v>136.77</v>
      </c>
      <c r="AP485" s="142">
        <v>39500.0</v>
      </c>
      <c r="AQ485" s="142">
        <v>199.0</v>
      </c>
      <c r="AR485" s="143"/>
      <c r="AS485" s="144">
        <v>0.9602336097363873</v>
      </c>
      <c r="AT485" s="144">
        <v>0.0051663902636127634</v>
      </c>
      <c r="AU485" s="146" t="s">
        <v>2010</v>
      </c>
      <c r="AV485" s="146" t="s">
        <v>2010</v>
      </c>
      <c r="AW485" s="148" t="s">
        <v>2010</v>
      </c>
      <c r="AX485" s="151"/>
      <c r="AY485" s="105"/>
      <c r="AZ485" s="186"/>
      <c r="BA485" s="186"/>
      <c r="BB485" s="222"/>
      <c r="BC485" s="45"/>
      <c r="BD485" s="45"/>
      <c r="BE485" s="155"/>
      <c r="BF485" s="45"/>
    </row>
    <row r="486" ht="16.5" customHeight="1">
      <c r="A486" s="111">
        <v>483.0</v>
      </c>
      <c r="B486" s="112" t="s">
        <v>1823</v>
      </c>
      <c r="C486" s="115" t="s">
        <v>60</v>
      </c>
      <c r="D486" s="117">
        <v>41594.0</v>
      </c>
      <c r="E486" s="117">
        <v>42454.0</v>
      </c>
      <c r="F486" s="79" t="s">
        <v>59</v>
      </c>
      <c r="G486" s="118">
        <v>36410.0</v>
      </c>
      <c r="H486" s="114">
        <v>42.3</v>
      </c>
      <c r="I486" s="120">
        <v>379.0</v>
      </c>
      <c r="J486" s="111" t="s">
        <v>62</v>
      </c>
      <c r="K486" s="121">
        <v>379.0</v>
      </c>
      <c r="L486" s="120" t="s">
        <v>63</v>
      </c>
      <c r="M486" s="120"/>
      <c r="N486" s="120"/>
      <c r="O486" s="124">
        <v>36410.0</v>
      </c>
      <c r="P486" s="124">
        <v>861.0</v>
      </c>
      <c r="Q486" s="111">
        <v>219.0</v>
      </c>
      <c r="R486" s="125">
        <v>399.0</v>
      </c>
      <c r="S486" s="126">
        <v>0.9499</v>
      </c>
      <c r="T486" s="127">
        <v>73617.25</v>
      </c>
      <c r="U486" s="128">
        <f t="shared" si="2"/>
        <v>0</v>
      </c>
      <c r="V486" s="79" t="s">
        <v>67</v>
      </c>
      <c r="W486" s="79" t="s">
        <v>69</v>
      </c>
      <c r="X486" s="79" t="s">
        <v>66</v>
      </c>
      <c r="Y486" s="130">
        <v>0.9</v>
      </c>
      <c r="Z486" s="111">
        <v>11.0</v>
      </c>
      <c r="AA486" s="133"/>
      <c r="AB486" s="111" t="s">
        <v>62</v>
      </c>
      <c r="AC486" s="133"/>
      <c r="AD486" s="133"/>
      <c r="AE486" s="133"/>
      <c r="AF486" s="111"/>
      <c r="AG486" s="134" t="s">
        <v>2011</v>
      </c>
      <c r="AH486" s="73"/>
      <c r="AI486" s="135"/>
      <c r="AJ486" s="136"/>
      <c r="AK486" s="76"/>
      <c r="AL486" s="137"/>
      <c r="AM486" s="139" t="s">
        <v>71</v>
      </c>
      <c r="AN486" s="139">
        <v>861.0</v>
      </c>
      <c r="AO486" s="140">
        <v>105.57</v>
      </c>
      <c r="AP486" s="142">
        <v>36410.0</v>
      </c>
      <c r="AQ486" s="142">
        <v>219.0</v>
      </c>
      <c r="AR486" s="143"/>
      <c r="AS486" s="144">
        <v>0.9616847791664238</v>
      </c>
      <c r="AT486" s="144">
        <v>-0.011784779166423842</v>
      </c>
      <c r="AU486" s="146" t="s">
        <v>2012</v>
      </c>
      <c r="AV486" s="146" t="s">
        <v>2012</v>
      </c>
      <c r="AW486" s="148" t="s">
        <v>2012</v>
      </c>
      <c r="AX486" s="151"/>
      <c r="AY486" s="105"/>
      <c r="AZ486" s="186"/>
      <c r="BA486" s="186"/>
      <c r="BB486" s="222"/>
      <c r="BC486" s="45"/>
      <c r="BD486" s="45"/>
      <c r="BE486" s="155"/>
      <c r="BF486" s="45"/>
    </row>
    <row r="487" ht="16.5" customHeight="1">
      <c r="A487" s="111">
        <v>484.0</v>
      </c>
      <c r="B487" s="112" t="s">
        <v>1703</v>
      </c>
      <c r="C487" s="115" t="s">
        <v>60</v>
      </c>
      <c r="D487" s="117">
        <v>42353.0</v>
      </c>
      <c r="E487" s="117">
        <v>42508.0</v>
      </c>
      <c r="F487" s="79" t="s">
        <v>118</v>
      </c>
      <c r="G487" s="118">
        <v>11680.0</v>
      </c>
      <c r="H487" s="114">
        <v>74.9</v>
      </c>
      <c r="I487" s="120">
        <v>364.0</v>
      </c>
      <c r="J487" s="111" t="s">
        <v>62</v>
      </c>
      <c r="K487" s="121">
        <v>364.0</v>
      </c>
      <c r="L487" s="120" t="s">
        <v>63</v>
      </c>
      <c r="M487" s="120"/>
      <c r="N487" s="120"/>
      <c r="O487" s="124">
        <v>11680.0</v>
      </c>
      <c r="P487" s="124">
        <v>156.0</v>
      </c>
      <c r="Q487" s="111">
        <v>218.0</v>
      </c>
      <c r="R487" s="125">
        <v>365.0</v>
      </c>
      <c r="S487" s="126">
        <v>0.9973</v>
      </c>
      <c r="T487" s="127">
        <v>68614.23999999999</v>
      </c>
      <c r="U487" s="128">
        <f t="shared" si="2"/>
        <v>0</v>
      </c>
      <c r="V487" s="79"/>
      <c r="W487" s="79"/>
      <c r="X487" s="79"/>
      <c r="Y487" s="130"/>
      <c r="Z487" s="111"/>
      <c r="AA487" s="133"/>
      <c r="AB487" s="133"/>
      <c r="AC487" s="133"/>
      <c r="AD487" s="133"/>
      <c r="AE487" s="133"/>
      <c r="AF487" s="111"/>
      <c r="AG487" s="147"/>
      <c r="AH487" s="73"/>
      <c r="AI487" s="135"/>
      <c r="AJ487" s="136"/>
      <c r="AK487" s="76"/>
      <c r="AL487" s="137"/>
      <c r="AM487" s="139" t="s">
        <v>71</v>
      </c>
      <c r="AN487" s="139">
        <v>156.0</v>
      </c>
      <c r="AO487" s="140">
        <v>37.07</v>
      </c>
      <c r="AP487" s="142">
        <v>11680.0</v>
      </c>
      <c r="AQ487" s="142">
        <v>218.0</v>
      </c>
      <c r="AR487" s="143"/>
      <c r="AS487" s="144">
        <v>0.981331305830942</v>
      </c>
      <c r="AT487" s="144">
        <v>0.015968694169057995</v>
      </c>
      <c r="AU487" s="146" t="s">
        <v>2013</v>
      </c>
      <c r="AV487" s="146" t="s">
        <v>2013</v>
      </c>
      <c r="AW487" s="148" t="s">
        <v>2013</v>
      </c>
      <c r="AX487" s="151"/>
      <c r="AY487" s="105"/>
      <c r="AZ487" s="186"/>
      <c r="BA487" s="186"/>
      <c r="BB487" s="222"/>
      <c r="BC487" s="45"/>
      <c r="BD487" s="45"/>
      <c r="BE487" s="155"/>
      <c r="BF487" s="45"/>
    </row>
    <row r="488" ht="16.5" customHeight="1">
      <c r="A488" s="111">
        <v>485.0</v>
      </c>
      <c r="B488" s="112" t="s">
        <v>126</v>
      </c>
      <c r="C488" s="115" t="s">
        <v>60</v>
      </c>
      <c r="D488" s="117">
        <v>41527.0</v>
      </c>
      <c r="E488" s="117">
        <v>42508.0</v>
      </c>
      <c r="F488" s="79" t="s">
        <v>79</v>
      </c>
      <c r="G488" s="118">
        <v>172000.0</v>
      </c>
      <c r="H488" s="114">
        <v>175.2</v>
      </c>
      <c r="I488" s="120">
        <v>365.0</v>
      </c>
      <c r="J488" s="111" t="s">
        <v>61</v>
      </c>
      <c r="K488" s="121">
        <v>369.62</v>
      </c>
      <c r="L488" s="120" t="s">
        <v>63</v>
      </c>
      <c r="M488" s="120"/>
      <c r="N488" s="120"/>
      <c r="O488" s="124">
        <v>172000.0</v>
      </c>
      <c r="P488" s="124">
        <v>982.0</v>
      </c>
      <c r="Q488" s="111">
        <v>211.0</v>
      </c>
      <c r="R488" s="125">
        <v>399.0</v>
      </c>
      <c r="S488" s="126">
        <v>0.9264</v>
      </c>
      <c r="T488" s="127">
        <v>71796.0</v>
      </c>
      <c r="U488" s="128">
        <f t="shared" si="2"/>
        <v>0</v>
      </c>
      <c r="V488" s="79" t="s">
        <v>65</v>
      </c>
      <c r="W488" s="79" t="s">
        <v>127</v>
      </c>
      <c r="X488" s="79" t="s">
        <v>69</v>
      </c>
      <c r="Y488" s="130">
        <v>1.0</v>
      </c>
      <c r="Z488" s="111">
        <v>22.0</v>
      </c>
      <c r="AA488" s="111">
        <v>400.0</v>
      </c>
      <c r="AB488" s="111" t="s">
        <v>61</v>
      </c>
      <c r="AC488" s="111">
        <v>365.0</v>
      </c>
      <c r="AD488" s="111">
        <v>273.0</v>
      </c>
      <c r="AE488" s="111">
        <v>17.2</v>
      </c>
      <c r="AF488" s="111" t="s">
        <v>61</v>
      </c>
      <c r="AG488" s="134" t="s">
        <v>128</v>
      </c>
      <c r="AH488" s="73">
        <v>92.0</v>
      </c>
      <c r="AI488" s="135">
        <v>93.16455696202533</v>
      </c>
      <c r="AJ488" s="136">
        <v>68.23908369565217</v>
      </c>
      <c r="AK488" s="76">
        <v>0.8805043057503505</v>
      </c>
      <c r="AL488" s="137" t="s">
        <v>2014</v>
      </c>
      <c r="AM488" s="139">
        <v>405.0</v>
      </c>
      <c r="AN488" s="139">
        <v>982.0</v>
      </c>
      <c r="AO488" s="140">
        <v>486.22</v>
      </c>
      <c r="AP488" s="142">
        <v>172000.0</v>
      </c>
      <c r="AQ488" s="142">
        <v>211.0</v>
      </c>
      <c r="AR488" s="143"/>
      <c r="AS488" s="144">
        <v>0.9333636182687007</v>
      </c>
      <c r="AT488" s="144">
        <v>-0.006963618268700733</v>
      </c>
      <c r="AU488" s="146" t="s">
        <v>2015</v>
      </c>
      <c r="AV488" s="146" t="s">
        <v>2015</v>
      </c>
      <c r="AW488" s="148" t="s">
        <v>2015</v>
      </c>
      <c r="AX488" s="151"/>
      <c r="AY488" s="105"/>
      <c r="AZ488" s="186"/>
      <c r="BA488" s="186"/>
      <c r="BB488" s="222"/>
      <c r="BC488" s="45"/>
      <c r="BD488" s="45"/>
      <c r="BE488" s="155"/>
      <c r="BF488" s="45"/>
    </row>
    <row r="489" ht="16.5" customHeight="1">
      <c r="A489" s="111">
        <v>486.0</v>
      </c>
      <c r="B489" s="112" t="s">
        <v>1637</v>
      </c>
      <c r="C489" s="115" t="s">
        <v>60</v>
      </c>
      <c r="D489" s="117">
        <v>42235.0</v>
      </c>
      <c r="E489" s="117">
        <v>42510.0</v>
      </c>
      <c r="F489" s="79" t="s">
        <v>118</v>
      </c>
      <c r="G489" s="118">
        <v>39404.0</v>
      </c>
      <c r="H489" s="114">
        <v>142.8</v>
      </c>
      <c r="I489" s="120">
        <v>352.0</v>
      </c>
      <c r="J489" s="111" t="s">
        <v>61</v>
      </c>
      <c r="K489" s="121">
        <v>356.46</v>
      </c>
      <c r="L489" s="120" t="s">
        <v>63</v>
      </c>
      <c r="M489" s="120"/>
      <c r="N489" s="120"/>
      <c r="O489" s="124">
        <v>39404.0</v>
      </c>
      <c r="P489" s="124">
        <v>276.0</v>
      </c>
      <c r="Q489" s="111">
        <v>216.0</v>
      </c>
      <c r="R489" s="125">
        <v>365.0</v>
      </c>
      <c r="S489" s="126">
        <v>0.9766</v>
      </c>
      <c r="T489" s="127">
        <v>67190.08</v>
      </c>
      <c r="U489" s="128">
        <f t="shared" si="2"/>
        <v>0</v>
      </c>
      <c r="V489" s="79" t="s">
        <v>127</v>
      </c>
      <c r="W489" s="79" t="s">
        <v>64</v>
      </c>
      <c r="X489" s="79" t="s">
        <v>69</v>
      </c>
      <c r="Y489" s="130">
        <v>0.8</v>
      </c>
      <c r="Z489" s="111">
        <v>11.0</v>
      </c>
      <c r="AA489" s="111">
        <v>360.0</v>
      </c>
      <c r="AB489" s="111" t="s">
        <v>61</v>
      </c>
      <c r="AC489" s="133"/>
      <c r="AD489" s="133"/>
      <c r="AE489" s="133"/>
      <c r="AF489" s="111"/>
      <c r="AG489" s="147"/>
      <c r="AH489" s="73"/>
      <c r="AI489" s="135"/>
      <c r="AJ489" s="136"/>
      <c r="AK489" s="76"/>
      <c r="AL489" s="137"/>
      <c r="AM489" s="139">
        <v>365.0</v>
      </c>
      <c r="AN489" s="139">
        <v>276.0</v>
      </c>
      <c r="AO489" s="140">
        <v>125.19</v>
      </c>
      <c r="AP489" s="142">
        <v>39404.0</v>
      </c>
      <c r="AQ489" s="142">
        <v>216.0</v>
      </c>
      <c r="AR489" s="143"/>
      <c r="AS489" s="144">
        <v>0.9602766191545821</v>
      </c>
      <c r="AT489" s="144">
        <v>0.016323380845417956</v>
      </c>
      <c r="AU489" s="146" t="s">
        <v>2016</v>
      </c>
      <c r="AV489" s="146" t="s">
        <v>2016</v>
      </c>
      <c r="AW489" s="148" t="s">
        <v>2016</v>
      </c>
      <c r="AX489" s="151"/>
      <c r="AY489" s="105"/>
      <c r="AZ489" s="186"/>
      <c r="BA489" s="186"/>
      <c r="BB489" s="222"/>
      <c r="BC489" s="45"/>
      <c r="BD489" s="45"/>
      <c r="BE489" s="155"/>
      <c r="BF489" s="45"/>
    </row>
    <row r="490" ht="16.5" customHeight="1">
      <c r="A490" s="111">
        <v>487.0</v>
      </c>
      <c r="B490" s="112" t="s">
        <v>1873</v>
      </c>
      <c r="C490" s="115" t="s">
        <v>60</v>
      </c>
      <c r="D490" s="117">
        <v>41783.0</v>
      </c>
      <c r="E490" s="117">
        <v>42517.0</v>
      </c>
      <c r="F490" s="79" t="s">
        <v>109</v>
      </c>
      <c r="G490" s="118">
        <v>39800.0</v>
      </c>
      <c r="H490" s="114">
        <v>54.1</v>
      </c>
      <c r="I490" s="120">
        <v>274.0</v>
      </c>
      <c r="J490" s="111" t="s">
        <v>62</v>
      </c>
      <c r="K490" s="121">
        <v>274.0</v>
      </c>
      <c r="L490" s="120" t="s">
        <v>63</v>
      </c>
      <c r="M490" s="120"/>
      <c r="N490" s="120"/>
      <c r="O490" s="124">
        <v>39800.0</v>
      </c>
      <c r="P490" s="124">
        <v>735.0</v>
      </c>
      <c r="Q490" s="111">
        <v>199.0</v>
      </c>
      <c r="R490" s="125">
        <v>289.0</v>
      </c>
      <c r="S490" s="126">
        <v>0.9481</v>
      </c>
      <c r="T490" s="127">
        <v>55463.850000000006</v>
      </c>
      <c r="U490" s="128">
        <f t="shared" si="2"/>
        <v>0</v>
      </c>
      <c r="V490" s="79" t="s">
        <v>64</v>
      </c>
      <c r="W490" s="79" t="s">
        <v>69</v>
      </c>
      <c r="X490" s="79" t="s">
        <v>68</v>
      </c>
      <c r="Y490" s="130">
        <v>0.9</v>
      </c>
      <c r="Z490" s="111" t="s">
        <v>2009</v>
      </c>
      <c r="AA490" s="133"/>
      <c r="AB490" s="111" t="s">
        <v>62</v>
      </c>
      <c r="AC490" s="133"/>
      <c r="AD490" s="133"/>
      <c r="AE490" s="133"/>
      <c r="AF490" s="111"/>
      <c r="AG490" s="147"/>
      <c r="AH490" s="73"/>
      <c r="AI490" s="135"/>
      <c r="AJ490" s="136"/>
      <c r="AK490" s="76"/>
      <c r="AL490" s="137"/>
      <c r="AM490" s="139" t="s">
        <v>71</v>
      </c>
      <c r="AN490" s="139">
        <v>735.0</v>
      </c>
      <c r="AO490" s="140">
        <v>139.04</v>
      </c>
      <c r="AP490" s="142">
        <v>39800.0</v>
      </c>
      <c r="AQ490" s="142">
        <v>199.0</v>
      </c>
      <c r="AR490" s="143"/>
      <c r="AS490" s="144">
        <v>0.9601000181571213</v>
      </c>
      <c r="AT490" s="144">
        <v>-0.012000018157121262</v>
      </c>
      <c r="AU490" s="146" t="s">
        <v>2017</v>
      </c>
      <c r="AV490" s="146" t="s">
        <v>2017</v>
      </c>
      <c r="AW490" s="148" t="s">
        <v>2017</v>
      </c>
      <c r="AX490" s="151"/>
      <c r="AY490" s="105"/>
      <c r="AZ490" s="186"/>
      <c r="BA490" s="186"/>
      <c r="BB490" s="222"/>
      <c r="BC490" s="45"/>
      <c r="BD490" s="45"/>
      <c r="BE490" s="155"/>
      <c r="BF490" s="45"/>
    </row>
    <row r="491" ht="16.5" customHeight="1">
      <c r="A491" s="111">
        <v>488.0</v>
      </c>
      <c r="B491" s="112" t="s">
        <v>1726</v>
      </c>
      <c r="C491" s="115" t="s">
        <v>60</v>
      </c>
      <c r="D491" s="117">
        <v>42276.0</v>
      </c>
      <c r="E491" s="117">
        <v>42517.0</v>
      </c>
      <c r="F491" s="79" t="s">
        <v>305</v>
      </c>
      <c r="G491" s="118">
        <v>24331.0</v>
      </c>
      <c r="H491" s="114">
        <v>100.5</v>
      </c>
      <c r="I491" s="120">
        <v>432.0</v>
      </c>
      <c r="J491" s="111" t="s">
        <v>62</v>
      </c>
      <c r="K491" s="121">
        <v>432.0</v>
      </c>
      <c r="L491" s="120" t="s">
        <v>63</v>
      </c>
      <c r="M491" s="120"/>
      <c r="N491" s="120"/>
      <c r="O491" s="124">
        <v>24331.0</v>
      </c>
      <c r="P491" s="124">
        <v>242.0</v>
      </c>
      <c r="Q491" s="111">
        <v>236.0</v>
      </c>
      <c r="R491" s="125">
        <v>452.0</v>
      </c>
      <c r="S491" s="126">
        <v>0.9558</v>
      </c>
      <c r="T491" s="127">
        <v>78184.44</v>
      </c>
      <c r="U491" s="128">
        <f t="shared" si="2"/>
        <v>0</v>
      </c>
      <c r="V491" s="79" t="s">
        <v>69</v>
      </c>
      <c r="W491" s="79" t="s">
        <v>69</v>
      </c>
      <c r="X491" s="79" t="s">
        <v>69</v>
      </c>
      <c r="Y491" s="130">
        <v>0.8</v>
      </c>
      <c r="Z491" s="111">
        <v>11.0</v>
      </c>
      <c r="AA491" s="111">
        <v>426.0</v>
      </c>
      <c r="AB491" s="111" t="s">
        <v>61</v>
      </c>
      <c r="AC491" s="133"/>
      <c r="AD491" s="133"/>
      <c r="AE491" s="133"/>
      <c r="AF491" s="111"/>
      <c r="AG491" s="147"/>
      <c r="AH491" s="73"/>
      <c r="AI491" s="135"/>
      <c r="AJ491" s="136"/>
      <c r="AK491" s="76"/>
      <c r="AL491" s="137"/>
      <c r="AM491" s="139">
        <v>431.0</v>
      </c>
      <c r="AN491" s="139">
        <v>242.0</v>
      </c>
      <c r="AO491" s="140">
        <v>71.79</v>
      </c>
      <c r="AP491" s="142">
        <v>24331.0</v>
      </c>
      <c r="AQ491" s="142">
        <v>236.0</v>
      </c>
      <c r="AR491" s="143"/>
      <c r="AS491" s="144">
        <v>0.9690539684242142</v>
      </c>
      <c r="AT491" s="144">
        <v>-0.013253968424214224</v>
      </c>
      <c r="AU491" s="146" t="s">
        <v>2018</v>
      </c>
      <c r="AV491" s="146" t="s">
        <v>2018</v>
      </c>
      <c r="AW491" s="148" t="s">
        <v>2018</v>
      </c>
      <c r="AX491" s="151"/>
      <c r="AY491" s="105"/>
      <c r="AZ491" s="186"/>
      <c r="BA491" s="186"/>
      <c r="BB491" s="222"/>
      <c r="BC491" s="45"/>
      <c r="BD491" s="45"/>
      <c r="BE491" s="155"/>
      <c r="BF491" s="45"/>
    </row>
    <row r="492" ht="16.5" customHeight="1">
      <c r="A492" s="111">
        <v>489.0</v>
      </c>
      <c r="B492" s="112" t="s">
        <v>623</v>
      </c>
      <c r="C492" s="115" t="s">
        <v>60</v>
      </c>
      <c r="D492" s="117">
        <v>41794.0</v>
      </c>
      <c r="E492" s="117">
        <v>42517.0</v>
      </c>
      <c r="F492" s="79" t="s">
        <v>59</v>
      </c>
      <c r="G492" s="118">
        <v>112723.0</v>
      </c>
      <c r="H492" s="114">
        <v>155.7</v>
      </c>
      <c r="I492" s="120">
        <v>375.0</v>
      </c>
      <c r="J492" s="111" t="s">
        <v>62</v>
      </c>
      <c r="K492" s="121">
        <v>375.0</v>
      </c>
      <c r="L492" s="120" t="s">
        <v>63</v>
      </c>
      <c r="M492" s="120"/>
      <c r="N492" s="120"/>
      <c r="O492" s="124">
        <v>112723.0</v>
      </c>
      <c r="P492" s="124">
        <v>724.0</v>
      </c>
      <c r="Q492" s="111">
        <v>184.0</v>
      </c>
      <c r="R492" s="125">
        <v>399.0</v>
      </c>
      <c r="S492" s="126">
        <v>0.9398</v>
      </c>
      <c r="T492" s="127">
        <v>72834.5</v>
      </c>
      <c r="U492" s="128">
        <f t="shared" si="2"/>
        <v>0</v>
      </c>
      <c r="V492" s="79" t="s">
        <v>67</v>
      </c>
      <c r="W492" s="79" t="s">
        <v>69</v>
      </c>
      <c r="X492" s="79" t="s">
        <v>69</v>
      </c>
      <c r="Y492" s="130">
        <v>0.9</v>
      </c>
      <c r="Z492" s="111">
        <v>9.0</v>
      </c>
      <c r="AA492" s="111">
        <v>398.0</v>
      </c>
      <c r="AB492" s="111" t="s">
        <v>62</v>
      </c>
      <c r="AC492" s="133"/>
      <c r="AD492" s="133"/>
      <c r="AE492" s="133"/>
      <c r="AF492" s="111"/>
      <c r="AG492" s="134" t="s">
        <v>2019</v>
      </c>
      <c r="AH492" s="73"/>
      <c r="AI492" s="135"/>
      <c r="AJ492" s="136"/>
      <c r="AK492" s="76"/>
      <c r="AL492" s="137"/>
      <c r="AM492" s="139">
        <v>398.0</v>
      </c>
      <c r="AN492" s="139">
        <v>724.0</v>
      </c>
      <c r="AO492" s="140">
        <v>275.96</v>
      </c>
      <c r="AP492" s="142">
        <v>112723.0</v>
      </c>
      <c r="AQ492" s="142">
        <v>184.0</v>
      </c>
      <c r="AR492" s="143"/>
      <c r="AS492" s="144">
        <v>0.9428127617568511</v>
      </c>
      <c r="AT492" s="144">
        <v>-0.0030127617568511678</v>
      </c>
      <c r="AU492" s="146" t="s">
        <v>2020</v>
      </c>
      <c r="AV492" s="146" t="s">
        <v>2020</v>
      </c>
      <c r="AW492" s="148" t="s">
        <v>2020</v>
      </c>
      <c r="AX492" s="151"/>
      <c r="AY492" s="105"/>
      <c r="AZ492" s="186"/>
      <c r="BA492" s="186"/>
      <c r="BB492" s="222"/>
      <c r="BC492" s="45"/>
      <c r="BD492" s="45"/>
      <c r="BE492" s="155"/>
      <c r="BF492" s="45"/>
    </row>
    <row r="493" ht="16.5" customHeight="1">
      <c r="A493" s="111">
        <v>490.0</v>
      </c>
      <c r="B493" s="112" t="s">
        <v>623</v>
      </c>
      <c r="C493" s="115" t="s">
        <v>60</v>
      </c>
      <c r="D493" s="117">
        <v>41794.0</v>
      </c>
      <c r="E493" s="117">
        <v>42519.0</v>
      </c>
      <c r="F493" s="79" t="s">
        <v>59</v>
      </c>
      <c r="G493" s="118">
        <v>113170.0</v>
      </c>
      <c r="H493" s="114">
        <v>155.9</v>
      </c>
      <c r="I493" s="120">
        <v>373.0</v>
      </c>
      <c r="J493" s="111" t="s">
        <v>62</v>
      </c>
      <c r="K493" s="121">
        <v>373.0</v>
      </c>
      <c r="L493" s="120" t="s">
        <v>63</v>
      </c>
      <c r="M493" s="120"/>
      <c r="N493" s="120"/>
      <c r="O493" s="124">
        <v>113170.0</v>
      </c>
      <c r="P493" s="124">
        <v>726.0</v>
      </c>
      <c r="Q493" s="111">
        <v>184.0</v>
      </c>
      <c r="R493" s="125">
        <v>399.0</v>
      </c>
      <c r="S493" s="126">
        <v>0.9348</v>
      </c>
      <c r="T493" s="127">
        <v>72447.0</v>
      </c>
      <c r="U493" s="128">
        <f t="shared" si="2"/>
        <v>0</v>
      </c>
      <c r="V493" s="79" t="s">
        <v>67</v>
      </c>
      <c r="W493" s="79" t="s">
        <v>69</v>
      </c>
      <c r="X493" s="79"/>
      <c r="Y493" s="130">
        <v>0.9</v>
      </c>
      <c r="Z493" s="111">
        <v>9.0</v>
      </c>
      <c r="AA493" s="111">
        <v>398.0</v>
      </c>
      <c r="AB493" s="111" t="s">
        <v>62</v>
      </c>
      <c r="AC493" s="133"/>
      <c r="AD493" s="133"/>
      <c r="AE493" s="133"/>
      <c r="AF493" s="111"/>
      <c r="AG493" s="134" t="s">
        <v>2022</v>
      </c>
      <c r="AH493" s="73"/>
      <c r="AI493" s="135"/>
      <c r="AJ493" s="136"/>
      <c r="AK493" s="76"/>
      <c r="AL493" s="137"/>
      <c r="AM493" s="139">
        <v>398.0</v>
      </c>
      <c r="AN493" s="139">
        <v>726.0</v>
      </c>
      <c r="AO493" s="140">
        <v>277.77</v>
      </c>
      <c r="AP493" s="142">
        <v>113170.0</v>
      </c>
      <c r="AQ493" s="142">
        <v>184.0</v>
      </c>
      <c r="AR493" s="143"/>
      <c r="AS493" s="144">
        <v>0.9427388177439424</v>
      </c>
      <c r="AT493" s="144">
        <v>-0.00793881774394245</v>
      </c>
      <c r="AU493" s="146" t="s">
        <v>2024</v>
      </c>
      <c r="AV493" s="146" t="s">
        <v>2024</v>
      </c>
      <c r="AW493" s="148" t="s">
        <v>2024</v>
      </c>
      <c r="AX493" s="151"/>
      <c r="AY493" s="105"/>
      <c r="AZ493" s="186"/>
      <c r="BA493" s="186"/>
      <c r="BB493" s="222"/>
      <c r="BC493" s="45"/>
      <c r="BD493" s="45"/>
      <c r="BE493" s="155"/>
      <c r="BF493" s="45"/>
    </row>
    <row r="494" ht="16.5" customHeight="1">
      <c r="A494" s="111">
        <v>491.0</v>
      </c>
      <c r="B494" s="112" t="s">
        <v>1128</v>
      </c>
      <c r="C494" s="115" t="s">
        <v>60</v>
      </c>
      <c r="D494" s="117">
        <v>42137.0</v>
      </c>
      <c r="E494" s="117">
        <v>42526.0</v>
      </c>
      <c r="F494" s="79" t="s">
        <v>59</v>
      </c>
      <c r="G494" s="118">
        <v>43806.0</v>
      </c>
      <c r="H494" s="114">
        <v>112.3</v>
      </c>
      <c r="I494" s="120">
        <v>383.0</v>
      </c>
      <c r="J494" s="111" t="s">
        <v>62</v>
      </c>
      <c r="K494" s="121">
        <v>383.0</v>
      </c>
      <c r="L494" s="120" t="s">
        <v>63</v>
      </c>
      <c r="M494" s="120"/>
      <c r="N494" s="120"/>
      <c r="O494" s="124">
        <v>43806.0</v>
      </c>
      <c r="P494" s="124">
        <v>390.0</v>
      </c>
      <c r="Q494" s="111">
        <v>190.0</v>
      </c>
      <c r="R494" s="125">
        <v>399.0</v>
      </c>
      <c r="S494" s="126">
        <v>0.9599</v>
      </c>
      <c r="T494" s="127">
        <v>74392.25</v>
      </c>
      <c r="U494" s="128">
        <f t="shared" si="2"/>
        <v>0</v>
      </c>
      <c r="V494" s="79" t="s">
        <v>80</v>
      </c>
      <c r="W494" s="79" t="s">
        <v>64</v>
      </c>
      <c r="X494" s="79" t="s">
        <v>64</v>
      </c>
      <c r="Y494" s="130">
        <v>0.8</v>
      </c>
      <c r="Z494" s="111">
        <v>11.0</v>
      </c>
      <c r="AA494" s="133"/>
      <c r="AB494" s="133"/>
      <c r="AC494" s="133"/>
      <c r="AD494" s="133"/>
      <c r="AE494" s="133"/>
      <c r="AF494" s="111"/>
      <c r="AG494" s="147"/>
      <c r="AH494" s="73"/>
      <c r="AI494" s="135"/>
      <c r="AJ494" s="136"/>
      <c r="AK494" s="76"/>
      <c r="AL494" s="137"/>
      <c r="AM494" s="139" t="s">
        <v>71</v>
      </c>
      <c r="AN494" s="139">
        <v>390.0</v>
      </c>
      <c r="AO494" s="140">
        <v>109.61</v>
      </c>
      <c r="AP494" s="142">
        <v>43806.0</v>
      </c>
      <c r="AQ494" s="142">
        <v>190.0</v>
      </c>
      <c r="AR494" s="143"/>
      <c r="AS494" s="144">
        <v>0.9584263753946134</v>
      </c>
      <c r="AT494" s="144">
        <v>0.001473624605386581</v>
      </c>
      <c r="AU494" s="146" t="s">
        <v>2025</v>
      </c>
      <c r="AV494" s="146" t="s">
        <v>2025</v>
      </c>
      <c r="AW494" s="148" t="s">
        <v>2025</v>
      </c>
      <c r="AX494" s="151"/>
      <c r="AY494" s="105"/>
      <c r="AZ494" s="186"/>
      <c r="BA494" s="186"/>
      <c r="BB494" s="222"/>
      <c r="BC494" s="45"/>
      <c r="BD494" s="45"/>
      <c r="BE494" s="155"/>
      <c r="BF494" s="45"/>
    </row>
    <row r="495" ht="16.5" customHeight="1">
      <c r="A495" s="111">
        <v>492.0</v>
      </c>
      <c r="B495" s="112" t="s">
        <v>1127</v>
      </c>
      <c r="C495" s="115" t="s">
        <v>60</v>
      </c>
      <c r="D495" s="117">
        <v>42160.0</v>
      </c>
      <c r="E495" s="117">
        <v>42526.0</v>
      </c>
      <c r="F495" s="79" t="s">
        <v>86</v>
      </c>
      <c r="G495" s="118">
        <v>47128.0</v>
      </c>
      <c r="H495" s="114">
        <v>128.4</v>
      </c>
      <c r="I495" s="120">
        <v>419.0</v>
      </c>
      <c r="J495" s="111" t="s">
        <v>62</v>
      </c>
      <c r="K495" s="121">
        <v>419.0</v>
      </c>
      <c r="L495" s="120" t="s">
        <v>63</v>
      </c>
      <c r="M495" s="120"/>
      <c r="N495" s="120"/>
      <c r="O495" s="124">
        <v>47128.0</v>
      </c>
      <c r="P495" s="124">
        <v>367.0</v>
      </c>
      <c r="Q495" s="111">
        <v>212.0</v>
      </c>
      <c r="R495" s="125">
        <v>430.0</v>
      </c>
      <c r="S495" s="126">
        <v>0.9744</v>
      </c>
      <c r="T495" s="127">
        <v>75516.0</v>
      </c>
      <c r="U495" s="128">
        <f t="shared" si="2"/>
        <v>0</v>
      </c>
      <c r="V495" s="79" t="s">
        <v>67</v>
      </c>
      <c r="W495" s="79" t="s">
        <v>64</v>
      </c>
      <c r="X495" s="79" t="s">
        <v>69</v>
      </c>
      <c r="Y495" s="130">
        <v>0.9</v>
      </c>
      <c r="Z495" s="111">
        <v>11.0</v>
      </c>
      <c r="AA495" s="133"/>
      <c r="AB495" s="133"/>
      <c r="AC495" s="133"/>
      <c r="AD495" s="133"/>
      <c r="AE495" s="133"/>
      <c r="AF495" s="111"/>
      <c r="AG495" s="134" t="s">
        <v>2026</v>
      </c>
      <c r="AH495" s="73"/>
      <c r="AI495" s="135"/>
      <c r="AJ495" s="136"/>
      <c r="AK495" s="76"/>
      <c r="AL495" s="137"/>
      <c r="AM495" s="139" t="s">
        <v>71</v>
      </c>
      <c r="AN495" s="139">
        <v>367.0</v>
      </c>
      <c r="AO495" s="140">
        <v>130.6</v>
      </c>
      <c r="AP495" s="142">
        <v>47128.0</v>
      </c>
      <c r="AQ495" s="142">
        <v>212.0</v>
      </c>
      <c r="AR495" s="143"/>
      <c r="AS495" s="144">
        <v>0.9571766994394074</v>
      </c>
      <c r="AT495" s="144">
        <v>0.017223300560592625</v>
      </c>
      <c r="AU495" s="146" t="s">
        <v>2027</v>
      </c>
      <c r="AV495" s="146" t="s">
        <v>2027</v>
      </c>
      <c r="AW495" s="148" t="s">
        <v>2027</v>
      </c>
      <c r="AX495" s="151"/>
      <c r="AY495" s="105"/>
      <c r="AZ495" s="186"/>
      <c r="BA495" s="186"/>
      <c r="BB495" s="222"/>
      <c r="BC495" s="45"/>
      <c r="BD495" s="45"/>
      <c r="BE495" s="155"/>
      <c r="BF495" s="45"/>
    </row>
    <row r="496" ht="16.5" customHeight="1">
      <c r="A496" s="111">
        <v>493.0</v>
      </c>
      <c r="B496" s="112" t="s">
        <v>1893</v>
      </c>
      <c r="C496" s="115" t="s">
        <v>60</v>
      </c>
      <c r="D496" s="117">
        <v>42389.0</v>
      </c>
      <c r="E496" s="117">
        <v>42470.0</v>
      </c>
      <c r="F496" s="79" t="s">
        <v>118</v>
      </c>
      <c r="G496" s="118">
        <v>1340.0</v>
      </c>
      <c r="H496" s="114">
        <v>16.3</v>
      </c>
      <c r="I496" s="120">
        <v>364.0</v>
      </c>
      <c r="J496" s="111" t="s">
        <v>62</v>
      </c>
      <c r="K496" s="121">
        <v>364.0</v>
      </c>
      <c r="L496" s="120" t="s">
        <v>63</v>
      </c>
      <c r="M496" s="120"/>
      <c r="N496" s="120"/>
      <c r="O496" s="124">
        <v>1340.0</v>
      </c>
      <c r="P496" s="124">
        <v>82.0</v>
      </c>
      <c r="Q496" s="111">
        <v>179.0</v>
      </c>
      <c r="R496" s="125">
        <v>365.0</v>
      </c>
      <c r="S496" s="126">
        <v>0.9973</v>
      </c>
      <c r="T496" s="127">
        <v>68614.23999999999</v>
      </c>
      <c r="U496" s="128">
        <f t="shared" si="2"/>
        <v>0</v>
      </c>
      <c r="V496" s="79" t="s">
        <v>64</v>
      </c>
      <c r="W496" s="79" t="s">
        <v>69</v>
      </c>
      <c r="X496" s="79" t="s">
        <v>68</v>
      </c>
      <c r="Y496" s="130">
        <v>0.7</v>
      </c>
      <c r="Z496" s="111" t="s">
        <v>2029</v>
      </c>
      <c r="AA496" s="133"/>
      <c r="AB496" s="133"/>
      <c r="AC496" s="133"/>
      <c r="AD496" s="133"/>
      <c r="AE496" s="111">
        <v>20.2</v>
      </c>
      <c r="AF496" s="111" t="s">
        <v>62</v>
      </c>
      <c r="AG496" s="147"/>
      <c r="AH496" s="73" t="s">
        <v>74</v>
      </c>
      <c r="AI496" s="135"/>
      <c r="AJ496" s="136"/>
      <c r="AK496" s="76"/>
      <c r="AL496" s="137"/>
      <c r="AM496" s="139" t="s">
        <v>71</v>
      </c>
      <c r="AN496" s="139">
        <v>82.0</v>
      </c>
      <c r="AO496" s="140">
        <v>3.49</v>
      </c>
      <c r="AP496" s="142">
        <v>1340.0</v>
      </c>
      <c r="AQ496" s="142">
        <v>179.0</v>
      </c>
      <c r="AR496" s="143"/>
      <c r="AS496" s="144">
        <v>0.9973550635527507</v>
      </c>
      <c r="AT496" s="144">
        <v>-5.506355275075592E-5</v>
      </c>
      <c r="AU496" s="146" t="s">
        <v>2030</v>
      </c>
      <c r="AV496" s="146" t="s">
        <v>2030</v>
      </c>
      <c r="AW496" s="148" t="s">
        <v>2030</v>
      </c>
      <c r="AX496" s="151"/>
      <c r="AY496" s="105"/>
      <c r="AZ496" s="186"/>
      <c r="BA496" s="186"/>
      <c r="BB496" s="222"/>
      <c r="BC496" s="45"/>
      <c r="BD496" s="45"/>
      <c r="BE496" s="155"/>
      <c r="BF496" s="45"/>
    </row>
    <row r="497" ht="16.5" customHeight="1">
      <c r="A497" s="111">
        <v>494.0</v>
      </c>
      <c r="B497" s="112" t="s">
        <v>1893</v>
      </c>
      <c r="C497" s="115" t="s">
        <v>60</v>
      </c>
      <c r="D497" s="117">
        <v>42389.0</v>
      </c>
      <c r="E497" s="117">
        <v>42504.0</v>
      </c>
      <c r="F497" s="79" t="s">
        <v>118</v>
      </c>
      <c r="G497" s="118">
        <v>3177.0</v>
      </c>
      <c r="H497" s="114">
        <v>27.4</v>
      </c>
      <c r="I497" s="120">
        <v>364.0</v>
      </c>
      <c r="J497" s="111" t="s">
        <v>61</v>
      </c>
      <c r="K497" s="121">
        <v>368.61</v>
      </c>
      <c r="L497" s="120" t="s">
        <v>63</v>
      </c>
      <c r="M497" s="120"/>
      <c r="N497" s="120"/>
      <c r="O497" s="124">
        <v>3177.0</v>
      </c>
      <c r="P497" s="124">
        <v>116.0</v>
      </c>
      <c r="Q497" s="111">
        <v>179.0</v>
      </c>
      <c r="R497" s="125">
        <v>365.0</v>
      </c>
      <c r="S497" s="126">
        <v>1.0099</v>
      </c>
      <c r="T497" s="127">
        <v>69481.12</v>
      </c>
      <c r="U497" s="128">
        <f t="shared" si="2"/>
        <v>0</v>
      </c>
      <c r="V497" s="79" t="s">
        <v>64</v>
      </c>
      <c r="W497" s="79" t="s">
        <v>69</v>
      </c>
      <c r="X497" s="79" t="s">
        <v>68</v>
      </c>
      <c r="Y497" s="130">
        <v>0.7</v>
      </c>
      <c r="Z497" s="111" t="s">
        <v>2029</v>
      </c>
      <c r="AA497" s="133"/>
      <c r="AB497" s="133"/>
      <c r="AC497" s="133"/>
      <c r="AD497" s="133"/>
      <c r="AE497" s="111">
        <v>17.3</v>
      </c>
      <c r="AF497" s="111" t="s">
        <v>61</v>
      </c>
      <c r="AG497" s="147"/>
      <c r="AH497" s="73" t="s">
        <v>74</v>
      </c>
      <c r="AI497" s="135"/>
      <c r="AJ497" s="136"/>
      <c r="AK497" s="76"/>
      <c r="AL497" s="137"/>
      <c r="AM497" s="139" t="s">
        <v>71</v>
      </c>
      <c r="AN497" s="139">
        <v>116.0</v>
      </c>
      <c r="AO497" s="140">
        <v>8.23</v>
      </c>
      <c r="AP497" s="142">
        <v>3177.0</v>
      </c>
      <c r="AQ497" s="142">
        <v>179.0</v>
      </c>
      <c r="AR497" s="143"/>
      <c r="AS497" s="144">
        <v>0.9939697079221735</v>
      </c>
      <c r="AT497" s="144">
        <v>0.01593029207782648</v>
      </c>
      <c r="AU497" s="146" t="s">
        <v>2031</v>
      </c>
      <c r="AV497" s="146" t="s">
        <v>2031</v>
      </c>
      <c r="AW497" s="148" t="s">
        <v>2031</v>
      </c>
      <c r="AX497" s="151"/>
      <c r="AY497" s="105"/>
      <c r="AZ497" s="186"/>
      <c r="BA497" s="186"/>
      <c r="BB497" s="222"/>
      <c r="BC497" s="45"/>
      <c r="BD497" s="45"/>
      <c r="BE497" s="155"/>
      <c r="BF497" s="45"/>
    </row>
    <row r="498" ht="16.5" customHeight="1">
      <c r="A498" s="111">
        <v>495.0</v>
      </c>
      <c r="B498" s="112" t="s">
        <v>1493</v>
      </c>
      <c r="C498" s="115" t="s">
        <v>60</v>
      </c>
      <c r="D498" s="117">
        <v>41629.0</v>
      </c>
      <c r="E498" s="117">
        <v>42526.0</v>
      </c>
      <c r="F498" s="79" t="s">
        <v>59</v>
      </c>
      <c r="G498" s="118">
        <v>80500.0</v>
      </c>
      <c r="H498" s="114">
        <v>89.6</v>
      </c>
      <c r="I498" s="120">
        <v>371.0</v>
      </c>
      <c r="J498" s="111" t="s">
        <v>62</v>
      </c>
      <c r="K498" s="121">
        <v>371.0</v>
      </c>
      <c r="L498" s="120" t="s">
        <v>63</v>
      </c>
      <c r="M498" s="120"/>
      <c r="N498" s="120"/>
      <c r="O498" s="124">
        <v>80500.0</v>
      </c>
      <c r="P498" s="124">
        <v>898.0</v>
      </c>
      <c r="Q498" s="111">
        <v>217.0</v>
      </c>
      <c r="R498" s="125">
        <v>399.0</v>
      </c>
      <c r="S498" s="126">
        <v>0.9298</v>
      </c>
      <c r="T498" s="127">
        <v>72059.5</v>
      </c>
      <c r="U498" s="128">
        <f t="shared" si="2"/>
        <v>0</v>
      </c>
      <c r="V498" s="79" t="s">
        <v>64</v>
      </c>
      <c r="W498" s="79" t="s">
        <v>69</v>
      </c>
      <c r="X498" s="79" t="s">
        <v>66</v>
      </c>
      <c r="Y498" s="130">
        <v>0.8</v>
      </c>
      <c r="Z498" s="111">
        <v>11.0</v>
      </c>
      <c r="AA498" s="133"/>
      <c r="AB498" s="133"/>
      <c r="AC498" s="133"/>
      <c r="AD498" s="133"/>
      <c r="AE498" s="133"/>
      <c r="AF498" s="111"/>
      <c r="AG498" s="147"/>
      <c r="AH498" s="73"/>
      <c r="AI498" s="135"/>
      <c r="AJ498" s="136"/>
      <c r="AK498" s="76"/>
      <c r="AL498" s="137"/>
      <c r="AM498" s="139" t="s">
        <v>71</v>
      </c>
      <c r="AN498" s="139">
        <v>898.0</v>
      </c>
      <c r="AO498" s="140">
        <v>233.64</v>
      </c>
      <c r="AP498" s="142">
        <v>80500.0</v>
      </c>
      <c r="AQ498" s="142">
        <v>217.0</v>
      </c>
      <c r="AR498" s="143"/>
      <c r="AS498" s="144">
        <v>0.9485466550613514</v>
      </c>
      <c r="AT498" s="144">
        <v>-0.018746655061351425</v>
      </c>
      <c r="AU498" s="146" t="s">
        <v>2033</v>
      </c>
      <c r="AV498" s="146" t="s">
        <v>2033</v>
      </c>
      <c r="AW498" s="148" t="s">
        <v>2033</v>
      </c>
      <c r="AX498" s="151"/>
      <c r="AY498" s="105"/>
      <c r="AZ498" s="186"/>
      <c r="BA498" s="186"/>
      <c r="BB498" s="222"/>
      <c r="BC498" s="45"/>
      <c r="BD498" s="45"/>
      <c r="BE498" s="155"/>
      <c r="BF498" s="45"/>
    </row>
    <row r="499" ht="16.5" customHeight="1">
      <c r="A499" s="111">
        <v>496.0</v>
      </c>
      <c r="B499" s="112" t="s">
        <v>241</v>
      </c>
      <c r="C499" s="115" t="s">
        <v>60</v>
      </c>
      <c r="D499" s="117">
        <v>41810.0</v>
      </c>
      <c r="E499" s="117">
        <v>42355.0</v>
      </c>
      <c r="F499" s="79" t="s">
        <v>59</v>
      </c>
      <c r="G499" s="118">
        <v>46534.0</v>
      </c>
      <c r="H499" s="114">
        <v>85.2</v>
      </c>
      <c r="I499" s="120">
        <v>361.0</v>
      </c>
      <c r="J499" s="111" t="s">
        <v>61</v>
      </c>
      <c r="K499" s="121">
        <v>365.57</v>
      </c>
      <c r="L499" s="120" t="s">
        <v>63</v>
      </c>
      <c r="M499" s="120"/>
      <c r="N499" s="120"/>
      <c r="O499" s="124">
        <v>46534.0</v>
      </c>
      <c r="P499" s="124">
        <v>546.0</v>
      </c>
      <c r="Q499" s="111">
        <v>221.0</v>
      </c>
      <c r="R499" s="125">
        <v>399.0</v>
      </c>
      <c r="S499" s="126">
        <v>0.9162</v>
      </c>
      <c r="T499" s="127">
        <v>71005.5</v>
      </c>
      <c r="U499" s="128">
        <f t="shared" si="2"/>
        <v>0</v>
      </c>
      <c r="V499" s="79" t="s">
        <v>69</v>
      </c>
      <c r="W499" s="79" t="s">
        <v>69</v>
      </c>
      <c r="X499" s="79" t="s">
        <v>66</v>
      </c>
      <c r="Y499" s="130">
        <v>0.8</v>
      </c>
      <c r="Z499" s="111"/>
      <c r="AA499" s="133"/>
      <c r="AB499" s="133"/>
      <c r="AC499" s="133"/>
      <c r="AD499" s="133"/>
      <c r="AE499" s="133"/>
      <c r="AF499" s="111"/>
      <c r="AG499" s="147"/>
      <c r="AH499" s="73"/>
      <c r="AI499" s="135"/>
      <c r="AJ499" s="136"/>
      <c r="AK499" s="76"/>
      <c r="AL499" s="137"/>
      <c r="AM499" s="139" t="s">
        <v>71</v>
      </c>
      <c r="AN499" s="139">
        <v>546.0</v>
      </c>
      <c r="AO499" s="140">
        <v>138.52</v>
      </c>
      <c r="AP499" s="142">
        <v>46534.0</v>
      </c>
      <c r="AQ499" s="142">
        <v>221.0</v>
      </c>
      <c r="AR499" s="143"/>
      <c r="AS499" s="144">
        <v>0.9573918920726343</v>
      </c>
      <c r="AT499" s="144">
        <v>-0.041191892072634295</v>
      </c>
      <c r="AU499" s="146" t="s">
        <v>2034</v>
      </c>
      <c r="AV499" s="146" t="s">
        <v>2034</v>
      </c>
      <c r="AW499" s="148" t="s">
        <v>2034</v>
      </c>
      <c r="AX499" s="151"/>
      <c r="AY499" s="105"/>
      <c r="AZ499" s="186"/>
      <c r="BA499" s="186"/>
      <c r="BB499" s="222"/>
      <c r="BC499" s="45"/>
      <c r="BD499" s="45"/>
      <c r="BE499" s="155"/>
      <c r="BF499" s="45"/>
    </row>
    <row r="500" ht="16.5" customHeight="1">
      <c r="A500" s="111">
        <v>497.0</v>
      </c>
      <c r="B500" s="112" t="s">
        <v>241</v>
      </c>
      <c r="C500" s="115" t="s">
        <v>60</v>
      </c>
      <c r="D500" s="592">
        <v>41810.0</v>
      </c>
      <c r="E500" s="117">
        <v>42457.0</v>
      </c>
      <c r="F500" s="79" t="s">
        <v>59</v>
      </c>
      <c r="G500" s="118">
        <v>53226.0</v>
      </c>
      <c r="H500" s="114">
        <v>82.1</v>
      </c>
      <c r="I500" s="120">
        <v>364.0</v>
      </c>
      <c r="J500" s="111" t="s">
        <v>61</v>
      </c>
      <c r="K500" s="121">
        <v>368.61</v>
      </c>
      <c r="L500" s="120" t="s">
        <v>63</v>
      </c>
      <c r="M500" s="120"/>
      <c r="N500" s="120"/>
      <c r="O500" s="124">
        <v>53226.0</v>
      </c>
      <c r="P500" s="124">
        <v>648.0</v>
      </c>
      <c r="Q500" s="111">
        <v>221.0</v>
      </c>
      <c r="R500" s="125">
        <v>399.0</v>
      </c>
      <c r="S500" s="126">
        <v>0.9238</v>
      </c>
      <c r="T500" s="127">
        <v>71594.5</v>
      </c>
      <c r="U500" s="128">
        <f t="shared" si="2"/>
        <v>0</v>
      </c>
      <c r="V500" s="79" t="s">
        <v>69</v>
      </c>
      <c r="W500" s="195" t="s">
        <v>69</v>
      </c>
      <c r="X500" s="195" t="s">
        <v>66</v>
      </c>
      <c r="Y500" s="130">
        <v>0.8</v>
      </c>
      <c r="Z500" s="208"/>
      <c r="AA500" s="202"/>
      <c r="AB500" s="202"/>
      <c r="AC500" s="133"/>
      <c r="AD500" s="133"/>
      <c r="AE500" s="133"/>
      <c r="AF500" s="111"/>
      <c r="AG500" s="147"/>
      <c r="AH500" s="73"/>
      <c r="AI500" s="135"/>
      <c r="AJ500" s="136"/>
      <c r="AK500" s="76"/>
      <c r="AL500" s="137"/>
      <c r="AM500" s="139" t="s">
        <v>71</v>
      </c>
      <c r="AN500" s="139">
        <v>648.0</v>
      </c>
      <c r="AO500" s="140">
        <v>157.82</v>
      </c>
      <c r="AP500" s="142">
        <v>53226.0</v>
      </c>
      <c r="AQ500" s="142">
        <v>221.0</v>
      </c>
      <c r="AR500" s="143"/>
      <c r="AS500" s="144">
        <v>0.9551472424369988</v>
      </c>
      <c r="AT500" s="144">
        <v>-0.03134724243699882</v>
      </c>
      <c r="AU500" s="146" t="s">
        <v>2037</v>
      </c>
      <c r="AV500" s="146" t="s">
        <v>2037</v>
      </c>
      <c r="AW500" s="148" t="s">
        <v>2037</v>
      </c>
      <c r="AX500" s="151"/>
      <c r="AY500" s="105"/>
      <c r="AZ500" s="186"/>
      <c r="BA500" s="186"/>
      <c r="BB500" s="222"/>
      <c r="BC500" s="45"/>
      <c r="BD500" s="45"/>
      <c r="BE500" s="155"/>
      <c r="BF500" s="45"/>
    </row>
    <row r="501" ht="16.5" customHeight="1">
      <c r="A501" s="111">
        <v>498.0</v>
      </c>
      <c r="B501" s="112" t="s">
        <v>761</v>
      </c>
      <c r="C501" s="115" t="s">
        <v>60</v>
      </c>
      <c r="D501" s="582">
        <v>42097.0</v>
      </c>
      <c r="E501" s="117">
        <v>42528.0</v>
      </c>
      <c r="F501" s="79" t="s">
        <v>90</v>
      </c>
      <c r="G501" s="118">
        <v>27279.0</v>
      </c>
      <c r="H501" s="114">
        <v>63.1</v>
      </c>
      <c r="I501" s="120">
        <v>377.0</v>
      </c>
      <c r="J501" s="111" t="s">
        <v>62</v>
      </c>
      <c r="K501" s="121">
        <v>377.0</v>
      </c>
      <c r="L501" s="120" t="s">
        <v>63</v>
      </c>
      <c r="M501" s="120"/>
      <c r="N501" s="120"/>
      <c r="O501" s="124">
        <v>27279.0</v>
      </c>
      <c r="P501" s="124">
        <v>432.0</v>
      </c>
      <c r="Q501" s="111">
        <v>233.0</v>
      </c>
      <c r="R501" s="125">
        <v>408.0</v>
      </c>
      <c r="S501" s="126">
        <v>0.924</v>
      </c>
      <c r="T501" s="127">
        <v>71610.0</v>
      </c>
      <c r="U501" s="128">
        <f t="shared" si="2"/>
        <v>0</v>
      </c>
      <c r="V501" s="636" t="s">
        <v>65</v>
      </c>
      <c r="W501" s="691" t="s">
        <v>64</v>
      </c>
      <c r="X501" s="691" t="s">
        <v>66</v>
      </c>
      <c r="Y501" s="130">
        <v>0.7</v>
      </c>
      <c r="Z501" s="693">
        <v>11.0</v>
      </c>
      <c r="AA501" s="202">
        <v>406.0</v>
      </c>
      <c r="AB501" s="202" t="s">
        <v>62</v>
      </c>
      <c r="AC501" s="133"/>
      <c r="AD501" s="133"/>
      <c r="AE501" s="133"/>
      <c r="AF501" s="111"/>
      <c r="AG501" s="134" t="s">
        <v>1899</v>
      </c>
      <c r="AH501" s="73"/>
      <c r="AI501" s="135"/>
      <c r="AJ501" s="136"/>
      <c r="AK501" s="76"/>
      <c r="AL501" s="137"/>
      <c r="AM501" s="139">
        <v>406.0</v>
      </c>
      <c r="AN501" s="139">
        <v>432.0</v>
      </c>
      <c r="AO501" s="140">
        <v>85.27</v>
      </c>
      <c r="AP501" s="142">
        <v>27279.0</v>
      </c>
      <c r="AQ501" s="142">
        <v>233.0</v>
      </c>
      <c r="AR501" s="143"/>
      <c r="AS501" s="144">
        <v>0.9669549058068048</v>
      </c>
      <c r="AT501" s="144">
        <v>-0.04295490580680472</v>
      </c>
      <c r="AU501" s="146" t="s">
        <v>2039</v>
      </c>
      <c r="AV501" s="146" t="s">
        <v>2039</v>
      </c>
      <c r="AW501" s="148" t="s">
        <v>2039</v>
      </c>
      <c r="AX501" s="151"/>
      <c r="AY501" s="105"/>
      <c r="AZ501" s="186"/>
      <c r="BA501" s="186"/>
      <c r="BB501" s="222"/>
      <c r="BC501" s="45"/>
      <c r="BD501" s="45"/>
      <c r="BE501" s="155"/>
      <c r="BF501" s="45"/>
    </row>
    <row r="502" ht="16.5" customHeight="1">
      <c r="A502" s="111">
        <v>499.0</v>
      </c>
      <c r="B502" s="112" t="s">
        <v>761</v>
      </c>
      <c r="C502" s="115" t="s">
        <v>60</v>
      </c>
      <c r="D502" s="157">
        <v>42097.0</v>
      </c>
      <c r="E502" s="117">
        <v>42532.0</v>
      </c>
      <c r="F502" s="79" t="s">
        <v>90</v>
      </c>
      <c r="G502" s="118">
        <v>27426.0</v>
      </c>
      <c r="H502" s="114">
        <v>62.9</v>
      </c>
      <c r="I502" s="120">
        <v>374.0</v>
      </c>
      <c r="J502" s="111" t="s">
        <v>61</v>
      </c>
      <c r="K502" s="121">
        <v>378.73</v>
      </c>
      <c r="L502" s="120" t="s">
        <v>63</v>
      </c>
      <c r="M502" s="120"/>
      <c r="N502" s="120"/>
      <c r="O502" s="124">
        <v>27426.0</v>
      </c>
      <c r="P502" s="124">
        <v>436.0</v>
      </c>
      <c r="Q502" s="111">
        <v>233.0</v>
      </c>
      <c r="R502" s="125">
        <v>408.0</v>
      </c>
      <c r="S502" s="126">
        <v>0.9283</v>
      </c>
      <c r="T502" s="127">
        <v>71943.25</v>
      </c>
      <c r="U502" s="128">
        <f t="shared" si="2"/>
        <v>0</v>
      </c>
      <c r="V502" s="636" t="s">
        <v>65</v>
      </c>
      <c r="W502" s="636" t="s">
        <v>64</v>
      </c>
      <c r="X502" s="636" t="s">
        <v>66</v>
      </c>
      <c r="Y502" s="130">
        <v>0.7</v>
      </c>
      <c r="Z502" s="639">
        <v>11.0</v>
      </c>
      <c r="AA502" s="133">
        <v>406.0</v>
      </c>
      <c r="AB502" s="133" t="s">
        <v>62</v>
      </c>
      <c r="AC502" s="133"/>
      <c r="AD502" s="133"/>
      <c r="AE502" s="133"/>
      <c r="AF502" s="111"/>
      <c r="AG502" s="134" t="s">
        <v>1899</v>
      </c>
      <c r="AH502" s="73"/>
      <c r="AI502" s="135"/>
      <c r="AJ502" s="136"/>
      <c r="AK502" s="76"/>
      <c r="AL502" s="137"/>
      <c r="AM502" s="139">
        <v>406.0</v>
      </c>
      <c r="AN502" s="139">
        <v>436.0</v>
      </c>
      <c r="AO502" s="140">
        <v>85.54</v>
      </c>
      <c r="AP502" s="142">
        <v>27426.0</v>
      </c>
      <c r="AQ502" s="142">
        <v>233.0</v>
      </c>
      <c r="AR502" s="143"/>
      <c r="AS502" s="144">
        <v>0.9668560490250651</v>
      </c>
      <c r="AT502" s="144">
        <v>-0.03855604902506504</v>
      </c>
      <c r="AU502" s="146" t="s">
        <v>2042</v>
      </c>
      <c r="AV502" s="146" t="s">
        <v>2042</v>
      </c>
      <c r="AW502" s="148" t="s">
        <v>2042</v>
      </c>
      <c r="AX502" s="151"/>
      <c r="AY502" s="105"/>
      <c r="AZ502" s="186"/>
      <c r="BA502" s="186"/>
      <c r="BB502" s="222"/>
      <c r="BC502" s="45"/>
      <c r="BD502" s="45"/>
      <c r="BE502" s="155"/>
      <c r="BF502" s="45"/>
    </row>
    <row r="503" ht="16.5" customHeight="1">
      <c r="A503" s="111">
        <v>500.0</v>
      </c>
      <c r="B503" s="112" t="s">
        <v>1652</v>
      </c>
      <c r="C503" s="115" t="s">
        <v>60</v>
      </c>
      <c r="D503" s="117">
        <v>41635.0</v>
      </c>
      <c r="E503" s="117">
        <v>42532.0</v>
      </c>
      <c r="F503" s="79" t="s">
        <v>79</v>
      </c>
      <c r="G503" s="118">
        <v>156115.0</v>
      </c>
      <c r="H503" s="114">
        <v>173.8</v>
      </c>
      <c r="I503" s="120">
        <v>372.0</v>
      </c>
      <c r="J503" s="111" t="s">
        <v>61</v>
      </c>
      <c r="K503" s="121">
        <v>376.71</v>
      </c>
      <c r="L503" s="120" t="s">
        <v>63</v>
      </c>
      <c r="M503" s="120"/>
      <c r="N503" s="120"/>
      <c r="O503" s="124">
        <v>156115.0</v>
      </c>
      <c r="P503" s="124">
        <v>898.0</v>
      </c>
      <c r="Q503" s="111">
        <v>214.0</v>
      </c>
      <c r="R503" s="125">
        <v>399.0</v>
      </c>
      <c r="S503" s="126">
        <v>0.9441</v>
      </c>
      <c r="T503" s="127">
        <v>73167.75</v>
      </c>
      <c r="U503" s="128">
        <f t="shared" si="2"/>
        <v>0</v>
      </c>
      <c r="V503" s="79" t="s">
        <v>65</v>
      </c>
      <c r="W503" s="79" t="s">
        <v>69</v>
      </c>
      <c r="X503" s="79" t="s">
        <v>66</v>
      </c>
      <c r="Y503" s="130">
        <v>0.9</v>
      </c>
      <c r="Z503" s="111">
        <v>7.0</v>
      </c>
      <c r="AA503" s="111">
        <v>392.0</v>
      </c>
      <c r="AB503" s="111" t="s">
        <v>61</v>
      </c>
      <c r="AC503" s="111"/>
      <c r="AD503" s="111"/>
      <c r="AE503" s="111"/>
      <c r="AF503" s="111"/>
      <c r="AG503" s="134" t="s">
        <v>2044</v>
      </c>
      <c r="AH503" s="73"/>
      <c r="AI503" s="135"/>
      <c r="AJ503" s="136"/>
      <c r="AK503" s="76"/>
      <c r="AL503" s="137"/>
      <c r="AM503" s="139">
        <v>397.0</v>
      </c>
      <c r="AN503" s="139">
        <v>898.0</v>
      </c>
      <c r="AO503" s="140">
        <v>443.51</v>
      </c>
      <c r="AP503" s="142">
        <v>156115.0</v>
      </c>
      <c r="AQ503" s="142">
        <v>214.0</v>
      </c>
      <c r="AR503" s="143"/>
      <c r="AS503" s="144">
        <v>0.9358599859584</v>
      </c>
      <c r="AT503" s="144">
        <v>0.008240014041600019</v>
      </c>
      <c r="AU503" s="146" t="s">
        <v>2046</v>
      </c>
      <c r="AV503" s="146" t="s">
        <v>2046</v>
      </c>
      <c r="AW503" s="148" t="s">
        <v>2046</v>
      </c>
      <c r="AX503" s="151"/>
      <c r="AY503" s="105"/>
      <c r="AZ503" s="186"/>
      <c r="BA503" s="186"/>
      <c r="BB503" s="222"/>
      <c r="BC503" s="45"/>
      <c r="BD503" s="45"/>
      <c r="BE503" s="155"/>
      <c r="BF503" s="45"/>
    </row>
    <row r="504" ht="16.5" customHeight="1">
      <c r="A504" s="111">
        <v>501.0</v>
      </c>
      <c r="B504" s="112" t="s">
        <v>181</v>
      </c>
      <c r="C504" s="115" t="s">
        <v>60</v>
      </c>
      <c r="D504" s="117">
        <v>41787.0</v>
      </c>
      <c r="E504" s="117">
        <v>42415.0</v>
      </c>
      <c r="F504" s="79" t="s">
        <v>59</v>
      </c>
      <c r="G504" s="118">
        <v>40005.0</v>
      </c>
      <c r="H504" s="114">
        <v>63.6</v>
      </c>
      <c r="I504" s="120">
        <v>383.0</v>
      </c>
      <c r="J504" s="111" t="s">
        <v>61</v>
      </c>
      <c r="K504" s="121">
        <v>387.85</v>
      </c>
      <c r="L504" s="120" t="s">
        <v>63</v>
      </c>
      <c r="M504" s="120"/>
      <c r="N504" s="120"/>
      <c r="O504" s="124">
        <v>40005.0</v>
      </c>
      <c r="P504" s="124">
        <v>629.0</v>
      </c>
      <c r="Q504" s="111">
        <v>224.0</v>
      </c>
      <c r="R504" s="125">
        <v>399.0</v>
      </c>
      <c r="S504" s="126">
        <v>0.9721</v>
      </c>
      <c r="T504" s="127">
        <v>75337.75</v>
      </c>
      <c r="U504" s="128">
        <f t="shared" si="2"/>
        <v>0</v>
      </c>
      <c r="V504" s="79" t="s">
        <v>69</v>
      </c>
      <c r="W504" s="79" t="s">
        <v>69</v>
      </c>
      <c r="X504" s="79" t="s">
        <v>69</v>
      </c>
      <c r="Y504" s="130">
        <v>0.9</v>
      </c>
      <c r="Z504" s="111">
        <v>7.0</v>
      </c>
      <c r="AA504" s="133"/>
      <c r="AB504" s="133"/>
      <c r="AC504" s="133"/>
      <c r="AD504" s="133"/>
      <c r="AE504" s="133"/>
      <c r="AF504" s="111"/>
      <c r="AG504" s="147"/>
      <c r="AH504" s="73"/>
      <c r="AI504" s="135"/>
      <c r="AJ504" s="136"/>
      <c r="AK504" s="76"/>
      <c r="AL504" s="137"/>
      <c r="AM504" s="139" t="s">
        <v>71</v>
      </c>
      <c r="AN504" s="139">
        <v>629.0</v>
      </c>
      <c r="AO504" s="140">
        <v>117.29</v>
      </c>
      <c r="AP504" s="142">
        <v>40005.0</v>
      </c>
      <c r="AQ504" s="142">
        <v>224.0</v>
      </c>
      <c r="AR504" s="143"/>
      <c r="AS504" s="144">
        <v>0.9600094322568438</v>
      </c>
      <c r="AT504" s="144">
        <v>0.0120905677431562</v>
      </c>
      <c r="AU504" s="146" t="s">
        <v>2050</v>
      </c>
      <c r="AV504" s="146" t="s">
        <v>2050</v>
      </c>
      <c r="AW504" s="148" t="s">
        <v>2050</v>
      </c>
      <c r="AX504" s="151"/>
      <c r="AY504" s="105"/>
      <c r="AZ504" s="186"/>
      <c r="BA504" s="186"/>
      <c r="BB504" s="222"/>
      <c r="BC504" s="45"/>
      <c r="BD504" s="45"/>
      <c r="BE504" s="155"/>
      <c r="BF504" s="45"/>
    </row>
    <row r="505" ht="16.5" customHeight="1">
      <c r="A505" s="111">
        <v>502.0</v>
      </c>
      <c r="B505" s="112" t="s">
        <v>513</v>
      </c>
      <c r="C505" s="115" t="s">
        <v>60</v>
      </c>
      <c r="D505" s="117">
        <v>41990.0</v>
      </c>
      <c r="E505" s="117">
        <v>42532.0</v>
      </c>
      <c r="F505" s="79" t="s">
        <v>59</v>
      </c>
      <c r="G505" s="118">
        <v>54000.0</v>
      </c>
      <c r="H505" s="114">
        <v>99.4</v>
      </c>
      <c r="I505" s="120">
        <v>386.0</v>
      </c>
      <c r="J505" s="111" t="s">
        <v>61</v>
      </c>
      <c r="K505" s="121">
        <v>390.89</v>
      </c>
      <c r="L505" s="120" t="s">
        <v>63</v>
      </c>
      <c r="M505" s="120"/>
      <c r="N505" s="120"/>
      <c r="O505" s="124">
        <v>54000.0</v>
      </c>
      <c r="P505" s="124">
        <v>543.0</v>
      </c>
      <c r="Q505" s="111">
        <v>226.0</v>
      </c>
      <c r="R505" s="125">
        <v>399.0</v>
      </c>
      <c r="S505" s="126">
        <v>0.9797</v>
      </c>
      <c r="T505" s="127">
        <v>75926.75</v>
      </c>
      <c r="U505" s="128">
        <f t="shared" si="2"/>
        <v>0</v>
      </c>
      <c r="V505" s="79" t="s">
        <v>64</v>
      </c>
      <c r="W505" s="79" t="s">
        <v>69</v>
      </c>
      <c r="X505" s="79" t="s">
        <v>68</v>
      </c>
      <c r="Y505" s="130">
        <v>0.8</v>
      </c>
      <c r="Z505" s="111">
        <v>11.0</v>
      </c>
      <c r="AA505" s="111">
        <v>392.0</v>
      </c>
      <c r="AB505" s="111" t="s">
        <v>61</v>
      </c>
      <c r="AC505" s="133"/>
      <c r="AD505" s="133"/>
      <c r="AE505" s="133"/>
      <c r="AF505" s="111"/>
      <c r="AG505" s="147"/>
      <c r="AH505" s="73"/>
      <c r="AI505" s="135"/>
      <c r="AJ505" s="136"/>
      <c r="AK505" s="76"/>
      <c r="AL505" s="137"/>
      <c r="AM505" s="139">
        <v>397.0</v>
      </c>
      <c r="AN505" s="139">
        <v>543.0</v>
      </c>
      <c r="AO505" s="140">
        <v>159.11</v>
      </c>
      <c r="AP505" s="142">
        <v>54000.0</v>
      </c>
      <c r="AQ505" s="142">
        <v>226.0</v>
      </c>
      <c r="AR505" s="143"/>
      <c r="AS505" s="144">
        <v>0.9549104819935579</v>
      </c>
      <c r="AT505" s="144">
        <v>0.024789518006442135</v>
      </c>
      <c r="AU505" s="146" t="s">
        <v>2051</v>
      </c>
      <c r="AV505" s="146" t="s">
        <v>2051</v>
      </c>
      <c r="AW505" s="148" t="s">
        <v>2051</v>
      </c>
      <c r="AX505" s="151"/>
      <c r="AY505" s="105"/>
      <c r="AZ505" s="186"/>
      <c r="BA505" s="186"/>
      <c r="BB505" s="222"/>
      <c r="BC505" s="45"/>
      <c r="BD505" s="45"/>
      <c r="BE505" s="155"/>
      <c r="BF505" s="45"/>
    </row>
    <row r="506" ht="16.5" customHeight="1">
      <c r="A506" s="111">
        <v>503.0</v>
      </c>
      <c r="B506" s="112" t="s">
        <v>548</v>
      </c>
      <c r="C506" s="115" t="s">
        <v>60</v>
      </c>
      <c r="D506" s="117">
        <v>41631.0</v>
      </c>
      <c r="E506" s="117">
        <v>42532.0</v>
      </c>
      <c r="F506" s="79" t="s">
        <v>79</v>
      </c>
      <c r="G506" s="118">
        <v>74500.0</v>
      </c>
      <c r="H506" s="114">
        <v>82.6</v>
      </c>
      <c r="I506" s="120">
        <v>379.0</v>
      </c>
      <c r="J506" s="111" t="s">
        <v>61</v>
      </c>
      <c r="K506" s="121">
        <v>383.8</v>
      </c>
      <c r="L506" s="120" t="s">
        <v>63</v>
      </c>
      <c r="M506" s="120"/>
      <c r="N506" s="120"/>
      <c r="O506" s="124">
        <v>74500.0</v>
      </c>
      <c r="P506" s="124">
        <v>902.0</v>
      </c>
      <c r="Q506" s="111">
        <v>226.0</v>
      </c>
      <c r="R506" s="125">
        <v>399.0</v>
      </c>
      <c r="S506" s="126">
        <v>0.9619</v>
      </c>
      <c r="T506" s="127">
        <v>74547.25</v>
      </c>
      <c r="U506" s="128">
        <f t="shared" si="2"/>
        <v>0</v>
      </c>
      <c r="V506" s="79" t="s">
        <v>65</v>
      </c>
      <c r="W506" s="79" t="s">
        <v>64</v>
      </c>
      <c r="X506" s="79" t="s">
        <v>64</v>
      </c>
      <c r="Y506" s="130">
        <v>0.9</v>
      </c>
      <c r="Z506" s="111">
        <v>11.0</v>
      </c>
      <c r="AA506" s="111">
        <v>396.0</v>
      </c>
      <c r="AB506" s="111" t="s">
        <v>61</v>
      </c>
      <c r="AC506" s="133"/>
      <c r="AD506" s="133"/>
      <c r="AE506" s="133"/>
      <c r="AF506" s="111"/>
      <c r="AG506" s="134" t="s">
        <v>2053</v>
      </c>
      <c r="AH506" s="73"/>
      <c r="AI506" s="135"/>
      <c r="AJ506" s="136"/>
      <c r="AK506" s="76"/>
      <c r="AL506" s="137"/>
      <c r="AM506" s="139">
        <v>401.0</v>
      </c>
      <c r="AN506" s="139">
        <v>902.0</v>
      </c>
      <c r="AO506" s="140">
        <v>221.51</v>
      </c>
      <c r="AP506" s="142">
        <v>74500.0</v>
      </c>
      <c r="AQ506" s="142">
        <v>226.0</v>
      </c>
      <c r="AR506" s="143"/>
      <c r="AS506" s="144">
        <v>0.9497763602169281</v>
      </c>
      <c r="AT506" s="144">
        <v>0.012123639783071849</v>
      </c>
      <c r="AU506" s="146" t="s">
        <v>2054</v>
      </c>
      <c r="AV506" s="146" t="s">
        <v>2054</v>
      </c>
      <c r="AW506" s="148" t="s">
        <v>2054</v>
      </c>
      <c r="AX506" s="151"/>
      <c r="AY506" s="105"/>
      <c r="AZ506" s="186"/>
      <c r="BA506" s="186"/>
      <c r="BB506" s="222"/>
      <c r="BC506" s="45"/>
      <c r="BD506" s="45"/>
      <c r="BE506" s="155"/>
      <c r="BF506" s="45"/>
    </row>
    <row r="507" ht="16.5" customHeight="1">
      <c r="A507" s="111">
        <v>504.0</v>
      </c>
      <c r="B507" s="112" t="s">
        <v>566</v>
      </c>
      <c r="C507" s="115" t="s">
        <v>60</v>
      </c>
      <c r="D507" s="117">
        <v>41968.0</v>
      </c>
      <c r="E507" s="117">
        <v>42533.0</v>
      </c>
      <c r="F507" s="79" t="s">
        <v>59</v>
      </c>
      <c r="G507" s="118">
        <v>54000.0</v>
      </c>
      <c r="H507" s="114">
        <v>95.4</v>
      </c>
      <c r="I507" s="120">
        <v>383.0</v>
      </c>
      <c r="J507" s="111" t="s">
        <v>61</v>
      </c>
      <c r="K507" s="121">
        <v>387.85</v>
      </c>
      <c r="L507" s="120" t="s">
        <v>63</v>
      </c>
      <c r="M507" s="120"/>
      <c r="N507" s="120"/>
      <c r="O507" s="124">
        <v>54000.0</v>
      </c>
      <c r="P507" s="124">
        <v>566.0</v>
      </c>
      <c r="Q507" s="111">
        <v>220.0</v>
      </c>
      <c r="R507" s="125">
        <v>399.0</v>
      </c>
      <c r="S507" s="126">
        <v>0.9721</v>
      </c>
      <c r="T507" s="127">
        <v>75337.75</v>
      </c>
      <c r="U507" s="128">
        <f t="shared" si="2"/>
        <v>0</v>
      </c>
      <c r="V507" s="79" t="s">
        <v>64</v>
      </c>
      <c r="W507" s="79" t="s">
        <v>69</v>
      </c>
      <c r="X507" s="79" t="s">
        <v>66</v>
      </c>
      <c r="Y507" s="130">
        <v>0.9</v>
      </c>
      <c r="Z507" s="111">
        <v>16.0</v>
      </c>
      <c r="AA507" s="133"/>
      <c r="AB507" s="133"/>
      <c r="AC507" s="133"/>
      <c r="AD507" s="133"/>
      <c r="AE507" s="133"/>
      <c r="AF507" s="111"/>
      <c r="AG507" s="147"/>
      <c r="AH507" s="73"/>
      <c r="AI507" s="135"/>
      <c r="AJ507" s="136"/>
      <c r="AK507" s="76"/>
      <c r="AL507" s="137"/>
      <c r="AM507" s="139" t="s">
        <v>71</v>
      </c>
      <c r="AN507" s="139">
        <v>566.0</v>
      </c>
      <c r="AO507" s="140">
        <v>155.48</v>
      </c>
      <c r="AP507" s="142">
        <v>54000.0</v>
      </c>
      <c r="AQ507" s="142">
        <v>220.0</v>
      </c>
      <c r="AR507" s="143"/>
      <c r="AS507" s="144">
        <v>0.9549104819935579</v>
      </c>
      <c r="AT507" s="144">
        <v>0.017189518006442084</v>
      </c>
      <c r="AU507" s="146" t="s">
        <v>2055</v>
      </c>
      <c r="AV507" s="146" t="s">
        <v>2055</v>
      </c>
      <c r="AW507" s="148" t="s">
        <v>2055</v>
      </c>
      <c r="AX507" s="151"/>
      <c r="AY507" s="105"/>
      <c r="AZ507" s="186"/>
      <c r="BA507" s="186"/>
      <c r="BB507" s="222"/>
      <c r="BC507" s="45"/>
      <c r="BD507" s="45"/>
      <c r="BE507" s="155"/>
      <c r="BF507" s="45"/>
    </row>
    <row r="508" ht="16.5" customHeight="1">
      <c r="A508" s="111">
        <v>505.0</v>
      </c>
      <c r="B508" s="112" t="s">
        <v>449</v>
      </c>
      <c r="C508" s="115" t="s">
        <v>60</v>
      </c>
      <c r="D508" s="117">
        <v>41598.0</v>
      </c>
      <c r="E508" s="117">
        <v>42537.0</v>
      </c>
      <c r="F508" s="79" t="s">
        <v>59</v>
      </c>
      <c r="G508" s="118">
        <v>139100.0</v>
      </c>
      <c r="H508" s="114">
        <v>148.0</v>
      </c>
      <c r="I508" s="120">
        <v>374.0</v>
      </c>
      <c r="J508" s="111" t="s">
        <v>62</v>
      </c>
      <c r="K508" s="121">
        <v>374.0</v>
      </c>
      <c r="L508" s="120" t="s">
        <v>63</v>
      </c>
      <c r="M508" s="120"/>
      <c r="N508" s="120"/>
      <c r="O508" s="124">
        <v>139100.0</v>
      </c>
      <c r="P508" s="124">
        <v>940.0</v>
      </c>
      <c r="Q508" s="111">
        <v>187.0</v>
      </c>
      <c r="R508" s="125">
        <v>399.0</v>
      </c>
      <c r="S508" s="126">
        <v>0.9373</v>
      </c>
      <c r="T508" s="127">
        <v>72640.75</v>
      </c>
      <c r="U508" s="128">
        <f t="shared" si="2"/>
        <v>0</v>
      </c>
      <c r="V508" s="79" t="s">
        <v>80</v>
      </c>
      <c r="W508" s="79" t="s">
        <v>65</v>
      </c>
      <c r="X508" s="79" t="s">
        <v>68</v>
      </c>
      <c r="Y508" s="130">
        <v>0.7</v>
      </c>
      <c r="Z508" s="111">
        <v>11.0</v>
      </c>
      <c r="AA508" s="133"/>
      <c r="AB508" s="133"/>
      <c r="AC508" s="133"/>
      <c r="AD508" s="133"/>
      <c r="AE508" s="133"/>
      <c r="AF508" s="111"/>
      <c r="AG508" s="147"/>
      <c r="AH508" s="73"/>
      <c r="AI508" s="135"/>
      <c r="AJ508" s="136"/>
      <c r="AK508" s="76"/>
      <c r="AL508" s="137"/>
      <c r="AM508" s="139" t="s">
        <v>71</v>
      </c>
      <c r="AN508" s="139">
        <v>940.0</v>
      </c>
      <c r="AO508" s="140">
        <v>346.54</v>
      </c>
      <c r="AP508" s="142">
        <v>139100.0</v>
      </c>
      <c r="AQ508" s="142">
        <v>187.0</v>
      </c>
      <c r="AR508" s="143"/>
      <c r="AS508" s="144">
        <v>0.9385507305389328</v>
      </c>
      <c r="AT508" s="144">
        <v>-0.001250730538932765</v>
      </c>
      <c r="AU508" s="146" t="s">
        <v>2057</v>
      </c>
      <c r="AV508" s="146" t="s">
        <v>2057</v>
      </c>
      <c r="AW508" s="148" t="s">
        <v>2057</v>
      </c>
      <c r="AX508" s="151"/>
      <c r="AY508" s="105"/>
      <c r="AZ508" s="186"/>
      <c r="BA508" s="186"/>
      <c r="BB508" s="222"/>
      <c r="BC508" s="45"/>
      <c r="BD508" s="45"/>
      <c r="BE508" s="155"/>
      <c r="BF508" s="45"/>
    </row>
    <row r="509" ht="16.5" customHeight="1">
      <c r="A509" s="111">
        <v>506.0</v>
      </c>
      <c r="B509" s="112" t="s">
        <v>1874</v>
      </c>
      <c r="C509" s="115" t="s">
        <v>60</v>
      </c>
      <c r="D509" s="117">
        <v>42444.0</v>
      </c>
      <c r="E509" s="117">
        <v>42536.0</v>
      </c>
      <c r="F509" s="79" t="s">
        <v>118</v>
      </c>
      <c r="G509" s="118">
        <v>13659.0</v>
      </c>
      <c r="H509" s="114">
        <v>146.9</v>
      </c>
      <c r="I509" s="120">
        <v>369.0</v>
      </c>
      <c r="J509" s="111" t="s">
        <v>62</v>
      </c>
      <c r="K509" s="121">
        <v>369.0</v>
      </c>
      <c r="L509" s="120" t="s">
        <v>63</v>
      </c>
      <c r="M509" s="120"/>
      <c r="N509" s="120"/>
      <c r="O509" s="124">
        <v>13659.0</v>
      </c>
      <c r="P509" s="124">
        <v>93.0</v>
      </c>
      <c r="Q509" s="111">
        <v>209.0</v>
      </c>
      <c r="R509" s="125">
        <v>365.0</v>
      </c>
      <c r="S509" s="126">
        <v>1.011</v>
      </c>
      <c r="T509" s="127">
        <v>69556.79999999999</v>
      </c>
      <c r="U509" s="128">
        <f t="shared" si="2"/>
        <v>0</v>
      </c>
      <c r="V509" s="79" t="s">
        <v>127</v>
      </c>
      <c r="W509" s="79" t="s">
        <v>80</v>
      </c>
      <c r="X509" s="79" t="s">
        <v>66</v>
      </c>
      <c r="Y509" s="130">
        <v>1.0</v>
      </c>
      <c r="Z509" s="111">
        <v>11.0</v>
      </c>
      <c r="AA509" s="111">
        <v>360.0</v>
      </c>
      <c r="AB509" s="111" t="s">
        <v>61</v>
      </c>
      <c r="AC509" s="133"/>
      <c r="AD509" s="133"/>
      <c r="AE509" s="133"/>
      <c r="AF509" s="111"/>
      <c r="AG509" s="147"/>
      <c r="AH509" s="73"/>
      <c r="AI509" s="135"/>
      <c r="AJ509" s="136"/>
      <c r="AK509" s="76"/>
      <c r="AL509" s="137"/>
      <c r="AM509" s="139">
        <v>365.0</v>
      </c>
      <c r="AN509" s="139">
        <v>93.0</v>
      </c>
      <c r="AO509" s="140">
        <v>41.27</v>
      </c>
      <c r="AP509" s="142">
        <v>13659.0</v>
      </c>
      <c r="AQ509" s="142">
        <v>209.0</v>
      </c>
      <c r="AR509" s="143"/>
      <c r="AS509" s="144">
        <v>0.978979311488229</v>
      </c>
      <c r="AT509" s="144">
        <v>0.03202068851177087</v>
      </c>
      <c r="AU509" s="146" t="s">
        <v>2059</v>
      </c>
      <c r="AV509" s="146" t="s">
        <v>2059</v>
      </c>
      <c r="AW509" s="148" t="s">
        <v>2059</v>
      </c>
      <c r="AX509" s="151"/>
      <c r="AY509" s="105"/>
      <c r="AZ509" s="186"/>
      <c r="BA509" s="186"/>
      <c r="BB509" s="222"/>
      <c r="BC509" s="45"/>
      <c r="BD509" s="45"/>
      <c r="BE509" s="155"/>
      <c r="BF509" s="45"/>
    </row>
    <row r="510" ht="16.5" customHeight="1">
      <c r="A510" s="111">
        <v>507.0</v>
      </c>
      <c r="B510" s="112" t="s">
        <v>279</v>
      </c>
      <c r="C510" s="115" t="s">
        <v>60</v>
      </c>
      <c r="D510" s="117">
        <v>41591.0</v>
      </c>
      <c r="E510" s="117">
        <v>42538.0</v>
      </c>
      <c r="F510" s="79" t="s">
        <v>59</v>
      </c>
      <c r="G510" s="118">
        <v>78956.0</v>
      </c>
      <c r="H510" s="114">
        <v>83.3</v>
      </c>
      <c r="I510" s="120">
        <v>382.0</v>
      </c>
      <c r="J510" s="111" t="s">
        <v>61</v>
      </c>
      <c r="K510" s="121">
        <v>386.84</v>
      </c>
      <c r="L510" s="120" t="s">
        <v>195</v>
      </c>
      <c r="M510" s="120" t="s">
        <v>281</v>
      </c>
      <c r="N510" s="120">
        <v>12000.0</v>
      </c>
      <c r="O510" s="124">
        <v>66956.0</v>
      </c>
      <c r="P510" s="124">
        <v>804.0</v>
      </c>
      <c r="Q510" s="111">
        <v>235.0</v>
      </c>
      <c r="R510" s="125">
        <v>399.0</v>
      </c>
      <c r="S510" s="126">
        <v>0.9695</v>
      </c>
      <c r="T510" s="127">
        <v>75136.25</v>
      </c>
      <c r="U510" s="128">
        <f t="shared" si="2"/>
        <v>0</v>
      </c>
      <c r="V510" s="79"/>
      <c r="W510" s="79"/>
      <c r="X510" s="79"/>
      <c r="Y510" s="130"/>
      <c r="Z510" s="111"/>
      <c r="AA510" s="133"/>
      <c r="AB510" s="133"/>
      <c r="AC510" s="133"/>
      <c r="AD510" s="133"/>
      <c r="AE510" s="133"/>
      <c r="AF510" s="111"/>
      <c r="AG510" s="134"/>
      <c r="AH510" s="73"/>
      <c r="AI510" s="135"/>
      <c r="AJ510" s="136"/>
      <c r="AK510" s="76"/>
      <c r="AL510" s="137"/>
      <c r="AM510" s="139" t="s">
        <v>71</v>
      </c>
      <c r="AN510" s="139">
        <v>948.0</v>
      </c>
      <c r="AO510" s="140">
        <v>206.21</v>
      </c>
      <c r="AP510" s="142">
        <v>66956.0</v>
      </c>
      <c r="AQ510" s="142">
        <v>235.0</v>
      </c>
      <c r="AR510" s="143"/>
      <c r="AS510" s="144">
        <v>0.95146157031162</v>
      </c>
      <c r="AT510" s="144">
        <v>0.018038429688379987</v>
      </c>
      <c r="AU510" s="146" t="s">
        <v>2061</v>
      </c>
      <c r="AV510" s="146" t="s">
        <v>2061</v>
      </c>
      <c r="AW510" s="148" t="s">
        <v>2061</v>
      </c>
      <c r="AX510" s="151"/>
      <c r="AY510" s="105"/>
      <c r="AZ510" s="186"/>
      <c r="BA510" s="186"/>
      <c r="BB510" s="222"/>
      <c r="BC510" s="45"/>
      <c r="BD510" s="45"/>
      <c r="BE510" s="155"/>
      <c r="BF510" s="45"/>
    </row>
    <row r="511" ht="16.5" customHeight="1">
      <c r="A511" s="111">
        <v>508.0</v>
      </c>
      <c r="B511" s="112" t="s">
        <v>1667</v>
      </c>
      <c r="C511" s="115" t="s">
        <v>60</v>
      </c>
      <c r="D511" s="117">
        <v>42339.0</v>
      </c>
      <c r="E511" s="117">
        <v>42538.0</v>
      </c>
      <c r="F511" s="79" t="s">
        <v>870</v>
      </c>
      <c r="G511" s="118">
        <v>11968.0</v>
      </c>
      <c r="H511" s="114">
        <v>59.8</v>
      </c>
      <c r="I511" s="120">
        <v>369.0</v>
      </c>
      <c r="J511" s="111" t="s">
        <v>61</v>
      </c>
      <c r="K511" s="121">
        <v>373.67</v>
      </c>
      <c r="L511" s="120" t="s">
        <v>63</v>
      </c>
      <c r="M511" s="120"/>
      <c r="N511" s="120"/>
      <c r="O511" s="124">
        <v>11968.0</v>
      </c>
      <c r="P511" s="124">
        <v>200.0</v>
      </c>
      <c r="Q511" s="111">
        <v>187.0</v>
      </c>
      <c r="R511" s="125">
        <v>360.0</v>
      </c>
      <c r="S511" s="126">
        <v>1.038</v>
      </c>
      <c r="T511" s="127">
        <v>71414.40000000001</v>
      </c>
      <c r="U511" s="128">
        <f t="shared" si="2"/>
        <v>0</v>
      </c>
      <c r="V511" s="79" t="s">
        <v>65</v>
      </c>
      <c r="W511" s="79" t="s">
        <v>64</v>
      </c>
      <c r="X511" s="79" t="s">
        <v>65</v>
      </c>
      <c r="Y511" s="130">
        <v>0.8</v>
      </c>
      <c r="Z511" s="111">
        <v>11.0</v>
      </c>
      <c r="AA511" s="133"/>
      <c r="AB511" s="111" t="s">
        <v>61</v>
      </c>
      <c r="AC511" s="133"/>
      <c r="AD511" s="133"/>
      <c r="AE511" s="133"/>
      <c r="AF511" s="111"/>
      <c r="AG511" s="147"/>
      <c r="AH511" s="73"/>
      <c r="AI511" s="135"/>
      <c r="AJ511" s="136"/>
      <c r="AK511" s="76"/>
      <c r="AL511" s="137"/>
      <c r="AM511" s="139" t="s">
        <v>71</v>
      </c>
      <c r="AN511" s="139">
        <v>200.0</v>
      </c>
      <c r="AO511" s="140">
        <v>31.93</v>
      </c>
      <c r="AP511" s="142">
        <v>11968.0</v>
      </c>
      <c r="AQ511" s="142">
        <v>187.0</v>
      </c>
      <c r="AR511" s="143"/>
      <c r="AS511" s="144">
        <v>0.9809770395964559</v>
      </c>
      <c r="AT511" s="144">
        <v>0.057022960403544154</v>
      </c>
      <c r="AU511" s="146" t="s">
        <v>2064</v>
      </c>
      <c r="AV511" s="146" t="s">
        <v>2064</v>
      </c>
      <c r="AW511" s="148" t="s">
        <v>2064</v>
      </c>
      <c r="AX511" s="151"/>
      <c r="AY511" s="105"/>
      <c r="AZ511" s="186"/>
      <c r="BA511" s="186"/>
      <c r="BB511" s="222"/>
      <c r="BC511" s="45"/>
      <c r="BD511" s="45"/>
      <c r="BE511" s="155"/>
      <c r="BF511" s="45"/>
    </row>
    <row r="512" ht="16.5" customHeight="1">
      <c r="A512" s="111">
        <v>509.0</v>
      </c>
      <c r="B512" s="112" t="s">
        <v>186</v>
      </c>
      <c r="C512" s="115" t="s">
        <v>60</v>
      </c>
      <c r="D512" s="117">
        <v>41618.0</v>
      </c>
      <c r="E512" s="117">
        <v>42536.0</v>
      </c>
      <c r="F512" s="79" t="s">
        <v>79</v>
      </c>
      <c r="G512" s="118">
        <v>231000.0</v>
      </c>
      <c r="H512" s="114">
        <v>251.4</v>
      </c>
      <c r="I512" s="120">
        <v>370.0</v>
      </c>
      <c r="J512" s="111" t="s">
        <v>62</v>
      </c>
      <c r="K512" s="121">
        <v>370.0</v>
      </c>
      <c r="L512" s="120" t="s">
        <v>195</v>
      </c>
      <c r="M512" s="120" t="s">
        <v>1658</v>
      </c>
      <c r="N512" s="120">
        <v>77000.0</v>
      </c>
      <c r="O512" s="124">
        <v>154000.0</v>
      </c>
      <c r="P512" s="124">
        <v>613.0</v>
      </c>
      <c r="Q512" s="111">
        <v>228.0</v>
      </c>
      <c r="R512" s="125">
        <v>399.0</v>
      </c>
      <c r="S512" s="126">
        <v>0.9273</v>
      </c>
      <c r="T512" s="127">
        <v>71865.75</v>
      </c>
      <c r="U512" s="128">
        <f t="shared" si="2"/>
        <v>0</v>
      </c>
      <c r="V512" s="79"/>
      <c r="W512" s="79"/>
      <c r="X512" s="79"/>
      <c r="Y512" s="130"/>
      <c r="Z512" s="111"/>
      <c r="AA512" s="133"/>
      <c r="AB512" s="133"/>
      <c r="AC512" s="133"/>
      <c r="AD512" s="133"/>
      <c r="AE512" s="133"/>
      <c r="AF512" s="111"/>
      <c r="AG512" s="134" t="s">
        <v>2068</v>
      </c>
      <c r="AH512" s="73"/>
      <c r="AI512" s="135"/>
      <c r="AJ512" s="136"/>
      <c r="AK512" s="76"/>
      <c r="AL512" s="137"/>
      <c r="AM512" s="139" t="s">
        <v>71</v>
      </c>
      <c r="AN512" s="139">
        <v>919.0</v>
      </c>
      <c r="AO512" s="140">
        <v>470.17</v>
      </c>
      <c r="AP512" s="142">
        <v>154000.0</v>
      </c>
      <c r="AQ512" s="142">
        <v>228.0</v>
      </c>
      <c r="AR512" s="143"/>
      <c r="AS512" s="144">
        <v>0.9361932379679284</v>
      </c>
      <c r="AT512" s="144">
        <v>-0.008893237967928402</v>
      </c>
      <c r="AU512" s="146" t="s">
        <v>2069</v>
      </c>
      <c r="AV512" s="146" t="s">
        <v>2069</v>
      </c>
      <c r="AW512" s="148" t="s">
        <v>2069</v>
      </c>
      <c r="AX512" s="151"/>
      <c r="AY512" s="105"/>
      <c r="AZ512" s="186"/>
      <c r="BA512" s="186"/>
      <c r="BB512" s="222"/>
      <c r="BC512" s="45"/>
      <c r="BD512" s="45"/>
      <c r="BE512" s="155"/>
      <c r="BF512" s="45"/>
    </row>
    <row r="513" ht="16.5" customHeight="1">
      <c r="A513" s="111">
        <v>510.0</v>
      </c>
      <c r="B513" s="112" t="s">
        <v>1650</v>
      </c>
      <c r="C513" s="115" t="s">
        <v>60</v>
      </c>
      <c r="D513" s="117">
        <v>42093.0</v>
      </c>
      <c r="E513" s="117">
        <v>42540.0</v>
      </c>
      <c r="F513" s="79" t="s">
        <v>86</v>
      </c>
      <c r="G513" s="118">
        <v>50011.0</v>
      </c>
      <c r="H513" s="114">
        <v>111.6</v>
      </c>
      <c r="I513" s="120">
        <v>412.0</v>
      </c>
      <c r="J513" s="111" t="s">
        <v>61</v>
      </c>
      <c r="K513" s="121">
        <v>417.22</v>
      </c>
      <c r="L513" s="120" t="s">
        <v>63</v>
      </c>
      <c r="M513" s="120"/>
      <c r="N513" s="120"/>
      <c r="O513" s="124">
        <v>50011.0</v>
      </c>
      <c r="P513" s="124">
        <v>448.0</v>
      </c>
      <c r="Q513" s="111">
        <v>206.0</v>
      </c>
      <c r="R513" s="125">
        <v>430.0</v>
      </c>
      <c r="S513" s="126">
        <v>0.9703</v>
      </c>
      <c r="T513" s="127">
        <v>75198.25</v>
      </c>
      <c r="U513" s="128">
        <f t="shared" si="2"/>
        <v>0</v>
      </c>
      <c r="V513" s="79" t="s">
        <v>67</v>
      </c>
      <c r="W513" s="79" t="s">
        <v>64</v>
      </c>
      <c r="X513" s="79" t="s">
        <v>64</v>
      </c>
      <c r="Y513" s="130">
        <v>0.9</v>
      </c>
      <c r="Z513" s="111">
        <v>11.0</v>
      </c>
      <c r="AA513" s="133"/>
      <c r="AB513" s="133"/>
      <c r="AC513" s="133"/>
      <c r="AD513" s="133"/>
      <c r="AE513" s="133"/>
      <c r="AF513" s="111"/>
      <c r="AG513" s="147"/>
      <c r="AH513" s="73"/>
      <c r="AI513" s="135"/>
      <c r="AJ513" s="136"/>
      <c r="AK513" s="76"/>
      <c r="AL513" s="137"/>
      <c r="AM513" s="139" t="s">
        <v>71</v>
      </c>
      <c r="AN513" s="139">
        <v>448.0</v>
      </c>
      <c r="AO513" s="140">
        <v>134.96</v>
      </c>
      <c r="AP513" s="142">
        <v>50011.0</v>
      </c>
      <c r="AQ513" s="142">
        <v>206.0</v>
      </c>
      <c r="AR513" s="143"/>
      <c r="AS513" s="144">
        <v>0.9561786008443643</v>
      </c>
      <c r="AT513" s="144">
        <v>0.014121399155635705</v>
      </c>
      <c r="AU513" s="146" t="s">
        <v>2072</v>
      </c>
      <c r="AV513" s="146" t="s">
        <v>2072</v>
      </c>
      <c r="AW513" s="148" t="s">
        <v>2072</v>
      </c>
      <c r="AX513" s="151"/>
      <c r="AY513" s="105"/>
      <c r="AZ513" s="186"/>
      <c r="BA513" s="186"/>
      <c r="BB513" s="222"/>
      <c r="BC513" s="45"/>
      <c r="BD513" s="45"/>
      <c r="BE513" s="155"/>
      <c r="BF513" s="45"/>
    </row>
    <row r="514" ht="16.5" customHeight="1">
      <c r="A514" s="111">
        <v>511.0</v>
      </c>
      <c r="B514" s="112" t="s">
        <v>449</v>
      </c>
      <c r="C514" s="115" t="s">
        <v>60</v>
      </c>
      <c r="D514" s="117">
        <v>41598.0</v>
      </c>
      <c r="E514" s="117">
        <v>42544.0</v>
      </c>
      <c r="F514" s="79" t="s">
        <v>59</v>
      </c>
      <c r="G514" s="118">
        <v>140050.0</v>
      </c>
      <c r="H514" s="114">
        <v>147.9</v>
      </c>
      <c r="I514" s="120">
        <v>376.0</v>
      </c>
      <c r="J514" s="111" t="s">
        <v>62</v>
      </c>
      <c r="K514" s="121">
        <v>376.0</v>
      </c>
      <c r="L514" s="120" t="s">
        <v>63</v>
      </c>
      <c r="M514" s="120"/>
      <c r="N514" s="120"/>
      <c r="O514" s="124">
        <v>140050.0</v>
      </c>
      <c r="P514" s="124">
        <v>947.0</v>
      </c>
      <c r="Q514" s="111">
        <v>187.0</v>
      </c>
      <c r="R514" s="125">
        <v>399.0</v>
      </c>
      <c r="S514" s="126">
        <v>0.9424</v>
      </c>
      <c r="T514" s="127">
        <v>73036.0</v>
      </c>
      <c r="U514" s="128">
        <f t="shared" si="2"/>
        <v>0</v>
      </c>
      <c r="V514" s="79" t="s">
        <v>80</v>
      </c>
      <c r="W514" s="79" t="s">
        <v>65</v>
      </c>
      <c r="X514" s="79" t="s">
        <v>68</v>
      </c>
      <c r="Y514" s="130">
        <v>0.7</v>
      </c>
      <c r="Z514" s="111">
        <v>11.0</v>
      </c>
      <c r="AA514" s="133"/>
      <c r="AB514" s="133"/>
      <c r="AC514" s="133"/>
      <c r="AD514" s="133"/>
      <c r="AE514" s="133"/>
      <c r="AF514" s="111"/>
      <c r="AG514" s="147"/>
      <c r="AH514" s="73"/>
      <c r="AI514" s="135"/>
      <c r="AJ514" s="136"/>
      <c r="AK514" s="76"/>
      <c r="AL514" s="137"/>
      <c r="AM514" s="139" t="s">
        <v>71</v>
      </c>
      <c r="AN514" s="139">
        <v>947.0</v>
      </c>
      <c r="AO514" s="140">
        <v>347.99</v>
      </c>
      <c r="AP514" s="142">
        <v>140050.0</v>
      </c>
      <c r="AQ514" s="142">
        <v>187.0</v>
      </c>
      <c r="AR514" s="143"/>
      <c r="AS514" s="144">
        <v>0.9383997664020495</v>
      </c>
      <c r="AT514" s="144">
        <v>0.004000233597950542</v>
      </c>
      <c r="AU514" s="146" t="s">
        <v>2074</v>
      </c>
      <c r="AV514" s="146" t="s">
        <v>2074</v>
      </c>
      <c r="AW514" s="148" t="s">
        <v>2074</v>
      </c>
      <c r="AX514" s="151"/>
      <c r="AY514" s="105"/>
      <c r="AZ514" s="186"/>
      <c r="BA514" s="186"/>
      <c r="BB514" s="222"/>
      <c r="BC514" s="45"/>
      <c r="BD514" s="45"/>
      <c r="BE514" s="155"/>
      <c r="BF514" s="45"/>
    </row>
    <row r="515" ht="16.5" customHeight="1">
      <c r="A515" s="111">
        <v>512.0</v>
      </c>
      <c r="B515" s="112" t="s">
        <v>1637</v>
      </c>
      <c r="C515" s="115" t="s">
        <v>60</v>
      </c>
      <c r="D515" s="117">
        <v>42235.0</v>
      </c>
      <c r="E515" s="117">
        <v>42545.0</v>
      </c>
      <c r="F515" s="79" t="s">
        <v>118</v>
      </c>
      <c r="G515" s="118">
        <v>43787.0</v>
      </c>
      <c r="H515" s="114">
        <v>140.8</v>
      </c>
      <c r="I515" s="120">
        <v>353.0</v>
      </c>
      <c r="J515" s="111" t="s">
        <v>61</v>
      </c>
      <c r="K515" s="121">
        <v>357.47</v>
      </c>
      <c r="L515" s="120" t="s">
        <v>63</v>
      </c>
      <c r="M515" s="120"/>
      <c r="N515" s="120"/>
      <c r="O515" s="124">
        <v>43787.0</v>
      </c>
      <c r="P515" s="124">
        <v>311.0</v>
      </c>
      <c r="Q515" s="111">
        <v>213.0</v>
      </c>
      <c r="R515" s="125">
        <v>365.0</v>
      </c>
      <c r="S515" s="126">
        <v>0.9794</v>
      </c>
      <c r="T515" s="127">
        <v>67382.72</v>
      </c>
      <c r="U515" s="128">
        <f t="shared" si="2"/>
        <v>0</v>
      </c>
      <c r="V515" s="79" t="s">
        <v>127</v>
      </c>
      <c r="W515" s="79" t="s">
        <v>64</v>
      </c>
      <c r="X515" s="79" t="s">
        <v>69</v>
      </c>
      <c r="Y515" s="130">
        <v>0.8</v>
      </c>
      <c r="Z515" s="111">
        <v>11.0</v>
      </c>
      <c r="AA515" s="111">
        <v>360.0</v>
      </c>
      <c r="AB515" s="111" t="s">
        <v>61</v>
      </c>
      <c r="AC515" s="133"/>
      <c r="AD515" s="133"/>
      <c r="AE515" s="133"/>
      <c r="AF515" s="111"/>
      <c r="AG515" s="147"/>
      <c r="AH515" s="73"/>
      <c r="AI515" s="135"/>
      <c r="AJ515" s="136"/>
      <c r="AK515" s="76"/>
      <c r="AL515" s="137"/>
      <c r="AM515" s="139">
        <v>365.0</v>
      </c>
      <c r="AN515" s="139">
        <v>311.0</v>
      </c>
      <c r="AO515" s="140">
        <v>136.99</v>
      </c>
      <c r="AP515" s="142">
        <v>43787.0</v>
      </c>
      <c r="AQ515" s="142">
        <v>213.0</v>
      </c>
      <c r="AR515" s="143"/>
      <c r="AS515" s="144">
        <v>0.9584338607155006</v>
      </c>
      <c r="AT515" s="144">
        <v>0.02096613928449942</v>
      </c>
      <c r="AU515" s="146" t="s">
        <v>2077</v>
      </c>
      <c r="AV515" s="146" t="s">
        <v>2077</v>
      </c>
      <c r="AW515" s="148" t="s">
        <v>2077</v>
      </c>
      <c r="AX515" s="151"/>
      <c r="AY515" s="105"/>
      <c r="AZ515" s="186"/>
      <c r="BA515" s="186"/>
      <c r="BB515" s="222"/>
      <c r="BC515" s="45"/>
      <c r="BD515" s="45"/>
      <c r="BE515" s="155"/>
      <c r="BF515" s="45"/>
    </row>
    <row r="516" ht="16.5" customHeight="1">
      <c r="A516" s="111">
        <v>513.0</v>
      </c>
      <c r="B516" s="112" t="s">
        <v>513</v>
      </c>
      <c r="C516" s="115" t="s">
        <v>60</v>
      </c>
      <c r="D516" s="117">
        <v>41990.0</v>
      </c>
      <c r="E516" s="117">
        <v>42547.0</v>
      </c>
      <c r="F516" s="79" t="s">
        <v>59</v>
      </c>
      <c r="G516" s="118">
        <v>54765.0</v>
      </c>
      <c r="H516" s="114">
        <v>98.1</v>
      </c>
      <c r="I516" s="120">
        <v>384.0</v>
      </c>
      <c r="J516" s="111" t="s">
        <v>61</v>
      </c>
      <c r="K516" s="121">
        <v>388.86</v>
      </c>
      <c r="L516" s="120" t="s">
        <v>63</v>
      </c>
      <c r="M516" s="120"/>
      <c r="N516" s="120"/>
      <c r="O516" s="124">
        <v>54765.0</v>
      </c>
      <c r="P516" s="124">
        <v>558.0</v>
      </c>
      <c r="Q516" s="111">
        <v>225.0</v>
      </c>
      <c r="R516" s="125">
        <v>399.0</v>
      </c>
      <c r="S516" s="126">
        <v>0.9746</v>
      </c>
      <c r="T516" s="127">
        <v>75531.5</v>
      </c>
      <c r="U516" s="128">
        <f t="shared" si="2"/>
        <v>0</v>
      </c>
      <c r="V516" s="79" t="s">
        <v>64</v>
      </c>
      <c r="W516" s="79" t="s">
        <v>64</v>
      </c>
      <c r="X516" s="79" t="s">
        <v>69</v>
      </c>
      <c r="Y516" s="130">
        <v>0.8</v>
      </c>
      <c r="Z516" s="111">
        <v>11.0</v>
      </c>
      <c r="AA516" s="111">
        <v>392.0</v>
      </c>
      <c r="AB516" s="111" t="s">
        <v>61</v>
      </c>
      <c r="AC516" s="133"/>
      <c r="AD516" s="133"/>
      <c r="AE516" s="133"/>
      <c r="AF516" s="111"/>
      <c r="AG516" s="147"/>
      <c r="AH516" s="73"/>
      <c r="AI516" s="135"/>
      <c r="AJ516" s="136"/>
      <c r="AK516" s="76"/>
      <c r="AL516" s="137"/>
      <c r="AM516" s="139">
        <v>397.0</v>
      </c>
      <c r="AN516" s="139">
        <v>558.0</v>
      </c>
      <c r="AO516" s="140">
        <v>161.06</v>
      </c>
      <c r="AP516" s="142">
        <v>54765.0</v>
      </c>
      <c r="AQ516" s="142">
        <v>225.0</v>
      </c>
      <c r="AR516" s="143"/>
      <c r="AS516" s="144">
        <v>0.9546805535728234</v>
      </c>
      <c r="AT516" s="144">
        <v>0.01991944642717658</v>
      </c>
      <c r="AU516" s="146" t="s">
        <v>2080</v>
      </c>
      <c r="AV516" s="146" t="s">
        <v>2080</v>
      </c>
      <c r="AW516" s="148" t="s">
        <v>2080</v>
      </c>
      <c r="AX516" s="151"/>
      <c r="AY516" s="105"/>
      <c r="AZ516" s="186"/>
      <c r="BA516" s="186"/>
      <c r="BB516" s="222"/>
      <c r="BC516" s="45"/>
      <c r="BD516" s="45"/>
      <c r="BE516" s="155"/>
      <c r="BF516" s="45"/>
    </row>
    <row r="517" ht="16.5" customHeight="1">
      <c r="A517" s="111">
        <v>514.0</v>
      </c>
      <c r="B517" s="112" t="s">
        <v>1629</v>
      </c>
      <c r="C517" s="115" t="s">
        <v>60</v>
      </c>
      <c r="D517" s="592">
        <v>42450.0</v>
      </c>
      <c r="E517" s="117">
        <v>42537.0</v>
      </c>
      <c r="F517" s="79" t="s">
        <v>870</v>
      </c>
      <c r="G517" s="118">
        <v>7080.0</v>
      </c>
      <c r="H517" s="114">
        <v>80.5</v>
      </c>
      <c r="I517" s="120">
        <v>367.0</v>
      </c>
      <c r="J517" s="111" t="s">
        <v>62</v>
      </c>
      <c r="K517" s="121">
        <v>367.0</v>
      </c>
      <c r="L517" s="120" t="s">
        <v>63</v>
      </c>
      <c r="M517" s="120"/>
      <c r="N517" s="120"/>
      <c r="O517" s="124">
        <v>7080.0</v>
      </c>
      <c r="P517" s="124">
        <v>88.0</v>
      </c>
      <c r="Q517" s="111">
        <v>202.0</v>
      </c>
      <c r="R517" s="125">
        <v>360.0</v>
      </c>
      <c r="S517" s="126">
        <v>1.0194</v>
      </c>
      <c r="T517" s="127">
        <v>70134.72</v>
      </c>
      <c r="U517" s="128">
        <f t="shared" si="2"/>
        <v>0</v>
      </c>
      <c r="V517" s="79" t="s">
        <v>65</v>
      </c>
      <c r="W517" s="195" t="s">
        <v>64</v>
      </c>
      <c r="X517" s="195" t="s">
        <v>69</v>
      </c>
      <c r="Y517" s="130"/>
      <c r="Z517" s="208"/>
      <c r="AA517" s="202"/>
      <c r="AB517" s="202"/>
      <c r="AC517" s="133"/>
      <c r="AD517" s="133"/>
      <c r="AE517" s="133"/>
      <c r="AF517" s="111"/>
      <c r="AG517" s="134" t="s">
        <v>2081</v>
      </c>
      <c r="AH517" s="73"/>
      <c r="AI517" s="135"/>
      <c r="AJ517" s="136"/>
      <c r="AK517" s="76"/>
      <c r="AL517" s="137"/>
      <c r="AM517" s="139" t="s">
        <v>71</v>
      </c>
      <c r="AN517" s="139">
        <v>88.0</v>
      </c>
      <c r="AO517" s="140">
        <v>20.59</v>
      </c>
      <c r="AP517" s="142">
        <v>7080.0</v>
      </c>
      <c r="AQ517" s="142">
        <v>202.0</v>
      </c>
      <c r="AR517" s="143"/>
      <c r="AS517" s="144">
        <v>0.9876041080026665</v>
      </c>
      <c r="AT517" s="144">
        <v>0.03179589199733357</v>
      </c>
      <c r="AU517" s="146" t="s">
        <v>2082</v>
      </c>
      <c r="AV517" s="146" t="s">
        <v>2082</v>
      </c>
      <c r="AW517" s="148" t="s">
        <v>2082</v>
      </c>
      <c r="AX517" s="151"/>
      <c r="AY517" s="105"/>
      <c r="AZ517" s="186"/>
      <c r="BA517" s="186"/>
      <c r="BB517" s="222"/>
      <c r="BC517" s="45"/>
      <c r="BD517" s="45"/>
      <c r="BE517" s="155"/>
      <c r="BF517" s="45"/>
    </row>
    <row r="518" ht="16.5" customHeight="1">
      <c r="A518" s="111">
        <v>515.0</v>
      </c>
      <c r="B518" s="112" t="s">
        <v>761</v>
      </c>
      <c r="C518" s="115" t="s">
        <v>60</v>
      </c>
      <c r="D518" s="157">
        <v>42097.0</v>
      </c>
      <c r="E518" s="117">
        <v>42553.0</v>
      </c>
      <c r="F518" s="79" t="s">
        <v>90</v>
      </c>
      <c r="G518" s="118">
        <v>28424.0</v>
      </c>
      <c r="H518" s="114">
        <v>62.2</v>
      </c>
      <c r="I518" s="120">
        <v>379.0</v>
      </c>
      <c r="J518" s="111" t="s">
        <v>62</v>
      </c>
      <c r="K518" s="121">
        <v>379.0</v>
      </c>
      <c r="L518" s="120" t="s">
        <v>63</v>
      </c>
      <c r="M518" s="120"/>
      <c r="N518" s="120"/>
      <c r="O518" s="124">
        <v>28424.0</v>
      </c>
      <c r="P518" s="124">
        <v>457.0</v>
      </c>
      <c r="Q518" s="111">
        <v>232.0</v>
      </c>
      <c r="R518" s="125">
        <v>408.0</v>
      </c>
      <c r="S518" s="126">
        <v>0.9289</v>
      </c>
      <c r="T518" s="127">
        <v>71989.75</v>
      </c>
      <c r="U518" s="128">
        <f t="shared" si="2"/>
        <v>0</v>
      </c>
      <c r="V518" s="636" t="s">
        <v>65</v>
      </c>
      <c r="W518" s="636" t="s">
        <v>64</v>
      </c>
      <c r="X518" s="636" t="s">
        <v>66</v>
      </c>
      <c r="Y518" s="130">
        <v>0.7</v>
      </c>
      <c r="Z518" s="639">
        <v>11.0</v>
      </c>
      <c r="AA518" s="133">
        <v>406.0</v>
      </c>
      <c r="AB518" s="133" t="s">
        <v>62</v>
      </c>
      <c r="AC518" s="133"/>
      <c r="AD518" s="133"/>
      <c r="AE518" s="133"/>
      <c r="AF518" s="111"/>
      <c r="AG518" s="134" t="s">
        <v>1899</v>
      </c>
      <c r="AH518" s="73"/>
      <c r="AI518" s="135"/>
      <c r="AJ518" s="136"/>
      <c r="AK518" s="76"/>
      <c r="AL518" s="137"/>
      <c r="AM518" s="139">
        <v>406.0</v>
      </c>
      <c r="AN518" s="139">
        <v>457.0</v>
      </c>
      <c r="AO518" s="140">
        <v>88.24</v>
      </c>
      <c r="AP518" s="142">
        <v>28424.0</v>
      </c>
      <c r="AQ518" s="142">
        <v>232.0</v>
      </c>
      <c r="AR518" s="143"/>
      <c r="AS518" s="144">
        <v>0.9661985788376946</v>
      </c>
      <c r="AT518" s="144">
        <v>-0.03729857883769461</v>
      </c>
      <c r="AU518" s="146" t="s">
        <v>2084</v>
      </c>
      <c r="AV518" s="146" t="s">
        <v>2084</v>
      </c>
      <c r="AW518" s="148" t="s">
        <v>2084</v>
      </c>
      <c r="AX518" s="151"/>
      <c r="AY518" s="105"/>
      <c r="AZ518" s="186"/>
      <c r="BA518" s="186"/>
      <c r="BB518" s="222"/>
      <c r="BC518" s="45"/>
      <c r="BD518" s="45"/>
      <c r="BE518" s="155"/>
      <c r="BF518" s="45"/>
    </row>
    <row r="519" ht="16.5" customHeight="1">
      <c r="A519" s="111">
        <v>516.0</v>
      </c>
      <c r="B519" s="112" t="s">
        <v>1695</v>
      </c>
      <c r="C519" s="115" t="s">
        <v>60</v>
      </c>
      <c r="D519" s="117">
        <v>41563.0</v>
      </c>
      <c r="E519" s="117">
        <v>42553.0</v>
      </c>
      <c r="F519" s="79" t="s">
        <v>57</v>
      </c>
      <c r="G519" s="118">
        <v>52500.0</v>
      </c>
      <c r="H519" s="114">
        <v>53.0</v>
      </c>
      <c r="I519" s="120">
        <v>380.0</v>
      </c>
      <c r="J519" s="111" t="s">
        <v>61</v>
      </c>
      <c r="K519" s="121">
        <v>384.81</v>
      </c>
      <c r="L519" s="120" t="s">
        <v>63</v>
      </c>
      <c r="M519" s="120"/>
      <c r="N519" s="120"/>
      <c r="O519" s="124">
        <v>52500.0</v>
      </c>
      <c r="P519" s="124">
        <v>991.0</v>
      </c>
      <c r="Q519" s="111">
        <v>225.0</v>
      </c>
      <c r="R519" s="125">
        <v>399.0</v>
      </c>
      <c r="S519" s="126">
        <v>0.9644</v>
      </c>
      <c r="T519" s="127">
        <v>74741.0</v>
      </c>
      <c r="U519" s="128">
        <f t="shared" si="2"/>
        <v>0</v>
      </c>
      <c r="V519" s="79" t="s">
        <v>66</v>
      </c>
      <c r="W519" s="79" t="s">
        <v>66</v>
      </c>
      <c r="X519" s="79" t="s">
        <v>68</v>
      </c>
      <c r="Y519" s="130">
        <v>0.8</v>
      </c>
      <c r="Z519" s="111">
        <v>18.0</v>
      </c>
      <c r="AA519" s="111">
        <v>400.0</v>
      </c>
      <c r="AB519" s="111" t="s">
        <v>62</v>
      </c>
      <c r="AC519" s="133"/>
      <c r="AD519" s="133"/>
      <c r="AE519" s="133"/>
      <c r="AF519" s="111"/>
      <c r="AG519" s="147"/>
      <c r="AH519" s="73"/>
      <c r="AI519" s="135"/>
      <c r="AJ519" s="136"/>
      <c r="AK519" s="76"/>
      <c r="AL519" s="137"/>
      <c r="AM519" s="139">
        <v>400.0</v>
      </c>
      <c r="AN519" s="139">
        <v>991.0</v>
      </c>
      <c r="AO519" s="140">
        <v>155.22</v>
      </c>
      <c r="AP519" s="142">
        <v>52500.0</v>
      </c>
      <c r="AQ519" s="142">
        <v>225.0</v>
      </c>
      <c r="AR519" s="143"/>
      <c r="AS519" s="144">
        <v>0.9553732297778037</v>
      </c>
      <c r="AT519" s="144">
        <v>0.009026770222196334</v>
      </c>
      <c r="AU519" s="146" t="s">
        <v>2086</v>
      </c>
      <c r="AV519" s="146" t="s">
        <v>2086</v>
      </c>
      <c r="AW519" s="148" t="s">
        <v>2086</v>
      </c>
      <c r="AX519" s="151"/>
      <c r="AY519" s="105"/>
      <c r="AZ519" s="186"/>
      <c r="BA519" s="186"/>
      <c r="BB519" s="222"/>
      <c r="BC519" s="45"/>
      <c r="BD519" s="45"/>
      <c r="BE519" s="155"/>
      <c r="BF519" s="45"/>
    </row>
    <row r="520" ht="16.5" customHeight="1">
      <c r="A520" s="111">
        <v>517.0</v>
      </c>
      <c r="B520" s="112" t="s">
        <v>1858</v>
      </c>
      <c r="C520" s="115" t="s">
        <v>60</v>
      </c>
      <c r="D520" s="117">
        <v>42439.0</v>
      </c>
      <c r="E520" s="117">
        <v>42559.0</v>
      </c>
      <c r="F520" s="79" t="s">
        <v>305</v>
      </c>
      <c r="G520" s="118">
        <v>15000.0</v>
      </c>
      <c r="H520" s="114">
        <v>124.0</v>
      </c>
      <c r="I520" s="120">
        <v>447.0</v>
      </c>
      <c r="J520" s="111" t="s">
        <v>61</v>
      </c>
      <c r="K520" s="121">
        <v>452.66</v>
      </c>
      <c r="L520" s="120" t="s">
        <v>63</v>
      </c>
      <c r="M520" s="120"/>
      <c r="N520" s="120"/>
      <c r="O520" s="124">
        <v>15000.0</v>
      </c>
      <c r="P520" s="124">
        <v>121.0</v>
      </c>
      <c r="Q520" s="111">
        <v>225.0</v>
      </c>
      <c r="R520" s="125">
        <v>452.0</v>
      </c>
      <c r="S520" s="126">
        <v>1.0015</v>
      </c>
      <c r="T520" s="127">
        <v>81922.70000000001</v>
      </c>
      <c r="U520" s="128">
        <f t="shared" si="2"/>
        <v>0</v>
      </c>
      <c r="V520" s="79"/>
      <c r="W520" s="79"/>
      <c r="X520" s="79"/>
      <c r="Y520" s="130"/>
      <c r="Z520" s="111"/>
      <c r="AA520" s="133"/>
      <c r="AB520" s="133"/>
      <c r="AC520" s="133"/>
      <c r="AD520" s="133"/>
      <c r="AE520" s="133"/>
      <c r="AF520" s="111"/>
      <c r="AG520" s="147"/>
      <c r="AH520" s="73"/>
      <c r="AI520" s="135"/>
      <c r="AJ520" s="136"/>
      <c r="AK520" s="76"/>
      <c r="AL520" s="137"/>
      <c r="AM520" s="139" t="s">
        <v>71</v>
      </c>
      <c r="AN520" s="139">
        <v>121.0</v>
      </c>
      <c r="AO520" s="140">
        <v>41.23</v>
      </c>
      <c r="AP520" s="142">
        <v>15000.0</v>
      </c>
      <c r="AQ520" s="142">
        <v>225.0</v>
      </c>
      <c r="AR520" s="143"/>
      <c r="AS520" s="144">
        <v>0.977490061398668</v>
      </c>
      <c r="AT520" s="144">
        <v>0.024009938601332048</v>
      </c>
      <c r="AU520" s="146" t="s">
        <v>2087</v>
      </c>
      <c r="AV520" s="146" t="s">
        <v>2087</v>
      </c>
      <c r="AW520" s="148" t="s">
        <v>2087</v>
      </c>
      <c r="AX520" s="151"/>
      <c r="AY520" s="105"/>
      <c r="AZ520" s="186"/>
      <c r="BA520" s="186"/>
      <c r="BB520" s="222"/>
      <c r="BC520" s="45"/>
      <c r="BD520" s="45"/>
      <c r="BE520" s="155"/>
      <c r="BF520" s="45"/>
    </row>
    <row r="521" ht="16.5" customHeight="1">
      <c r="A521" s="111">
        <v>518.0</v>
      </c>
      <c r="B521" s="112" t="s">
        <v>620</v>
      </c>
      <c r="C521" s="115" t="s">
        <v>60</v>
      </c>
      <c r="D521" s="117">
        <v>42362.0</v>
      </c>
      <c r="E521" s="117">
        <v>42550.0</v>
      </c>
      <c r="F521" s="79" t="s">
        <v>86</v>
      </c>
      <c r="G521" s="118">
        <v>12000.0</v>
      </c>
      <c r="H521" s="114">
        <v>63.5</v>
      </c>
      <c r="I521" s="120">
        <v>430.0</v>
      </c>
      <c r="J521" s="111" t="s">
        <v>61</v>
      </c>
      <c r="K521" s="121">
        <v>435.44</v>
      </c>
      <c r="L521" s="120" t="s">
        <v>63</v>
      </c>
      <c r="M521" s="120"/>
      <c r="N521" s="120"/>
      <c r="O521" s="124">
        <v>12000.0</v>
      </c>
      <c r="P521" s="124">
        <v>189.0</v>
      </c>
      <c r="Q521" s="159">
        <v>218.0</v>
      </c>
      <c r="R521" s="125">
        <v>430.0</v>
      </c>
      <c r="S521" s="126">
        <v>1.0127</v>
      </c>
      <c r="T521" s="127">
        <v>78484.25</v>
      </c>
      <c r="U521" s="128">
        <f t="shared" si="2"/>
        <v>0</v>
      </c>
      <c r="V521" s="79"/>
      <c r="W521" s="79"/>
      <c r="X521" s="79"/>
      <c r="Y521" s="130"/>
      <c r="Z521" s="111"/>
      <c r="AA521" s="133"/>
      <c r="AB521" s="133"/>
      <c r="AC521" s="133"/>
      <c r="AD521" s="133"/>
      <c r="AE521" s="133"/>
      <c r="AF521" s="111"/>
      <c r="AG521" s="147"/>
      <c r="AH521" s="73"/>
      <c r="AI521" s="135"/>
      <c r="AJ521" s="136"/>
      <c r="AK521" s="76"/>
      <c r="AL521" s="137"/>
      <c r="AM521" s="139" t="s">
        <v>71</v>
      </c>
      <c r="AN521" s="139">
        <v>189.0</v>
      </c>
      <c r="AO521" s="140">
        <v>33.55</v>
      </c>
      <c r="AP521" s="142">
        <v>12000.0</v>
      </c>
      <c r="AQ521" s="142">
        <v>218.0</v>
      </c>
      <c r="AR521" s="143"/>
      <c r="AS521" s="144">
        <v>0.9809379352911672</v>
      </c>
      <c r="AT521" s="144">
        <v>0.031762064708832694</v>
      </c>
      <c r="AU521" s="146" t="s">
        <v>2089</v>
      </c>
      <c r="AV521" s="146" t="s">
        <v>2089</v>
      </c>
      <c r="AW521" s="148" t="s">
        <v>2089</v>
      </c>
      <c r="AX521" s="151"/>
      <c r="AY521" s="105"/>
      <c r="AZ521" s="186"/>
      <c r="BA521" s="186"/>
      <c r="BB521" s="222"/>
      <c r="BC521" s="45"/>
      <c r="BD521" s="45"/>
      <c r="BE521" s="155"/>
      <c r="BF521" s="45"/>
    </row>
    <row r="522" ht="16.5" customHeight="1">
      <c r="A522" s="111">
        <v>519.0</v>
      </c>
      <c r="B522" s="112" t="s">
        <v>126</v>
      </c>
      <c r="C522" s="115" t="s">
        <v>60</v>
      </c>
      <c r="D522" s="117">
        <v>41527.0</v>
      </c>
      <c r="E522" s="117">
        <v>42562.0</v>
      </c>
      <c r="F522" s="79" t="s">
        <v>79</v>
      </c>
      <c r="G522" s="118">
        <v>183000.0</v>
      </c>
      <c r="H522" s="114">
        <v>176.6</v>
      </c>
      <c r="I522" s="120">
        <v>366.0</v>
      </c>
      <c r="J522" s="111" t="s">
        <v>61</v>
      </c>
      <c r="K522" s="121">
        <v>370.63</v>
      </c>
      <c r="L522" s="120" t="s">
        <v>63</v>
      </c>
      <c r="M522" s="120"/>
      <c r="N522" s="120"/>
      <c r="O522" s="124">
        <v>183000.0</v>
      </c>
      <c r="P522" s="124">
        <v>1036.0</v>
      </c>
      <c r="Q522" s="111">
        <v>215.0</v>
      </c>
      <c r="R522" s="125">
        <v>399.0</v>
      </c>
      <c r="S522" s="126">
        <v>0.9289</v>
      </c>
      <c r="T522" s="127">
        <v>71989.75</v>
      </c>
      <c r="U522" s="128">
        <f t="shared" si="2"/>
        <v>0</v>
      </c>
      <c r="V522" s="79" t="s">
        <v>65</v>
      </c>
      <c r="W522" s="79" t="s">
        <v>127</v>
      </c>
      <c r="X522" s="79" t="s">
        <v>69</v>
      </c>
      <c r="Y522" s="130">
        <v>1.0</v>
      </c>
      <c r="Z522" s="111">
        <v>22.0</v>
      </c>
      <c r="AA522" s="111">
        <v>400.0</v>
      </c>
      <c r="AB522" s="111" t="s">
        <v>61</v>
      </c>
      <c r="AC522" s="111">
        <v>366.0</v>
      </c>
      <c r="AD522" s="111">
        <v>275.0</v>
      </c>
      <c r="AE522" s="111">
        <v>17.5</v>
      </c>
      <c r="AF522" s="111" t="s">
        <v>61</v>
      </c>
      <c r="AG522" s="134" t="s">
        <v>2091</v>
      </c>
      <c r="AH522" s="73">
        <v>91.0</v>
      </c>
      <c r="AI522" s="135">
        <v>92.15189873417722</v>
      </c>
      <c r="AJ522" s="136">
        <v>70.38406249999998</v>
      </c>
      <c r="AK522" s="76">
        <v>0.9081814516129031</v>
      </c>
      <c r="AL522" s="137" t="s">
        <v>2092</v>
      </c>
      <c r="AM522" s="139">
        <v>405.0</v>
      </c>
      <c r="AN522" s="139">
        <v>1036.0</v>
      </c>
      <c r="AO522" s="140">
        <v>526.43</v>
      </c>
      <c r="AP522" s="142">
        <v>183000.0</v>
      </c>
      <c r="AQ522" s="142">
        <v>215.0</v>
      </c>
      <c r="AR522" s="143"/>
      <c r="AS522" s="144">
        <v>0.9316393197185574</v>
      </c>
      <c r="AT522" s="144">
        <v>-0.0027393197185574536</v>
      </c>
      <c r="AU522" s="146" t="s">
        <v>2093</v>
      </c>
      <c r="AV522" s="146" t="s">
        <v>2093</v>
      </c>
      <c r="AW522" s="148" t="s">
        <v>2093</v>
      </c>
      <c r="AX522" s="151"/>
      <c r="AY522" s="105"/>
      <c r="AZ522" s="186"/>
      <c r="BA522" s="186"/>
      <c r="BB522" s="222"/>
      <c r="BC522" s="45"/>
      <c r="BD522" s="45"/>
      <c r="BE522" s="155"/>
      <c r="BF522" s="45"/>
    </row>
    <row r="523" ht="16.5" customHeight="1">
      <c r="A523" s="111">
        <v>520.0</v>
      </c>
      <c r="B523" s="112" t="s">
        <v>1703</v>
      </c>
      <c r="C523" s="115" t="s">
        <v>60</v>
      </c>
      <c r="D523" s="117">
        <v>42353.0</v>
      </c>
      <c r="E523" s="117">
        <v>42567.0</v>
      </c>
      <c r="F523" s="79" t="s">
        <v>118</v>
      </c>
      <c r="G523" s="118">
        <v>15300.0</v>
      </c>
      <c r="H523" s="114">
        <v>71.2</v>
      </c>
      <c r="I523" s="120">
        <v>364.0</v>
      </c>
      <c r="J523" s="111" t="s">
        <v>62</v>
      </c>
      <c r="K523" s="121">
        <v>364.0</v>
      </c>
      <c r="L523" s="120" t="s">
        <v>63</v>
      </c>
      <c r="M523" s="120"/>
      <c r="N523" s="120"/>
      <c r="O523" s="124">
        <v>15300.0</v>
      </c>
      <c r="P523" s="124">
        <v>215.0</v>
      </c>
      <c r="Q523" s="111">
        <v>211.0</v>
      </c>
      <c r="R523" s="125">
        <v>365.0</v>
      </c>
      <c r="S523" s="126">
        <v>0.9973</v>
      </c>
      <c r="T523" s="127">
        <v>68614.23999999999</v>
      </c>
      <c r="U523" s="128">
        <f t="shared" si="2"/>
        <v>0</v>
      </c>
      <c r="V523" s="79" t="s">
        <v>65</v>
      </c>
      <c r="W523" s="79" t="s">
        <v>68</v>
      </c>
      <c r="X523" s="79" t="s">
        <v>68</v>
      </c>
      <c r="Y523" s="130">
        <v>0.9</v>
      </c>
      <c r="Z523" s="111">
        <v>11.0</v>
      </c>
      <c r="AA523" s="111">
        <v>361.0</v>
      </c>
      <c r="AB523" s="111" t="s">
        <v>61</v>
      </c>
      <c r="AC523" s="133"/>
      <c r="AD523" s="133"/>
      <c r="AE523" s="133"/>
      <c r="AF523" s="111"/>
      <c r="AG523" s="147"/>
      <c r="AH523" s="73"/>
      <c r="AI523" s="135"/>
      <c r="AJ523" s="136"/>
      <c r="AK523" s="76"/>
      <c r="AL523" s="137"/>
      <c r="AM523" s="139">
        <v>366.0</v>
      </c>
      <c r="AN523" s="139">
        <v>215.0</v>
      </c>
      <c r="AO523" s="140">
        <v>47.0</v>
      </c>
      <c r="AP523" s="142">
        <v>15300.0</v>
      </c>
      <c r="AQ523" s="142">
        <v>211.0</v>
      </c>
      <c r="AR523" s="143"/>
      <c r="AS523" s="144">
        <v>0.9771678072650881</v>
      </c>
      <c r="AT523" s="144">
        <v>0.020132192734911847</v>
      </c>
      <c r="AU523" s="146" t="s">
        <v>2095</v>
      </c>
      <c r="AV523" s="146" t="s">
        <v>2095</v>
      </c>
      <c r="AW523" s="148" t="s">
        <v>2095</v>
      </c>
      <c r="AX523" s="151"/>
      <c r="AY523" s="105"/>
      <c r="AZ523" s="186"/>
      <c r="BA523" s="186"/>
      <c r="BB523" s="222"/>
      <c r="BC523" s="45"/>
      <c r="BD523" s="45"/>
      <c r="BE523" s="155"/>
      <c r="BF523" s="45"/>
    </row>
    <row r="524" ht="16.5" customHeight="1">
      <c r="A524" s="111">
        <v>521.0</v>
      </c>
      <c r="B524" s="112" t="s">
        <v>1882</v>
      </c>
      <c r="C524" s="115" t="s">
        <v>60</v>
      </c>
      <c r="D524" s="117">
        <v>42342.0</v>
      </c>
      <c r="E524" s="117">
        <v>42567.0</v>
      </c>
      <c r="F524" s="79" t="s">
        <v>118</v>
      </c>
      <c r="G524" s="118">
        <v>19000.0</v>
      </c>
      <c r="H524" s="114">
        <v>84.1</v>
      </c>
      <c r="I524" s="120">
        <v>349.0</v>
      </c>
      <c r="J524" s="111" t="s">
        <v>61</v>
      </c>
      <c r="K524" s="121">
        <v>353.42</v>
      </c>
      <c r="L524" s="120" t="s">
        <v>63</v>
      </c>
      <c r="M524" s="120"/>
      <c r="N524" s="120"/>
      <c r="O524" s="124">
        <v>19000.0</v>
      </c>
      <c r="P524" s="124">
        <v>226.0</v>
      </c>
      <c r="Q524" s="111">
        <v>206.0</v>
      </c>
      <c r="R524" s="125">
        <v>365.0</v>
      </c>
      <c r="S524" s="126">
        <v>0.9683</v>
      </c>
      <c r="T524" s="127">
        <v>66619.04000000001</v>
      </c>
      <c r="U524" s="128">
        <f t="shared" si="2"/>
        <v>0</v>
      </c>
      <c r="V524" s="79" t="s">
        <v>69</v>
      </c>
      <c r="W524" s="79" t="s">
        <v>69</v>
      </c>
      <c r="X524" s="79" t="s">
        <v>68</v>
      </c>
      <c r="Y524" s="130">
        <v>0.8</v>
      </c>
      <c r="Z524" s="111">
        <v>11.0</v>
      </c>
      <c r="AA524" s="133"/>
      <c r="AB524" s="111" t="s">
        <v>61</v>
      </c>
      <c r="AC524" s="133"/>
      <c r="AD524" s="133"/>
      <c r="AE524" s="133"/>
      <c r="AF524" s="111"/>
      <c r="AG524" s="147"/>
      <c r="AH524" s="73"/>
      <c r="AI524" s="135"/>
      <c r="AJ524" s="136"/>
      <c r="AK524" s="76"/>
      <c r="AL524" s="137"/>
      <c r="AM524" s="139" t="s">
        <v>71</v>
      </c>
      <c r="AN524" s="139">
        <v>226.0</v>
      </c>
      <c r="AO524" s="140">
        <v>57.82</v>
      </c>
      <c r="AP524" s="142">
        <v>19000.0</v>
      </c>
      <c r="AQ524" s="142">
        <v>206.0</v>
      </c>
      <c r="AR524" s="143"/>
      <c r="AS524" s="144">
        <v>0.9734951800216722</v>
      </c>
      <c r="AT524" s="144">
        <v>-0.0051951800216721855</v>
      </c>
      <c r="AU524" s="146" t="s">
        <v>2096</v>
      </c>
      <c r="AV524" s="146" t="s">
        <v>2096</v>
      </c>
      <c r="AW524" s="148" t="s">
        <v>2096</v>
      </c>
      <c r="AX524" s="151"/>
      <c r="AY524" s="105"/>
      <c r="AZ524" s="186"/>
      <c r="BA524" s="186"/>
      <c r="BB524" s="222"/>
      <c r="BC524" s="45"/>
      <c r="BD524" s="45"/>
      <c r="BE524" s="155"/>
      <c r="BF524" s="45"/>
    </row>
    <row r="525" ht="16.5" customHeight="1">
      <c r="A525" s="111">
        <v>522.0</v>
      </c>
      <c r="B525" s="112" t="s">
        <v>1726</v>
      </c>
      <c r="C525" s="115" t="s">
        <v>60</v>
      </c>
      <c r="D525" s="117">
        <v>42276.0</v>
      </c>
      <c r="E525" s="117">
        <v>42569.0</v>
      </c>
      <c r="F525" s="79" t="s">
        <v>305</v>
      </c>
      <c r="G525" s="118">
        <v>26389.0</v>
      </c>
      <c r="H525" s="114">
        <v>89.8</v>
      </c>
      <c r="I525" s="120">
        <v>428.0</v>
      </c>
      <c r="J525" s="111" t="s">
        <v>61</v>
      </c>
      <c r="K525" s="121">
        <v>433.42</v>
      </c>
      <c r="L525" s="120" t="s">
        <v>63</v>
      </c>
      <c r="M525" s="120"/>
      <c r="N525" s="120"/>
      <c r="O525" s="124">
        <v>26389.0</v>
      </c>
      <c r="P525" s="124">
        <v>294.0</v>
      </c>
      <c r="Q525" s="111">
        <v>236.0</v>
      </c>
      <c r="R525" s="125">
        <v>452.0</v>
      </c>
      <c r="S525" s="126">
        <v>0.9589</v>
      </c>
      <c r="T525" s="127">
        <v>78438.02</v>
      </c>
      <c r="U525" s="128">
        <f t="shared" si="2"/>
        <v>0</v>
      </c>
      <c r="V525" s="79" t="s">
        <v>69</v>
      </c>
      <c r="W525" s="79" t="s">
        <v>69</v>
      </c>
      <c r="X525" s="79" t="s">
        <v>69</v>
      </c>
      <c r="Y525" s="130">
        <v>0.8</v>
      </c>
      <c r="Z525" s="111">
        <v>11.0</v>
      </c>
      <c r="AA525" s="111">
        <v>426.0</v>
      </c>
      <c r="AB525" s="111" t="s">
        <v>61</v>
      </c>
      <c r="AC525" s="133"/>
      <c r="AD525" s="133"/>
      <c r="AE525" s="133"/>
      <c r="AF525" s="111"/>
      <c r="AG525" s="147"/>
      <c r="AH525" s="73"/>
      <c r="AI525" s="135"/>
      <c r="AJ525" s="136"/>
      <c r="AK525" s="76"/>
      <c r="AL525" s="137"/>
      <c r="AM525" s="139">
        <v>431.0</v>
      </c>
      <c r="AN525" s="139">
        <v>294.0</v>
      </c>
      <c r="AO525" s="140">
        <v>77.74</v>
      </c>
      <c r="AP525" s="142">
        <v>26389.0</v>
      </c>
      <c r="AQ525" s="142">
        <v>236.0</v>
      </c>
      <c r="AR525" s="143"/>
      <c r="AS525" s="144">
        <v>0.9675648343943082</v>
      </c>
      <c r="AT525" s="144">
        <v>-0.008664834394308207</v>
      </c>
      <c r="AU525" s="146" t="s">
        <v>2100</v>
      </c>
      <c r="AV525" s="146" t="s">
        <v>2100</v>
      </c>
      <c r="AW525" s="148" t="s">
        <v>2100</v>
      </c>
      <c r="AX525" s="151"/>
      <c r="AY525" s="105"/>
      <c r="AZ525" s="186"/>
      <c r="BA525" s="186"/>
      <c r="BB525" s="222"/>
      <c r="BC525" s="45"/>
      <c r="BD525" s="45"/>
      <c r="BE525" s="155"/>
      <c r="BF525" s="45"/>
    </row>
    <row r="526" ht="16.5" customHeight="1">
      <c r="A526" s="111">
        <v>523.0</v>
      </c>
      <c r="B526" s="112" t="s">
        <v>1853</v>
      </c>
      <c r="C526" s="115" t="s">
        <v>60</v>
      </c>
      <c r="D526" s="117">
        <v>42531.0</v>
      </c>
      <c r="E526" s="117">
        <v>42567.0</v>
      </c>
      <c r="F526" s="79" t="s">
        <v>305</v>
      </c>
      <c r="G526" s="118">
        <v>4900.0</v>
      </c>
      <c r="H526" s="114">
        <v>132.4</v>
      </c>
      <c r="I526" s="120">
        <v>445.0</v>
      </c>
      <c r="J526" s="111" t="s">
        <v>61</v>
      </c>
      <c r="K526" s="121">
        <v>450.63</v>
      </c>
      <c r="L526" s="120" t="s">
        <v>63</v>
      </c>
      <c r="M526" s="120"/>
      <c r="N526" s="120"/>
      <c r="O526" s="124">
        <v>4900.0</v>
      </c>
      <c r="P526" s="124">
        <v>37.0</v>
      </c>
      <c r="Q526" s="111">
        <v>242.0</v>
      </c>
      <c r="R526" s="125">
        <v>452.0</v>
      </c>
      <c r="S526" s="126">
        <v>0.997</v>
      </c>
      <c r="T526" s="127">
        <v>81554.6</v>
      </c>
      <c r="U526" s="128">
        <f t="shared" si="2"/>
        <v>0</v>
      </c>
      <c r="V526" s="79"/>
      <c r="W526" s="79"/>
      <c r="X526" s="79"/>
      <c r="Y526" s="130"/>
      <c r="Z526" s="111"/>
      <c r="AA526" s="133"/>
      <c r="AB526" s="133"/>
      <c r="AC526" s="133"/>
      <c r="AD526" s="133"/>
      <c r="AE526" s="133"/>
      <c r="AF526" s="111"/>
      <c r="AG526" s="147"/>
      <c r="AH526" s="73"/>
      <c r="AI526" s="135"/>
      <c r="AJ526" s="136"/>
      <c r="AK526" s="76"/>
      <c r="AL526" s="137"/>
      <c r="AM526" s="139" t="s">
        <v>71</v>
      </c>
      <c r="AN526" s="139">
        <v>37.0</v>
      </c>
      <c r="AO526" s="140">
        <v>14.52</v>
      </c>
      <c r="AP526" s="142">
        <v>4900.0</v>
      </c>
      <c r="AQ526" s="142">
        <v>242.0</v>
      </c>
      <c r="AR526" s="143"/>
      <c r="AS526" s="144">
        <v>0.9910285669591143</v>
      </c>
      <c r="AT526" s="144">
        <v>0.005971433040885654</v>
      </c>
      <c r="AU526" s="146" t="s">
        <v>2102</v>
      </c>
      <c r="AV526" s="146" t="s">
        <v>2102</v>
      </c>
      <c r="AW526" s="148" t="s">
        <v>2102</v>
      </c>
      <c r="AX526" s="151"/>
      <c r="AY526" s="105"/>
      <c r="AZ526" s="186"/>
      <c r="BA526" s="186"/>
      <c r="BB526" s="222"/>
      <c r="BC526" s="45"/>
      <c r="BD526" s="45"/>
      <c r="BE526" s="155"/>
      <c r="BF526" s="45"/>
    </row>
    <row r="527" ht="16.5" customHeight="1">
      <c r="A527" s="111">
        <v>524.0</v>
      </c>
      <c r="B527" s="112" t="s">
        <v>1127</v>
      </c>
      <c r="C527" s="115" t="s">
        <v>60</v>
      </c>
      <c r="D527" s="117">
        <v>42160.0</v>
      </c>
      <c r="E527" s="117">
        <v>42567.0</v>
      </c>
      <c r="F527" s="79" t="s">
        <v>86</v>
      </c>
      <c r="G527" s="118">
        <v>52600.0</v>
      </c>
      <c r="H527" s="114">
        <v>128.9</v>
      </c>
      <c r="I527" s="120">
        <v>419.0</v>
      </c>
      <c r="J527" s="111" t="s">
        <v>62</v>
      </c>
      <c r="K527" s="121">
        <v>419.0</v>
      </c>
      <c r="L527" s="120" t="s">
        <v>63</v>
      </c>
      <c r="M527" s="120"/>
      <c r="N527" s="120"/>
      <c r="O527" s="124">
        <v>52600.0</v>
      </c>
      <c r="P527" s="124">
        <v>408.0</v>
      </c>
      <c r="Q527" s="111">
        <v>211.0</v>
      </c>
      <c r="R527" s="125">
        <v>430.0</v>
      </c>
      <c r="S527" s="126">
        <v>0.9744</v>
      </c>
      <c r="T527" s="127">
        <v>75516.0</v>
      </c>
      <c r="U527" s="128">
        <f t="shared" si="2"/>
        <v>0</v>
      </c>
      <c r="V527" s="79" t="s">
        <v>67</v>
      </c>
      <c r="W527" s="79" t="s">
        <v>64</v>
      </c>
      <c r="X527" s="79" t="s">
        <v>66</v>
      </c>
      <c r="Y527" s="130">
        <v>0.9</v>
      </c>
      <c r="Z527" s="111">
        <v>11.0</v>
      </c>
      <c r="AA527" s="133"/>
      <c r="AB527" s="133"/>
      <c r="AC527" s="133"/>
      <c r="AD527" s="133"/>
      <c r="AE527" s="133"/>
      <c r="AF527" s="111"/>
      <c r="AG527" s="147"/>
      <c r="AH527" s="73"/>
      <c r="AI527" s="135"/>
      <c r="AJ527" s="136"/>
      <c r="AK527" s="76"/>
      <c r="AL527" s="137"/>
      <c r="AM527" s="139" t="s">
        <v>71</v>
      </c>
      <c r="AN527" s="139">
        <v>408.0</v>
      </c>
      <c r="AO527" s="140">
        <v>145.08</v>
      </c>
      <c r="AP527" s="142">
        <v>52600.0</v>
      </c>
      <c r="AQ527" s="142">
        <v>211.0</v>
      </c>
      <c r="AR527" s="143"/>
      <c r="AS527" s="144">
        <v>0.9553418723143854</v>
      </c>
      <c r="AT527" s="144">
        <v>0.019058127685614656</v>
      </c>
      <c r="AU527" s="146" t="s">
        <v>2105</v>
      </c>
      <c r="AV527" s="146" t="s">
        <v>2105</v>
      </c>
      <c r="AW527" s="148" t="s">
        <v>2105</v>
      </c>
      <c r="AX527" s="151"/>
      <c r="AY527" s="105"/>
      <c r="AZ527" s="186"/>
      <c r="BA527" s="186"/>
      <c r="BB527" s="222"/>
      <c r="BC527" s="45"/>
      <c r="BD527" s="45"/>
      <c r="BE527" s="155"/>
      <c r="BF527" s="45"/>
    </row>
    <row r="528" ht="16.5" customHeight="1">
      <c r="A528" s="111">
        <v>525.0</v>
      </c>
      <c r="B528" s="112" t="s">
        <v>1821</v>
      </c>
      <c r="C528" s="115" t="s">
        <v>60</v>
      </c>
      <c r="D528" s="117">
        <v>42541.0</v>
      </c>
      <c r="E528" s="117">
        <v>42568.0</v>
      </c>
      <c r="F528" s="79" t="s">
        <v>305</v>
      </c>
      <c r="G528" s="118">
        <v>1512.0</v>
      </c>
      <c r="H528" s="114">
        <v>54.0</v>
      </c>
      <c r="I528" s="120">
        <v>456.0</v>
      </c>
      <c r="J528" s="111" t="s">
        <v>61</v>
      </c>
      <c r="K528" s="121">
        <v>461.77</v>
      </c>
      <c r="L528" s="120" t="s">
        <v>63</v>
      </c>
      <c r="M528" s="120"/>
      <c r="N528" s="120"/>
      <c r="O528" s="124">
        <v>1512.0</v>
      </c>
      <c r="P528" s="124">
        <v>28.0</v>
      </c>
      <c r="Q528" s="111">
        <v>194.0</v>
      </c>
      <c r="R528" s="125">
        <v>452.0</v>
      </c>
      <c r="S528" s="126">
        <v>1.0216</v>
      </c>
      <c r="T528" s="127">
        <v>83566.88</v>
      </c>
      <c r="U528" s="128">
        <f t="shared" si="2"/>
        <v>0</v>
      </c>
      <c r="V528" s="79" t="s">
        <v>67</v>
      </c>
      <c r="W528" s="79" t="s">
        <v>67</v>
      </c>
      <c r="X528" s="79" t="s">
        <v>64</v>
      </c>
      <c r="Y528" s="130">
        <v>0.9</v>
      </c>
      <c r="Z528" s="111">
        <v>11.0</v>
      </c>
      <c r="AA528" s="111">
        <v>456.0</v>
      </c>
      <c r="AB528" s="111" t="s">
        <v>61</v>
      </c>
      <c r="AC528" s="133"/>
      <c r="AD528" s="133"/>
      <c r="AE528" s="133"/>
      <c r="AF528" s="111"/>
      <c r="AG528" s="147"/>
      <c r="AH528" s="73"/>
      <c r="AI528" s="135"/>
      <c r="AJ528" s="136"/>
      <c r="AK528" s="76"/>
      <c r="AL528" s="137"/>
      <c r="AM528" s="139">
        <v>462.0</v>
      </c>
      <c r="AN528" s="139">
        <v>28.0</v>
      </c>
      <c r="AO528" s="140">
        <v>3.55</v>
      </c>
      <c r="AP528" s="142">
        <v>1512.0</v>
      </c>
      <c r="AQ528" s="142">
        <v>194.0</v>
      </c>
      <c r="AR528" s="143"/>
      <c r="AS528" s="144">
        <v>0.9970265650991073</v>
      </c>
      <c r="AT528" s="144">
        <v>0.02457343490089281</v>
      </c>
      <c r="AU528" s="146" t="s">
        <v>2106</v>
      </c>
      <c r="AV528" s="146" t="s">
        <v>2106</v>
      </c>
      <c r="AW528" s="148" t="s">
        <v>2106</v>
      </c>
      <c r="AX528" s="151"/>
      <c r="AY528" s="105"/>
      <c r="AZ528" s="186"/>
      <c r="BA528" s="186"/>
      <c r="BB528" s="222"/>
      <c r="BC528" s="45"/>
      <c r="BD528" s="45"/>
      <c r="BE528" s="155"/>
      <c r="BF528" s="45"/>
    </row>
    <row r="529" ht="16.5" customHeight="1">
      <c r="A529" s="111">
        <v>526.0</v>
      </c>
      <c r="B529" s="112" t="s">
        <v>1336</v>
      </c>
      <c r="C529" s="115" t="s">
        <v>60</v>
      </c>
      <c r="D529" s="117">
        <v>42137.0</v>
      </c>
      <c r="E529" s="117">
        <v>42576.0</v>
      </c>
      <c r="F529" s="79" t="s">
        <v>59</v>
      </c>
      <c r="G529" s="118">
        <v>42234.0</v>
      </c>
      <c r="H529" s="114">
        <v>96.0</v>
      </c>
      <c r="I529" s="120">
        <v>381.0</v>
      </c>
      <c r="J529" s="111" t="s">
        <v>61</v>
      </c>
      <c r="K529" s="121">
        <v>385.82</v>
      </c>
      <c r="L529" s="120" t="s">
        <v>63</v>
      </c>
      <c r="M529" s="120"/>
      <c r="N529" s="120"/>
      <c r="O529" s="124">
        <v>42234.0</v>
      </c>
      <c r="P529" s="124">
        <v>440.0</v>
      </c>
      <c r="Q529" s="111">
        <v>207.0</v>
      </c>
      <c r="R529" s="125">
        <v>399.0</v>
      </c>
      <c r="S529" s="126">
        <v>0.967</v>
      </c>
      <c r="T529" s="127">
        <v>74942.5</v>
      </c>
      <c r="U529" s="128">
        <f t="shared" si="2"/>
        <v>0</v>
      </c>
      <c r="V529" s="79" t="s">
        <v>64</v>
      </c>
      <c r="W529" s="79" t="s">
        <v>69</v>
      </c>
      <c r="X529" s="79" t="s">
        <v>66</v>
      </c>
      <c r="Y529" s="130">
        <v>0.8</v>
      </c>
      <c r="Z529" s="111">
        <v>11.0</v>
      </c>
      <c r="AA529" s="133"/>
      <c r="AB529" s="133"/>
      <c r="AC529" s="111">
        <v>381.0</v>
      </c>
      <c r="AD529" s="111">
        <v>98.0</v>
      </c>
      <c r="AE529" s="111" t="s">
        <v>2109</v>
      </c>
      <c r="AF529" s="111" t="s">
        <v>62</v>
      </c>
      <c r="AG529" s="147"/>
      <c r="AH529" s="73">
        <v>283.0</v>
      </c>
      <c r="AI529" s="135">
        <v>283.0</v>
      </c>
      <c r="AJ529" s="136">
        <v>74.43735689045937</v>
      </c>
      <c r="AK529" s="76">
        <v>0.9604820243930241</v>
      </c>
      <c r="AL529" s="137" t="s">
        <v>2110</v>
      </c>
      <c r="AM529" s="139" t="s">
        <v>71</v>
      </c>
      <c r="AN529" s="139">
        <v>440.0</v>
      </c>
      <c r="AO529" s="140">
        <v>114.72</v>
      </c>
      <c r="AP529" s="142">
        <v>42234.0</v>
      </c>
      <c r="AQ529" s="142">
        <v>207.0</v>
      </c>
      <c r="AR529" s="143"/>
      <c r="AS529" s="144">
        <v>0.9590597130164461</v>
      </c>
      <c r="AT529" s="144">
        <v>0.007940286983553868</v>
      </c>
      <c r="AU529" s="146" t="s">
        <v>2111</v>
      </c>
      <c r="AV529" s="146" t="s">
        <v>2111</v>
      </c>
      <c r="AW529" s="148" t="s">
        <v>2111</v>
      </c>
      <c r="AX529" s="151"/>
      <c r="AY529" s="105"/>
      <c r="AZ529" s="186"/>
      <c r="BA529" s="186"/>
      <c r="BB529" s="222"/>
      <c r="BC529" s="45"/>
      <c r="BD529" s="45"/>
      <c r="BE529" s="155"/>
      <c r="BF529" s="45"/>
    </row>
    <row r="530" ht="16.5" customHeight="1">
      <c r="A530" s="111">
        <v>527.0</v>
      </c>
      <c r="B530" s="112" t="s">
        <v>1637</v>
      </c>
      <c r="C530" s="115" t="s">
        <v>60</v>
      </c>
      <c r="D530" s="117">
        <v>42235.0</v>
      </c>
      <c r="E530" s="117">
        <v>42579.0</v>
      </c>
      <c r="F530" s="79" t="s">
        <v>118</v>
      </c>
      <c r="G530" s="118">
        <v>49107.0</v>
      </c>
      <c r="H530" s="114">
        <v>142.3</v>
      </c>
      <c r="I530" s="120">
        <v>352.0</v>
      </c>
      <c r="J530" s="111" t="s">
        <v>61</v>
      </c>
      <c r="K530" s="121">
        <v>356.46</v>
      </c>
      <c r="L530" s="120" t="s">
        <v>63</v>
      </c>
      <c r="M530" s="120"/>
      <c r="N530" s="120"/>
      <c r="O530" s="124">
        <v>49107.0</v>
      </c>
      <c r="P530" s="124">
        <v>345.0</v>
      </c>
      <c r="Q530" s="111">
        <v>209.0</v>
      </c>
      <c r="R530" s="125">
        <v>365.0</v>
      </c>
      <c r="S530" s="126">
        <v>0.9766</v>
      </c>
      <c r="T530" s="127">
        <v>67190.08</v>
      </c>
      <c r="U530" s="128">
        <f t="shared" si="2"/>
        <v>0</v>
      </c>
      <c r="V530" s="79" t="s">
        <v>127</v>
      </c>
      <c r="W530" s="79" t="s">
        <v>64</v>
      </c>
      <c r="X530" s="79" t="s">
        <v>69</v>
      </c>
      <c r="Y530" s="130">
        <v>0.8</v>
      </c>
      <c r="Z530" s="111">
        <v>11.0</v>
      </c>
      <c r="AA530" s="111">
        <v>360.0</v>
      </c>
      <c r="AB530" s="111" t="s">
        <v>61</v>
      </c>
      <c r="AC530" s="133"/>
      <c r="AD530" s="133"/>
      <c r="AE530" s="133"/>
      <c r="AF530" s="111"/>
      <c r="AG530" s="147"/>
      <c r="AH530" s="73"/>
      <c r="AI530" s="135"/>
      <c r="AJ530" s="136"/>
      <c r="AK530" s="76"/>
      <c r="AL530" s="137"/>
      <c r="AM530" s="139">
        <v>365.0</v>
      </c>
      <c r="AN530" s="139">
        <v>345.0</v>
      </c>
      <c r="AO530" s="140">
        <v>150.96</v>
      </c>
      <c r="AP530" s="142">
        <v>49107.0</v>
      </c>
      <c r="AQ530" s="142">
        <v>209.0</v>
      </c>
      <c r="AR530" s="143"/>
      <c r="AS530" s="144">
        <v>0.9564836252531038</v>
      </c>
      <c r="AT530" s="144">
        <v>0.020116374746896204</v>
      </c>
      <c r="AU530" s="146" t="s">
        <v>2114</v>
      </c>
      <c r="AV530" s="146" t="s">
        <v>2114</v>
      </c>
      <c r="AW530" s="148" t="s">
        <v>2114</v>
      </c>
      <c r="AX530" s="151"/>
      <c r="AY530" s="105"/>
      <c r="AZ530" s="186"/>
      <c r="BA530" s="186"/>
      <c r="BB530" s="222"/>
      <c r="BC530" s="45"/>
      <c r="BD530" s="45"/>
      <c r="BE530" s="155"/>
      <c r="BF530" s="45"/>
    </row>
    <row r="531" ht="16.5" customHeight="1">
      <c r="A531" s="111">
        <v>528.0</v>
      </c>
      <c r="B531" s="112" t="s">
        <v>1632</v>
      </c>
      <c r="C531" s="115" t="s">
        <v>60</v>
      </c>
      <c r="D531" s="592">
        <v>42473.0</v>
      </c>
      <c r="E531" s="117">
        <v>42581.0</v>
      </c>
      <c r="F531" s="79" t="s">
        <v>619</v>
      </c>
      <c r="G531" s="118">
        <v>1330.0</v>
      </c>
      <c r="H531" s="114">
        <v>12.2</v>
      </c>
      <c r="I531" s="120">
        <v>412.0</v>
      </c>
      <c r="J531" s="111" t="s">
        <v>61</v>
      </c>
      <c r="K531" s="121">
        <v>417.22</v>
      </c>
      <c r="L531" s="120" t="s">
        <v>63</v>
      </c>
      <c r="M531" s="120"/>
      <c r="N531" s="120"/>
      <c r="O531" s="124">
        <v>1330.0</v>
      </c>
      <c r="P531" s="124">
        <v>109.0</v>
      </c>
      <c r="Q531" s="111">
        <v>244.0</v>
      </c>
      <c r="R531" s="125">
        <v>417.0</v>
      </c>
      <c r="S531" s="126">
        <v>1.0005</v>
      </c>
      <c r="T531" s="127">
        <v>81840.9</v>
      </c>
      <c r="U531" s="128">
        <f t="shared" si="2"/>
        <v>0</v>
      </c>
      <c r="V531" s="79" t="s">
        <v>64</v>
      </c>
      <c r="W531" s="195" t="s">
        <v>65</v>
      </c>
      <c r="X531" s="195" t="s">
        <v>69</v>
      </c>
      <c r="Y531" s="130">
        <v>0.7</v>
      </c>
      <c r="Z531" s="208">
        <v>11.0</v>
      </c>
      <c r="AA531" s="208">
        <v>412.0</v>
      </c>
      <c r="AB531" s="208" t="s">
        <v>61</v>
      </c>
      <c r="AC531" s="133"/>
      <c r="AD531" s="133"/>
      <c r="AE531" s="133"/>
      <c r="AF531" s="111"/>
      <c r="AG531" s="134" t="s">
        <v>2116</v>
      </c>
      <c r="AH531" s="73"/>
      <c r="AI531" s="135"/>
      <c r="AJ531" s="136"/>
      <c r="AK531" s="76"/>
      <c r="AL531" s="137"/>
      <c r="AM531" s="139">
        <v>417.0</v>
      </c>
      <c r="AN531" s="139">
        <v>109.0</v>
      </c>
      <c r="AO531" s="140">
        <v>3.97</v>
      </c>
      <c r="AP531" s="142">
        <v>1330.0</v>
      </c>
      <c r="AQ531" s="142">
        <v>244.0</v>
      </c>
      <c r="AR531" s="143"/>
      <c r="AS531" s="144">
        <v>0.9973742376843747</v>
      </c>
      <c r="AT531" s="144">
        <v>0.0031257623156252246</v>
      </c>
      <c r="AU531" s="146" t="s">
        <v>2117</v>
      </c>
      <c r="AV531" s="146" t="s">
        <v>2117</v>
      </c>
      <c r="AW531" s="148" t="s">
        <v>2117</v>
      </c>
      <c r="AX531" s="151"/>
      <c r="AY531" s="105"/>
      <c r="AZ531" s="186"/>
      <c r="BA531" s="186"/>
      <c r="BB531" s="222"/>
      <c r="BC531" s="45"/>
      <c r="BD531" s="45"/>
      <c r="BE531" s="155"/>
      <c r="BF531" s="45"/>
    </row>
    <row r="532" ht="16.5" customHeight="1">
      <c r="A532" s="111">
        <v>529.0</v>
      </c>
      <c r="B532" s="112" t="s">
        <v>761</v>
      </c>
      <c r="C532" s="115" t="s">
        <v>60</v>
      </c>
      <c r="D532" s="582">
        <v>42097.0</v>
      </c>
      <c r="E532" s="117">
        <v>42582.0</v>
      </c>
      <c r="F532" s="79" t="s">
        <v>90</v>
      </c>
      <c r="G532" s="118">
        <v>30001.0</v>
      </c>
      <c r="H532" s="114">
        <v>61.7</v>
      </c>
      <c r="I532" s="120">
        <v>379.0</v>
      </c>
      <c r="J532" s="111" t="s">
        <v>62</v>
      </c>
      <c r="K532" s="121">
        <v>379.0</v>
      </c>
      <c r="L532" s="120" t="s">
        <v>63</v>
      </c>
      <c r="M532" s="120"/>
      <c r="N532" s="120"/>
      <c r="O532" s="124">
        <v>30001.0</v>
      </c>
      <c r="P532" s="124">
        <v>486.0</v>
      </c>
      <c r="Q532" s="111">
        <v>231.0</v>
      </c>
      <c r="R532" s="125">
        <v>408.0</v>
      </c>
      <c r="S532" s="126">
        <v>0.9289</v>
      </c>
      <c r="T532" s="127">
        <v>71989.75</v>
      </c>
      <c r="U532" s="128">
        <f t="shared" si="2"/>
        <v>0</v>
      </c>
      <c r="V532" s="636" t="s">
        <v>65</v>
      </c>
      <c r="W532" s="691" t="s">
        <v>64</v>
      </c>
      <c r="X532" s="691" t="s">
        <v>66</v>
      </c>
      <c r="Y532" s="130">
        <v>0.7</v>
      </c>
      <c r="Z532" s="693">
        <v>11.0</v>
      </c>
      <c r="AA532" s="202">
        <v>406.0</v>
      </c>
      <c r="AB532" s="202" t="s">
        <v>62</v>
      </c>
      <c r="AC532" s="133"/>
      <c r="AD532" s="133"/>
      <c r="AE532" s="133"/>
      <c r="AF532" s="111"/>
      <c r="AG532" s="134" t="s">
        <v>1899</v>
      </c>
      <c r="AH532" s="73"/>
      <c r="AI532" s="135"/>
      <c r="AJ532" s="136"/>
      <c r="AK532" s="76"/>
      <c r="AL532" s="137"/>
      <c r="AM532" s="139">
        <v>406.0</v>
      </c>
      <c r="AN532" s="139">
        <v>486.0</v>
      </c>
      <c r="AO532" s="140">
        <v>92.74</v>
      </c>
      <c r="AP532" s="142">
        <v>30001.0</v>
      </c>
      <c r="AQ532" s="142">
        <v>231.0</v>
      </c>
      <c r="AR532" s="143"/>
      <c r="AS532" s="144">
        <v>0.9652062585302079</v>
      </c>
      <c r="AT532" s="144">
        <v>-0.03630625853020797</v>
      </c>
      <c r="AU532" s="146" t="s">
        <v>2119</v>
      </c>
      <c r="AV532" s="146" t="s">
        <v>2119</v>
      </c>
      <c r="AW532" s="148" t="s">
        <v>2119</v>
      </c>
      <c r="AX532" s="151"/>
      <c r="AY532" s="105"/>
      <c r="AZ532" s="186"/>
      <c r="BA532" s="186"/>
      <c r="BB532" s="222"/>
      <c r="BC532" s="45"/>
      <c r="BD532" s="45"/>
      <c r="BE532" s="155"/>
      <c r="BF532" s="45"/>
    </row>
    <row r="533" ht="16.5" customHeight="1">
      <c r="A533" s="111">
        <v>530.0</v>
      </c>
      <c r="B533" s="112" t="s">
        <v>761</v>
      </c>
      <c r="C533" s="115" t="s">
        <v>60</v>
      </c>
      <c r="D533" s="582">
        <v>42097.0</v>
      </c>
      <c r="E533" s="117">
        <v>42582.0</v>
      </c>
      <c r="F533" s="79" t="s">
        <v>90</v>
      </c>
      <c r="G533" s="118">
        <v>30094.0</v>
      </c>
      <c r="H533" s="114">
        <v>61.9</v>
      </c>
      <c r="I533" s="120">
        <v>378.0</v>
      </c>
      <c r="J533" s="111" t="s">
        <v>62</v>
      </c>
      <c r="K533" s="121">
        <v>378.0</v>
      </c>
      <c r="L533" s="120" t="s">
        <v>63</v>
      </c>
      <c r="M533" s="120"/>
      <c r="N533" s="120"/>
      <c r="O533" s="124">
        <v>30094.0</v>
      </c>
      <c r="P533" s="124">
        <v>486.0</v>
      </c>
      <c r="Q533" s="111">
        <v>231.0</v>
      </c>
      <c r="R533" s="125">
        <v>408.0</v>
      </c>
      <c r="S533" s="126">
        <v>0.9265</v>
      </c>
      <c r="T533" s="127">
        <v>71803.75</v>
      </c>
      <c r="U533" s="128">
        <f t="shared" si="2"/>
        <v>0</v>
      </c>
      <c r="V533" s="636" t="s">
        <v>65</v>
      </c>
      <c r="W533" s="691" t="s">
        <v>64</v>
      </c>
      <c r="X533" s="691" t="s">
        <v>66</v>
      </c>
      <c r="Y533" s="130">
        <v>0.7</v>
      </c>
      <c r="Z533" s="693">
        <v>11.0</v>
      </c>
      <c r="AA533" s="202">
        <v>406.0</v>
      </c>
      <c r="AB533" s="202" t="s">
        <v>62</v>
      </c>
      <c r="AC533" s="111">
        <v>378.0</v>
      </c>
      <c r="AD533" s="111">
        <v>105.0</v>
      </c>
      <c r="AE533" s="111" t="s">
        <v>2120</v>
      </c>
      <c r="AF533" s="111" t="s">
        <v>62</v>
      </c>
      <c r="AG533" s="134" t="s">
        <v>1899</v>
      </c>
      <c r="AH533" s="73">
        <v>273.0</v>
      </c>
      <c r="AI533" s="135">
        <v>273.0</v>
      </c>
      <c r="AJ533" s="136">
        <v>69.92307692307692</v>
      </c>
      <c r="AK533" s="76">
        <v>0.9022332506203474</v>
      </c>
      <c r="AL533" s="137" t="s">
        <v>2121</v>
      </c>
      <c r="AM533" s="139">
        <v>406.0</v>
      </c>
      <c r="AN533" s="139">
        <v>486.0</v>
      </c>
      <c r="AO533" s="140">
        <v>93.14</v>
      </c>
      <c r="AP533" s="142">
        <v>30094.0</v>
      </c>
      <c r="AQ533" s="142">
        <v>231.0</v>
      </c>
      <c r="AR533" s="143"/>
      <c r="AS533" s="144">
        <v>0.9651494470585629</v>
      </c>
      <c r="AT533" s="144">
        <v>-0.03864944705856288</v>
      </c>
      <c r="AU533" s="146" t="s">
        <v>2122</v>
      </c>
      <c r="AV533" s="146" t="s">
        <v>2122</v>
      </c>
      <c r="AW533" s="148" t="s">
        <v>2122</v>
      </c>
      <c r="AX533" s="151"/>
      <c r="AY533" s="105"/>
      <c r="AZ533" s="186"/>
      <c r="BA533" s="186"/>
      <c r="BB533" s="222"/>
      <c r="BC533" s="45"/>
      <c r="BD533" s="45"/>
      <c r="BE533" s="155"/>
      <c r="BF533" s="45"/>
    </row>
    <row r="534" ht="16.5" customHeight="1">
      <c r="A534" s="111">
        <v>531.0</v>
      </c>
      <c r="B534" s="112" t="s">
        <v>761</v>
      </c>
      <c r="C534" s="115" t="s">
        <v>60</v>
      </c>
      <c r="D534" s="157">
        <v>42097.0</v>
      </c>
      <c r="E534" s="117">
        <v>42582.0</v>
      </c>
      <c r="F534" s="79" t="s">
        <v>90</v>
      </c>
      <c r="G534" s="118">
        <v>30353.0</v>
      </c>
      <c r="H534" s="114">
        <v>62.5</v>
      </c>
      <c r="I534" s="120">
        <v>380.0</v>
      </c>
      <c r="J534" s="111" t="s">
        <v>62</v>
      </c>
      <c r="K534" s="121">
        <v>380.0</v>
      </c>
      <c r="L534" s="120" t="s">
        <v>63</v>
      </c>
      <c r="M534" s="120"/>
      <c r="N534" s="120"/>
      <c r="O534" s="124">
        <v>30353.0</v>
      </c>
      <c r="P534" s="124">
        <v>486.0</v>
      </c>
      <c r="Q534" s="111">
        <v>231.0</v>
      </c>
      <c r="R534" s="125">
        <v>408.0</v>
      </c>
      <c r="S534" s="126">
        <v>0.9314</v>
      </c>
      <c r="T534" s="127">
        <v>72183.5</v>
      </c>
      <c r="U534" s="128">
        <f t="shared" si="2"/>
        <v>0</v>
      </c>
      <c r="V534" s="636" t="s">
        <v>65</v>
      </c>
      <c r="W534" s="636" t="s">
        <v>64</v>
      </c>
      <c r="X534" s="636" t="s">
        <v>66</v>
      </c>
      <c r="Y534" s="130">
        <v>0.7</v>
      </c>
      <c r="Z534" s="639">
        <v>11.0</v>
      </c>
      <c r="AA534" s="133">
        <v>406.0</v>
      </c>
      <c r="AB534" s="133" t="s">
        <v>62</v>
      </c>
      <c r="AC534" s="111">
        <v>380.0</v>
      </c>
      <c r="AD534" s="111">
        <v>269.0</v>
      </c>
      <c r="AE534" s="111" t="s">
        <v>2124</v>
      </c>
      <c r="AF534" s="111" t="s">
        <v>62</v>
      </c>
      <c r="AG534" s="134" t="s">
        <v>1899</v>
      </c>
      <c r="AH534" s="73">
        <v>111.0</v>
      </c>
      <c r="AI534" s="135">
        <v>111.0</v>
      </c>
      <c r="AJ534" s="136">
        <v>71.2072072072072</v>
      </c>
      <c r="AK534" s="76">
        <v>0.9188026736413832</v>
      </c>
      <c r="AL534" s="137" t="s">
        <v>2125</v>
      </c>
      <c r="AM534" s="139">
        <v>406.0</v>
      </c>
      <c r="AN534" s="139">
        <v>486.0</v>
      </c>
      <c r="AO534" s="140">
        <v>93.71</v>
      </c>
      <c r="AP534" s="142">
        <v>30353.0</v>
      </c>
      <c r="AQ534" s="142">
        <v>231.0</v>
      </c>
      <c r="AR534" s="143"/>
      <c r="AS534" s="144">
        <v>0.9649922028757051</v>
      </c>
      <c r="AT534" s="144">
        <v>-0.03359220287570508</v>
      </c>
      <c r="AU534" s="146" t="s">
        <v>2126</v>
      </c>
      <c r="AV534" s="146" t="s">
        <v>2126</v>
      </c>
      <c r="AW534" s="148" t="s">
        <v>2126</v>
      </c>
      <c r="AX534" s="151"/>
      <c r="AY534" s="105"/>
      <c r="AZ534" s="186"/>
      <c r="BA534" s="186"/>
      <c r="BB534" s="222"/>
      <c r="BC534" s="45"/>
      <c r="BD534" s="45"/>
      <c r="BE534" s="155"/>
      <c r="BF534" s="45"/>
    </row>
    <row r="535" ht="16.5" customHeight="1">
      <c r="A535" s="111">
        <v>532.0</v>
      </c>
      <c r="B535" s="112" t="s">
        <v>1890</v>
      </c>
      <c r="C535" s="115" t="s">
        <v>60</v>
      </c>
      <c r="D535" s="117">
        <v>42477.0</v>
      </c>
      <c r="E535" s="117">
        <v>42581.0</v>
      </c>
      <c r="F535" s="79" t="s">
        <v>118</v>
      </c>
      <c r="G535" s="118">
        <v>1700.0</v>
      </c>
      <c r="H535" s="114">
        <v>16.2</v>
      </c>
      <c r="I535" s="120">
        <v>363.0</v>
      </c>
      <c r="J535" s="111" t="s">
        <v>62</v>
      </c>
      <c r="K535" s="121">
        <v>363.0</v>
      </c>
      <c r="L535" s="120" t="s">
        <v>63</v>
      </c>
      <c r="M535" s="120"/>
      <c r="N535" s="120"/>
      <c r="O535" s="124">
        <v>1700.0</v>
      </c>
      <c r="P535" s="124">
        <v>105.0</v>
      </c>
      <c r="Q535" s="111">
        <v>186.0</v>
      </c>
      <c r="R535" s="125">
        <v>365.0</v>
      </c>
      <c r="S535" s="126">
        <v>0.9945</v>
      </c>
      <c r="T535" s="127">
        <v>68421.6</v>
      </c>
      <c r="U535" s="128">
        <f t="shared" si="2"/>
        <v>0</v>
      </c>
      <c r="V535" s="79"/>
      <c r="W535" s="79"/>
      <c r="X535" s="79"/>
      <c r="Y535" s="130"/>
      <c r="Z535" s="111"/>
      <c r="AA535" s="133"/>
      <c r="AB535" s="133"/>
      <c r="AC535" s="133"/>
      <c r="AD535" s="133"/>
      <c r="AE535" s="133"/>
      <c r="AF535" s="111"/>
      <c r="AG535" s="134" t="s">
        <v>2127</v>
      </c>
      <c r="AH535" s="73"/>
      <c r="AI535" s="135"/>
      <c r="AJ535" s="136"/>
      <c r="AK535" s="76"/>
      <c r="AL535" s="137"/>
      <c r="AM535" s="139" t="s">
        <v>71</v>
      </c>
      <c r="AN535" s="139">
        <v>105.0</v>
      </c>
      <c r="AO535" s="140">
        <v>4.61</v>
      </c>
      <c r="AP535" s="142">
        <v>1700.0</v>
      </c>
      <c r="AQ535" s="142">
        <v>186.0</v>
      </c>
      <c r="AR535" s="143"/>
      <c r="AS535" s="144">
        <v>0.9966702957025401</v>
      </c>
      <c r="AT535" s="144">
        <v>-0.002170295702540015</v>
      </c>
      <c r="AU535" s="146" t="s">
        <v>2128</v>
      </c>
      <c r="AV535" s="146" t="s">
        <v>2128</v>
      </c>
      <c r="AW535" s="148" t="s">
        <v>2128</v>
      </c>
      <c r="AX535" s="151"/>
      <c r="AY535" s="105"/>
      <c r="AZ535" s="186"/>
      <c r="BA535" s="186"/>
      <c r="BB535" s="222"/>
      <c r="BC535" s="45"/>
      <c r="BD535" s="45"/>
      <c r="BE535" s="155"/>
      <c r="BF535" s="45"/>
    </row>
    <row r="536" ht="16.5" customHeight="1">
      <c r="A536" s="111">
        <v>533.0</v>
      </c>
      <c r="B536" s="112" t="s">
        <v>1611</v>
      </c>
      <c r="C536" s="115" t="s">
        <v>60</v>
      </c>
      <c r="D536" s="117">
        <v>41715.0</v>
      </c>
      <c r="E536" s="117">
        <v>42583.0</v>
      </c>
      <c r="F536" s="79" t="s">
        <v>79</v>
      </c>
      <c r="G536" s="118">
        <v>80000.0</v>
      </c>
      <c r="H536" s="114">
        <v>92.1</v>
      </c>
      <c r="I536" s="120">
        <v>377.0</v>
      </c>
      <c r="J536" s="111" t="s">
        <v>61</v>
      </c>
      <c r="K536" s="121">
        <v>381.77</v>
      </c>
      <c r="L536" s="120" t="s">
        <v>63</v>
      </c>
      <c r="M536" s="120"/>
      <c r="N536" s="120"/>
      <c r="O536" s="124">
        <v>80000.0</v>
      </c>
      <c r="P536" s="124">
        <v>869.0</v>
      </c>
      <c r="Q536" s="111">
        <v>201.0</v>
      </c>
      <c r="R536" s="125">
        <v>399.0</v>
      </c>
      <c r="S536" s="126">
        <v>0.9568</v>
      </c>
      <c r="T536" s="127">
        <v>74152.0</v>
      </c>
      <c r="U536" s="128">
        <f t="shared" si="2"/>
        <v>0</v>
      </c>
      <c r="V536" s="79" t="s">
        <v>69</v>
      </c>
      <c r="W536" s="79" t="s">
        <v>69</v>
      </c>
      <c r="X536" s="79" t="s">
        <v>68</v>
      </c>
      <c r="Y536" s="130">
        <v>0.9</v>
      </c>
      <c r="Z536" s="111">
        <v>11.0</v>
      </c>
      <c r="AA536" s="111">
        <v>392.0</v>
      </c>
      <c r="AB536" s="111" t="s">
        <v>61</v>
      </c>
      <c r="AC536" s="133"/>
      <c r="AD536" s="133"/>
      <c r="AE536" s="133"/>
      <c r="AF536" s="111"/>
      <c r="AG536" s="134" t="s">
        <v>2129</v>
      </c>
      <c r="AH536" s="73"/>
      <c r="AI536" s="135"/>
      <c r="AJ536" s="136"/>
      <c r="AK536" s="76"/>
      <c r="AL536" s="137"/>
      <c r="AM536" s="139">
        <v>397.0</v>
      </c>
      <c r="AN536" s="139">
        <v>869.0</v>
      </c>
      <c r="AO536" s="140">
        <v>212.1</v>
      </c>
      <c r="AP536" s="142">
        <v>80000.0</v>
      </c>
      <c r="AQ536" s="142">
        <v>201.0</v>
      </c>
      <c r="AR536" s="143"/>
      <c r="AS536" s="144">
        <v>0.9486461015086031</v>
      </c>
      <c r="AT536" s="144">
        <v>0.008153898491396916</v>
      </c>
      <c r="AU536" s="146" t="s">
        <v>2130</v>
      </c>
      <c r="AV536" s="146" t="s">
        <v>2130</v>
      </c>
      <c r="AW536" s="148" t="s">
        <v>2130</v>
      </c>
      <c r="AX536" s="151"/>
      <c r="AY536" s="105"/>
      <c r="AZ536" s="186"/>
      <c r="BA536" s="186"/>
      <c r="BB536" s="222"/>
      <c r="BC536" s="45"/>
      <c r="BD536" s="45"/>
      <c r="BE536" s="155"/>
      <c r="BF536" s="45"/>
    </row>
    <row r="537" ht="16.5" customHeight="1">
      <c r="A537" s="111">
        <v>534.0</v>
      </c>
      <c r="B537" s="112" t="s">
        <v>348</v>
      </c>
      <c r="C537" s="115" t="s">
        <v>60</v>
      </c>
      <c r="D537" s="117">
        <v>41603.0</v>
      </c>
      <c r="E537" s="117">
        <v>42582.0</v>
      </c>
      <c r="F537" s="79" t="s">
        <v>59</v>
      </c>
      <c r="G537" s="118">
        <v>71000.0</v>
      </c>
      <c r="H537" s="114">
        <v>72.4</v>
      </c>
      <c r="I537" s="120">
        <v>373.0</v>
      </c>
      <c r="J537" s="111" t="s">
        <v>61</v>
      </c>
      <c r="K537" s="121">
        <v>377.72</v>
      </c>
      <c r="L537" s="120" t="s">
        <v>195</v>
      </c>
      <c r="M537" s="120" t="s">
        <v>281</v>
      </c>
      <c r="N537" s="120">
        <v>26000.0</v>
      </c>
      <c r="O537" s="124">
        <v>57492.0</v>
      </c>
      <c r="P537" s="124">
        <v>794.0</v>
      </c>
      <c r="Q537" s="111">
        <v>266.0</v>
      </c>
      <c r="R537" s="125">
        <v>399.0</v>
      </c>
      <c r="S537" s="126">
        <v>0.9467</v>
      </c>
      <c r="T537" s="127">
        <v>73369.25</v>
      </c>
      <c r="U537" s="128">
        <f t="shared" si="2"/>
        <v>0</v>
      </c>
      <c r="V537" s="79" t="s">
        <v>64</v>
      </c>
      <c r="W537" s="79" t="s">
        <v>69</v>
      </c>
      <c r="X537" s="79" t="s">
        <v>69</v>
      </c>
      <c r="Y537" s="130">
        <v>0.9</v>
      </c>
      <c r="Z537" s="111">
        <v>3.0</v>
      </c>
      <c r="AA537" s="111">
        <v>400.0</v>
      </c>
      <c r="AB537" s="111" t="s">
        <v>61</v>
      </c>
      <c r="AC537" s="133"/>
      <c r="AD537" s="133"/>
      <c r="AE537" s="133"/>
      <c r="AF537" s="111"/>
      <c r="AG537" s="147"/>
      <c r="AH537" s="73"/>
      <c r="AI537" s="135"/>
      <c r="AJ537" s="136"/>
      <c r="AK537" s="76"/>
      <c r="AL537" s="137"/>
      <c r="AM537" s="139">
        <v>405.0</v>
      </c>
      <c r="AN537" s="139">
        <v>980.0</v>
      </c>
      <c r="AO537" s="140">
        <v>202.76</v>
      </c>
      <c r="AP537" s="142">
        <v>57492.0</v>
      </c>
      <c r="AQ537" s="142">
        <v>266.0</v>
      </c>
      <c r="AR537" s="143"/>
      <c r="AS537" s="144">
        <v>0.9538917940640301</v>
      </c>
      <c r="AT537" s="144">
        <v>-0.007191794064030144</v>
      </c>
      <c r="AU537" s="146" t="s">
        <v>2131</v>
      </c>
      <c r="AV537" s="146" t="s">
        <v>2131</v>
      </c>
      <c r="AW537" s="148" t="s">
        <v>2131</v>
      </c>
      <c r="AX537" s="151"/>
      <c r="AY537" s="105"/>
      <c r="AZ537" s="186"/>
      <c r="BA537" s="186"/>
      <c r="BB537" s="222"/>
      <c r="BC537" s="45"/>
      <c r="BD537" s="45"/>
      <c r="BE537" s="155"/>
      <c r="BF537" s="45"/>
    </row>
    <row r="538" ht="16.5" customHeight="1">
      <c r="A538" s="111">
        <v>535.0</v>
      </c>
      <c r="B538" s="112" t="s">
        <v>1607</v>
      </c>
      <c r="C538" s="115" t="s">
        <v>60</v>
      </c>
      <c r="D538" s="117">
        <v>41600.0</v>
      </c>
      <c r="E538" s="117">
        <v>42576.0</v>
      </c>
      <c r="F538" s="79" t="s">
        <v>79</v>
      </c>
      <c r="G538" s="118">
        <v>84000.0</v>
      </c>
      <c r="H538" s="114">
        <v>86.0</v>
      </c>
      <c r="I538" s="120">
        <v>382.0</v>
      </c>
      <c r="J538" s="111" t="s">
        <v>62</v>
      </c>
      <c r="K538" s="121">
        <v>382.0</v>
      </c>
      <c r="L538" s="120" t="s">
        <v>63</v>
      </c>
      <c r="M538" s="120"/>
      <c r="N538" s="120"/>
      <c r="O538" s="124">
        <v>84000.0</v>
      </c>
      <c r="P538" s="124">
        <v>977.0</v>
      </c>
      <c r="Q538" s="111">
        <v>235.0</v>
      </c>
      <c r="R538" s="125">
        <v>399.0</v>
      </c>
      <c r="S538" s="126">
        <v>0.9574</v>
      </c>
      <c r="T538" s="127">
        <v>74198.5</v>
      </c>
      <c r="U538" s="128">
        <f t="shared" si="2"/>
        <v>0</v>
      </c>
      <c r="V538" s="79" t="s">
        <v>69</v>
      </c>
      <c r="W538" s="79" t="s">
        <v>69</v>
      </c>
      <c r="X538" s="79" t="s">
        <v>69</v>
      </c>
      <c r="Y538" s="130">
        <v>0.8</v>
      </c>
      <c r="Z538" s="111">
        <v>7.5</v>
      </c>
      <c r="AA538" s="133"/>
      <c r="AB538" s="133"/>
      <c r="AC538" s="133"/>
      <c r="AD538" s="133"/>
      <c r="AE538" s="133"/>
      <c r="AF538" s="111"/>
      <c r="AG538" s="134" t="s">
        <v>2132</v>
      </c>
      <c r="AH538" s="73"/>
      <c r="AI538" s="135"/>
      <c r="AJ538" s="136"/>
      <c r="AK538" s="76"/>
      <c r="AL538" s="137"/>
      <c r="AM538" s="139" t="s">
        <v>71</v>
      </c>
      <c r="AN538" s="139">
        <v>977.0</v>
      </c>
      <c r="AO538" s="140">
        <v>260.29</v>
      </c>
      <c r="AP538" s="142">
        <v>84000.0</v>
      </c>
      <c r="AQ538" s="142">
        <v>235.0</v>
      </c>
      <c r="AR538" s="143"/>
      <c r="AS538" s="144">
        <v>0.9478637946436792</v>
      </c>
      <c r="AT538" s="144">
        <v>0.009536205356320826</v>
      </c>
      <c r="AU538" s="146" t="s">
        <v>2133</v>
      </c>
      <c r="AV538" s="146" t="s">
        <v>2133</v>
      </c>
      <c r="AW538" s="148" t="s">
        <v>2133</v>
      </c>
      <c r="AX538" s="151"/>
      <c r="AY538" s="105"/>
      <c r="AZ538" s="186"/>
      <c r="BA538" s="186"/>
      <c r="BB538" s="222"/>
      <c r="BC538" s="45"/>
      <c r="BD538" s="45"/>
      <c r="BE538" s="155"/>
      <c r="BF538" s="45"/>
    </row>
    <row r="539" ht="16.5" customHeight="1">
      <c r="A539" s="111">
        <v>536.0</v>
      </c>
      <c r="B539" s="112" t="s">
        <v>1625</v>
      </c>
      <c r="C539" s="115" t="s">
        <v>60</v>
      </c>
      <c r="D539" s="117">
        <v>41913.0</v>
      </c>
      <c r="E539" s="117">
        <v>42586.0</v>
      </c>
      <c r="F539" s="79" t="s">
        <v>59</v>
      </c>
      <c r="G539" s="118">
        <v>76500.0</v>
      </c>
      <c r="H539" s="114">
        <v>113.5</v>
      </c>
      <c r="I539" s="120">
        <v>372.0</v>
      </c>
      <c r="J539" s="111" t="s">
        <v>61</v>
      </c>
      <c r="K539" s="121">
        <v>376.71</v>
      </c>
      <c r="L539" s="120" t="s">
        <v>63</v>
      </c>
      <c r="M539" s="120"/>
      <c r="N539" s="120"/>
      <c r="O539" s="124">
        <v>76500.0</v>
      </c>
      <c r="P539" s="124">
        <v>674.0</v>
      </c>
      <c r="Q539" s="111">
        <v>223.0</v>
      </c>
      <c r="R539" s="125">
        <v>399.0</v>
      </c>
      <c r="S539" s="126">
        <v>0.9441</v>
      </c>
      <c r="T539" s="127">
        <v>73167.75</v>
      </c>
      <c r="U539" s="128">
        <f t="shared" si="2"/>
        <v>0</v>
      </c>
      <c r="V539" s="79" t="s">
        <v>64</v>
      </c>
      <c r="W539" s="79" t="s">
        <v>64</v>
      </c>
      <c r="X539" s="79" t="s">
        <v>69</v>
      </c>
      <c r="Y539" s="130">
        <v>0.8</v>
      </c>
      <c r="Z539" s="111"/>
      <c r="AA539" s="111">
        <v>384.0</v>
      </c>
      <c r="AB539" s="111" t="s">
        <v>61</v>
      </c>
      <c r="AC539" s="133"/>
      <c r="AD539" s="133"/>
      <c r="AE539" s="133"/>
      <c r="AF539" s="111"/>
      <c r="AG539" s="147"/>
      <c r="AH539" s="73"/>
      <c r="AI539" s="135"/>
      <c r="AJ539" s="136"/>
      <c r="AK539" s="76"/>
      <c r="AL539" s="137"/>
      <c r="AM539" s="139">
        <v>389.0</v>
      </c>
      <c r="AN539" s="139">
        <v>674.0</v>
      </c>
      <c r="AO539" s="140">
        <v>226.48</v>
      </c>
      <c r="AP539" s="142">
        <v>76500.0</v>
      </c>
      <c r="AQ539" s="142">
        <v>223.0</v>
      </c>
      <c r="AR539" s="143"/>
      <c r="AS539" s="144">
        <v>0.9493571517489343</v>
      </c>
      <c r="AT539" s="144">
        <v>-0.005257151748934263</v>
      </c>
      <c r="AU539" s="146" t="s">
        <v>2135</v>
      </c>
      <c r="AV539" s="146" t="s">
        <v>2135</v>
      </c>
      <c r="AW539" s="148" t="s">
        <v>2135</v>
      </c>
      <c r="AX539" s="151"/>
      <c r="AY539" s="105"/>
      <c r="AZ539" s="186"/>
      <c r="BA539" s="186"/>
      <c r="BB539" s="222"/>
      <c r="BC539" s="45"/>
      <c r="BD539" s="45"/>
      <c r="BE539" s="155"/>
      <c r="BF539" s="45"/>
    </row>
    <row r="540" ht="16.5" customHeight="1">
      <c r="A540" s="111">
        <v>537.0</v>
      </c>
      <c r="B540" s="112" t="s">
        <v>1013</v>
      </c>
      <c r="C540" s="115" t="s">
        <v>60</v>
      </c>
      <c r="D540" s="117">
        <v>41814.0</v>
      </c>
      <c r="E540" s="117">
        <v>42586.0</v>
      </c>
      <c r="F540" s="79" t="s">
        <v>59</v>
      </c>
      <c r="G540" s="118">
        <v>100500.0</v>
      </c>
      <c r="H540" s="114">
        <v>130.0</v>
      </c>
      <c r="I540" s="120">
        <v>381.0</v>
      </c>
      <c r="J540" s="111" t="s">
        <v>61</v>
      </c>
      <c r="K540" s="121">
        <v>385.82</v>
      </c>
      <c r="L540" s="120" t="s">
        <v>63</v>
      </c>
      <c r="M540" s="120"/>
      <c r="N540" s="120"/>
      <c r="O540" s="124">
        <v>100500.0</v>
      </c>
      <c r="P540" s="124">
        <v>773.0</v>
      </c>
      <c r="Q540" s="111">
        <v>220.0</v>
      </c>
      <c r="R540" s="125">
        <v>399.0</v>
      </c>
      <c r="S540" s="126">
        <v>0.967</v>
      </c>
      <c r="T540" s="127">
        <v>74942.5</v>
      </c>
      <c r="U540" s="128">
        <f t="shared" si="2"/>
        <v>0</v>
      </c>
      <c r="V540" s="79" t="s">
        <v>64</v>
      </c>
      <c r="W540" s="79" t="s">
        <v>64</v>
      </c>
      <c r="X540" s="79" t="s">
        <v>66</v>
      </c>
      <c r="Y540" s="130">
        <v>0.8</v>
      </c>
      <c r="Z540" s="111">
        <v>18.0</v>
      </c>
      <c r="AA540" s="133"/>
      <c r="AB540" s="133"/>
      <c r="AC540" s="133"/>
      <c r="AD540" s="133"/>
      <c r="AE540" s="133"/>
      <c r="AF540" s="111"/>
      <c r="AG540" s="147"/>
      <c r="AH540" s="73"/>
      <c r="AI540" s="135"/>
      <c r="AJ540" s="136"/>
      <c r="AK540" s="76"/>
      <c r="AL540" s="137"/>
      <c r="AM540" s="139" t="s">
        <v>71</v>
      </c>
      <c r="AN540" s="139">
        <v>773.0</v>
      </c>
      <c r="AO540" s="140">
        <v>290.11</v>
      </c>
      <c r="AP540" s="142">
        <v>100500.0</v>
      </c>
      <c r="AQ540" s="142">
        <v>220.0</v>
      </c>
      <c r="AR540" s="143"/>
      <c r="AS540" s="144">
        <v>0.9448755761431115</v>
      </c>
      <c r="AT540" s="144">
        <v>0.02212442385688851</v>
      </c>
      <c r="AU540" s="146" t="s">
        <v>2137</v>
      </c>
      <c r="AV540" s="146" t="s">
        <v>2137</v>
      </c>
      <c r="AW540" s="148" t="s">
        <v>2137</v>
      </c>
      <c r="AX540" s="151"/>
      <c r="AY540" s="105"/>
      <c r="AZ540" s="186"/>
      <c r="BA540" s="186"/>
      <c r="BB540" s="222"/>
      <c r="BC540" s="45"/>
      <c r="BD540" s="45"/>
      <c r="BE540" s="155"/>
      <c r="BF540" s="45"/>
    </row>
    <row r="541" ht="16.5" customHeight="1">
      <c r="A541" s="111">
        <v>538.0</v>
      </c>
      <c r="B541" s="112" t="s">
        <v>1882</v>
      </c>
      <c r="C541" s="115" t="s">
        <v>60</v>
      </c>
      <c r="D541" s="592">
        <v>42342.0</v>
      </c>
      <c r="E541" s="117">
        <v>42586.0</v>
      </c>
      <c r="F541" s="79" t="s">
        <v>118</v>
      </c>
      <c r="G541" s="118">
        <v>25000.0</v>
      </c>
      <c r="H541" s="114">
        <v>102.0</v>
      </c>
      <c r="I541" s="120">
        <v>350.0</v>
      </c>
      <c r="J541" s="111" t="s">
        <v>61</v>
      </c>
      <c r="K541" s="121">
        <v>354.43</v>
      </c>
      <c r="L541" s="120" t="s">
        <v>63</v>
      </c>
      <c r="M541" s="120"/>
      <c r="N541" s="120"/>
      <c r="O541" s="124">
        <v>25000.0</v>
      </c>
      <c r="P541" s="124">
        <v>245.0</v>
      </c>
      <c r="Q541" s="111">
        <v>204.0</v>
      </c>
      <c r="R541" s="125">
        <v>365.0</v>
      </c>
      <c r="S541" s="126">
        <v>0.971</v>
      </c>
      <c r="T541" s="127">
        <v>66804.8</v>
      </c>
      <c r="U541" s="128">
        <f t="shared" si="2"/>
        <v>0</v>
      </c>
      <c r="V541" s="79" t="s">
        <v>64</v>
      </c>
      <c r="W541" s="195" t="s">
        <v>69</v>
      </c>
      <c r="X541" s="195" t="s">
        <v>68</v>
      </c>
      <c r="Y541" s="130">
        <v>0.8</v>
      </c>
      <c r="Z541" s="208">
        <v>20.0</v>
      </c>
      <c r="AA541" s="202"/>
      <c r="AB541" s="208" t="s">
        <v>61</v>
      </c>
      <c r="AC541" s="133"/>
      <c r="AD541" s="133"/>
      <c r="AE541" s="133"/>
      <c r="AF541" s="111"/>
      <c r="AG541" s="147"/>
      <c r="AH541" s="73"/>
      <c r="AI541" s="135"/>
      <c r="AJ541" s="136"/>
      <c r="AK541" s="76"/>
      <c r="AL541" s="137"/>
      <c r="AM541" s="139" t="s">
        <v>71</v>
      </c>
      <c r="AN541" s="139">
        <v>245.0</v>
      </c>
      <c r="AO541" s="140">
        <v>75.23</v>
      </c>
      <c r="AP541" s="142">
        <v>25000.0</v>
      </c>
      <c r="AQ541" s="142">
        <v>204.0</v>
      </c>
      <c r="AR541" s="143"/>
      <c r="AS541" s="144">
        <v>0.9685573908568149</v>
      </c>
      <c r="AT541" s="144">
        <v>0.0024426091431850594</v>
      </c>
      <c r="AU541" s="146" t="s">
        <v>2139</v>
      </c>
      <c r="AV541" s="146" t="s">
        <v>2139</v>
      </c>
      <c r="AW541" s="148" t="s">
        <v>2139</v>
      </c>
      <c r="AX541" s="151"/>
      <c r="AY541" s="105"/>
      <c r="AZ541" s="186"/>
      <c r="BA541" s="186"/>
      <c r="BB541" s="222"/>
      <c r="BC541" s="45"/>
      <c r="BD541" s="45"/>
      <c r="BE541" s="155"/>
      <c r="BF541" s="45"/>
    </row>
    <row r="542" ht="16.5" customHeight="1">
      <c r="A542" s="111">
        <v>539.0</v>
      </c>
      <c r="B542" s="112" t="s">
        <v>761</v>
      </c>
      <c r="C542" s="115" t="s">
        <v>60</v>
      </c>
      <c r="D542" s="157">
        <v>42097.0</v>
      </c>
      <c r="E542" s="117">
        <v>42588.0</v>
      </c>
      <c r="F542" s="79" t="s">
        <v>90</v>
      </c>
      <c r="G542" s="118">
        <v>30909.0</v>
      </c>
      <c r="H542" s="114">
        <v>62.8</v>
      </c>
      <c r="I542" s="120">
        <v>379.0</v>
      </c>
      <c r="J542" s="111" t="s">
        <v>62</v>
      </c>
      <c r="K542" s="121">
        <v>379.0</v>
      </c>
      <c r="L542" s="120" t="s">
        <v>63</v>
      </c>
      <c r="M542" s="120"/>
      <c r="N542" s="120"/>
      <c r="O542" s="124">
        <v>30909.0</v>
      </c>
      <c r="P542" s="124">
        <v>492.0</v>
      </c>
      <c r="Q542" s="111">
        <v>231.0</v>
      </c>
      <c r="R542" s="125">
        <v>408.0</v>
      </c>
      <c r="S542" s="126">
        <v>0.9289</v>
      </c>
      <c r="T542" s="127">
        <v>71989.75</v>
      </c>
      <c r="U542" s="128">
        <f t="shared" si="2"/>
        <v>0</v>
      </c>
      <c r="V542" s="636" t="s">
        <v>65</v>
      </c>
      <c r="W542" s="636" t="s">
        <v>64</v>
      </c>
      <c r="X542" s="636" t="s">
        <v>66</v>
      </c>
      <c r="Y542" s="130">
        <v>0.7</v>
      </c>
      <c r="Z542" s="639">
        <v>11.0</v>
      </c>
      <c r="AA542" s="133">
        <v>406.0</v>
      </c>
      <c r="AB542" s="133" t="s">
        <v>62</v>
      </c>
      <c r="AC542" s="133"/>
      <c r="AD542" s="133"/>
      <c r="AE542" s="133"/>
      <c r="AF542" s="111"/>
      <c r="AG542" s="134" t="s">
        <v>1899</v>
      </c>
      <c r="AH542" s="73"/>
      <c r="AI542" s="135"/>
      <c r="AJ542" s="136"/>
      <c r="AK542" s="76"/>
      <c r="AL542" s="137"/>
      <c r="AM542" s="139">
        <v>406.0</v>
      </c>
      <c r="AN542" s="139">
        <v>492.0</v>
      </c>
      <c r="AO542" s="140">
        <v>95.55</v>
      </c>
      <c r="AP542" s="142">
        <v>30909.0</v>
      </c>
      <c r="AQ542" s="142">
        <v>231.0</v>
      </c>
      <c r="AR542" s="143"/>
      <c r="AS542" s="144">
        <v>0.9646594102735858</v>
      </c>
      <c r="AT542" s="144">
        <v>-0.03575941027358587</v>
      </c>
      <c r="AU542" s="146" t="s">
        <v>2140</v>
      </c>
      <c r="AV542" s="146" t="s">
        <v>2140</v>
      </c>
      <c r="AW542" s="148" t="s">
        <v>2140</v>
      </c>
      <c r="AX542" s="151"/>
      <c r="AY542" s="105"/>
      <c r="AZ542" s="186"/>
      <c r="BA542" s="186"/>
      <c r="BB542" s="222"/>
      <c r="BC542" s="45"/>
      <c r="BD542" s="45"/>
      <c r="BE542" s="155"/>
      <c r="BF542" s="45"/>
    </row>
    <row r="543" ht="16.5" customHeight="1">
      <c r="A543" s="111">
        <v>540.0</v>
      </c>
      <c r="B543" s="165" t="s">
        <v>58</v>
      </c>
      <c r="C543" s="115" t="s">
        <v>60</v>
      </c>
      <c r="D543" s="117">
        <v>41598.0</v>
      </c>
      <c r="E543" s="117">
        <v>42591.0</v>
      </c>
      <c r="F543" s="79" t="s">
        <v>59</v>
      </c>
      <c r="G543" s="118">
        <v>104000.0</v>
      </c>
      <c r="H543" s="114">
        <v>104.6</v>
      </c>
      <c r="I543" s="120">
        <v>373.0</v>
      </c>
      <c r="J543" s="111" t="s">
        <v>62</v>
      </c>
      <c r="K543" s="121">
        <v>373.0</v>
      </c>
      <c r="L543" s="120" t="s">
        <v>63</v>
      </c>
      <c r="M543" s="120"/>
      <c r="N543" s="120"/>
      <c r="O543" s="124">
        <v>104000.0</v>
      </c>
      <c r="P543" s="124">
        <v>994.0</v>
      </c>
      <c r="Q543" s="111">
        <v>218.0</v>
      </c>
      <c r="R543" s="125">
        <v>399.0</v>
      </c>
      <c r="S543" s="126">
        <v>0.9348</v>
      </c>
      <c r="T543" s="127">
        <v>72447.0</v>
      </c>
      <c r="U543" s="128">
        <f t="shared" si="2"/>
        <v>0</v>
      </c>
      <c r="V543" s="79" t="s">
        <v>65</v>
      </c>
      <c r="W543" s="79" t="s">
        <v>67</v>
      </c>
      <c r="X543" s="79" t="s">
        <v>66</v>
      </c>
      <c r="Y543" s="130">
        <v>0.8</v>
      </c>
      <c r="Z543" s="111"/>
      <c r="AA543" s="133"/>
      <c r="AB543" s="111"/>
      <c r="AC543" s="133"/>
      <c r="AD543" s="111"/>
      <c r="AE543" s="111"/>
      <c r="AF543" s="111"/>
      <c r="AG543" s="134" t="s">
        <v>111</v>
      </c>
      <c r="AH543" s="73"/>
      <c r="AI543" s="135"/>
      <c r="AJ543" s="136"/>
      <c r="AK543" s="76"/>
      <c r="AL543" s="137"/>
      <c r="AM543" s="139" t="s">
        <v>71</v>
      </c>
      <c r="AN543" s="139">
        <v>994.0</v>
      </c>
      <c r="AO543" s="140">
        <v>302.44</v>
      </c>
      <c r="AP543" s="142">
        <v>104000.0</v>
      </c>
      <c r="AQ543" s="142">
        <v>218.0</v>
      </c>
      <c r="AR543" s="143"/>
      <c r="AS543" s="144">
        <v>0.9442756203029044</v>
      </c>
      <c r="AT543" s="144">
        <v>-0.009475620302904386</v>
      </c>
      <c r="AU543" s="146" t="s">
        <v>2142</v>
      </c>
      <c r="AV543" s="146" t="s">
        <v>2142</v>
      </c>
      <c r="AW543" s="148" t="s">
        <v>2142</v>
      </c>
      <c r="AX543" s="151"/>
      <c r="AY543" s="105"/>
      <c r="AZ543" s="186"/>
      <c r="BA543" s="186"/>
      <c r="BB543" s="222"/>
      <c r="BC543" s="45"/>
      <c r="BD543" s="45"/>
      <c r="BE543" s="155"/>
      <c r="BF543" s="45"/>
    </row>
    <row r="544" ht="16.5" customHeight="1">
      <c r="A544" s="111">
        <v>541.0</v>
      </c>
      <c r="B544" s="112" t="s">
        <v>449</v>
      </c>
      <c r="C544" s="115" t="s">
        <v>60</v>
      </c>
      <c r="D544" s="117">
        <v>41598.0</v>
      </c>
      <c r="E544" s="117">
        <v>42591.0</v>
      </c>
      <c r="F544" s="79" t="s">
        <v>59</v>
      </c>
      <c r="G544" s="118">
        <v>148150.0</v>
      </c>
      <c r="H544" s="114">
        <v>149.0</v>
      </c>
      <c r="I544" s="120">
        <v>379.0</v>
      </c>
      <c r="J544" s="111" t="s">
        <v>62</v>
      </c>
      <c r="K544" s="121">
        <v>379.0</v>
      </c>
      <c r="L544" s="120" t="s">
        <v>63</v>
      </c>
      <c r="M544" s="120"/>
      <c r="N544" s="120"/>
      <c r="O544" s="124">
        <v>148150.0</v>
      </c>
      <c r="P544" s="124">
        <v>994.0</v>
      </c>
      <c r="Q544" s="111">
        <v>186.0</v>
      </c>
      <c r="R544" s="125">
        <v>399.0</v>
      </c>
      <c r="S544" s="126">
        <v>0.9499</v>
      </c>
      <c r="T544" s="127">
        <v>73617.25</v>
      </c>
      <c r="U544" s="128">
        <f t="shared" si="2"/>
        <v>0</v>
      </c>
      <c r="V544" s="79" t="s">
        <v>80</v>
      </c>
      <c r="W544" s="79" t="s">
        <v>69</v>
      </c>
      <c r="X544" s="79" t="s">
        <v>66</v>
      </c>
      <c r="Y544" s="130">
        <v>0.8</v>
      </c>
      <c r="Z544" s="111">
        <v>11.0</v>
      </c>
      <c r="AA544" s="133"/>
      <c r="AB544" s="111" t="s">
        <v>62</v>
      </c>
      <c r="AC544" s="133"/>
      <c r="AD544" s="133"/>
      <c r="AE544" s="133"/>
      <c r="AF544" s="111"/>
      <c r="AG544" s="134" t="s">
        <v>111</v>
      </c>
      <c r="AH544" s="73"/>
      <c r="AI544" s="135"/>
      <c r="AJ544" s="136"/>
      <c r="AK544" s="76"/>
      <c r="AL544" s="137"/>
      <c r="AM544" s="139" t="s">
        <v>71</v>
      </c>
      <c r="AN544" s="139">
        <v>994.0</v>
      </c>
      <c r="AO544" s="140">
        <v>364.74</v>
      </c>
      <c r="AP544" s="142">
        <v>148150.0</v>
      </c>
      <c r="AQ544" s="142">
        <v>186.0</v>
      </c>
      <c r="AR544" s="143"/>
      <c r="AS544" s="144">
        <v>0.9371165342264013</v>
      </c>
      <c r="AT544" s="144">
        <v>0.012783465773598679</v>
      </c>
      <c r="AU544" s="146" t="s">
        <v>2144</v>
      </c>
      <c r="AV544" s="146" t="s">
        <v>2144</v>
      </c>
      <c r="AW544" s="148" t="s">
        <v>2144</v>
      </c>
      <c r="AX544" s="151"/>
      <c r="AY544" s="105"/>
      <c r="AZ544" s="186"/>
      <c r="BA544" s="186"/>
      <c r="BB544" s="222"/>
      <c r="BC544" s="45"/>
      <c r="BD544" s="45"/>
      <c r="BE544" s="155"/>
      <c r="BF544" s="45"/>
    </row>
    <row r="545" ht="16.5" customHeight="1">
      <c r="A545" s="111">
        <v>542.0</v>
      </c>
      <c r="B545" s="112" t="s">
        <v>1703</v>
      </c>
      <c r="C545" s="115" t="s">
        <v>60</v>
      </c>
      <c r="D545" s="117">
        <v>42353.0</v>
      </c>
      <c r="E545" s="117">
        <v>42591.0</v>
      </c>
      <c r="F545" s="79" t="s">
        <v>118</v>
      </c>
      <c r="G545" s="118">
        <v>17500.0</v>
      </c>
      <c r="H545" s="114">
        <v>73.2</v>
      </c>
      <c r="I545" s="120">
        <v>361.0</v>
      </c>
      <c r="J545" s="111" t="s">
        <v>61</v>
      </c>
      <c r="K545" s="121">
        <v>365.57</v>
      </c>
      <c r="L545" s="120" t="s">
        <v>63</v>
      </c>
      <c r="M545" s="120"/>
      <c r="N545" s="120"/>
      <c r="O545" s="124">
        <v>17500.0</v>
      </c>
      <c r="P545" s="124">
        <v>239.0</v>
      </c>
      <c r="Q545" s="111">
        <v>210.0</v>
      </c>
      <c r="R545" s="125">
        <v>365.0</v>
      </c>
      <c r="S545" s="126">
        <v>1.0016</v>
      </c>
      <c r="T545" s="127">
        <v>68910.08</v>
      </c>
      <c r="U545" s="128">
        <f t="shared" si="2"/>
        <v>0</v>
      </c>
      <c r="V545" s="79"/>
      <c r="W545" s="79"/>
      <c r="X545" s="79"/>
      <c r="Y545" s="130"/>
      <c r="Z545" s="111"/>
      <c r="AA545" s="133"/>
      <c r="AB545" s="133"/>
      <c r="AC545" s="133"/>
      <c r="AD545" s="133"/>
      <c r="AE545" s="133"/>
      <c r="AF545" s="111"/>
      <c r="AG545" s="147"/>
      <c r="AH545" s="73"/>
      <c r="AI545" s="135"/>
      <c r="AJ545" s="136"/>
      <c r="AK545" s="76"/>
      <c r="AL545" s="137"/>
      <c r="AM545" s="139" t="s">
        <v>71</v>
      </c>
      <c r="AN545" s="139">
        <v>239.0</v>
      </c>
      <c r="AO545" s="140">
        <v>53.38</v>
      </c>
      <c r="AP545" s="142">
        <v>17500.0</v>
      </c>
      <c r="AQ545" s="142">
        <v>210.0</v>
      </c>
      <c r="AR545" s="143"/>
      <c r="AS545" s="144">
        <v>0.9749193923438486</v>
      </c>
      <c r="AT545" s="144">
        <v>0.026680607656151434</v>
      </c>
      <c r="AU545" s="146" t="s">
        <v>2146</v>
      </c>
      <c r="AV545" s="146" t="s">
        <v>2146</v>
      </c>
      <c r="AW545" s="148" t="s">
        <v>2146</v>
      </c>
      <c r="AX545" s="151"/>
      <c r="AY545" s="105"/>
      <c r="AZ545" s="186"/>
      <c r="BA545" s="186"/>
      <c r="BB545" s="222"/>
      <c r="BC545" s="45"/>
      <c r="BD545" s="45"/>
      <c r="BE545" s="155"/>
      <c r="BF545" s="45"/>
    </row>
    <row r="546" ht="16.5" customHeight="1">
      <c r="A546" s="111">
        <v>543.0</v>
      </c>
      <c r="B546" s="112" t="s">
        <v>376</v>
      </c>
      <c r="C546" s="115" t="s">
        <v>60</v>
      </c>
      <c r="D546" s="117">
        <v>41600.0</v>
      </c>
      <c r="E546" s="117">
        <v>42593.0</v>
      </c>
      <c r="F546" s="79" t="s">
        <v>59</v>
      </c>
      <c r="G546" s="118">
        <v>106563.0</v>
      </c>
      <c r="H546" s="114">
        <v>107.2</v>
      </c>
      <c r="I546" s="120">
        <v>369.0</v>
      </c>
      <c r="J546" s="111" t="s">
        <v>62</v>
      </c>
      <c r="K546" s="121">
        <v>369.0</v>
      </c>
      <c r="L546" s="120" t="s">
        <v>63</v>
      </c>
      <c r="M546" s="120"/>
      <c r="N546" s="120"/>
      <c r="O546" s="124">
        <v>106563.0</v>
      </c>
      <c r="P546" s="124">
        <v>994.0</v>
      </c>
      <c r="Q546" s="111">
        <v>200.0</v>
      </c>
      <c r="R546" s="125">
        <v>399.0</v>
      </c>
      <c r="S546" s="126">
        <v>0.9248</v>
      </c>
      <c r="T546" s="127">
        <v>71672.0</v>
      </c>
      <c r="U546" s="128">
        <f t="shared" si="2"/>
        <v>0</v>
      </c>
      <c r="V546" s="79" t="s">
        <v>64</v>
      </c>
      <c r="W546" s="79" t="s">
        <v>64</v>
      </c>
      <c r="X546" s="79" t="s">
        <v>68</v>
      </c>
      <c r="Y546" s="130">
        <v>0.9</v>
      </c>
      <c r="Z546" s="111">
        <v>11.0</v>
      </c>
      <c r="AA546" s="111">
        <v>383.0</v>
      </c>
      <c r="AB546" s="111" t="s">
        <v>61</v>
      </c>
      <c r="AC546" s="133"/>
      <c r="AD546" s="133"/>
      <c r="AE546" s="133"/>
      <c r="AF546" s="111"/>
      <c r="AG546" s="147"/>
      <c r="AH546" s="73"/>
      <c r="AI546" s="135"/>
      <c r="AJ546" s="136"/>
      <c r="AK546" s="76"/>
      <c r="AL546" s="137"/>
      <c r="AM546" s="139">
        <v>388.0</v>
      </c>
      <c r="AN546" s="139">
        <v>994.0</v>
      </c>
      <c r="AO546" s="140">
        <v>285.79</v>
      </c>
      <c r="AP546" s="142">
        <v>106563.0</v>
      </c>
      <c r="AQ546" s="142">
        <v>200.0</v>
      </c>
      <c r="AR546" s="143"/>
      <c r="AS546" s="144">
        <v>0.9438414554562587</v>
      </c>
      <c r="AT546" s="144">
        <v>-0.019041455456258793</v>
      </c>
      <c r="AU546" s="146" t="s">
        <v>2150</v>
      </c>
      <c r="AV546" s="146" t="s">
        <v>2150</v>
      </c>
      <c r="AW546" s="148" t="s">
        <v>2150</v>
      </c>
      <c r="AX546" s="151"/>
      <c r="AY546" s="105"/>
      <c r="AZ546" s="186"/>
      <c r="BA546" s="186"/>
      <c r="BB546" s="222"/>
      <c r="BC546" s="45"/>
      <c r="BD546" s="45"/>
      <c r="BE546" s="155"/>
      <c r="BF546" s="45"/>
    </row>
    <row r="547" ht="16.5" customHeight="1">
      <c r="A547" s="111">
        <v>544.0</v>
      </c>
      <c r="B547" s="112" t="s">
        <v>1726</v>
      </c>
      <c r="C547" s="115" t="s">
        <v>60</v>
      </c>
      <c r="D547" s="117">
        <v>42276.0</v>
      </c>
      <c r="E547" s="117">
        <v>42594.0</v>
      </c>
      <c r="F547" s="79" t="s">
        <v>305</v>
      </c>
      <c r="G547" s="118">
        <v>29890.0</v>
      </c>
      <c r="H547" s="114">
        <v>93.7</v>
      </c>
      <c r="I547" s="120">
        <v>431.0</v>
      </c>
      <c r="J547" s="111" t="s">
        <v>62</v>
      </c>
      <c r="K547" s="121">
        <v>431.0</v>
      </c>
      <c r="L547" s="120" t="s">
        <v>63</v>
      </c>
      <c r="M547" s="120"/>
      <c r="N547" s="120"/>
      <c r="O547" s="124">
        <v>29890.0</v>
      </c>
      <c r="P547" s="124">
        <v>319.0</v>
      </c>
      <c r="Q547" s="111">
        <v>236.0</v>
      </c>
      <c r="R547" s="125">
        <v>452.0</v>
      </c>
      <c r="S547" s="126">
        <v>0.9535</v>
      </c>
      <c r="T547" s="127">
        <v>77996.3</v>
      </c>
      <c r="U547" s="128">
        <f t="shared" si="2"/>
        <v>0</v>
      </c>
      <c r="V547" s="79" t="s">
        <v>69</v>
      </c>
      <c r="W547" s="79" t="s">
        <v>69</v>
      </c>
      <c r="X547" s="79" t="s">
        <v>69</v>
      </c>
      <c r="Y547" s="130">
        <v>0.8</v>
      </c>
      <c r="Z547" s="111">
        <v>11.0</v>
      </c>
      <c r="AA547" s="111">
        <v>426.0</v>
      </c>
      <c r="AB547" s="111" t="s">
        <v>61</v>
      </c>
      <c r="AC547" s="133"/>
      <c r="AD547" s="133"/>
      <c r="AE547" s="133"/>
      <c r="AF547" s="111"/>
      <c r="AG547" s="147"/>
      <c r="AH547" s="73"/>
      <c r="AI547" s="135"/>
      <c r="AJ547" s="136"/>
      <c r="AK547" s="76"/>
      <c r="AL547" s="137"/>
      <c r="AM547" s="139">
        <v>431.0</v>
      </c>
      <c r="AN547" s="139">
        <v>319.0</v>
      </c>
      <c r="AO547" s="140">
        <v>88.3</v>
      </c>
      <c r="AP547" s="142">
        <v>29890.0</v>
      </c>
      <c r="AQ547" s="142">
        <v>236.0</v>
      </c>
      <c r="AR547" s="143"/>
      <c r="AS547" s="144">
        <v>0.9652743091335009</v>
      </c>
      <c r="AT547" s="144">
        <v>-0.01177430913350086</v>
      </c>
      <c r="AU547" s="146" t="s">
        <v>2152</v>
      </c>
      <c r="AV547" s="146" t="s">
        <v>2152</v>
      </c>
      <c r="AW547" s="148" t="s">
        <v>2152</v>
      </c>
      <c r="AX547" s="151"/>
      <c r="AY547" s="105"/>
      <c r="AZ547" s="186"/>
      <c r="BA547" s="186"/>
      <c r="BB547" s="222"/>
      <c r="BC547" s="45"/>
      <c r="BD547" s="45"/>
      <c r="BE547" s="155"/>
      <c r="BF547" s="45"/>
    </row>
    <row r="548" ht="16.5" customHeight="1">
      <c r="A548" s="111">
        <v>545.0</v>
      </c>
      <c r="B548" s="112" t="s">
        <v>1703</v>
      </c>
      <c r="C548" s="115" t="s">
        <v>60</v>
      </c>
      <c r="D548" s="117">
        <v>42353.0</v>
      </c>
      <c r="E548" s="117">
        <v>42599.0</v>
      </c>
      <c r="F548" s="79" t="s">
        <v>118</v>
      </c>
      <c r="G548" s="118">
        <v>18300.0</v>
      </c>
      <c r="H548" s="114">
        <v>74.1</v>
      </c>
      <c r="I548" s="120">
        <v>359.0</v>
      </c>
      <c r="J548" s="111" t="s">
        <v>61</v>
      </c>
      <c r="K548" s="121">
        <v>363.54</v>
      </c>
      <c r="L548" s="120" t="s">
        <v>63</v>
      </c>
      <c r="M548" s="120"/>
      <c r="N548" s="120"/>
      <c r="O548" s="124">
        <v>18300.0</v>
      </c>
      <c r="P548" s="124">
        <v>247.0</v>
      </c>
      <c r="Q548" s="111">
        <v>209.0</v>
      </c>
      <c r="R548" s="125">
        <v>365.0</v>
      </c>
      <c r="S548" s="126">
        <v>0.996</v>
      </c>
      <c r="T548" s="127">
        <v>68524.8</v>
      </c>
      <c r="U548" s="128">
        <f t="shared" si="2"/>
        <v>0</v>
      </c>
      <c r="V548" s="79"/>
      <c r="W548" s="79"/>
      <c r="X548" s="79"/>
      <c r="Y548" s="130"/>
      <c r="Z548" s="111"/>
      <c r="AA548" s="133"/>
      <c r="AB548" s="133"/>
      <c r="AC548" s="133"/>
      <c r="AD548" s="133"/>
      <c r="AE548" s="133"/>
      <c r="AF548" s="111"/>
      <c r="AG548" s="147"/>
      <c r="AH548" s="73"/>
      <c r="AI548" s="135"/>
      <c r="AJ548" s="136"/>
      <c r="AK548" s="76"/>
      <c r="AL548" s="137"/>
      <c r="AM548" s="139" t="s">
        <v>71</v>
      </c>
      <c r="AN548" s="139">
        <v>247.0</v>
      </c>
      <c r="AO548" s="140">
        <v>55.71</v>
      </c>
      <c r="AP548" s="142">
        <v>18300.0</v>
      </c>
      <c r="AQ548" s="142">
        <v>209.0</v>
      </c>
      <c r="AR548" s="143"/>
      <c r="AS548" s="144">
        <v>0.9741493460784468</v>
      </c>
      <c r="AT548" s="144">
        <v>0.021850653921553165</v>
      </c>
      <c r="AU548" s="146" t="s">
        <v>2153</v>
      </c>
      <c r="AV548" s="146" t="s">
        <v>2153</v>
      </c>
      <c r="AW548" s="148" t="s">
        <v>2153</v>
      </c>
      <c r="AX548" s="151"/>
      <c r="AY548" s="105"/>
      <c r="AZ548" s="186"/>
      <c r="BA548" s="186"/>
      <c r="BB548" s="222"/>
      <c r="BC548" s="45"/>
      <c r="BD548" s="45"/>
      <c r="BE548" s="155"/>
      <c r="BF548" s="45"/>
    </row>
    <row r="549" ht="16.5" customHeight="1">
      <c r="A549" s="111">
        <v>546.0</v>
      </c>
      <c r="B549" s="112" t="s">
        <v>1128</v>
      </c>
      <c r="C549" s="115" t="s">
        <v>60</v>
      </c>
      <c r="D549" s="117">
        <v>42137.0</v>
      </c>
      <c r="E549" s="117">
        <v>42595.0</v>
      </c>
      <c r="F549" s="79" t="s">
        <v>59</v>
      </c>
      <c r="G549" s="118">
        <v>60700.0</v>
      </c>
      <c r="H549" s="114">
        <v>132.2</v>
      </c>
      <c r="I549" s="120">
        <v>382.0</v>
      </c>
      <c r="J549" s="111" t="s">
        <v>61</v>
      </c>
      <c r="K549" s="121">
        <v>386.84</v>
      </c>
      <c r="L549" s="120" t="s">
        <v>63</v>
      </c>
      <c r="M549" s="120"/>
      <c r="N549" s="120"/>
      <c r="O549" s="124">
        <v>60700.0</v>
      </c>
      <c r="P549" s="124">
        <v>459.0</v>
      </c>
      <c r="Q549" s="111">
        <v>200.0</v>
      </c>
      <c r="R549" s="125">
        <v>399.0</v>
      </c>
      <c r="S549" s="126">
        <v>0.9695</v>
      </c>
      <c r="T549" s="127">
        <v>75136.25</v>
      </c>
      <c r="U549" s="128">
        <f t="shared" si="2"/>
        <v>0</v>
      </c>
      <c r="V549" s="79"/>
      <c r="W549" s="79"/>
      <c r="X549" s="79"/>
      <c r="Y549" s="130"/>
      <c r="Z549" s="111"/>
      <c r="AA549" s="111"/>
      <c r="AB549" s="133"/>
      <c r="AC549" s="133"/>
      <c r="AD549" s="133"/>
      <c r="AE549" s="133"/>
      <c r="AF549" s="111"/>
      <c r="AG549" s="147"/>
      <c r="AH549" s="73"/>
      <c r="AI549" s="135"/>
      <c r="AJ549" s="136"/>
      <c r="AK549" s="76"/>
      <c r="AL549" s="137"/>
      <c r="AM549" s="139" t="s">
        <v>71</v>
      </c>
      <c r="AN549" s="139">
        <v>459.0</v>
      </c>
      <c r="AO549" s="140">
        <v>159.09</v>
      </c>
      <c r="AP549" s="142">
        <v>60700.0</v>
      </c>
      <c r="AQ549" s="142">
        <v>200.0</v>
      </c>
      <c r="AR549" s="143"/>
      <c r="AS549" s="144">
        <v>0.9530195114818786</v>
      </c>
      <c r="AT549" s="144">
        <v>0.01648048851812145</v>
      </c>
      <c r="AU549" s="146" t="s">
        <v>2154</v>
      </c>
      <c r="AV549" s="146" t="s">
        <v>2154</v>
      </c>
      <c r="AW549" s="148" t="s">
        <v>2154</v>
      </c>
      <c r="AX549" s="151"/>
      <c r="AY549" s="105"/>
      <c r="AZ549" s="186"/>
      <c r="BA549" s="186"/>
      <c r="BB549" s="222"/>
      <c r="BC549" s="45"/>
      <c r="BD549" s="45"/>
      <c r="BE549" s="155"/>
      <c r="BF549" s="45"/>
    </row>
    <row r="550" ht="16.5" customHeight="1">
      <c r="A550" s="111">
        <v>547.0</v>
      </c>
      <c r="B550" s="112" t="s">
        <v>1336</v>
      </c>
      <c r="C550" s="115" t="s">
        <v>60</v>
      </c>
      <c r="D550" s="117">
        <v>42137.0</v>
      </c>
      <c r="E550" s="117">
        <v>42592.0</v>
      </c>
      <c r="F550" s="79" t="s">
        <v>59</v>
      </c>
      <c r="G550" s="118">
        <v>45533.0</v>
      </c>
      <c r="H550" s="114">
        <v>99.9</v>
      </c>
      <c r="I550" s="120">
        <v>385.0</v>
      </c>
      <c r="J550" s="111" t="s">
        <v>62</v>
      </c>
      <c r="K550" s="121">
        <v>385.0</v>
      </c>
      <c r="L550" s="120" t="s">
        <v>63</v>
      </c>
      <c r="M550" s="120"/>
      <c r="N550" s="120"/>
      <c r="O550" s="124">
        <v>45533.0</v>
      </c>
      <c r="P550" s="124">
        <v>456.0</v>
      </c>
      <c r="Q550" s="111">
        <v>207.0</v>
      </c>
      <c r="R550" s="125">
        <v>399.0</v>
      </c>
      <c r="S550" s="126">
        <v>0.9649</v>
      </c>
      <c r="T550" s="127">
        <v>74779.75</v>
      </c>
      <c r="U550" s="128">
        <f t="shared" si="2"/>
        <v>0</v>
      </c>
      <c r="V550" s="79" t="s">
        <v>64</v>
      </c>
      <c r="W550" s="79" t="s">
        <v>69</v>
      </c>
      <c r="X550" s="79" t="s">
        <v>66</v>
      </c>
      <c r="Y550" s="130">
        <v>0.8</v>
      </c>
      <c r="Z550" s="111">
        <v>11.0</v>
      </c>
      <c r="AA550" s="133"/>
      <c r="AB550" s="133"/>
      <c r="AC550" s="133"/>
      <c r="AD550" s="133"/>
      <c r="AE550" s="133"/>
      <c r="AF550" s="111"/>
      <c r="AG550" s="147"/>
      <c r="AH550" s="73"/>
      <c r="AI550" s="135"/>
      <c r="AJ550" s="136"/>
      <c r="AK550" s="76"/>
      <c r="AL550" s="137"/>
      <c r="AM550" s="139" t="s">
        <v>71</v>
      </c>
      <c r="AN550" s="139">
        <v>456.0</v>
      </c>
      <c r="AO550" s="140">
        <v>123.81</v>
      </c>
      <c r="AP550" s="142">
        <v>45533.0</v>
      </c>
      <c r="AQ550" s="142">
        <v>207.0</v>
      </c>
      <c r="AR550" s="143"/>
      <c r="AS550" s="144">
        <v>0.9577624476903874</v>
      </c>
      <c r="AT550" s="144">
        <v>0.007137552309612549</v>
      </c>
      <c r="AU550" s="146" t="s">
        <v>2155</v>
      </c>
      <c r="AV550" s="146" t="s">
        <v>2155</v>
      </c>
      <c r="AW550" s="148" t="s">
        <v>2155</v>
      </c>
      <c r="AX550" s="151"/>
      <c r="AY550" s="105"/>
      <c r="AZ550" s="186"/>
      <c r="BA550" s="186"/>
      <c r="BB550" s="222"/>
      <c r="BC550" s="45"/>
      <c r="BD550" s="45"/>
      <c r="BE550" s="155"/>
      <c r="BF550" s="45"/>
    </row>
    <row r="551" ht="16.5" customHeight="1">
      <c r="A551" s="111">
        <v>548.0</v>
      </c>
      <c r="B551" s="112" t="s">
        <v>1855</v>
      </c>
      <c r="C551" s="115" t="s">
        <v>60</v>
      </c>
      <c r="D551" s="117">
        <v>42137.0</v>
      </c>
      <c r="E551" s="117">
        <v>42603.0</v>
      </c>
      <c r="F551" s="79" t="s">
        <v>90</v>
      </c>
      <c r="G551" s="118">
        <v>27000.0</v>
      </c>
      <c r="H551" s="114">
        <v>57.8</v>
      </c>
      <c r="I551" s="120">
        <v>381.0</v>
      </c>
      <c r="J551" s="111" t="s">
        <v>61</v>
      </c>
      <c r="K551" s="121">
        <v>385.82</v>
      </c>
      <c r="L551" s="120" t="s">
        <v>195</v>
      </c>
      <c r="M551" s="120" t="s">
        <v>281</v>
      </c>
      <c r="N551" s="120">
        <v>2000.0</v>
      </c>
      <c r="O551" s="124">
        <v>25000.0</v>
      </c>
      <c r="P551" s="124">
        <v>432.0</v>
      </c>
      <c r="Q551" s="111">
        <v>221.0</v>
      </c>
      <c r="R551" s="125">
        <v>408.0</v>
      </c>
      <c r="S551" s="126">
        <v>0.9456</v>
      </c>
      <c r="T551" s="127">
        <v>73284.0</v>
      </c>
      <c r="U551" s="128">
        <f t="shared" si="2"/>
        <v>0</v>
      </c>
      <c r="V551" s="79" t="s">
        <v>69</v>
      </c>
      <c r="W551" s="79" t="s">
        <v>69</v>
      </c>
      <c r="X551" s="79" t="s">
        <v>66</v>
      </c>
      <c r="Y551" s="130">
        <v>0.8</v>
      </c>
      <c r="Z551" s="111">
        <v>7.0</v>
      </c>
      <c r="AA551" s="133"/>
      <c r="AB551" s="111" t="s">
        <v>61</v>
      </c>
      <c r="AC551" s="133"/>
      <c r="AD551" s="133"/>
      <c r="AE551" s="133"/>
      <c r="AF551" s="111"/>
      <c r="AG551" s="134" t="s">
        <v>2156</v>
      </c>
      <c r="AH551" s="73"/>
      <c r="AI551" s="135"/>
      <c r="AJ551" s="136"/>
      <c r="AK551" s="76"/>
      <c r="AL551" s="137"/>
      <c r="AM551" s="139" t="s">
        <v>71</v>
      </c>
      <c r="AN551" s="139">
        <v>467.0</v>
      </c>
      <c r="AO551" s="140">
        <v>73.3</v>
      </c>
      <c r="AP551" s="142">
        <v>25000.0</v>
      </c>
      <c r="AQ551" s="142">
        <v>221.0</v>
      </c>
      <c r="AR551" s="143"/>
      <c r="AS551" s="144">
        <v>0.9685573908568149</v>
      </c>
      <c r="AT551" s="144">
        <v>-0.02295739085681492</v>
      </c>
      <c r="AU551" s="146" t="s">
        <v>2157</v>
      </c>
      <c r="AV551" s="146" t="s">
        <v>2157</v>
      </c>
      <c r="AW551" s="148" t="s">
        <v>2157</v>
      </c>
      <c r="AX551" s="151"/>
      <c r="AY551" s="105"/>
      <c r="AZ551" s="186"/>
      <c r="BA551" s="186"/>
      <c r="BB551" s="222"/>
      <c r="BC551" s="45"/>
      <c r="BD551" s="45"/>
      <c r="BE551" s="155"/>
      <c r="BF551" s="45"/>
    </row>
    <row r="552" ht="16.5" customHeight="1">
      <c r="A552" s="111">
        <v>549.0</v>
      </c>
      <c r="B552" s="112" t="s">
        <v>623</v>
      </c>
      <c r="C552" s="115" t="s">
        <v>60</v>
      </c>
      <c r="D552" s="117">
        <v>41794.0</v>
      </c>
      <c r="E552" s="117">
        <v>42587.0</v>
      </c>
      <c r="F552" s="79" t="s">
        <v>59</v>
      </c>
      <c r="G552" s="118">
        <v>123275.0</v>
      </c>
      <c r="H552" s="114">
        <v>155.3</v>
      </c>
      <c r="I552" s="120">
        <v>376.0</v>
      </c>
      <c r="J552" s="111" t="s">
        <v>62</v>
      </c>
      <c r="K552" s="121">
        <v>376.0</v>
      </c>
      <c r="L552" s="120" t="s">
        <v>63</v>
      </c>
      <c r="M552" s="120"/>
      <c r="N552" s="120"/>
      <c r="O552" s="124">
        <v>123275.0</v>
      </c>
      <c r="P552" s="124">
        <v>794.0</v>
      </c>
      <c r="Q552" s="111">
        <v>182.0</v>
      </c>
      <c r="R552" s="125">
        <v>399.0</v>
      </c>
      <c r="S552" s="126">
        <v>0.9424</v>
      </c>
      <c r="T552" s="127">
        <v>73036.0</v>
      </c>
      <c r="U552" s="128">
        <f t="shared" si="2"/>
        <v>0</v>
      </c>
      <c r="V552" s="79" t="s">
        <v>65</v>
      </c>
      <c r="W552" s="79" t="s">
        <v>69</v>
      </c>
      <c r="X552" s="79" t="s">
        <v>69</v>
      </c>
      <c r="Y552" s="130">
        <v>0.9</v>
      </c>
      <c r="Z552" s="111">
        <v>9.0</v>
      </c>
      <c r="AA552" s="133"/>
      <c r="AB552" s="133"/>
      <c r="AC552" s="133"/>
      <c r="AD552" s="133"/>
      <c r="AE552" s="133"/>
      <c r="AF552" s="111"/>
      <c r="AG552" s="134" t="s">
        <v>1378</v>
      </c>
      <c r="AH552" s="73"/>
      <c r="AI552" s="135"/>
      <c r="AJ552" s="136"/>
      <c r="AK552" s="76"/>
      <c r="AL552" s="137"/>
      <c r="AM552" s="139" t="s">
        <v>71</v>
      </c>
      <c r="AN552" s="139">
        <v>794.0</v>
      </c>
      <c r="AO552" s="140">
        <v>298.12</v>
      </c>
      <c r="AP552" s="142">
        <v>123275.0</v>
      </c>
      <c r="AQ552" s="142">
        <v>182.0</v>
      </c>
      <c r="AR552" s="143"/>
      <c r="AS552" s="144">
        <v>0.9410868144842386</v>
      </c>
      <c r="AT552" s="144">
        <v>0.001313185515761428</v>
      </c>
      <c r="AU552" s="146" t="s">
        <v>2160</v>
      </c>
      <c r="AV552" s="146" t="s">
        <v>2160</v>
      </c>
      <c r="AW552" s="148" t="s">
        <v>2160</v>
      </c>
      <c r="AX552" s="151"/>
      <c r="AY552" s="105"/>
      <c r="AZ552" s="186"/>
      <c r="BA552" s="186"/>
      <c r="BB552" s="222"/>
      <c r="BC552" s="45"/>
      <c r="BD552" s="45"/>
      <c r="BE552" s="155"/>
      <c r="BF552" s="45"/>
    </row>
    <row r="553" ht="16.5" customHeight="1">
      <c r="A553" s="111">
        <v>550.0</v>
      </c>
      <c r="B553" s="112" t="s">
        <v>548</v>
      </c>
      <c r="C553" s="115" t="s">
        <v>60</v>
      </c>
      <c r="D553" s="117">
        <v>41631.0</v>
      </c>
      <c r="E553" s="117">
        <v>42605.0</v>
      </c>
      <c r="F553" s="79" t="s">
        <v>79</v>
      </c>
      <c r="G553" s="118">
        <v>84561.0</v>
      </c>
      <c r="H553" s="114">
        <v>86.7</v>
      </c>
      <c r="I553" s="120">
        <v>381.0</v>
      </c>
      <c r="J553" s="111" t="s">
        <v>61</v>
      </c>
      <c r="K553" s="121">
        <v>385.82</v>
      </c>
      <c r="L553" s="120" t="s">
        <v>63</v>
      </c>
      <c r="M553" s="120"/>
      <c r="N553" s="120"/>
      <c r="O553" s="124">
        <v>84561.0</v>
      </c>
      <c r="P553" s="124">
        <v>975.0</v>
      </c>
      <c r="Q553" s="111">
        <v>225.0</v>
      </c>
      <c r="R553" s="125">
        <v>399.0</v>
      </c>
      <c r="S553" s="126">
        <v>0.967</v>
      </c>
      <c r="T553" s="127">
        <v>74942.5</v>
      </c>
      <c r="U553" s="128">
        <f t="shared" si="2"/>
        <v>0</v>
      </c>
      <c r="V553" s="79" t="s">
        <v>65</v>
      </c>
      <c r="W553" s="79" t="s">
        <v>64</v>
      </c>
      <c r="X553" s="79" t="s">
        <v>64</v>
      </c>
      <c r="Y553" s="130">
        <v>0.9</v>
      </c>
      <c r="Z553" s="111">
        <v>11.0</v>
      </c>
      <c r="AA553" s="111">
        <v>396.0</v>
      </c>
      <c r="AB553" s="111" t="s">
        <v>61</v>
      </c>
      <c r="AC553" s="133"/>
      <c r="AD553" s="133"/>
      <c r="AE553" s="133"/>
      <c r="AF553" s="111"/>
      <c r="AG553" s="147"/>
      <c r="AH553" s="73"/>
      <c r="AI553" s="135"/>
      <c r="AJ553" s="136"/>
      <c r="AK553" s="76"/>
      <c r="AL553" s="137"/>
      <c r="AM553" s="139">
        <v>401.0</v>
      </c>
      <c r="AN553" s="139">
        <v>975.0</v>
      </c>
      <c r="AO553" s="140">
        <v>249.66</v>
      </c>
      <c r="AP553" s="142">
        <v>84561.0</v>
      </c>
      <c r="AQ553" s="142">
        <v>225.0</v>
      </c>
      <c r="AR553" s="143"/>
      <c r="AS553" s="144">
        <v>0.9477563511237751</v>
      </c>
      <c r="AT553" s="144">
        <v>0.019243648876224873</v>
      </c>
      <c r="AU553" s="146" t="s">
        <v>2162</v>
      </c>
      <c r="AV553" s="146" t="s">
        <v>2162</v>
      </c>
      <c r="AW553" s="148" t="s">
        <v>2162</v>
      </c>
      <c r="AX553" s="151"/>
      <c r="AY553" s="105"/>
      <c r="AZ553" s="186"/>
      <c r="BA553" s="186"/>
      <c r="BB553" s="222"/>
      <c r="BC553" s="45"/>
      <c r="BD553" s="45"/>
      <c r="BE553" s="155"/>
      <c r="BF553" s="45"/>
    </row>
    <row r="554" ht="16.5" customHeight="1">
      <c r="A554" s="111">
        <v>551.0</v>
      </c>
      <c r="B554" s="112" t="s">
        <v>1900</v>
      </c>
      <c r="C554" s="115" t="s">
        <v>60</v>
      </c>
      <c r="D554" s="117">
        <v>42249.0</v>
      </c>
      <c r="E554" s="117">
        <v>42605.0</v>
      </c>
      <c r="F554" s="79" t="s">
        <v>79</v>
      </c>
      <c r="G554" s="118">
        <v>20500.0</v>
      </c>
      <c r="H554" s="114">
        <v>57.4</v>
      </c>
      <c r="I554" s="120">
        <v>386.0</v>
      </c>
      <c r="J554" s="111" t="s">
        <v>61</v>
      </c>
      <c r="K554" s="121">
        <v>390.89</v>
      </c>
      <c r="L554" s="120" t="s">
        <v>63</v>
      </c>
      <c r="M554" s="120"/>
      <c r="N554" s="120"/>
      <c r="O554" s="124">
        <v>20500.0</v>
      </c>
      <c r="P554" s="124">
        <v>357.0</v>
      </c>
      <c r="Q554" s="111">
        <v>212.0</v>
      </c>
      <c r="R554" s="125">
        <v>399.0</v>
      </c>
      <c r="S554" s="126">
        <v>0.9797</v>
      </c>
      <c r="T554" s="127">
        <v>75926.75</v>
      </c>
      <c r="U554" s="128">
        <f t="shared" si="2"/>
        <v>0</v>
      </c>
      <c r="V554" s="79" t="s">
        <v>67</v>
      </c>
      <c r="W554" s="79" t="s">
        <v>65</v>
      </c>
      <c r="X554" s="79" t="s">
        <v>66</v>
      </c>
      <c r="Y554" s="130">
        <v>0.8</v>
      </c>
      <c r="Z554" s="111">
        <v>11.0</v>
      </c>
      <c r="AA554" s="111">
        <v>398.0</v>
      </c>
      <c r="AB554" s="111" t="s">
        <v>61</v>
      </c>
      <c r="AC554" s="133"/>
      <c r="AD554" s="133"/>
      <c r="AE554" s="133"/>
      <c r="AF554" s="111"/>
      <c r="AG554" s="147"/>
      <c r="AH554" s="73"/>
      <c r="AI554" s="135"/>
      <c r="AJ554" s="136"/>
      <c r="AK554" s="76"/>
      <c r="AL554" s="137"/>
      <c r="AM554" s="139">
        <v>403.0</v>
      </c>
      <c r="AN554" s="139">
        <v>357.0</v>
      </c>
      <c r="AO554" s="140">
        <v>56.67</v>
      </c>
      <c r="AP554" s="142">
        <v>20500.0</v>
      </c>
      <c r="AQ554" s="142">
        <v>212.0</v>
      </c>
      <c r="AR554" s="143"/>
      <c r="AS554" s="144">
        <v>0.9721522382493337</v>
      </c>
      <c r="AT554" s="144">
        <v>0.007547761750666293</v>
      </c>
      <c r="AU554" s="146" t="s">
        <v>2164</v>
      </c>
      <c r="AV554" s="146" t="s">
        <v>2164</v>
      </c>
      <c r="AW554" s="148" t="s">
        <v>2164</v>
      </c>
      <c r="AX554" s="151"/>
      <c r="AY554" s="105"/>
      <c r="AZ554" s="186"/>
      <c r="BA554" s="186"/>
      <c r="BB554" s="222"/>
      <c r="BC554" s="45"/>
      <c r="BD554" s="45"/>
      <c r="BE554" s="155"/>
      <c r="BF554" s="45"/>
    </row>
    <row r="555" ht="16.5" customHeight="1">
      <c r="A555" s="111">
        <v>552.0</v>
      </c>
      <c r="B555" s="112" t="s">
        <v>1095</v>
      </c>
      <c r="C555" s="115" t="s">
        <v>60</v>
      </c>
      <c r="D555" s="117">
        <v>41950.0</v>
      </c>
      <c r="E555" s="117">
        <v>42599.0</v>
      </c>
      <c r="F555" s="79" t="s">
        <v>59</v>
      </c>
      <c r="G555" s="118">
        <v>40200.0</v>
      </c>
      <c r="H555" s="114">
        <v>61.8</v>
      </c>
      <c r="I555" s="120">
        <v>389.0</v>
      </c>
      <c r="J555" s="111" t="s">
        <v>62</v>
      </c>
      <c r="K555" s="121">
        <v>389.0</v>
      </c>
      <c r="L555" s="120" t="s">
        <v>63</v>
      </c>
      <c r="M555" s="120"/>
      <c r="N555" s="120"/>
      <c r="O555" s="124">
        <v>40200.0</v>
      </c>
      <c r="P555" s="124">
        <v>650.0</v>
      </c>
      <c r="Q555" s="111">
        <v>193.0</v>
      </c>
      <c r="R555" s="125">
        <v>399.0</v>
      </c>
      <c r="S555" s="126">
        <v>0.9749</v>
      </c>
      <c r="T555" s="127">
        <v>75554.75</v>
      </c>
      <c r="U555" s="128">
        <f t="shared" si="2"/>
        <v>0</v>
      </c>
      <c r="V555" s="79" t="s">
        <v>69</v>
      </c>
      <c r="W555" s="79" t="s">
        <v>66</v>
      </c>
      <c r="X555" s="79" t="s">
        <v>68</v>
      </c>
      <c r="Y555" s="130">
        <v>0.7</v>
      </c>
      <c r="Z555" s="111">
        <v>11.0</v>
      </c>
      <c r="AA555" s="111">
        <v>384.0</v>
      </c>
      <c r="AB555" s="111" t="s">
        <v>62</v>
      </c>
      <c r="AC555" s="133"/>
      <c r="AD555" s="133"/>
      <c r="AE555" s="133"/>
      <c r="AF555" s="111"/>
      <c r="AG555" s="134" t="s">
        <v>111</v>
      </c>
      <c r="AH555" s="73"/>
      <c r="AI555" s="135"/>
      <c r="AJ555" s="136"/>
      <c r="AK555" s="76"/>
      <c r="AL555" s="137"/>
      <c r="AM555" s="139">
        <v>384.0</v>
      </c>
      <c r="AN555" s="139">
        <v>650.0</v>
      </c>
      <c r="AO555" s="140">
        <v>101.41</v>
      </c>
      <c r="AP555" s="142">
        <v>40200.0</v>
      </c>
      <c r="AQ555" s="142">
        <v>193.0</v>
      </c>
      <c r="AR555" s="143"/>
      <c r="AS555" s="144">
        <v>0.9599237880655418</v>
      </c>
      <c r="AT555" s="144">
        <v>0.014976211934458195</v>
      </c>
      <c r="AU555" s="146" t="s">
        <v>2167</v>
      </c>
      <c r="AV555" s="146" t="s">
        <v>2167</v>
      </c>
      <c r="AW555" s="148" t="s">
        <v>2167</v>
      </c>
      <c r="AX555" s="151"/>
      <c r="AY555" s="105"/>
      <c r="AZ555" s="186"/>
      <c r="BA555" s="186"/>
      <c r="BB555" s="222"/>
      <c r="BC555" s="45"/>
      <c r="BD555" s="45"/>
      <c r="BE555" s="155"/>
      <c r="BF555" s="45"/>
    </row>
    <row r="556" ht="16.5" customHeight="1">
      <c r="A556" s="111">
        <v>553.0</v>
      </c>
      <c r="B556" s="112" t="s">
        <v>328</v>
      </c>
      <c r="C556" s="115" t="s">
        <v>60</v>
      </c>
      <c r="D556" s="157">
        <v>41598.0</v>
      </c>
      <c r="E556" s="117">
        <v>42604.0</v>
      </c>
      <c r="F556" s="79" t="s">
        <v>59</v>
      </c>
      <c r="G556" s="118">
        <v>74000.0</v>
      </c>
      <c r="H556" s="114">
        <v>73.5</v>
      </c>
      <c r="I556" s="120">
        <v>381.0</v>
      </c>
      <c r="J556" s="111" t="s">
        <v>62</v>
      </c>
      <c r="K556" s="121">
        <v>381.0</v>
      </c>
      <c r="L556" s="120" t="s">
        <v>63</v>
      </c>
      <c r="M556" s="120"/>
      <c r="N556" s="120"/>
      <c r="O556" s="124">
        <v>74000.0</v>
      </c>
      <c r="P556" s="124">
        <v>1007.0</v>
      </c>
      <c r="Q556" s="111">
        <v>210.0</v>
      </c>
      <c r="R556" s="125">
        <v>399.0</v>
      </c>
      <c r="S556" s="126">
        <v>0.9549</v>
      </c>
      <c r="T556" s="127">
        <v>74004.75</v>
      </c>
      <c r="U556" s="128">
        <f t="shared" si="2"/>
        <v>0</v>
      </c>
      <c r="V556" s="79" t="s">
        <v>65</v>
      </c>
      <c r="W556" s="79" t="s">
        <v>69</v>
      </c>
      <c r="X556" s="79" t="s">
        <v>66</v>
      </c>
      <c r="Y556" s="130">
        <v>0.8</v>
      </c>
      <c r="Z556" s="111">
        <v>9.0</v>
      </c>
      <c r="AA556" s="111">
        <v>392.0</v>
      </c>
      <c r="AB556" s="111" t="s">
        <v>62</v>
      </c>
      <c r="AC556" s="133"/>
      <c r="AD556" s="133"/>
      <c r="AE556" s="133"/>
      <c r="AF556" s="111"/>
      <c r="AG556" s="147"/>
      <c r="AH556" s="73"/>
      <c r="AI556" s="135"/>
      <c r="AJ556" s="136"/>
      <c r="AK556" s="76"/>
      <c r="AL556" s="137"/>
      <c r="AM556" s="139">
        <v>392.0</v>
      </c>
      <c r="AN556" s="139">
        <v>1007.0</v>
      </c>
      <c r="AO556" s="140">
        <v>205.18</v>
      </c>
      <c r="AP556" s="142">
        <v>74000.0</v>
      </c>
      <c r="AQ556" s="142">
        <v>210.0</v>
      </c>
      <c r="AR556" s="143"/>
      <c r="AS556" s="144">
        <v>0.9498827707444166</v>
      </c>
      <c r="AT556" s="144">
        <v>0.005017229255583344</v>
      </c>
      <c r="AU556" s="146" t="s">
        <v>2168</v>
      </c>
      <c r="AV556" s="146" t="s">
        <v>2168</v>
      </c>
      <c r="AW556" s="148" t="s">
        <v>2168</v>
      </c>
      <c r="AX556" s="151"/>
      <c r="AY556" s="105"/>
      <c r="AZ556" s="186"/>
      <c r="BA556" s="186"/>
      <c r="BB556" s="222"/>
      <c r="BC556" s="45"/>
      <c r="BD556" s="45"/>
      <c r="BE556" s="155"/>
      <c r="BF556" s="45"/>
    </row>
    <row r="557" ht="16.5" customHeight="1">
      <c r="A557" s="111">
        <v>554.0</v>
      </c>
      <c r="B557" s="112" t="s">
        <v>1637</v>
      </c>
      <c r="C557" s="115" t="s">
        <v>60</v>
      </c>
      <c r="D557" s="117">
        <v>42235.0</v>
      </c>
      <c r="E557" s="117">
        <v>42609.0</v>
      </c>
      <c r="F557" s="79" t="s">
        <v>118</v>
      </c>
      <c r="G557" s="118">
        <v>53176.0</v>
      </c>
      <c r="H557" s="114">
        <v>141.8</v>
      </c>
      <c r="I557" s="120">
        <v>352.0</v>
      </c>
      <c r="J557" s="111" t="s">
        <v>61</v>
      </c>
      <c r="K557" s="121">
        <v>356.46</v>
      </c>
      <c r="L557" s="120" t="s">
        <v>63</v>
      </c>
      <c r="M557" s="120"/>
      <c r="N557" s="120"/>
      <c r="O557" s="124">
        <v>53176.0</v>
      </c>
      <c r="P557" s="124">
        <v>375.0</v>
      </c>
      <c r="Q557" s="111">
        <v>206.0</v>
      </c>
      <c r="R557" s="125">
        <v>365.0</v>
      </c>
      <c r="S557" s="126">
        <v>0.9766</v>
      </c>
      <c r="T557" s="127">
        <v>67190.08</v>
      </c>
      <c r="U557" s="128">
        <f t="shared" si="2"/>
        <v>0</v>
      </c>
      <c r="V557" s="79" t="s">
        <v>127</v>
      </c>
      <c r="W557" s="79" t="s">
        <v>64</v>
      </c>
      <c r="X557" s="79" t="s">
        <v>65</v>
      </c>
      <c r="Y557" s="130">
        <v>0.8</v>
      </c>
      <c r="Z557" s="111">
        <v>11.0</v>
      </c>
      <c r="AA557" s="111">
        <v>360.0</v>
      </c>
      <c r="AB557" s="111" t="s">
        <v>61</v>
      </c>
      <c r="AC557" s="133"/>
      <c r="AD557" s="133"/>
      <c r="AE557" s="133"/>
      <c r="AF557" s="111"/>
      <c r="AG557" s="147"/>
      <c r="AH557" s="73"/>
      <c r="AI557" s="135"/>
      <c r="AJ557" s="136"/>
      <c r="AK557" s="76"/>
      <c r="AL557" s="137"/>
      <c r="AM557" s="139">
        <v>365.0</v>
      </c>
      <c r="AN557" s="139">
        <v>375.0</v>
      </c>
      <c r="AO557" s="140">
        <v>161.12</v>
      </c>
      <c r="AP557" s="142">
        <v>53176.0</v>
      </c>
      <c r="AQ557" s="142">
        <v>206.0</v>
      </c>
      <c r="AR557" s="143"/>
      <c r="AS557" s="144">
        <v>0.95516268338172</v>
      </c>
      <c r="AT557" s="144">
        <v>0.021437316618280078</v>
      </c>
      <c r="AU557" s="146" t="s">
        <v>2169</v>
      </c>
      <c r="AV557" s="146" t="s">
        <v>2169</v>
      </c>
      <c r="AW557" s="148" t="s">
        <v>2169</v>
      </c>
      <c r="AX557" s="151"/>
      <c r="AY557" s="105"/>
      <c r="AZ557" s="186"/>
      <c r="BA557" s="186"/>
      <c r="BB557" s="222"/>
      <c r="BC557" s="45"/>
      <c r="BD557" s="45"/>
      <c r="BE557" s="155"/>
      <c r="BF557" s="45"/>
    </row>
    <row r="558" ht="16.5" customHeight="1">
      <c r="A558" s="111">
        <v>555.0</v>
      </c>
      <c r="B558" s="112" t="s">
        <v>1858</v>
      </c>
      <c r="C558" s="115" t="s">
        <v>60</v>
      </c>
      <c r="D558" s="117">
        <v>42439.0</v>
      </c>
      <c r="E558" s="117">
        <v>42611.0</v>
      </c>
      <c r="F558" s="79" t="s">
        <v>305</v>
      </c>
      <c r="G558" s="118">
        <v>20000.0</v>
      </c>
      <c r="H558" s="114">
        <v>115.6</v>
      </c>
      <c r="I558" s="120">
        <v>447.0</v>
      </c>
      <c r="J558" s="111" t="s">
        <v>61</v>
      </c>
      <c r="K558" s="121">
        <v>452.66</v>
      </c>
      <c r="L558" s="120" t="s">
        <v>63</v>
      </c>
      <c r="M558" s="120"/>
      <c r="N558" s="120"/>
      <c r="O558" s="124">
        <v>20000.0</v>
      </c>
      <c r="P558" s="124">
        <v>173.0</v>
      </c>
      <c r="Q558" s="159">
        <v>218.0</v>
      </c>
      <c r="R558" s="125">
        <v>452.0</v>
      </c>
      <c r="S558" s="126">
        <v>1.0015</v>
      </c>
      <c r="T558" s="127">
        <v>81922.70000000001</v>
      </c>
      <c r="U558" s="128">
        <f t="shared" si="2"/>
        <v>0</v>
      </c>
      <c r="V558" s="79"/>
      <c r="W558" s="79"/>
      <c r="X558" s="79"/>
      <c r="Y558" s="130"/>
      <c r="Z558" s="111"/>
      <c r="AA558" s="133"/>
      <c r="AB558" s="133"/>
      <c r="AC558" s="133"/>
      <c r="AD558" s="133"/>
      <c r="AE558" s="133"/>
      <c r="AF558" s="111"/>
      <c r="AG558" s="147"/>
      <c r="AH558" s="73"/>
      <c r="AI558" s="135"/>
      <c r="AJ558" s="136"/>
      <c r="AK558" s="76"/>
      <c r="AL558" s="137"/>
      <c r="AM558" s="139" t="s">
        <v>71</v>
      </c>
      <c r="AN558" s="139">
        <v>173.0</v>
      </c>
      <c r="AO558" s="140">
        <v>53.27</v>
      </c>
      <c r="AP558" s="142">
        <v>20000.0</v>
      </c>
      <c r="AQ558" s="142">
        <v>218.0</v>
      </c>
      <c r="AR558" s="143"/>
      <c r="AS558" s="144">
        <v>0.9725912061961194</v>
      </c>
      <c r="AT558" s="144">
        <v>0.028908793803880672</v>
      </c>
      <c r="AU558" s="146" t="s">
        <v>2170</v>
      </c>
      <c r="AV558" s="146" t="s">
        <v>2170</v>
      </c>
      <c r="AW558" s="148" t="s">
        <v>2170</v>
      </c>
      <c r="AX558" s="151"/>
      <c r="AY558" s="105"/>
      <c r="AZ558" s="186"/>
      <c r="BA558" s="186"/>
      <c r="BB558" s="222"/>
      <c r="BC558" s="45"/>
      <c r="BD558" s="45"/>
      <c r="BE558" s="155"/>
      <c r="BF558" s="45"/>
    </row>
    <row r="559" ht="16.5" customHeight="1">
      <c r="A559" s="111">
        <v>556.0</v>
      </c>
      <c r="B559" s="112" t="s">
        <v>279</v>
      </c>
      <c r="C559" s="115" t="s">
        <v>60</v>
      </c>
      <c r="D559" s="117">
        <v>41591.0</v>
      </c>
      <c r="E559" s="117">
        <v>42612.0</v>
      </c>
      <c r="F559" s="79" t="s">
        <v>59</v>
      </c>
      <c r="G559" s="118">
        <v>86532.0</v>
      </c>
      <c r="H559" s="114">
        <v>84.7</v>
      </c>
      <c r="I559" s="120">
        <v>383.0</v>
      </c>
      <c r="J559" s="111" t="s">
        <v>61</v>
      </c>
      <c r="K559" s="121">
        <v>387.85</v>
      </c>
      <c r="L559" s="120" t="s">
        <v>195</v>
      </c>
      <c r="M559" s="120" t="s">
        <v>281</v>
      </c>
      <c r="N559" s="120">
        <v>12000.0</v>
      </c>
      <c r="O559" s="124">
        <v>74532.0</v>
      </c>
      <c r="P559" s="124">
        <v>880.0</v>
      </c>
      <c r="Q559" s="111">
        <v>235.0</v>
      </c>
      <c r="R559" s="125">
        <v>399.0</v>
      </c>
      <c r="S559" s="126">
        <v>0.9721</v>
      </c>
      <c r="T559" s="127">
        <v>75337.75</v>
      </c>
      <c r="U559" s="128">
        <f t="shared" si="2"/>
        <v>0</v>
      </c>
      <c r="V559" s="79" t="s">
        <v>65</v>
      </c>
      <c r="W559" s="79" t="s">
        <v>69</v>
      </c>
      <c r="X559" s="79" t="s">
        <v>69</v>
      </c>
      <c r="Y559" s="130">
        <v>0.9</v>
      </c>
      <c r="Z559" s="111">
        <v>11.0</v>
      </c>
      <c r="AA559" s="133"/>
      <c r="AB559" s="133"/>
      <c r="AC559" s="133"/>
      <c r="AD559" s="133"/>
      <c r="AE559" s="133"/>
      <c r="AF559" s="111"/>
      <c r="AG559" s="147"/>
      <c r="AH559" s="73"/>
      <c r="AI559" s="135"/>
      <c r="AJ559" s="136"/>
      <c r="AK559" s="76"/>
      <c r="AL559" s="137"/>
      <c r="AM559" s="139" t="s">
        <v>71</v>
      </c>
      <c r="AN559" s="139">
        <v>1022.0</v>
      </c>
      <c r="AO559" s="140">
        <v>229.23</v>
      </c>
      <c r="AP559" s="142">
        <v>74532.0</v>
      </c>
      <c r="AQ559" s="142">
        <v>235.0</v>
      </c>
      <c r="AR559" s="143"/>
      <c r="AS559" s="144">
        <v>0.9497695725299253</v>
      </c>
      <c r="AT559" s="144">
        <v>0.022330427470074632</v>
      </c>
      <c r="AU559" s="146" t="s">
        <v>2171</v>
      </c>
      <c r="AV559" s="146" t="s">
        <v>2171</v>
      </c>
      <c r="AW559" s="148" t="s">
        <v>2171</v>
      </c>
      <c r="AX559" s="151"/>
      <c r="AY559" s="105"/>
      <c r="AZ559" s="186"/>
      <c r="BA559" s="186"/>
      <c r="BB559" s="222"/>
      <c r="BC559" s="45"/>
      <c r="BD559" s="45"/>
      <c r="BE559" s="155"/>
      <c r="BF559" s="45"/>
    </row>
    <row r="560" ht="16.5" customHeight="1">
      <c r="A560" s="111">
        <v>557.0</v>
      </c>
      <c r="B560" s="112" t="s">
        <v>339</v>
      </c>
      <c r="C560" s="115" t="s">
        <v>60</v>
      </c>
      <c r="D560" s="117">
        <v>41912.0</v>
      </c>
      <c r="E560" s="117">
        <v>42500.0</v>
      </c>
      <c r="F560" s="79" t="s">
        <v>59</v>
      </c>
      <c r="G560" s="118">
        <v>55421.0</v>
      </c>
      <c r="H560" s="114">
        <v>94.1</v>
      </c>
      <c r="I560" s="120">
        <v>367.0</v>
      </c>
      <c r="J560" s="111" t="s">
        <v>61</v>
      </c>
      <c r="K560" s="121">
        <v>371.65</v>
      </c>
      <c r="L560" s="120" t="s">
        <v>63</v>
      </c>
      <c r="M560" s="120"/>
      <c r="N560" s="120"/>
      <c r="O560" s="124">
        <v>55421.0</v>
      </c>
      <c r="P560" s="124">
        <v>589.0</v>
      </c>
      <c r="Q560" s="111">
        <v>258.0</v>
      </c>
      <c r="R560" s="125">
        <v>399.0</v>
      </c>
      <c r="S560" s="126">
        <v>0.9315</v>
      </c>
      <c r="T560" s="127">
        <v>72191.25</v>
      </c>
      <c r="U560" s="128">
        <f t="shared" si="2"/>
        <v>0</v>
      </c>
      <c r="V560" s="79"/>
      <c r="W560" s="79"/>
      <c r="X560" s="79"/>
      <c r="Y560" s="130"/>
      <c r="Z560" s="111"/>
      <c r="AA560" s="133"/>
      <c r="AB560" s="133"/>
      <c r="AC560" s="133"/>
      <c r="AD560" s="133"/>
      <c r="AE560" s="133"/>
      <c r="AF560" s="111"/>
      <c r="AG560" s="147"/>
      <c r="AH560" s="73"/>
      <c r="AI560" s="135"/>
      <c r="AJ560" s="136"/>
      <c r="AK560" s="76"/>
      <c r="AL560" s="137"/>
      <c r="AM560" s="139" t="s">
        <v>71</v>
      </c>
      <c r="AN560" s="139">
        <v>589.0</v>
      </c>
      <c r="AO560" s="140">
        <v>191.07</v>
      </c>
      <c r="AP560" s="142">
        <v>55421.0</v>
      </c>
      <c r="AQ560" s="142">
        <v>258.0</v>
      </c>
      <c r="AR560" s="143"/>
      <c r="AS560" s="144">
        <v>0.9544865062008203</v>
      </c>
      <c r="AT560" s="144">
        <v>-0.022986506200820322</v>
      </c>
      <c r="AU560" s="146" t="s">
        <v>2172</v>
      </c>
      <c r="AV560" s="146" t="s">
        <v>2172</v>
      </c>
      <c r="AW560" s="148" t="s">
        <v>2172</v>
      </c>
      <c r="AX560" s="151"/>
      <c r="AY560" s="105"/>
      <c r="AZ560" s="186"/>
      <c r="BA560" s="186"/>
      <c r="BB560" s="222"/>
      <c r="BC560" s="45"/>
      <c r="BD560" s="45"/>
      <c r="BE560" s="155"/>
      <c r="BF560" s="45"/>
    </row>
    <row r="561" ht="16.5" customHeight="1">
      <c r="A561" s="111">
        <v>558.0</v>
      </c>
      <c r="B561" s="112" t="s">
        <v>339</v>
      </c>
      <c r="C561" s="115" t="s">
        <v>60</v>
      </c>
      <c r="D561" s="117">
        <v>41912.0</v>
      </c>
      <c r="E561" s="117">
        <v>42607.0</v>
      </c>
      <c r="F561" s="79" t="s">
        <v>59</v>
      </c>
      <c r="G561" s="118">
        <v>65833.0</v>
      </c>
      <c r="H561" s="114">
        <v>94.6</v>
      </c>
      <c r="I561" s="120">
        <v>373.0</v>
      </c>
      <c r="J561" s="111" t="s">
        <v>61</v>
      </c>
      <c r="K561" s="121">
        <v>377.72</v>
      </c>
      <c r="L561" s="120" t="s">
        <v>63</v>
      </c>
      <c r="M561" s="120"/>
      <c r="N561" s="120"/>
      <c r="O561" s="124">
        <v>65833.0</v>
      </c>
      <c r="P561" s="124">
        <v>696.0</v>
      </c>
      <c r="Q561" s="111">
        <v>253.0</v>
      </c>
      <c r="R561" s="125">
        <v>399.0</v>
      </c>
      <c r="S561" s="126">
        <v>0.9467</v>
      </c>
      <c r="T561" s="127">
        <v>73369.25</v>
      </c>
      <c r="U561" s="128">
        <f t="shared" si="2"/>
        <v>0</v>
      </c>
      <c r="V561" s="79"/>
      <c r="W561" s="79"/>
      <c r="X561" s="79"/>
      <c r="Y561" s="130"/>
      <c r="Z561" s="111"/>
      <c r="AA561" s="133"/>
      <c r="AB561" s="133"/>
      <c r="AC561" s="133"/>
      <c r="AD561" s="133"/>
      <c r="AE561" s="133"/>
      <c r="AF561" s="111"/>
      <c r="AG561" s="147"/>
      <c r="AH561" s="73"/>
      <c r="AI561" s="135"/>
      <c r="AJ561" s="136"/>
      <c r="AK561" s="76"/>
      <c r="AL561" s="137"/>
      <c r="AM561" s="139" t="s">
        <v>71</v>
      </c>
      <c r="AN561" s="139">
        <v>696.0</v>
      </c>
      <c r="AO561" s="140">
        <v>220.83</v>
      </c>
      <c r="AP561" s="142">
        <v>65833.0</v>
      </c>
      <c r="AQ561" s="142">
        <v>253.0</v>
      </c>
      <c r="AR561" s="143"/>
      <c r="AS561" s="144">
        <v>0.9517290378559112</v>
      </c>
      <c r="AT561" s="144">
        <v>-0.005029037855911245</v>
      </c>
      <c r="AU561" s="146" t="s">
        <v>2173</v>
      </c>
      <c r="AV561" s="146" t="s">
        <v>2173</v>
      </c>
      <c r="AW561" s="148" t="s">
        <v>2173</v>
      </c>
      <c r="AX561" s="151"/>
      <c r="AY561" s="105"/>
      <c r="AZ561" s="186"/>
      <c r="BA561" s="186"/>
      <c r="BB561" s="222"/>
      <c r="BC561" s="45"/>
      <c r="BD561" s="45"/>
      <c r="BE561" s="155"/>
      <c r="BF561" s="45"/>
    </row>
    <row r="562" ht="16.5" customHeight="1">
      <c r="A562" s="111">
        <v>559.0</v>
      </c>
      <c r="B562" s="112" t="s">
        <v>1642</v>
      </c>
      <c r="C562" s="115" t="s">
        <v>60</v>
      </c>
      <c r="D562" s="117">
        <v>42486.0</v>
      </c>
      <c r="E562" s="117">
        <v>42612.0</v>
      </c>
      <c r="F562" s="79" t="s">
        <v>118</v>
      </c>
      <c r="G562" s="118">
        <v>6455.0</v>
      </c>
      <c r="H562" s="114">
        <v>50.8</v>
      </c>
      <c r="I562" s="120">
        <v>361.0</v>
      </c>
      <c r="J562" s="111" t="s">
        <v>61</v>
      </c>
      <c r="K562" s="121">
        <v>365.57</v>
      </c>
      <c r="L562" s="120" t="s">
        <v>63</v>
      </c>
      <c r="M562" s="120"/>
      <c r="N562" s="120"/>
      <c r="O562" s="124">
        <v>6455.0</v>
      </c>
      <c r="P562" s="124">
        <v>127.0</v>
      </c>
      <c r="Q562" s="111">
        <v>198.0</v>
      </c>
      <c r="R562" s="125">
        <v>365.0</v>
      </c>
      <c r="S562" s="126">
        <v>1.0016</v>
      </c>
      <c r="T562" s="127">
        <v>68910.08</v>
      </c>
      <c r="U562" s="128">
        <f t="shared" si="2"/>
        <v>0</v>
      </c>
      <c r="V562" s="79"/>
      <c r="W562" s="79"/>
      <c r="X562" s="79"/>
      <c r="Y562" s="130"/>
      <c r="Z562" s="111"/>
      <c r="AA562" s="133"/>
      <c r="AB562" s="133"/>
      <c r="AC562" s="133"/>
      <c r="AD562" s="133"/>
      <c r="AE562" s="133"/>
      <c r="AF562" s="111"/>
      <c r="AG562" s="147"/>
      <c r="AH562" s="73"/>
      <c r="AI562" s="135"/>
      <c r="AJ562" s="136"/>
      <c r="AK562" s="76"/>
      <c r="AL562" s="137"/>
      <c r="AM562" s="139" t="s">
        <v>71</v>
      </c>
      <c r="AN562" s="139">
        <v>127.0</v>
      </c>
      <c r="AO562" s="140">
        <v>18.57</v>
      </c>
      <c r="AP562" s="142">
        <v>6455.0</v>
      </c>
      <c r="AQ562" s="142">
        <v>198.0</v>
      </c>
      <c r="AR562" s="143"/>
      <c r="AS562" s="144">
        <v>0.988553710377042</v>
      </c>
      <c r="AT562" s="144">
        <v>0.013046289622958063</v>
      </c>
      <c r="AU562" s="146" t="s">
        <v>2174</v>
      </c>
      <c r="AV562" s="146" t="s">
        <v>2174</v>
      </c>
      <c r="AW562" s="148" t="s">
        <v>2174</v>
      </c>
      <c r="AX562" s="151"/>
      <c r="AY562" s="105"/>
      <c r="AZ562" s="186"/>
      <c r="BA562" s="186"/>
      <c r="BB562" s="222"/>
      <c r="BC562" s="45"/>
      <c r="BD562" s="45"/>
      <c r="BE562" s="155"/>
      <c r="BF562" s="45"/>
    </row>
    <row r="563" ht="16.5" customHeight="1">
      <c r="A563" s="111">
        <v>560.0</v>
      </c>
      <c r="B563" s="112" t="s">
        <v>1890</v>
      </c>
      <c r="C563" s="115" t="s">
        <v>60</v>
      </c>
      <c r="D563" s="117">
        <v>42477.0</v>
      </c>
      <c r="E563" s="117">
        <v>42614.0</v>
      </c>
      <c r="F563" s="79" t="s">
        <v>118</v>
      </c>
      <c r="G563" s="118">
        <v>4000.0</v>
      </c>
      <c r="H563" s="114">
        <v>29.0</v>
      </c>
      <c r="I563" s="120">
        <v>354.0</v>
      </c>
      <c r="J563" s="111" t="s">
        <v>62</v>
      </c>
      <c r="K563" s="121">
        <v>354.0</v>
      </c>
      <c r="L563" s="120" t="s">
        <v>63</v>
      </c>
      <c r="M563" s="120"/>
      <c r="N563" s="120"/>
      <c r="O563" s="124">
        <v>4000.0</v>
      </c>
      <c r="P563" s="124">
        <v>138.0</v>
      </c>
      <c r="Q563" s="111">
        <v>174.0</v>
      </c>
      <c r="R563" s="125">
        <v>365.0</v>
      </c>
      <c r="S563" s="126">
        <v>0.9699</v>
      </c>
      <c r="T563" s="127">
        <v>66729.12</v>
      </c>
      <c r="U563" s="128">
        <f t="shared" si="2"/>
        <v>0</v>
      </c>
      <c r="V563" s="79" t="s">
        <v>65</v>
      </c>
      <c r="W563" s="79" t="s">
        <v>69</v>
      </c>
      <c r="X563" s="79"/>
      <c r="Y563" s="130">
        <v>0.9</v>
      </c>
      <c r="Z563" s="111"/>
      <c r="AA563" s="111">
        <v>360.0</v>
      </c>
      <c r="AB563" s="111" t="s">
        <v>61</v>
      </c>
      <c r="AC563" s="133"/>
      <c r="AD563" s="133"/>
      <c r="AE563" s="133"/>
      <c r="AF563" s="111"/>
      <c r="AG563" s="147"/>
      <c r="AH563" s="73"/>
      <c r="AI563" s="135"/>
      <c r="AJ563" s="136"/>
      <c r="AK563" s="76"/>
      <c r="AL563" s="137"/>
      <c r="AM563" s="139">
        <v>365.0</v>
      </c>
      <c r="AN563" s="139">
        <v>138.0</v>
      </c>
      <c r="AO563" s="140">
        <v>10.28</v>
      </c>
      <c r="AP563" s="142">
        <v>4000.0</v>
      </c>
      <c r="AQ563" s="142">
        <v>174.0</v>
      </c>
      <c r="AR563" s="143"/>
      <c r="AS563" s="144">
        <v>0.9925377545966686</v>
      </c>
      <c r="AT563" s="144">
        <v>-0.022637754596668613</v>
      </c>
      <c r="AU563" s="146" t="s">
        <v>2175</v>
      </c>
      <c r="AV563" s="146" t="s">
        <v>2175</v>
      </c>
      <c r="AW563" s="148" t="s">
        <v>2175</v>
      </c>
      <c r="AX563" s="151"/>
      <c r="AY563" s="105"/>
      <c r="AZ563" s="186"/>
      <c r="BA563" s="186"/>
      <c r="BB563" s="222"/>
      <c r="BC563" s="45"/>
      <c r="BD563" s="45"/>
      <c r="BE563" s="155"/>
      <c r="BF563" s="45"/>
    </row>
    <row r="564" ht="16.5" customHeight="1">
      <c r="A564" s="111">
        <v>561.0</v>
      </c>
      <c r="B564" s="112" t="s">
        <v>1127</v>
      </c>
      <c r="C564" s="115" t="s">
        <v>60</v>
      </c>
      <c r="D564" s="117">
        <v>42160.0</v>
      </c>
      <c r="E564" s="117">
        <v>42604.0</v>
      </c>
      <c r="F564" s="79" t="s">
        <v>86</v>
      </c>
      <c r="G564" s="118">
        <v>57583.0</v>
      </c>
      <c r="H564" s="114">
        <v>129.4</v>
      </c>
      <c r="I564" s="120">
        <v>413.0</v>
      </c>
      <c r="J564" s="111" t="s">
        <v>61</v>
      </c>
      <c r="K564" s="121">
        <v>418.23</v>
      </c>
      <c r="L564" s="120" t="s">
        <v>63</v>
      </c>
      <c r="M564" s="120"/>
      <c r="N564" s="120"/>
      <c r="O564" s="124">
        <v>57583.0</v>
      </c>
      <c r="P564" s="124">
        <v>445.0</v>
      </c>
      <c r="Q564" s="111">
        <v>211.0</v>
      </c>
      <c r="R564" s="125">
        <v>430.0</v>
      </c>
      <c r="S564" s="126">
        <v>0.9726</v>
      </c>
      <c r="T564" s="127">
        <v>75376.5</v>
      </c>
      <c r="U564" s="128">
        <f t="shared" si="2"/>
        <v>0</v>
      </c>
      <c r="V564" s="79" t="s">
        <v>67</v>
      </c>
      <c r="W564" s="79" t="s">
        <v>64</v>
      </c>
      <c r="X564" s="79" t="s">
        <v>66</v>
      </c>
      <c r="Y564" s="130">
        <v>0.9</v>
      </c>
      <c r="Z564" s="111">
        <v>11.0</v>
      </c>
      <c r="AA564" s="133"/>
      <c r="AB564" s="133"/>
      <c r="AC564" s="133"/>
      <c r="AD564" s="133"/>
      <c r="AE564" s="133"/>
      <c r="AF564" s="111"/>
      <c r="AG564" s="147"/>
      <c r="AH564" s="73"/>
      <c r="AI564" s="135"/>
      <c r="AJ564" s="136"/>
      <c r="AK564" s="76"/>
      <c r="AL564" s="137"/>
      <c r="AM564" s="139" t="s">
        <v>71</v>
      </c>
      <c r="AN564" s="139">
        <v>445.0</v>
      </c>
      <c r="AO564" s="140">
        <v>158.97</v>
      </c>
      <c r="AP564" s="142">
        <v>57583.0</v>
      </c>
      <c r="AQ564" s="142">
        <v>211.0</v>
      </c>
      <c r="AR564" s="143"/>
      <c r="AS564" s="144">
        <v>0.9538662587505702</v>
      </c>
      <c r="AT564" s="144">
        <v>0.018733741249429836</v>
      </c>
      <c r="AU564" s="146" t="s">
        <v>2178</v>
      </c>
      <c r="AV564" s="146" t="s">
        <v>2178</v>
      </c>
      <c r="AW564" s="148" t="s">
        <v>2178</v>
      </c>
      <c r="AX564" s="151"/>
      <c r="AY564" s="105"/>
      <c r="AZ564" s="186"/>
      <c r="BA564" s="186"/>
      <c r="BB564" s="222"/>
      <c r="BC564" s="45"/>
      <c r="BD564" s="45"/>
      <c r="BE564" s="155"/>
      <c r="BF564" s="45"/>
    </row>
    <row r="565" ht="16.5" customHeight="1">
      <c r="A565" s="111">
        <v>562.0</v>
      </c>
      <c r="B565" s="112" t="s">
        <v>1827</v>
      </c>
      <c r="C565" s="115" t="s">
        <v>60</v>
      </c>
      <c r="D565" s="117">
        <v>42480.0</v>
      </c>
      <c r="E565" s="117">
        <v>42616.0</v>
      </c>
      <c r="F565" s="79" t="s">
        <v>305</v>
      </c>
      <c r="G565" s="118">
        <v>5444.0</v>
      </c>
      <c r="H565" s="114">
        <v>39.7</v>
      </c>
      <c r="I565" s="120">
        <v>446.0</v>
      </c>
      <c r="J565" s="111" t="s">
        <v>61</v>
      </c>
      <c r="K565" s="121">
        <v>451.65</v>
      </c>
      <c r="L565" s="120" t="s">
        <v>63</v>
      </c>
      <c r="M565" s="120"/>
      <c r="N565" s="120"/>
      <c r="O565" s="124">
        <v>5444.0</v>
      </c>
      <c r="P565" s="124">
        <v>137.0</v>
      </c>
      <c r="Q565" s="111">
        <v>220.0</v>
      </c>
      <c r="R565" s="125">
        <v>452.0</v>
      </c>
      <c r="S565" s="126">
        <v>0.9992</v>
      </c>
      <c r="T565" s="127">
        <v>81734.56</v>
      </c>
      <c r="U565" s="128">
        <f t="shared" si="2"/>
        <v>0</v>
      </c>
      <c r="V565" s="79" t="s">
        <v>64</v>
      </c>
      <c r="W565" s="79" t="s">
        <v>69</v>
      </c>
      <c r="X565" s="79" t="s">
        <v>64</v>
      </c>
      <c r="Y565" s="130">
        <v>0.9</v>
      </c>
      <c r="Z565" s="111">
        <v>11.0</v>
      </c>
      <c r="AA565" s="111">
        <v>455.0</v>
      </c>
      <c r="AB565" s="111" t="s">
        <v>61</v>
      </c>
      <c r="AC565" s="133"/>
      <c r="AD565" s="133"/>
      <c r="AE565" s="133"/>
      <c r="AF565" s="111"/>
      <c r="AG565" s="147"/>
      <c r="AH565" s="73"/>
      <c r="AI565" s="135"/>
      <c r="AJ565" s="136"/>
      <c r="AK565" s="76"/>
      <c r="AL565" s="137"/>
      <c r="AM565" s="139">
        <v>461.0</v>
      </c>
      <c r="AN565" s="139">
        <v>137.0</v>
      </c>
      <c r="AO565" s="140">
        <v>14.65</v>
      </c>
      <c r="AP565" s="142">
        <v>5444.0</v>
      </c>
      <c r="AQ565" s="142">
        <v>220.0</v>
      </c>
      <c r="AR565" s="143"/>
      <c r="AS565" s="144">
        <v>0.990144081752354</v>
      </c>
      <c r="AT565" s="144">
        <v>0.009055918247645955</v>
      </c>
      <c r="AU565" s="146" t="s">
        <v>2181</v>
      </c>
      <c r="AV565" s="146" t="s">
        <v>2181</v>
      </c>
      <c r="AW565" s="148" t="s">
        <v>2181</v>
      </c>
      <c r="AX565" s="151"/>
      <c r="AY565" s="105"/>
      <c r="AZ565" s="186"/>
      <c r="BA565" s="186"/>
      <c r="BB565" s="222"/>
      <c r="BC565" s="45"/>
      <c r="BD565" s="45"/>
      <c r="BE565" s="155"/>
      <c r="BF565" s="45"/>
    </row>
    <row r="566" ht="16.5" customHeight="1">
      <c r="A566" s="111">
        <v>563.0</v>
      </c>
      <c r="B566" s="112" t="s">
        <v>1703</v>
      </c>
      <c r="C566" s="115" t="s">
        <v>60</v>
      </c>
      <c r="D566" s="117">
        <v>42353.0</v>
      </c>
      <c r="E566" s="117">
        <v>42618.0</v>
      </c>
      <c r="F566" s="79" t="s">
        <v>118</v>
      </c>
      <c r="G566" s="118">
        <v>20300.0</v>
      </c>
      <c r="H566" s="114">
        <v>76.3</v>
      </c>
      <c r="I566" s="120">
        <v>359.0</v>
      </c>
      <c r="J566" s="111" t="s">
        <v>61</v>
      </c>
      <c r="K566" s="121">
        <v>363.54</v>
      </c>
      <c r="L566" s="120" t="s">
        <v>63</v>
      </c>
      <c r="M566" s="120"/>
      <c r="N566" s="120"/>
      <c r="O566" s="124">
        <v>20300.0</v>
      </c>
      <c r="P566" s="124">
        <v>266.0</v>
      </c>
      <c r="Q566" s="111">
        <v>205.0</v>
      </c>
      <c r="R566" s="125">
        <v>365.0</v>
      </c>
      <c r="S566" s="126">
        <v>0.996</v>
      </c>
      <c r="T566" s="127">
        <v>68524.8</v>
      </c>
      <c r="U566" s="128">
        <f t="shared" si="2"/>
        <v>0</v>
      </c>
      <c r="V566" s="79" t="s">
        <v>67</v>
      </c>
      <c r="W566" s="79" t="s">
        <v>68</v>
      </c>
      <c r="X566" s="79" t="s">
        <v>68</v>
      </c>
      <c r="Y566" s="130">
        <v>0.9</v>
      </c>
      <c r="Z566" s="111">
        <v>11.0</v>
      </c>
      <c r="AA566" s="111">
        <v>359.0</v>
      </c>
      <c r="AB566" s="111" t="s">
        <v>61</v>
      </c>
      <c r="AC566" s="133"/>
      <c r="AD566" s="133"/>
      <c r="AE566" s="133"/>
      <c r="AF566" s="111"/>
      <c r="AG566" s="147"/>
      <c r="AH566" s="73"/>
      <c r="AI566" s="135"/>
      <c r="AJ566" s="136"/>
      <c r="AK566" s="76"/>
      <c r="AL566" s="137"/>
      <c r="AM566" s="139">
        <v>364.0</v>
      </c>
      <c r="AN566" s="139">
        <v>266.0</v>
      </c>
      <c r="AO566" s="140">
        <v>60.62</v>
      </c>
      <c r="AP566" s="142">
        <v>20300.0</v>
      </c>
      <c r="AQ566" s="142">
        <v>205.0</v>
      </c>
      <c r="AR566" s="143"/>
      <c r="AS566" s="144">
        <v>0.9723268050820869</v>
      </c>
      <c r="AT566" s="144">
        <v>0.023673194917913087</v>
      </c>
      <c r="AU566" s="146" t="s">
        <v>2183</v>
      </c>
      <c r="AV566" s="146" t="s">
        <v>2183</v>
      </c>
      <c r="AW566" s="148" t="s">
        <v>2183</v>
      </c>
      <c r="AX566" s="151"/>
      <c r="AY566" s="105"/>
      <c r="AZ566" s="186"/>
      <c r="BA566" s="186"/>
      <c r="BB566" s="222"/>
      <c r="BC566" s="45"/>
      <c r="BD566" s="45"/>
      <c r="BE566" s="155"/>
      <c r="BF566" s="45"/>
    </row>
    <row r="567" ht="16.5" customHeight="1">
      <c r="A567" s="111">
        <v>564.0</v>
      </c>
      <c r="B567" s="112" t="s">
        <v>1830</v>
      </c>
      <c r="C567" s="115" t="s">
        <v>60</v>
      </c>
      <c r="D567" s="117">
        <v>42347.0</v>
      </c>
      <c r="E567" s="117">
        <v>42619.0</v>
      </c>
      <c r="F567" s="79" t="s">
        <v>305</v>
      </c>
      <c r="G567" s="118">
        <v>48000.0</v>
      </c>
      <c r="H567" s="114">
        <v>175.8</v>
      </c>
      <c r="I567" s="120">
        <v>440.0</v>
      </c>
      <c r="J567" s="111" t="s">
        <v>61</v>
      </c>
      <c r="K567" s="121">
        <v>445.57</v>
      </c>
      <c r="L567" s="120" t="s">
        <v>63</v>
      </c>
      <c r="M567" s="120"/>
      <c r="N567" s="120"/>
      <c r="O567" s="124">
        <v>48000.0</v>
      </c>
      <c r="P567" s="124">
        <v>273.0</v>
      </c>
      <c r="Q567" s="159">
        <v>218.0</v>
      </c>
      <c r="R567" s="125">
        <v>452.0</v>
      </c>
      <c r="S567" s="126">
        <v>0.9858</v>
      </c>
      <c r="T567" s="127">
        <v>80638.44</v>
      </c>
      <c r="U567" s="128">
        <f t="shared" si="2"/>
        <v>0</v>
      </c>
      <c r="V567" s="79" t="s">
        <v>127</v>
      </c>
      <c r="W567" s="79" t="s">
        <v>64</v>
      </c>
      <c r="X567" s="79" t="s">
        <v>65</v>
      </c>
      <c r="Y567" s="130">
        <v>0.8</v>
      </c>
      <c r="Z567" s="111">
        <v>11.0</v>
      </c>
      <c r="AA567" s="133"/>
      <c r="AB567" s="133"/>
      <c r="AC567" s="133"/>
      <c r="AD567" s="133"/>
      <c r="AE567" s="133"/>
      <c r="AF567" s="111"/>
      <c r="AG567" s="147"/>
      <c r="AH567" s="73"/>
      <c r="AI567" s="135"/>
      <c r="AJ567" s="136"/>
      <c r="AK567" s="76"/>
      <c r="AL567" s="137"/>
      <c r="AM567" s="139" t="s">
        <v>71</v>
      </c>
      <c r="AN567" s="139">
        <v>273.0</v>
      </c>
      <c r="AO567" s="140">
        <v>128.85</v>
      </c>
      <c r="AP567" s="142">
        <v>48000.0</v>
      </c>
      <c r="AQ567" s="142">
        <v>218.0</v>
      </c>
      <c r="AR567" s="143"/>
      <c r="AS567" s="144">
        <v>0.9568668907632519</v>
      </c>
      <c r="AT567" s="144">
        <v>0.028933109236748078</v>
      </c>
      <c r="AU567" s="146" t="s">
        <v>2185</v>
      </c>
      <c r="AV567" s="146" t="s">
        <v>2185</v>
      </c>
      <c r="AW567" s="148" t="s">
        <v>2185</v>
      </c>
      <c r="AX567" s="151"/>
      <c r="AY567" s="105"/>
      <c r="AZ567" s="186"/>
      <c r="BA567" s="186"/>
      <c r="BB567" s="222"/>
      <c r="BC567" s="45"/>
      <c r="BD567" s="45"/>
      <c r="BE567" s="155"/>
      <c r="BF567" s="45"/>
    </row>
    <row r="568" ht="16.5" customHeight="1">
      <c r="A568" s="111">
        <v>565.0</v>
      </c>
      <c r="B568" s="112" t="s">
        <v>1493</v>
      </c>
      <c r="C568" s="115" t="s">
        <v>60</v>
      </c>
      <c r="D568" s="117">
        <v>41629.0</v>
      </c>
      <c r="E568" s="117">
        <v>42619.0</v>
      </c>
      <c r="F568" s="79" t="s">
        <v>59</v>
      </c>
      <c r="G568" s="118">
        <v>89000.0</v>
      </c>
      <c r="H568" s="114">
        <v>89.8</v>
      </c>
      <c r="I568" s="120">
        <v>372.0</v>
      </c>
      <c r="J568" s="111" t="s">
        <v>62</v>
      </c>
      <c r="K568" s="121">
        <v>372.0</v>
      </c>
      <c r="L568" s="120" t="s">
        <v>63</v>
      </c>
      <c r="M568" s="120"/>
      <c r="N568" s="120"/>
      <c r="O568" s="124">
        <v>89000.0</v>
      </c>
      <c r="P568" s="124">
        <v>991.0</v>
      </c>
      <c r="Q568" s="111">
        <v>211.0</v>
      </c>
      <c r="R568" s="125">
        <v>399.0</v>
      </c>
      <c r="S568" s="126">
        <v>0.9323</v>
      </c>
      <c r="T568" s="127">
        <v>72253.25</v>
      </c>
      <c r="U568" s="128">
        <f t="shared" si="2"/>
        <v>0</v>
      </c>
      <c r="V568" s="79" t="s">
        <v>67</v>
      </c>
      <c r="W568" s="79" t="s">
        <v>64</v>
      </c>
      <c r="X568" s="79" t="s">
        <v>66</v>
      </c>
      <c r="Y568" s="130">
        <v>0.8</v>
      </c>
      <c r="Z568" s="111">
        <v>11.0</v>
      </c>
      <c r="AA568" s="133"/>
      <c r="AB568" s="133"/>
      <c r="AC568" s="133"/>
      <c r="AD568" s="133"/>
      <c r="AE568" s="133"/>
      <c r="AF568" s="111"/>
      <c r="AG568" s="147"/>
      <c r="AH568" s="73"/>
      <c r="AI568" s="135"/>
      <c r="AJ568" s="136"/>
      <c r="AK568" s="76"/>
      <c r="AL568" s="137"/>
      <c r="AM568" s="139" t="s">
        <v>71</v>
      </c>
      <c r="AN568" s="139">
        <v>991.0</v>
      </c>
      <c r="AO568" s="140">
        <v>250.84</v>
      </c>
      <c r="AP568" s="142">
        <v>89000.0</v>
      </c>
      <c r="AQ568" s="142">
        <v>211.0</v>
      </c>
      <c r="AR568" s="143"/>
      <c r="AS568" s="144">
        <v>0.9469233214183587</v>
      </c>
      <c r="AT568" s="144">
        <v>-0.014623321418358648</v>
      </c>
      <c r="AU568" s="146" t="s">
        <v>2186</v>
      </c>
      <c r="AV568" s="146" t="s">
        <v>2186</v>
      </c>
      <c r="AW568" s="148" t="s">
        <v>2186</v>
      </c>
      <c r="AX568" s="151"/>
      <c r="AY568" s="105"/>
      <c r="AZ568" s="186"/>
      <c r="BA568" s="186"/>
      <c r="BB568" s="222"/>
      <c r="BC568" s="45"/>
      <c r="BD568" s="45"/>
      <c r="BE568" s="155"/>
      <c r="BF568" s="45"/>
    </row>
    <row r="569" ht="16.5" customHeight="1">
      <c r="A569" s="111">
        <v>566.0</v>
      </c>
      <c r="B569" s="112" t="s">
        <v>449</v>
      </c>
      <c r="C569" s="115" t="s">
        <v>60</v>
      </c>
      <c r="D569" s="117">
        <v>41598.0</v>
      </c>
      <c r="E569" s="117">
        <v>42619.0</v>
      </c>
      <c r="F569" s="79" t="s">
        <v>59</v>
      </c>
      <c r="G569" s="118">
        <v>152250.0</v>
      </c>
      <c r="H569" s="114">
        <v>149.0</v>
      </c>
      <c r="I569" s="120">
        <v>382.0</v>
      </c>
      <c r="J569" s="111" t="s">
        <v>62</v>
      </c>
      <c r="K569" s="121">
        <v>382.0</v>
      </c>
      <c r="L569" s="120" t="s">
        <v>63</v>
      </c>
      <c r="M569" s="120"/>
      <c r="N569" s="120"/>
      <c r="O569" s="124">
        <v>152250.0</v>
      </c>
      <c r="P569" s="124">
        <v>1022.0</v>
      </c>
      <c r="Q569" s="111">
        <v>185.0</v>
      </c>
      <c r="R569" s="125">
        <v>399.0</v>
      </c>
      <c r="S569" s="126">
        <v>0.9574</v>
      </c>
      <c r="T569" s="127">
        <v>74198.5</v>
      </c>
      <c r="U569" s="128">
        <f t="shared" si="2"/>
        <v>0</v>
      </c>
      <c r="V569" s="79" t="s">
        <v>80</v>
      </c>
      <c r="W569" s="79" t="s">
        <v>69</v>
      </c>
      <c r="X569" s="79" t="s">
        <v>66</v>
      </c>
      <c r="Y569" s="130">
        <v>0.7</v>
      </c>
      <c r="Z569" s="111">
        <v>11.0</v>
      </c>
      <c r="AA569" s="133"/>
      <c r="AB569" s="133"/>
      <c r="AC569" s="133"/>
      <c r="AD569" s="133"/>
      <c r="AE569" s="133"/>
      <c r="AF569" s="111"/>
      <c r="AG569" s="147"/>
      <c r="AH569" s="73"/>
      <c r="AI569" s="135"/>
      <c r="AJ569" s="136"/>
      <c r="AK569" s="76"/>
      <c r="AL569" s="137"/>
      <c r="AM569" s="139" t="s">
        <v>71</v>
      </c>
      <c r="AN569" s="139">
        <v>1022.0</v>
      </c>
      <c r="AO569" s="140">
        <v>371.39</v>
      </c>
      <c r="AP569" s="142">
        <v>152250.0</v>
      </c>
      <c r="AQ569" s="142">
        <v>185.0</v>
      </c>
      <c r="AR569" s="143"/>
      <c r="AS569" s="144">
        <v>0.936469186841512</v>
      </c>
      <c r="AT569" s="144">
        <v>0.020930813158487993</v>
      </c>
      <c r="AU569" s="146" t="s">
        <v>2187</v>
      </c>
      <c r="AV569" s="146" t="s">
        <v>2187</v>
      </c>
      <c r="AW569" s="148" t="s">
        <v>2187</v>
      </c>
      <c r="AX569" s="151"/>
      <c r="AY569" s="105"/>
      <c r="AZ569" s="186"/>
      <c r="BA569" s="186"/>
      <c r="BB569" s="222"/>
      <c r="BC569" s="45"/>
      <c r="BD569" s="45"/>
      <c r="BE569" s="155"/>
      <c r="BF569" s="45"/>
    </row>
    <row r="570" ht="16.5" customHeight="1">
      <c r="A570" s="111">
        <v>567.0</v>
      </c>
      <c r="B570" s="112" t="s">
        <v>1902</v>
      </c>
      <c r="C570" s="115" t="s">
        <v>60</v>
      </c>
      <c r="D570" s="117">
        <v>42489.0</v>
      </c>
      <c r="E570" s="117">
        <v>42620.0</v>
      </c>
      <c r="F570" s="79" t="s">
        <v>118</v>
      </c>
      <c r="G570" s="118">
        <v>10000.0</v>
      </c>
      <c r="H570" s="114">
        <v>75.8</v>
      </c>
      <c r="I570" s="120">
        <v>365.0</v>
      </c>
      <c r="J570" s="111" t="s">
        <v>62</v>
      </c>
      <c r="K570" s="121">
        <v>365.0</v>
      </c>
      <c r="L570" s="120" t="s">
        <v>63</v>
      </c>
      <c r="M570" s="120"/>
      <c r="N570" s="120"/>
      <c r="O570" s="124">
        <v>10000.0</v>
      </c>
      <c r="P570" s="124">
        <v>132.0</v>
      </c>
      <c r="Q570" s="111">
        <v>221.0</v>
      </c>
      <c r="R570" s="125">
        <v>365.0</v>
      </c>
      <c r="S570" s="126">
        <v>1.0</v>
      </c>
      <c r="T570" s="127">
        <v>68800.0</v>
      </c>
      <c r="U570" s="128">
        <f t="shared" si="2"/>
        <v>0</v>
      </c>
      <c r="V570" s="79"/>
      <c r="W570" s="79"/>
      <c r="X570" s="79"/>
      <c r="Y570" s="130"/>
      <c r="Z570" s="111"/>
      <c r="AA570" s="133"/>
      <c r="AB570" s="133"/>
      <c r="AC570" s="133"/>
      <c r="AD570" s="133"/>
      <c r="AE570" s="133"/>
      <c r="AF570" s="111"/>
      <c r="AG570" s="147"/>
      <c r="AH570" s="73"/>
      <c r="AI570" s="135"/>
      <c r="AJ570" s="136"/>
      <c r="AK570" s="76"/>
      <c r="AL570" s="137"/>
      <c r="AM570" s="139" t="s">
        <v>71</v>
      </c>
      <c r="AN570" s="139">
        <v>132.0</v>
      </c>
      <c r="AO570" s="140">
        <v>32.13</v>
      </c>
      <c r="AP570" s="142">
        <v>10000.0</v>
      </c>
      <c r="AQ570" s="142">
        <v>221.0</v>
      </c>
      <c r="AR570" s="143"/>
      <c r="AS570" s="144">
        <v>0.9834840425388217</v>
      </c>
      <c r="AT570" s="144">
        <v>0.016515957461178288</v>
      </c>
      <c r="AU570" s="146" t="s">
        <v>2188</v>
      </c>
      <c r="AV570" s="146" t="s">
        <v>2188</v>
      </c>
      <c r="AW570" s="148" t="s">
        <v>2188</v>
      </c>
      <c r="AX570" s="151"/>
      <c r="AY570" s="105"/>
      <c r="AZ570" s="186"/>
      <c r="BA570" s="186"/>
      <c r="BB570" s="222"/>
      <c r="BC570" s="45"/>
      <c r="BD570" s="45"/>
      <c r="BE570" s="155"/>
      <c r="BF570" s="45"/>
    </row>
    <row r="571" ht="16.5" customHeight="1">
      <c r="A571" s="111">
        <v>568.0</v>
      </c>
      <c r="B571" s="112" t="s">
        <v>1874</v>
      </c>
      <c r="C571" s="115" t="s">
        <v>60</v>
      </c>
      <c r="D571" s="117">
        <v>42444.0</v>
      </c>
      <c r="E571" s="117">
        <v>42620.0</v>
      </c>
      <c r="F571" s="79" t="s">
        <v>118</v>
      </c>
      <c r="G571" s="118">
        <v>21045.0</v>
      </c>
      <c r="H571" s="114">
        <v>118.9</v>
      </c>
      <c r="I571" s="120">
        <v>366.0</v>
      </c>
      <c r="J571" s="111" t="s">
        <v>62</v>
      </c>
      <c r="K571" s="121">
        <v>366.0</v>
      </c>
      <c r="L571" s="120" t="s">
        <v>63</v>
      </c>
      <c r="M571" s="120"/>
      <c r="N571" s="120"/>
      <c r="O571" s="124">
        <v>21045.0</v>
      </c>
      <c r="P571" s="124">
        <v>177.0</v>
      </c>
      <c r="Q571" s="159">
        <v>218.0</v>
      </c>
      <c r="R571" s="125">
        <v>365.0</v>
      </c>
      <c r="S571" s="126">
        <v>1.0027</v>
      </c>
      <c r="T571" s="127">
        <v>68985.76</v>
      </c>
      <c r="U571" s="128">
        <f t="shared" si="2"/>
        <v>0</v>
      </c>
      <c r="V571" s="79" t="s">
        <v>65</v>
      </c>
      <c r="W571" s="79" t="s">
        <v>67</v>
      </c>
      <c r="X571" s="79" t="s">
        <v>66</v>
      </c>
      <c r="Y571" s="130">
        <v>0.9</v>
      </c>
      <c r="Z571" s="111">
        <v>11.0</v>
      </c>
      <c r="AA571" s="111">
        <v>360.0</v>
      </c>
      <c r="AB571" s="111" t="s">
        <v>62</v>
      </c>
      <c r="AC571" s="133"/>
      <c r="AD571" s="133"/>
      <c r="AE571" s="133"/>
      <c r="AF571" s="111"/>
      <c r="AG571" s="147"/>
      <c r="AH571" s="73"/>
      <c r="AI571" s="135"/>
      <c r="AJ571" s="136"/>
      <c r="AK571" s="76"/>
      <c r="AL571" s="137"/>
      <c r="AM571" s="139">
        <v>360.0</v>
      </c>
      <c r="AN571" s="139">
        <v>177.0</v>
      </c>
      <c r="AO571" s="140">
        <v>66.6</v>
      </c>
      <c r="AP571" s="142">
        <v>21045.0</v>
      </c>
      <c r="AQ571" s="142">
        <v>218.0</v>
      </c>
      <c r="AR571" s="143"/>
      <c r="AS571" s="144">
        <v>0.9716833359795065</v>
      </c>
      <c r="AT571" s="144">
        <v>0.031016664020493412</v>
      </c>
      <c r="AU571" s="146" t="s">
        <v>2190</v>
      </c>
      <c r="AV571" s="146" t="s">
        <v>2190</v>
      </c>
      <c r="AW571" s="148" t="s">
        <v>2190</v>
      </c>
      <c r="AX571" s="151"/>
      <c r="AY571" s="105"/>
      <c r="AZ571" s="186"/>
      <c r="BA571" s="186"/>
      <c r="BB571" s="222"/>
      <c r="BC571" s="45"/>
      <c r="BD571" s="45"/>
      <c r="BE571" s="155"/>
      <c r="BF571" s="45"/>
    </row>
    <row r="572" ht="16.5" customHeight="1">
      <c r="A572" s="111">
        <v>569.0</v>
      </c>
      <c r="B572" s="112" t="s">
        <v>1726</v>
      </c>
      <c r="C572" s="115" t="s">
        <v>60</v>
      </c>
      <c r="D572" s="117">
        <v>42276.0</v>
      </c>
      <c r="E572" s="117">
        <v>42620.0</v>
      </c>
      <c r="F572" s="79" t="s">
        <v>305</v>
      </c>
      <c r="G572" s="118">
        <v>31865.0</v>
      </c>
      <c r="H572" s="114">
        <v>92.4</v>
      </c>
      <c r="I572" s="120">
        <v>433.0</v>
      </c>
      <c r="J572" s="111" t="s">
        <v>62</v>
      </c>
      <c r="K572" s="121">
        <v>433.0</v>
      </c>
      <c r="L572" s="120" t="s">
        <v>63</v>
      </c>
      <c r="M572" s="120"/>
      <c r="N572" s="120"/>
      <c r="O572" s="124">
        <v>31865.0</v>
      </c>
      <c r="P572" s="124">
        <v>345.0</v>
      </c>
      <c r="Q572" s="111">
        <v>234.0</v>
      </c>
      <c r="R572" s="125">
        <v>452.0</v>
      </c>
      <c r="S572" s="126">
        <v>0.958</v>
      </c>
      <c r="T572" s="127">
        <v>78364.4</v>
      </c>
      <c r="U572" s="128">
        <f t="shared" si="2"/>
        <v>0</v>
      </c>
      <c r="V572" s="79" t="s">
        <v>69</v>
      </c>
      <c r="W572" s="79" t="s">
        <v>69</v>
      </c>
      <c r="X572" s="79" t="s">
        <v>69</v>
      </c>
      <c r="Y572" s="130">
        <v>0.8</v>
      </c>
      <c r="Z572" s="111">
        <v>11.0</v>
      </c>
      <c r="AA572" s="111">
        <v>426.0</v>
      </c>
      <c r="AB572" s="111" t="s">
        <v>61</v>
      </c>
      <c r="AC572" s="133"/>
      <c r="AD572" s="133"/>
      <c r="AE572" s="133"/>
      <c r="AF572" s="111"/>
      <c r="AG572" s="147"/>
      <c r="AH572" s="73"/>
      <c r="AI572" s="135"/>
      <c r="AJ572" s="136"/>
      <c r="AK572" s="76"/>
      <c r="AL572" s="137"/>
      <c r="AM572" s="139">
        <v>431.0</v>
      </c>
      <c r="AN572" s="139">
        <v>345.0</v>
      </c>
      <c r="AO572" s="140">
        <v>93.12</v>
      </c>
      <c r="AP572" s="142">
        <v>31865.0</v>
      </c>
      <c r="AQ572" s="142">
        <v>234.0</v>
      </c>
      <c r="AR572" s="143"/>
      <c r="AS572" s="144">
        <v>0.9641019862779433</v>
      </c>
      <c r="AT572" s="144">
        <v>-0.006101986277943339</v>
      </c>
      <c r="AU572" s="146" t="s">
        <v>2191</v>
      </c>
      <c r="AV572" s="146" t="s">
        <v>2191</v>
      </c>
      <c r="AW572" s="148" t="s">
        <v>2191</v>
      </c>
      <c r="AX572" s="151"/>
      <c r="AY572" s="105"/>
      <c r="AZ572" s="186"/>
      <c r="BA572" s="186"/>
      <c r="BB572" s="222"/>
      <c r="BC572" s="45"/>
      <c r="BD572" s="45"/>
      <c r="BE572" s="155"/>
      <c r="BF572" s="45"/>
    </row>
    <row r="573" ht="16.5" customHeight="1">
      <c r="A573" s="111">
        <v>570.0</v>
      </c>
      <c r="B573" s="112" t="s">
        <v>1823</v>
      </c>
      <c r="C573" s="115" t="s">
        <v>60</v>
      </c>
      <c r="D573" s="117">
        <v>41594.0</v>
      </c>
      <c r="E573" s="117">
        <v>42616.0</v>
      </c>
      <c r="F573" s="79" t="s">
        <v>59</v>
      </c>
      <c r="G573" s="118">
        <v>53756.1</v>
      </c>
      <c r="H573" s="114">
        <v>52.5</v>
      </c>
      <c r="I573" s="120">
        <v>381.0</v>
      </c>
      <c r="J573" s="111" t="s">
        <v>62</v>
      </c>
      <c r="K573" s="121">
        <v>381.0</v>
      </c>
      <c r="L573" s="120" t="s">
        <v>63</v>
      </c>
      <c r="M573" s="120"/>
      <c r="N573" s="120"/>
      <c r="O573" s="124">
        <v>53756.1</v>
      </c>
      <c r="P573" s="124">
        <v>1023.0</v>
      </c>
      <c r="Q573" s="111">
        <v>195.0</v>
      </c>
      <c r="R573" s="125">
        <v>399.0</v>
      </c>
      <c r="S573" s="126">
        <v>0.9549</v>
      </c>
      <c r="T573" s="127">
        <v>74004.75</v>
      </c>
      <c r="U573" s="128">
        <f t="shared" si="2"/>
        <v>0</v>
      </c>
      <c r="V573" s="79" t="s">
        <v>67</v>
      </c>
      <c r="W573" s="79" t="s">
        <v>69</v>
      </c>
      <c r="X573" s="79" t="s">
        <v>66</v>
      </c>
      <c r="Y573" s="130">
        <v>0.9</v>
      </c>
      <c r="Z573" s="111">
        <v>11.0</v>
      </c>
      <c r="AA573" s="133"/>
      <c r="AB573" s="133"/>
      <c r="AC573" s="133"/>
      <c r="AD573" s="133"/>
      <c r="AE573" s="133"/>
      <c r="AF573" s="111"/>
      <c r="AG573" s="134" t="s">
        <v>2011</v>
      </c>
      <c r="AH573" s="73"/>
      <c r="AI573" s="135"/>
      <c r="AJ573" s="136"/>
      <c r="AK573" s="76"/>
      <c r="AL573" s="137"/>
      <c r="AM573" s="139" t="s">
        <v>71</v>
      </c>
      <c r="AN573" s="139">
        <v>1023.0</v>
      </c>
      <c r="AO573" s="140">
        <v>138.42</v>
      </c>
      <c r="AP573" s="142">
        <v>53756.1</v>
      </c>
      <c r="AQ573" s="142">
        <v>195.0</v>
      </c>
      <c r="AR573" s="143"/>
      <c r="AS573" s="144">
        <v>0.9549846339949063</v>
      </c>
      <c r="AT573" s="144">
        <v>-8.463399490632462E-5</v>
      </c>
      <c r="AU573" s="146" t="s">
        <v>2193</v>
      </c>
      <c r="AV573" s="146" t="s">
        <v>2193</v>
      </c>
      <c r="AW573" s="148" t="s">
        <v>2193</v>
      </c>
      <c r="AX573" s="151"/>
      <c r="AY573" s="105"/>
      <c r="AZ573" s="186"/>
      <c r="BA573" s="186"/>
      <c r="BB573" s="222"/>
      <c r="BC573" s="45"/>
      <c r="BD573" s="45"/>
      <c r="BE573" s="155"/>
      <c r="BF573" s="45"/>
    </row>
    <row r="574" ht="16.5" customHeight="1">
      <c r="A574" s="111">
        <v>571.0</v>
      </c>
      <c r="B574" s="112" t="s">
        <v>171</v>
      </c>
      <c r="C574" s="115" t="s">
        <v>60</v>
      </c>
      <c r="D574" s="117">
        <v>41584.0</v>
      </c>
      <c r="E574" s="117">
        <v>42620.0</v>
      </c>
      <c r="F574" s="79" t="s">
        <v>59</v>
      </c>
      <c r="G574" s="118">
        <v>100250.0</v>
      </c>
      <c r="H574" s="114">
        <v>96.7</v>
      </c>
      <c r="I574" s="120">
        <v>375.0</v>
      </c>
      <c r="J574" s="111" t="s">
        <v>62</v>
      </c>
      <c r="K574" s="121">
        <v>375.0</v>
      </c>
      <c r="L574" s="120" t="s">
        <v>63</v>
      </c>
      <c r="M574" s="120"/>
      <c r="N574" s="120"/>
      <c r="O574" s="124">
        <v>100250.0</v>
      </c>
      <c r="P574" s="124">
        <v>1037.0</v>
      </c>
      <c r="Q574" s="111">
        <v>203.0</v>
      </c>
      <c r="R574" s="125">
        <v>399.0</v>
      </c>
      <c r="S574" s="126">
        <v>0.9398</v>
      </c>
      <c r="T574" s="127">
        <v>72834.5</v>
      </c>
      <c r="U574" s="128">
        <f t="shared" si="2"/>
        <v>0</v>
      </c>
      <c r="V574" s="79" t="s">
        <v>69</v>
      </c>
      <c r="W574" s="79" t="s">
        <v>69</v>
      </c>
      <c r="X574" s="79" t="s">
        <v>69</v>
      </c>
      <c r="Y574" s="130">
        <v>0.9</v>
      </c>
      <c r="Z574" s="111"/>
      <c r="AA574" s="133"/>
      <c r="AB574" s="133"/>
      <c r="AC574" s="133"/>
      <c r="AD574" s="133"/>
      <c r="AE574" s="133"/>
      <c r="AF574" s="111"/>
      <c r="AG574" s="147"/>
      <c r="AH574" s="73"/>
      <c r="AI574" s="135"/>
      <c r="AJ574" s="136"/>
      <c r="AK574" s="76"/>
      <c r="AL574" s="137"/>
      <c r="AM574" s="139" t="s">
        <v>71</v>
      </c>
      <c r="AN574" s="139">
        <v>1037.0</v>
      </c>
      <c r="AO574" s="140">
        <v>270.78</v>
      </c>
      <c r="AP574" s="142">
        <v>100250.0</v>
      </c>
      <c r="AQ574" s="142">
        <v>203.0</v>
      </c>
      <c r="AR574" s="143"/>
      <c r="AS574" s="144">
        <v>0.9449187745560703</v>
      </c>
      <c r="AT574" s="144">
        <v>-0.005118774556070349</v>
      </c>
      <c r="AU574" s="146" t="s">
        <v>2195</v>
      </c>
      <c r="AV574" s="146" t="s">
        <v>2195</v>
      </c>
      <c r="AW574" s="148" t="s">
        <v>2195</v>
      </c>
      <c r="AX574" s="151"/>
      <c r="AY574" s="105"/>
      <c r="AZ574" s="186"/>
      <c r="BA574" s="186"/>
      <c r="BB574" s="222"/>
      <c r="BC574" s="45"/>
      <c r="BD574" s="45"/>
      <c r="BE574" s="155"/>
      <c r="BF574" s="45"/>
    </row>
    <row r="575" ht="16.5" customHeight="1">
      <c r="A575" s="111">
        <v>572.0</v>
      </c>
      <c r="B575" s="112" t="s">
        <v>1781</v>
      </c>
      <c r="C575" s="115" t="s">
        <v>60</v>
      </c>
      <c r="D575" s="592">
        <v>42550.0</v>
      </c>
      <c r="E575" s="117">
        <v>42621.0</v>
      </c>
      <c r="F575" s="79" t="s">
        <v>118</v>
      </c>
      <c r="G575" s="118">
        <v>6316.0</v>
      </c>
      <c r="H575" s="114">
        <v>87.7</v>
      </c>
      <c r="I575" s="120">
        <v>357.0</v>
      </c>
      <c r="J575" s="111" t="s">
        <v>61</v>
      </c>
      <c r="K575" s="121">
        <v>361.52</v>
      </c>
      <c r="L575" s="120" t="s">
        <v>63</v>
      </c>
      <c r="M575" s="120"/>
      <c r="N575" s="120"/>
      <c r="O575" s="124">
        <v>6316.0</v>
      </c>
      <c r="P575" s="124">
        <v>72.0</v>
      </c>
      <c r="Q575" s="111">
        <v>181.0</v>
      </c>
      <c r="R575" s="125">
        <v>365.0</v>
      </c>
      <c r="S575" s="126">
        <v>0.9905</v>
      </c>
      <c r="T575" s="127">
        <v>68146.40000000001</v>
      </c>
      <c r="U575" s="128">
        <f t="shared" si="2"/>
        <v>0</v>
      </c>
      <c r="V575" s="79" t="s">
        <v>64</v>
      </c>
      <c r="W575" s="195" t="s">
        <v>65</v>
      </c>
      <c r="X575" s="195" t="s">
        <v>69</v>
      </c>
      <c r="Y575" s="130">
        <v>0.8</v>
      </c>
      <c r="Z575" s="208">
        <v>11.0</v>
      </c>
      <c r="AA575" s="202"/>
      <c r="AB575" s="202"/>
      <c r="AC575" s="133"/>
      <c r="AD575" s="133"/>
      <c r="AE575" s="133"/>
      <c r="AF575" s="111"/>
      <c r="AG575" s="147"/>
      <c r="AH575" s="73"/>
      <c r="AI575" s="135"/>
      <c r="AJ575" s="136"/>
      <c r="AK575" s="76"/>
      <c r="AL575" s="137"/>
      <c r="AM575" s="139" t="s">
        <v>71</v>
      </c>
      <c r="AN575" s="139">
        <v>72.0</v>
      </c>
      <c r="AO575" s="140">
        <v>16.7</v>
      </c>
      <c r="AP575" s="142">
        <v>6316.0</v>
      </c>
      <c r="AQ575" s="142">
        <v>181.0</v>
      </c>
      <c r="AR575" s="143"/>
      <c r="AS575" s="144">
        <v>0.9887683401680395</v>
      </c>
      <c r="AT575" s="144">
        <v>0.0017316598319605525</v>
      </c>
      <c r="AU575" s="146" t="s">
        <v>2196</v>
      </c>
      <c r="AV575" s="146" t="s">
        <v>2196</v>
      </c>
      <c r="AW575" s="148" t="s">
        <v>2196</v>
      </c>
      <c r="AX575" s="151"/>
      <c r="AY575" s="105"/>
      <c r="AZ575" s="186"/>
      <c r="BA575" s="186"/>
      <c r="BB575" s="222"/>
      <c r="BC575" s="45"/>
      <c r="BD575" s="45"/>
      <c r="BE575" s="155"/>
      <c r="BF575" s="45"/>
    </row>
    <row r="576" ht="16.5" customHeight="1">
      <c r="A576" s="111">
        <v>573.0</v>
      </c>
      <c r="B576" s="112" t="s">
        <v>761</v>
      </c>
      <c r="C576" s="115" t="s">
        <v>60</v>
      </c>
      <c r="D576" s="157">
        <v>42097.0</v>
      </c>
      <c r="E576" s="117">
        <v>42622.0</v>
      </c>
      <c r="F576" s="79" t="s">
        <v>90</v>
      </c>
      <c r="G576" s="118">
        <v>32110.0</v>
      </c>
      <c r="H576" s="114">
        <v>61.0</v>
      </c>
      <c r="I576" s="120">
        <v>382.0</v>
      </c>
      <c r="J576" s="111" t="s">
        <v>62</v>
      </c>
      <c r="K576" s="121">
        <v>382.0</v>
      </c>
      <c r="L576" s="120" t="s">
        <v>63</v>
      </c>
      <c r="M576" s="120"/>
      <c r="N576" s="120"/>
      <c r="O576" s="124">
        <v>32110.0</v>
      </c>
      <c r="P576" s="124">
        <v>526.0</v>
      </c>
      <c r="Q576" s="111">
        <v>230.0</v>
      </c>
      <c r="R576" s="125">
        <v>408.0</v>
      </c>
      <c r="S576" s="126">
        <v>0.9363</v>
      </c>
      <c r="T576" s="127">
        <v>72563.25</v>
      </c>
      <c r="U576" s="128">
        <f t="shared" si="2"/>
        <v>0</v>
      </c>
      <c r="V576" s="636" t="s">
        <v>65</v>
      </c>
      <c r="W576" s="636" t="s">
        <v>64</v>
      </c>
      <c r="X576" s="636" t="s">
        <v>66</v>
      </c>
      <c r="Y576" s="130">
        <v>0.7</v>
      </c>
      <c r="Z576" s="639">
        <v>11.0</v>
      </c>
      <c r="AA576" s="133">
        <v>406.0</v>
      </c>
      <c r="AB576" s="133" t="s">
        <v>62</v>
      </c>
      <c r="AC576" s="133"/>
      <c r="AD576" s="133"/>
      <c r="AE576" s="133"/>
      <c r="AF576" s="111"/>
      <c r="AG576" s="134" t="s">
        <v>1899</v>
      </c>
      <c r="AH576" s="73"/>
      <c r="AI576" s="135"/>
      <c r="AJ576" s="136"/>
      <c r="AK576" s="76"/>
      <c r="AL576" s="137"/>
      <c r="AM576" s="139">
        <v>406.0</v>
      </c>
      <c r="AN576" s="139">
        <v>526.0</v>
      </c>
      <c r="AO576" s="140">
        <v>98.45</v>
      </c>
      <c r="AP576" s="142">
        <v>32110.0</v>
      </c>
      <c r="AQ576" s="142">
        <v>230.0</v>
      </c>
      <c r="AR576" s="143"/>
      <c r="AS576" s="144">
        <v>0.9639620599234742</v>
      </c>
      <c r="AT576" s="144">
        <v>-0.027662059923474147</v>
      </c>
      <c r="AU576" s="146" t="s">
        <v>2198</v>
      </c>
      <c r="AV576" s="146" t="s">
        <v>2198</v>
      </c>
      <c r="AW576" s="148" t="s">
        <v>2198</v>
      </c>
      <c r="AX576" s="151"/>
      <c r="AY576" s="105"/>
      <c r="AZ576" s="186"/>
      <c r="BA576" s="186"/>
      <c r="BB576" s="222"/>
      <c r="BC576" s="45"/>
      <c r="BD576" s="45"/>
      <c r="BE576" s="155"/>
      <c r="BF576" s="45"/>
    </row>
    <row r="577" ht="16.5" customHeight="1">
      <c r="A577" s="111">
        <v>574.0</v>
      </c>
      <c r="B577" s="112" t="s">
        <v>1836</v>
      </c>
      <c r="C577" s="115" t="s">
        <v>60</v>
      </c>
      <c r="D577" s="117">
        <v>42432.0</v>
      </c>
      <c r="E577" s="117">
        <v>42624.0</v>
      </c>
      <c r="F577" s="79" t="s">
        <v>86</v>
      </c>
      <c r="G577" s="118">
        <v>20147.0</v>
      </c>
      <c r="H577" s="114">
        <v>104.4</v>
      </c>
      <c r="I577" s="120">
        <v>428.0</v>
      </c>
      <c r="J577" s="111" t="s">
        <v>61</v>
      </c>
      <c r="K577" s="121">
        <v>433.42</v>
      </c>
      <c r="L577" s="120" t="s">
        <v>63</v>
      </c>
      <c r="M577" s="120"/>
      <c r="N577" s="120"/>
      <c r="O577" s="124">
        <v>20147.0</v>
      </c>
      <c r="P577" s="124">
        <v>193.0</v>
      </c>
      <c r="Q577" s="111">
        <v>220.0</v>
      </c>
      <c r="R577" s="125">
        <v>430.0</v>
      </c>
      <c r="S577" s="126">
        <v>1.008</v>
      </c>
      <c r="T577" s="127">
        <v>78120.0</v>
      </c>
      <c r="U577" s="128">
        <f t="shared" si="2"/>
        <v>0</v>
      </c>
      <c r="V577" s="79" t="s">
        <v>64</v>
      </c>
      <c r="W577" s="79" t="s">
        <v>69</v>
      </c>
      <c r="X577" s="79" t="s">
        <v>66</v>
      </c>
      <c r="Y577" s="130">
        <v>0.9</v>
      </c>
      <c r="Z577" s="111">
        <v>11.0</v>
      </c>
      <c r="AA577" s="133"/>
      <c r="AB577" s="133"/>
      <c r="AC577" s="133"/>
      <c r="AD577" s="133"/>
      <c r="AE577" s="133"/>
      <c r="AF577" s="111"/>
      <c r="AG577" s="147"/>
      <c r="AH577" s="73"/>
      <c r="AI577" s="135"/>
      <c r="AJ577" s="136"/>
      <c r="AK577" s="76"/>
      <c r="AL577" s="137"/>
      <c r="AM577" s="139" t="s">
        <v>71</v>
      </c>
      <c r="AN577" s="139">
        <v>193.0</v>
      </c>
      <c r="AO577" s="140">
        <v>56.97</v>
      </c>
      <c r="AP577" s="142">
        <v>20147.0</v>
      </c>
      <c r="AQ577" s="142">
        <v>220.0</v>
      </c>
      <c r="AR577" s="143"/>
      <c r="AS577" s="144">
        <v>0.972461265047705</v>
      </c>
      <c r="AT577" s="144">
        <v>0.03553873495229498</v>
      </c>
      <c r="AU577" s="146" t="s">
        <v>2200</v>
      </c>
      <c r="AV577" s="146" t="s">
        <v>2200</v>
      </c>
      <c r="AW577" s="148" t="s">
        <v>2200</v>
      </c>
      <c r="AX577" s="151"/>
      <c r="AY577" s="105"/>
      <c r="AZ577" s="186"/>
      <c r="BA577" s="186"/>
      <c r="BB577" s="222"/>
      <c r="BC577" s="45"/>
      <c r="BD577" s="45"/>
      <c r="BE577" s="155"/>
      <c r="BF577" s="45"/>
    </row>
    <row r="578" ht="16.5" customHeight="1">
      <c r="A578" s="111">
        <v>575.0</v>
      </c>
      <c r="B578" s="112" t="s">
        <v>541</v>
      </c>
      <c r="C578" s="115" t="s">
        <v>60</v>
      </c>
      <c r="D578" s="117">
        <v>41603.0</v>
      </c>
      <c r="E578" s="117">
        <v>42624.0</v>
      </c>
      <c r="F578" s="79" t="s">
        <v>57</v>
      </c>
      <c r="G578" s="118">
        <v>116148.0</v>
      </c>
      <c r="H578" s="114">
        <v>113.6</v>
      </c>
      <c r="I578" s="120">
        <v>379.0</v>
      </c>
      <c r="J578" s="111" t="s">
        <v>62</v>
      </c>
      <c r="K578" s="121">
        <v>379.0</v>
      </c>
      <c r="L578" s="120" t="s">
        <v>63</v>
      </c>
      <c r="M578" s="120"/>
      <c r="N578" s="120"/>
      <c r="O578" s="124">
        <v>116148.0</v>
      </c>
      <c r="P578" s="124">
        <v>1022.0</v>
      </c>
      <c r="Q578" s="111">
        <v>224.0</v>
      </c>
      <c r="R578" s="125">
        <v>399.0</v>
      </c>
      <c r="S578" s="126">
        <v>0.9499</v>
      </c>
      <c r="T578" s="127">
        <v>73617.25</v>
      </c>
      <c r="U578" s="128">
        <f t="shared" si="2"/>
        <v>0</v>
      </c>
      <c r="V578" s="79" t="s">
        <v>69</v>
      </c>
      <c r="W578" s="79" t="s">
        <v>67</v>
      </c>
      <c r="X578" s="79" t="s">
        <v>64</v>
      </c>
      <c r="Y578" s="130">
        <v>0.9</v>
      </c>
      <c r="Z578" s="111">
        <v>11.0</v>
      </c>
      <c r="AA578" s="111">
        <v>400.0</v>
      </c>
      <c r="AB578" s="133"/>
      <c r="AC578" s="133"/>
      <c r="AD578" s="133"/>
      <c r="AE578" s="133"/>
      <c r="AF578" s="111"/>
      <c r="AG578" s="147"/>
      <c r="AH578" s="73"/>
      <c r="AI578" s="135"/>
      <c r="AJ578" s="136"/>
      <c r="AK578" s="76"/>
      <c r="AL578" s="137"/>
      <c r="AM578" s="139">
        <v>400.0</v>
      </c>
      <c r="AN578" s="139">
        <v>1022.0</v>
      </c>
      <c r="AO578" s="140">
        <v>344.37</v>
      </c>
      <c r="AP578" s="142">
        <v>116148.0</v>
      </c>
      <c r="AQ578" s="142">
        <v>224.0</v>
      </c>
      <c r="AR578" s="143"/>
      <c r="AS578" s="144">
        <v>0.9422482729523838</v>
      </c>
      <c r="AT578" s="144">
        <v>0.007651727047616186</v>
      </c>
      <c r="AU578" s="146" t="s">
        <v>2202</v>
      </c>
      <c r="AV578" s="146" t="s">
        <v>2202</v>
      </c>
      <c r="AW578" s="148" t="s">
        <v>2202</v>
      </c>
      <c r="AX578" s="151"/>
      <c r="AY578" s="105"/>
      <c r="AZ578" s="186"/>
      <c r="BA578" s="186"/>
      <c r="BB578" s="222"/>
      <c r="BC578" s="45"/>
      <c r="BD578" s="45"/>
      <c r="BE578" s="155"/>
      <c r="BF578" s="45"/>
    </row>
    <row r="579" ht="16.5" customHeight="1">
      <c r="A579" s="111">
        <v>576.0</v>
      </c>
      <c r="B579" s="112" t="s">
        <v>376</v>
      </c>
      <c r="C579" s="115" t="s">
        <v>60</v>
      </c>
      <c r="D579" s="117">
        <v>41600.0</v>
      </c>
      <c r="E579" s="117">
        <v>42625.0</v>
      </c>
      <c r="F579" s="79" t="s">
        <v>59</v>
      </c>
      <c r="G579" s="118">
        <v>109248.0</v>
      </c>
      <c r="H579" s="114">
        <v>106.5</v>
      </c>
      <c r="I579" s="120">
        <v>373.0</v>
      </c>
      <c r="J579" s="111" t="s">
        <v>62</v>
      </c>
      <c r="K579" s="121">
        <v>373.0</v>
      </c>
      <c r="L579" s="120" t="s">
        <v>63</v>
      </c>
      <c r="M579" s="120"/>
      <c r="N579" s="120"/>
      <c r="O579" s="124">
        <v>109248.0</v>
      </c>
      <c r="P579" s="124">
        <v>1026.0</v>
      </c>
      <c r="Q579" s="111">
        <v>200.0</v>
      </c>
      <c r="R579" s="125">
        <v>399.0</v>
      </c>
      <c r="S579" s="126">
        <v>0.9348</v>
      </c>
      <c r="T579" s="127">
        <v>72447.0</v>
      </c>
      <c r="U579" s="128">
        <f t="shared" si="2"/>
        <v>0</v>
      </c>
      <c r="V579" s="79" t="s">
        <v>64</v>
      </c>
      <c r="W579" s="79" t="s">
        <v>64</v>
      </c>
      <c r="X579" s="79" t="s">
        <v>68</v>
      </c>
      <c r="Y579" s="130">
        <v>0.9</v>
      </c>
      <c r="Z579" s="111">
        <v>11.0</v>
      </c>
      <c r="AA579" s="111">
        <v>383.0</v>
      </c>
      <c r="AB579" s="111" t="s">
        <v>61</v>
      </c>
      <c r="AC579" s="133"/>
      <c r="AD579" s="133"/>
      <c r="AE579" s="133"/>
      <c r="AF579" s="111"/>
      <c r="AG579" s="147"/>
      <c r="AH579" s="73"/>
      <c r="AI579" s="135"/>
      <c r="AJ579" s="136"/>
      <c r="AK579" s="76"/>
      <c r="AL579" s="137"/>
      <c r="AM579" s="139">
        <v>388.0</v>
      </c>
      <c r="AN579" s="139">
        <v>1026.0</v>
      </c>
      <c r="AO579" s="140">
        <v>291.47</v>
      </c>
      <c r="AP579" s="142">
        <v>109248.0</v>
      </c>
      <c r="AQ579" s="142">
        <v>200.0</v>
      </c>
      <c r="AR579" s="143"/>
      <c r="AS579" s="144">
        <v>0.9433907112966688</v>
      </c>
      <c r="AT579" s="144">
        <v>-0.008590711296668885</v>
      </c>
      <c r="AU579" s="146" t="s">
        <v>2205</v>
      </c>
      <c r="AV579" s="146" t="s">
        <v>2205</v>
      </c>
      <c r="AW579" s="148" t="s">
        <v>2205</v>
      </c>
      <c r="AX579" s="151"/>
      <c r="AY579" s="105"/>
      <c r="AZ579" s="186"/>
      <c r="BA579" s="186"/>
      <c r="BB579" s="222"/>
      <c r="BC579" s="45"/>
      <c r="BD579" s="45"/>
      <c r="BE579" s="155"/>
      <c r="BF579" s="45"/>
    </row>
    <row r="580" ht="16.5" customHeight="1">
      <c r="A580" s="111">
        <v>577.0</v>
      </c>
      <c r="B580" s="112" t="s">
        <v>1878</v>
      </c>
      <c r="C580" s="115" t="s">
        <v>60</v>
      </c>
      <c r="D580" s="117">
        <v>42396.0</v>
      </c>
      <c r="E580" s="117">
        <v>42625.0</v>
      </c>
      <c r="F580" s="79" t="s">
        <v>86</v>
      </c>
      <c r="G580" s="118">
        <v>17500.0</v>
      </c>
      <c r="H580" s="114">
        <v>76.1</v>
      </c>
      <c r="I580" s="120">
        <v>420.0</v>
      </c>
      <c r="J580" s="111" t="s">
        <v>61</v>
      </c>
      <c r="K580" s="121">
        <v>425.32</v>
      </c>
      <c r="L580" s="120" t="s">
        <v>63</v>
      </c>
      <c r="M580" s="120"/>
      <c r="N580" s="120"/>
      <c r="O580" s="124">
        <v>17500.0</v>
      </c>
      <c r="P580" s="124">
        <v>230.0</v>
      </c>
      <c r="Q580" s="111">
        <v>230.0</v>
      </c>
      <c r="R580" s="125">
        <v>430.0</v>
      </c>
      <c r="S580" s="126">
        <v>0.9891</v>
      </c>
      <c r="T580" s="127">
        <v>76655.25</v>
      </c>
      <c r="U580" s="128">
        <f t="shared" si="2"/>
        <v>0</v>
      </c>
      <c r="V580" s="79" t="s">
        <v>67</v>
      </c>
      <c r="W580" s="79" t="s">
        <v>64</v>
      </c>
      <c r="X580" s="79" t="s">
        <v>64</v>
      </c>
      <c r="Y580" s="130">
        <v>0.9</v>
      </c>
      <c r="Z580" s="111"/>
      <c r="AA580" s="133"/>
      <c r="AB580" s="133"/>
      <c r="AC580" s="133"/>
      <c r="AD580" s="133"/>
      <c r="AE580" s="133"/>
      <c r="AF580" s="111"/>
      <c r="AG580" s="147"/>
      <c r="AH580" s="73"/>
      <c r="AI580" s="135"/>
      <c r="AJ580" s="136"/>
      <c r="AK580" s="76"/>
      <c r="AL580" s="137"/>
      <c r="AM580" s="139" t="s">
        <v>71</v>
      </c>
      <c r="AN580" s="139">
        <v>230.0</v>
      </c>
      <c r="AO580" s="140">
        <v>52.23</v>
      </c>
      <c r="AP580" s="142">
        <v>17500.0</v>
      </c>
      <c r="AQ580" s="142">
        <v>230.0</v>
      </c>
      <c r="AR580" s="143"/>
      <c r="AS580" s="144">
        <v>0.9749193923438486</v>
      </c>
      <c r="AT580" s="144">
        <v>0.014180607656151367</v>
      </c>
      <c r="AU580" s="146" t="s">
        <v>2207</v>
      </c>
      <c r="AV580" s="146" t="s">
        <v>2207</v>
      </c>
      <c r="AW580" s="148" t="s">
        <v>2207</v>
      </c>
      <c r="AX580" s="151"/>
      <c r="AY580" s="105"/>
      <c r="AZ580" s="186"/>
      <c r="BA580" s="186"/>
      <c r="BB580" s="222"/>
      <c r="BC580" s="45"/>
      <c r="BD580" s="45"/>
      <c r="BE580" s="155"/>
      <c r="BF580" s="45"/>
    </row>
    <row r="581" ht="16.5" customHeight="1">
      <c r="A581" s="111">
        <v>578.0</v>
      </c>
      <c r="B581" s="112" t="s">
        <v>1685</v>
      </c>
      <c r="C581" s="115" t="s">
        <v>60</v>
      </c>
      <c r="D581" s="117">
        <v>42323.0</v>
      </c>
      <c r="E581" s="117">
        <v>42627.0</v>
      </c>
      <c r="F581" s="79" t="s">
        <v>319</v>
      </c>
      <c r="G581" s="118">
        <v>16667.0</v>
      </c>
      <c r="H581" s="114">
        <v>54.6</v>
      </c>
      <c r="I581" s="120">
        <v>410.0</v>
      </c>
      <c r="J581" s="111" t="s">
        <v>61</v>
      </c>
      <c r="K581" s="121">
        <v>415.19</v>
      </c>
      <c r="L581" s="120" t="s">
        <v>63</v>
      </c>
      <c r="M581" s="120"/>
      <c r="N581" s="120"/>
      <c r="O581" s="124">
        <v>16667.0</v>
      </c>
      <c r="P581" s="124">
        <v>305.0</v>
      </c>
      <c r="Q581" s="111">
        <v>204.0</v>
      </c>
      <c r="R581" s="125">
        <v>425.0</v>
      </c>
      <c r="S581" s="126">
        <v>0.9769</v>
      </c>
      <c r="T581" s="127">
        <v>79910.42</v>
      </c>
      <c r="U581" s="128">
        <f t="shared" si="2"/>
        <v>0</v>
      </c>
      <c r="V581" s="79" t="s">
        <v>69</v>
      </c>
      <c r="W581" s="79" t="s">
        <v>69</v>
      </c>
      <c r="X581" s="79" t="s">
        <v>69</v>
      </c>
      <c r="Y581" s="130">
        <v>0.8</v>
      </c>
      <c r="Z581" s="111"/>
      <c r="AA581" s="111">
        <v>420.0</v>
      </c>
      <c r="AB581" s="111" t="s">
        <v>61</v>
      </c>
      <c r="AC581" s="133"/>
      <c r="AD581" s="133"/>
      <c r="AE581" s="133"/>
      <c r="AF581" s="111"/>
      <c r="AG581" s="155"/>
      <c r="AH581" s="73"/>
      <c r="AI581" s="135"/>
      <c r="AJ581" s="136"/>
      <c r="AK581" s="76"/>
      <c r="AL581" s="137"/>
      <c r="AM581" s="139">
        <v>425.0</v>
      </c>
      <c r="AN581" s="139">
        <v>305.0</v>
      </c>
      <c r="AO581" s="140">
        <v>42.06</v>
      </c>
      <c r="AP581" s="142">
        <v>16667.0</v>
      </c>
      <c r="AQ581" s="142">
        <v>204.0</v>
      </c>
      <c r="AR581" s="143"/>
      <c r="AS581" s="144">
        <v>0.9757475771461552</v>
      </c>
      <c r="AT581" s="144">
        <v>0.001152422853844759</v>
      </c>
      <c r="AU581" s="146" t="s">
        <v>2210</v>
      </c>
      <c r="AV581" s="146" t="s">
        <v>2210</v>
      </c>
      <c r="AW581" s="148" t="s">
        <v>2210</v>
      </c>
      <c r="AX581" s="151"/>
      <c r="AY581" s="105"/>
      <c r="AZ581" s="186"/>
      <c r="BA581" s="186"/>
      <c r="BB581" s="222"/>
      <c r="BC581" s="45"/>
      <c r="BD581" s="45"/>
      <c r="BE581" s="155"/>
      <c r="BF581" s="45"/>
    </row>
    <row r="582" ht="16.5" customHeight="1">
      <c r="A582" s="111">
        <v>579.0</v>
      </c>
      <c r="B582" s="112" t="s">
        <v>126</v>
      </c>
      <c r="C582" s="115" t="s">
        <v>60</v>
      </c>
      <c r="D582" s="117">
        <v>41527.0</v>
      </c>
      <c r="E582" s="117">
        <v>42628.0</v>
      </c>
      <c r="F582" s="79" t="s">
        <v>79</v>
      </c>
      <c r="G582" s="118">
        <v>200000.0</v>
      </c>
      <c r="H582" s="114">
        <v>181.5</v>
      </c>
      <c r="I582" s="120">
        <v>366.0</v>
      </c>
      <c r="J582" s="111" t="s">
        <v>61</v>
      </c>
      <c r="K582" s="121">
        <v>370.63</v>
      </c>
      <c r="L582" s="120" t="s">
        <v>63</v>
      </c>
      <c r="M582" s="120"/>
      <c r="N582" s="120"/>
      <c r="O582" s="124">
        <v>200000.0</v>
      </c>
      <c r="P582" s="124">
        <v>1102.0</v>
      </c>
      <c r="Q582" s="111">
        <v>212.0</v>
      </c>
      <c r="R582" s="125">
        <v>399.0</v>
      </c>
      <c r="S582" s="126">
        <v>0.9289</v>
      </c>
      <c r="T582" s="127">
        <v>71989.75</v>
      </c>
      <c r="U582" s="128">
        <f t="shared" si="2"/>
        <v>0</v>
      </c>
      <c r="V582" s="79" t="s">
        <v>65</v>
      </c>
      <c r="W582" s="79" t="s">
        <v>127</v>
      </c>
      <c r="X582" s="79" t="s">
        <v>69</v>
      </c>
      <c r="Y582" s="130">
        <v>1.0</v>
      </c>
      <c r="Z582" s="111">
        <v>22.0</v>
      </c>
      <c r="AA582" s="111">
        <v>400.0</v>
      </c>
      <c r="AB582" s="111" t="s">
        <v>61</v>
      </c>
      <c r="AC582" s="111">
        <v>366.0</v>
      </c>
      <c r="AD582" s="111">
        <v>275.0</v>
      </c>
      <c r="AE582" s="111">
        <v>17.1</v>
      </c>
      <c r="AF582" s="111" t="s">
        <v>61</v>
      </c>
      <c r="AG582" s="801"/>
      <c r="AH582" s="73">
        <v>91.0</v>
      </c>
      <c r="AI582" s="135">
        <v>92.15189873417722</v>
      </c>
      <c r="AJ582" s="136">
        <v>68.77528392857143</v>
      </c>
      <c r="AK582" s="76">
        <v>0.8874230184331797</v>
      </c>
      <c r="AL582" s="137" t="s">
        <v>2211</v>
      </c>
      <c r="AM582" s="139">
        <v>405.0</v>
      </c>
      <c r="AN582" s="139">
        <v>1102.0</v>
      </c>
      <c r="AO582" s="140">
        <v>567.31</v>
      </c>
      <c r="AP582" s="142">
        <v>200000.0</v>
      </c>
      <c r="AQ582" s="142">
        <v>212.0</v>
      </c>
      <c r="AR582" s="143"/>
      <c r="AS582" s="144">
        <v>0.928978036394846</v>
      </c>
      <c r="AT582" s="144">
        <v>-7.80363948460483E-5</v>
      </c>
      <c r="AU582" s="146" t="s">
        <v>2212</v>
      </c>
      <c r="AV582" s="146" t="s">
        <v>2212</v>
      </c>
      <c r="AW582" s="148" t="s">
        <v>2212</v>
      </c>
      <c r="AX582" s="151"/>
      <c r="AY582" s="105"/>
      <c r="AZ582" s="186"/>
      <c r="BA582" s="186"/>
      <c r="BB582" s="222"/>
      <c r="BC582" s="45"/>
      <c r="BD582" s="45"/>
      <c r="BE582" s="155"/>
      <c r="BF582" s="45"/>
    </row>
    <row r="583" ht="16.5" customHeight="1">
      <c r="A583" s="111">
        <v>580.0</v>
      </c>
      <c r="B583" s="112" t="s">
        <v>1336</v>
      </c>
      <c r="C583" s="115" t="s">
        <v>60</v>
      </c>
      <c r="D583" s="117">
        <v>42137.0</v>
      </c>
      <c r="E583" s="117">
        <v>42632.0</v>
      </c>
      <c r="F583" s="79" t="s">
        <v>59</v>
      </c>
      <c r="G583" s="118">
        <v>50878.0</v>
      </c>
      <c r="H583" s="114">
        <v>102.6</v>
      </c>
      <c r="I583" s="120">
        <v>385.0</v>
      </c>
      <c r="J583" s="111" t="s">
        <v>62</v>
      </c>
      <c r="K583" s="121">
        <v>385.0</v>
      </c>
      <c r="L583" s="120" t="s">
        <v>63</v>
      </c>
      <c r="M583" s="120"/>
      <c r="N583" s="120"/>
      <c r="O583" s="124">
        <v>50878.0</v>
      </c>
      <c r="P583" s="124">
        <v>496.0</v>
      </c>
      <c r="Q583" s="111">
        <v>205.0</v>
      </c>
      <c r="R583" s="125">
        <v>399.0</v>
      </c>
      <c r="S583" s="126">
        <v>0.9649</v>
      </c>
      <c r="T583" s="127">
        <v>74779.75</v>
      </c>
      <c r="U583" s="128">
        <f t="shared" si="2"/>
        <v>0</v>
      </c>
      <c r="V583" s="79" t="s">
        <v>69</v>
      </c>
      <c r="W583" s="79" t="s">
        <v>64</v>
      </c>
      <c r="X583" s="79" t="s">
        <v>66</v>
      </c>
      <c r="Y583" s="130">
        <v>0.8</v>
      </c>
      <c r="Z583" s="111">
        <v>22.0</v>
      </c>
      <c r="AA583" s="133"/>
      <c r="AB583" s="133"/>
      <c r="AC583" s="111">
        <v>385.0</v>
      </c>
      <c r="AD583" s="111">
        <v>234.0</v>
      </c>
      <c r="AE583" s="111">
        <v>28.8</v>
      </c>
      <c r="AF583" s="111" t="s">
        <v>62</v>
      </c>
      <c r="AG583" s="147"/>
      <c r="AH583" s="73">
        <v>151.0</v>
      </c>
      <c r="AI583" s="135">
        <v>151.0</v>
      </c>
      <c r="AJ583" s="136">
        <v>73.43046357615894</v>
      </c>
      <c r="AK583" s="76">
        <v>0.9474898525955993</v>
      </c>
      <c r="AL583" s="137" t="s">
        <v>2215</v>
      </c>
      <c r="AM583" s="139" t="s">
        <v>71</v>
      </c>
      <c r="AN583" s="139">
        <v>496.0</v>
      </c>
      <c r="AO583" s="140">
        <v>137.01</v>
      </c>
      <c r="AP583" s="142">
        <v>50878.0</v>
      </c>
      <c r="AQ583" s="142">
        <v>205.0</v>
      </c>
      <c r="AR583" s="143"/>
      <c r="AS583" s="144">
        <v>0.9558924849727195</v>
      </c>
      <c r="AT583" s="144">
        <v>0.009007515027280477</v>
      </c>
      <c r="AU583" s="146" t="s">
        <v>2216</v>
      </c>
      <c r="AV583" s="146" t="s">
        <v>2216</v>
      </c>
      <c r="AW583" s="148" t="s">
        <v>2216</v>
      </c>
      <c r="AX583" s="151"/>
      <c r="AY583" s="105"/>
      <c r="AZ583" s="186"/>
      <c r="BA583" s="186"/>
      <c r="BB583" s="222"/>
      <c r="BC583" s="45"/>
      <c r="BD583" s="45"/>
      <c r="BE583" s="155"/>
      <c r="BF583" s="45"/>
    </row>
    <row r="584" ht="16.5" customHeight="1">
      <c r="A584" s="111">
        <v>581.0</v>
      </c>
      <c r="B584" s="112" t="s">
        <v>1703</v>
      </c>
      <c r="C584" s="115" t="s">
        <v>60</v>
      </c>
      <c r="D584" s="117">
        <v>42353.0</v>
      </c>
      <c r="E584" s="117">
        <v>42633.0</v>
      </c>
      <c r="F584" s="79" t="s">
        <v>118</v>
      </c>
      <c r="G584" s="118">
        <v>22442.0</v>
      </c>
      <c r="H584" s="114">
        <v>79.9</v>
      </c>
      <c r="I584" s="120">
        <v>361.0</v>
      </c>
      <c r="J584" s="111" t="s">
        <v>61</v>
      </c>
      <c r="K584" s="121">
        <v>365.57</v>
      </c>
      <c r="L584" s="120" t="s">
        <v>63</v>
      </c>
      <c r="M584" s="120"/>
      <c r="N584" s="120"/>
      <c r="O584" s="124">
        <v>22442.0</v>
      </c>
      <c r="P584" s="124">
        <v>281.0</v>
      </c>
      <c r="Q584" s="111">
        <v>202.0</v>
      </c>
      <c r="R584" s="125">
        <v>365.0</v>
      </c>
      <c r="S584" s="126">
        <v>1.0016</v>
      </c>
      <c r="T584" s="127">
        <v>68910.08</v>
      </c>
      <c r="U584" s="128">
        <f t="shared" si="2"/>
        <v>0</v>
      </c>
      <c r="V584" s="79"/>
      <c r="W584" s="79"/>
      <c r="X584" s="79"/>
      <c r="Y584" s="130"/>
      <c r="Z584" s="111"/>
      <c r="AA584" s="133"/>
      <c r="AB584" s="133"/>
      <c r="AC584" s="133"/>
      <c r="AD584" s="133"/>
      <c r="AE584" s="133"/>
      <c r="AF584" s="111"/>
      <c r="AG584" s="147"/>
      <c r="AH584" s="73"/>
      <c r="AI584" s="135"/>
      <c r="AJ584" s="136"/>
      <c r="AK584" s="76"/>
      <c r="AL584" s="137"/>
      <c r="AM584" s="139" t="s">
        <v>71</v>
      </c>
      <c r="AN584" s="139">
        <v>281.0</v>
      </c>
      <c r="AO584" s="140">
        <v>65.85</v>
      </c>
      <c r="AP584" s="142">
        <v>22442.0</v>
      </c>
      <c r="AQ584" s="142">
        <v>202.0</v>
      </c>
      <c r="AR584" s="143"/>
      <c r="AS584" s="144">
        <v>0.9705252864110636</v>
      </c>
      <c r="AT584" s="144">
        <v>0.03107471358893643</v>
      </c>
      <c r="AU584" s="146" t="s">
        <v>2217</v>
      </c>
      <c r="AV584" s="146" t="s">
        <v>2217</v>
      </c>
      <c r="AW584" s="148" t="s">
        <v>2217</v>
      </c>
      <c r="AX584" s="151"/>
      <c r="AY584" s="105"/>
      <c r="AZ584" s="186"/>
      <c r="BA584" s="186"/>
      <c r="BB584" s="222"/>
      <c r="BC584" s="45"/>
      <c r="BD584" s="45"/>
      <c r="BE584" s="155"/>
      <c r="BF584" s="45"/>
    </row>
    <row r="585" ht="16.5" customHeight="1">
      <c r="A585" s="111">
        <v>582.0</v>
      </c>
      <c r="B585" s="112" t="s">
        <v>1784</v>
      </c>
      <c r="C585" s="115" t="s">
        <v>60</v>
      </c>
      <c r="D585" s="592">
        <v>41942.0</v>
      </c>
      <c r="E585" s="117">
        <v>42636.0</v>
      </c>
      <c r="F585" s="79" t="s">
        <v>59</v>
      </c>
      <c r="G585" s="118">
        <v>68439.0</v>
      </c>
      <c r="H585" s="114">
        <v>98.5</v>
      </c>
      <c r="I585" s="120">
        <v>384.0</v>
      </c>
      <c r="J585" s="111" t="s">
        <v>62</v>
      </c>
      <c r="K585" s="121">
        <v>384.0</v>
      </c>
      <c r="L585" s="120" t="s">
        <v>63</v>
      </c>
      <c r="M585" s="120"/>
      <c r="N585" s="120"/>
      <c r="O585" s="124">
        <v>68439.0</v>
      </c>
      <c r="P585" s="124">
        <v>695.0</v>
      </c>
      <c r="Q585" s="111">
        <v>220.0</v>
      </c>
      <c r="R585" s="125">
        <v>399.0</v>
      </c>
      <c r="S585" s="126">
        <v>0.9624</v>
      </c>
      <c r="T585" s="127">
        <v>74586.0</v>
      </c>
      <c r="U585" s="128">
        <f t="shared" si="2"/>
        <v>0</v>
      </c>
      <c r="V585" s="79" t="s">
        <v>80</v>
      </c>
      <c r="W585" s="195" t="s">
        <v>69</v>
      </c>
      <c r="X585" s="195"/>
      <c r="Y585" s="130">
        <v>0.9</v>
      </c>
      <c r="Z585" s="208">
        <v>3.0</v>
      </c>
      <c r="AA585" s="202"/>
      <c r="AB585" s="202"/>
      <c r="AC585" s="133"/>
      <c r="AD585" s="133"/>
      <c r="AE585" s="133"/>
      <c r="AF585" s="111"/>
      <c r="AG585" s="147"/>
      <c r="AH585" s="73"/>
      <c r="AI585" s="135"/>
      <c r="AJ585" s="136"/>
      <c r="AK585" s="76"/>
      <c r="AL585" s="137"/>
      <c r="AM585" s="139" t="s">
        <v>71</v>
      </c>
      <c r="AN585" s="139">
        <v>695.0</v>
      </c>
      <c r="AO585" s="140">
        <v>198.03</v>
      </c>
      <c r="AP585" s="142">
        <v>68439.0</v>
      </c>
      <c r="AQ585" s="142">
        <v>220.0</v>
      </c>
      <c r="AR585" s="143"/>
      <c r="AS585" s="144">
        <v>0.9511155872116583</v>
      </c>
      <c r="AT585" s="144">
        <v>0.011284412788341691</v>
      </c>
      <c r="AU585" s="146" t="s">
        <v>2220</v>
      </c>
      <c r="AV585" s="146" t="s">
        <v>2220</v>
      </c>
      <c r="AW585" s="148" t="s">
        <v>2220</v>
      </c>
      <c r="AX585" s="151"/>
      <c r="AY585" s="105"/>
      <c r="AZ585" s="186"/>
      <c r="BA585" s="186"/>
      <c r="BB585" s="222"/>
      <c r="BC585" s="45"/>
      <c r="BD585" s="45"/>
      <c r="BE585" s="155"/>
      <c r="BF585" s="45"/>
    </row>
    <row r="586" ht="16.5" customHeight="1">
      <c r="A586" s="111">
        <v>583.0</v>
      </c>
      <c r="B586" s="112" t="s">
        <v>761</v>
      </c>
      <c r="C586" s="115" t="s">
        <v>60</v>
      </c>
      <c r="D586" s="582">
        <v>42097.0</v>
      </c>
      <c r="E586" s="117">
        <v>42637.0</v>
      </c>
      <c r="F586" s="79" t="s">
        <v>90</v>
      </c>
      <c r="G586" s="118">
        <v>32540.0</v>
      </c>
      <c r="H586" s="114">
        <v>60.1</v>
      </c>
      <c r="I586" s="120">
        <v>381.0</v>
      </c>
      <c r="J586" s="111" t="s">
        <v>62</v>
      </c>
      <c r="K586" s="121">
        <v>381.0</v>
      </c>
      <c r="L586" s="120" t="s">
        <v>63</v>
      </c>
      <c r="M586" s="120"/>
      <c r="N586" s="120"/>
      <c r="O586" s="124">
        <v>32540.0</v>
      </c>
      <c r="P586" s="124">
        <v>541.0</v>
      </c>
      <c r="Q586" s="111">
        <v>229.0</v>
      </c>
      <c r="R586" s="125">
        <v>408.0</v>
      </c>
      <c r="S586" s="126">
        <v>0.9338</v>
      </c>
      <c r="T586" s="127">
        <v>72369.5</v>
      </c>
      <c r="U586" s="128">
        <f t="shared" si="2"/>
        <v>0</v>
      </c>
      <c r="V586" s="636" t="s">
        <v>65</v>
      </c>
      <c r="W586" s="691" t="s">
        <v>64</v>
      </c>
      <c r="X586" s="691" t="s">
        <v>66</v>
      </c>
      <c r="Y586" s="130">
        <v>0.7</v>
      </c>
      <c r="Z586" s="693">
        <v>11.0</v>
      </c>
      <c r="AA586" s="202">
        <v>406.0</v>
      </c>
      <c r="AB586" s="202" t="s">
        <v>62</v>
      </c>
      <c r="AC586" s="133"/>
      <c r="AD586" s="133"/>
      <c r="AE586" s="133"/>
      <c r="AF586" s="111"/>
      <c r="AG586" s="134" t="s">
        <v>1899</v>
      </c>
      <c r="AH586" s="73"/>
      <c r="AI586" s="135"/>
      <c r="AJ586" s="136"/>
      <c r="AK586" s="76"/>
      <c r="AL586" s="137"/>
      <c r="AM586" s="139">
        <v>406.0</v>
      </c>
      <c r="AN586" s="139">
        <v>541.0</v>
      </c>
      <c r="AO586" s="140">
        <v>99.47</v>
      </c>
      <c r="AP586" s="142">
        <v>32540.0</v>
      </c>
      <c r="AQ586" s="142">
        <v>229.0</v>
      </c>
      <c r="AR586" s="143"/>
      <c r="AS586" s="144">
        <v>0.9637192899799698</v>
      </c>
      <c r="AT586" s="144">
        <v>-0.029919289979969843</v>
      </c>
      <c r="AU586" s="146" t="s">
        <v>2223</v>
      </c>
      <c r="AV586" s="146" t="s">
        <v>2223</v>
      </c>
      <c r="AW586" s="148" t="s">
        <v>2223</v>
      </c>
      <c r="AX586" s="151"/>
      <c r="AY586" s="105"/>
      <c r="AZ586" s="186"/>
      <c r="BA586" s="186"/>
      <c r="BB586" s="222"/>
      <c r="BC586" s="45"/>
      <c r="BD586" s="45"/>
      <c r="BE586" s="155"/>
      <c r="BF586" s="45"/>
    </row>
    <row r="587" ht="16.5" customHeight="1">
      <c r="A587" s="111">
        <v>584.0</v>
      </c>
      <c r="B587" s="112" t="s">
        <v>761</v>
      </c>
      <c r="C587" s="115" t="s">
        <v>60</v>
      </c>
      <c r="D587" s="157">
        <v>42097.0</v>
      </c>
      <c r="E587" s="117">
        <v>42638.0</v>
      </c>
      <c r="F587" s="79" t="s">
        <v>90</v>
      </c>
      <c r="G587" s="118">
        <v>32910.0</v>
      </c>
      <c r="H587" s="114">
        <v>60.7</v>
      </c>
      <c r="I587" s="120">
        <v>383.0</v>
      </c>
      <c r="J587" s="111" t="s">
        <v>62</v>
      </c>
      <c r="K587" s="121">
        <v>383.0</v>
      </c>
      <c r="L587" s="120" t="s">
        <v>63</v>
      </c>
      <c r="M587" s="120"/>
      <c r="N587" s="120"/>
      <c r="O587" s="124">
        <v>32910.0</v>
      </c>
      <c r="P587" s="124">
        <v>542.0</v>
      </c>
      <c r="Q587" s="111">
        <v>229.0</v>
      </c>
      <c r="R587" s="125">
        <v>408.0</v>
      </c>
      <c r="S587" s="126">
        <v>0.9387</v>
      </c>
      <c r="T587" s="127">
        <v>72749.25</v>
      </c>
      <c r="U587" s="128">
        <f t="shared" si="2"/>
        <v>0</v>
      </c>
      <c r="V587" s="636" t="s">
        <v>65</v>
      </c>
      <c r="W587" s="636" t="s">
        <v>64</v>
      </c>
      <c r="X587" s="636" t="s">
        <v>66</v>
      </c>
      <c r="Y587" s="130">
        <v>0.7</v>
      </c>
      <c r="Z587" s="639">
        <v>11.0</v>
      </c>
      <c r="AA587" s="133">
        <v>406.0</v>
      </c>
      <c r="AB587" s="133" t="s">
        <v>62</v>
      </c>
      <c r="AC587" s="133"/>
      <c r="AD587" s="133"/>
      <c r="AE587" s="133"/>
      <c r="AF587" s="111"/>
      <c r="AG587" s="134" t="s">
        <v>1899</v>
      </c>
      <c r="AH587" s="73"/>
      <c r="AI587" s="135"/>
      <c r="AJ587" s="136"/>
      <c r="AK587" s="76"/>
      <c r="AL587" s="137"/>
      <c r="AM587" s="139">
        <v>406.0</v>
      </c>
      <c r="AN587" s="139">
        <v>542.0</v>
      </c>
      <c r="AO587" s="140">
        <v>100.34</v>
      </c>
      <c r="AP587" s="142">
        <v>32910.0</v>
      </c>
      <c r="AQ587" s="142">
        <v>229.0</v>
      </c>
      <c r="AR587" s="143"/>
      <c r="AS587" s="144">
        <v>0.9635132190051565</v>
      </c>
      <c r="AT587" s="144">
        <v>-0.02481321900515654</v>
      </c>
      <c r="AU587" s="146" t="s">
        <v>2224</v>
      </c>
      <c r="AV587" s="146" t="s">
        <v>2224</v>
      </c>
      <c r="AW587" s="148" t="s">
        <v>2224</v>
      </c>
      <c r="AX587" s="151"/>
      <c r="AY587" s="105"/>
      <c r="AZ587" s="186"/>
      <c r="BA587" s="186"/>
      <c r="BB587" s="222"/>
      <c r="BC587" s="45"/>
      <c r="BD587" s="45"/>
      <c r="BE587" s="155"/>
      <c r="BF587" s="45"/>
    </row>
    <row r="588" ht="16.5" customHeight="1">
      <c r="A588" s="111">
        <v>585.0</v>
      </c>
      <c r="B588" s="112" t="s">
        <v>623</v>
      </c>
      <c r="C588" s="115" t="s">
        <v>60</v>
      </c>
      <c r="D588" s="117">
        <v>41794.0</v>
      </c>
      <c r="E588" s="117">
        <v>42640.0</v>
      </c>
      <c r="F588" s="79" t="s">
        <v>59</v>
      </c>
      <c r="G588" s="118">
        <v>133442.0</v>
      </c>
      <c r="H588" s="114">
        <v>157.5</v>
      </c>
      <c r="I588" s="120">
        <v>380.0</v>
      </c>
      <c r="J588" s="111" t="s">
        <v>62</v>
      </c>
      <c r="K588" s="121">
        <v>380.0</v>
      </c>
      <c r="L588" s="120" t="s">
        <v>63</v>
      </c>
      <c r="M588" s="120"/>
      <c r="N588" s="120"/>
      <c r="O588" s="124">
        <v>133442.0</v>
      </c>
      <c r="P588" s="124">
        <v>847.0</v>
      </c>
      <c r="Q588" s="111">
        <v>182.0</v>
      </c>
      <c r="R588" s="125">
        <v>399.0</v>
      </c>
      <c r="S588" s="126">
        <v>0.9524</v>
      </c>
      <c r="T588" s="127">
        <v>73811.0</v>
      </c>
      <c r="U588" s="128">
        <f t="shared" si="2"/>
        <v>0</v>
      </c>
      <c r="V588" s="79" t="s">
        <v>65</v>
      </c>
      <c r="W588" s="79" t="s">
        <v>69</v>
      </c>
      <c r="X588" s="79" t="s">
        <v>69</v>
      </c>
      <c r="Y588" s="130">
        <v>0.9</v>
      </c>
      <c r="Z588" s="111">
        <v>9.0</v>
      </c>
      <c r="AA588" s="133"/>
      <c r="AB588" s="133"/>
      <c r="AC588" s="111">
        <v>378.0</v>
      </c>
      <c r="AD588" s="111">
        <v>72.0</v>
      </c>
      <c r="AE588" s="111">
        <v>58.3</v>
      </c>
      <c r="AF588" s="111" t="s">
        <v>62</v>
      </c>
      <c r="AG588" s="134" t="s">
        <v>2225</v>
      </c>
      <c r="AH588" s="73">
        <v>306.0</v>
      </c>
      <c r="AI588" s="135">
        <v>306.0</v>
      </c>
      <c r="AJ588" s="136">
        <v>72.39869281045752</v>
      </c>
      <c r="AK588" s="76">
        <v>0.9341766814252583</v>
      </c>
      <c r="AL588" s="137" t="s">
        <v>2226</v>
      </c>
      <c r="AM588" s="139" t="s">
        <v>71</v>
      </c>
      <c r="AN588" s="139">
        <v>847.0</v>
      </c>
      <c r="AO588" s="140">
        <v>321.05</v>
      </c>
      <c r="AP588" s="142">
        <v>133442.0</v>
      </c>
      <c r="AQ588" s="142">
        <v>182.0</v>
      </c>
      <c r="AR588" s="143"/>
      <c r="AS588" s="144">
        <v>0.9394523654611409</v>
      </c>
      <c r="AT588" s="144">
        <v>0.012947634538859165</v>
      </c>
      <c r="AU588" s="146" t="s">
        <v>2227</v>
      </c>
      <c r="AV588" s="146" t="s">
        <v>2227</v>
      </c>
      <c r="AW588" s="148" t="s">
        <v>2227</v>
      </c>
      <c r="AX588" s="151"/>
      <c r="AY588" s="105"/>
      <c r="AZ588" s="186"/>
      <c r="BA588" s="186"/>
      <c r="BB588" s="222"/>
      <c r="BC588" s="45"/>
      <c r="BD588" s="45"/>
      <c r="BE588" s="155"/>
      <c r="BF588" s="45"/>
    </row>
    <row r="589" ht="16.5" customHeight="1">
      <c r="A589" s="111">
        <v>586.0</v>
      </c>
      <c r="B589" s="112" t="s">
        <v>1715</v>
      </c>
      <c r="C589" s="115" t="s">
        <v>60</v>
      </c>
      <c r="D589" s="117">
        <v>41609.0</v>
      </c>
      <c r="E589" s="117">
        <v>42642.0</v>
      </c>
      <c r="F589" s="79" t="s">
        <v>59</v>
      </c>
      <c r="G589" s="118">
        <v>84000.0</v>
      </c>
      <c r="H589" s="114">
        <v>81.2</v>
      </c>
      <c r="I589" s="120">
        <v>379.0</v>
      </c>
      <c r="J589" s="111" t="s">
        <v>61</v>
      </c>
      <c r="K589" s="121">
        <v>383.8</v>
      </c>
      <c r="L589" s="120" t="s">
        <v>63</v>
      </c>
      <c r="M589" s="120"/>
      <c r="N589" s="120"/>
      <c r="O589" s="124">
        <v>84000.0</v>
      </c>
      <c r="P589" s="124">
        <v>1034.0</v>
      </c>
      <c r="Q589" s="111">
        <v>203.0</v>
      </c>
      <c r="R589" s="125">
        <v>399.0</v>
      </c>
      <c r="S589" s="126">
        <v>0.9619</v>
      </c>
      <c r="T589" s="127">
        <v>74547.25</v>
      </c>
      <c r="U589" s="128">
        <f t="shared" si="2"/>
        <v>0</v>
      </c>
      <c r="V589" s="79" t="s">
        <v>64</v>
      </c>
      <c r="W589" s="79" t="s">
        <v>69</v>
      </c>
      <c r="X589" s="79" t="s">
        <v>69</v>
      </c>
      <c r="Y589" s="130">
        <v>0.8</v>
      </c>
      <c r="Z589" s="111">
        <v>7.0</v>
      </c>
      <c r="AA589" s="111">
        <v>400.0</v>
      </c>
      <c r="AB589" s="133"/>
      <c r="AC589" s="133"/>
      <c r="AD589" s="133"/>
      <c r="AE589" s="133"/>
      <c r="AF589" s="111"/>
      <c r="AG589" s="134" t="s">
        <v>2228</v>
      </c>
      <c r="AH589" s="73"/>
      <c r="AI589" s="135"/>
      <c r="AJ589" s="136"/>
      <c r="AK589" s="76"/>
      <c r="AL589" s="137"/>
      <c r="AM589" s="139">
        <v>400.0</v>
      </c>
      <c r="AN589" s="139">
        <v>1034.0</v>
      </c>
      <c r="AO589" s="140">
        <v>224.34</v>
      </c>
      <c r="AP589" s="142">
        <v>84000.0</v>
      </c>
      <c r="AQ589" s="142">
        <v>203.0</v>
      </c>
      <c r="AR589" s="143"/>
      <c r="AS589" s="144">
        <v>0.9478637946436792</v>
      </c>
      <c r="AT589" s="144">
        <v>0.014036205356320774</v>
      </c>
      <c r="AU589" s="146" t="s">
        <v>2229</v>
      </c>
      <c r="AV589" s="146" t="s">
        <v>2229</v>
      </c>
      <c r="AW589" s="148" t="s">
        <v>2229</v>
      </c>
      <c r="AX589" s="151"/>
      <c r="AY589" s="105"/>
      <c r="AZ589" s="186"/>
      <c r="BA589" s="186"/>
      <c r="BB589" s="222"/>
      <c r="BC589" s="45"/>
      <c r="BD589" s="45"/>
      <c r="BE589" s="155"/>
      <c r="BF589" s="45"/>
    </row>
    <row r="590" ht="16.5" customHeight="1">
      <c r="A590" s="111">
        <v>587.0</v>
      </c>
      <c r="B590" s="112" t="s">
        <v>1661</v>
      </c>
      <c r="C590" s="115" t="s">
        <v>60</v>
      </c>
      <c r="D590" s="117">
        <v>41992.0</v>
      </c>
      <c r="E590" s="117">
        <v>42597.0</v>
      </c>
      <c r="F590" s="79" t="s">
        <v>59</v>
      </c>
      <c r="G590" s="118">
        <v>102000.0</v>
      </c>
      <c r="H590" s="114">
        <v>168.3</v>
      </c>
      <c r="I590" s="120">
        <v>374.0</v>
      </c>
      <c r="J590" s="111" t="s">
        <v>61</v>
      </c>
      <c r="K590" s="121">
        <v>378.73</v>
      </c>
      <c r="L590" s="120" t="s">
        <v>63</v>
      </c>
      <c r="M590" s="120"/>
      <c r="N590" s="120"/>
      <c r="O590" s="124">
        <v>102000.0</v>
      </c>
      <c r="P590" s="124">
        <v>606.0</v>
      </c>
      <c r="Q590" s="111">
        <v>229.0</v>
      </c>
      <c r="R590" s="125">
        <v>399.0</v>
      </c>
      <c r="S590" s="126">
        <v>0.9492</v>
      </c>
      <c r="T590" s="127">
        <v>73563.0</v>
      </c>
      <c r="U590" s="128">
        <f t="shared" si="2"/>
        <v>0</v>
      </c>
      <c r="V590" s="79" t="s">
        <v>65</v>
      </c>
      <c r="W590" s="79" t="s">
        <v>64</v>
      </c>
      <c r="X590" s="79" t="s">
        <v>69</v>
      </c>
      <c r="Y590" s="130">
        <v>0.9</v>
      </c>
      <c r="Z590" s="111"/>
      <c r="AA590" s="133"/>
      <c r="AB590" s="133"/>
      <c r="AC590" s="133"/>
      <c r="AD590" s="133"/>
      <c r="AE590" s="133"/>
      <c r="AF590" s="111"/>
      <c r="AG590" s="147"/>
      <c r="AH590" s="73"/>
      <c r="AI590" s="135"/>
      <c r="AJ590" s="136"/>
      <c r="AK590" s="76"/>
      <c r="AL590" s="137"/>
      <c r="AM590" s="139" t="s">
        <v>71</v>
      </c>
      <c r="AN590" s="139">
        <v>606.0</v>
      </c>
      <c r="AO590" s="140">
        <v>309.27</v>
      </c>
      <c r="AP590" s="142">
        <v>102000.0</v>
      </c>
      <c r="AQ590" s="142">
        <v>229.0</v>
      </c>
      <c r="AR590" s="143"/>
      <c r="AS590" s="144">
        <v>0.9446173802221296</v>
      </c>
      <c r="AT590" s="144">
        <v>0.004582619777870445</v>
      </c>
      <c r="AU590" s="146" t="s">
        <v>2230</v>
      </c>
      <c r="AV590" s="146" t="s">
        <v>2230</v>
      </c>
      <c r="AW590" s="148" t="s">
        <v>2230</v>
      </c>
      <c r="AX590" s="151"/>
      <c r="AY590" s="105"/>
      <c r="AZ590" s="186"/>
      <c r="BA590" s="186"/>
      <c r="BB590" s="222"/>
      <c r="BC590" s="45"/>
      <c r="BD590" s="45"/>
      <c r="BE590" s="155"/>
      <c r="BF590" s="45"/>
    </row>
    <row r="591" ht="16.5" customHeight="1">
      <c r="A591" s="111">
        <v>588.0</v>
      </c>
      <c r="B591" s="112" t="s">
        <v>1890</v>
      </c>
      <c r="C591" s="115" t="s">
        <v>60</v>
      </c>
      <c r="D591" s="117">
        <v>42477.0</v>
      </c>
      <c r="E591" s="117">
        <v>42644.0</v>
      </c>
      <c r="F591" s="79" t="s">
        <v>870</v>
      </c>
      <c r="G591" s="118">
        <v>6463.0</v>
      </c>
      <c r="H591" s="114">
        <v>38.5</v>
      </c>
      <c r="I591" s="120">
        <v>358.0</v>
      </c>
      <c r="J591" s="111" t="s">
        <v>62</v>
      </c>
      <c r="K591" s="121">
        <v>358.0</v>
      </c>
      <c r="L591" s="120" t="s">
        <v>63</v>
      </c>
      <c r="M591" s="120"/>
      <c r="N591" s="120"/>
      <c r="O591" s="124">
        <v>6463.0</v>
      </c>
      <c r="P591" s="124">
        <v>168.0</v>
      </c>
      <c r="Q591" s="159">
        <v>218.0</v>
      </c>
      <c r="R591" s="125">
        <v>360.0</v>
      </c>
      <c r="S591" s="126">
        <v>0.9944</v>
      </c>
      <c r="T591" s="127">
        <v>68414.72</v>
      </c>
      <c r="U591" s="128">
        <f t="shared" si="2"/>
        <v>0</v>
      </c>
      <c r="V591" s="79" t="s">
        <v>67</v>
      </c>
      <c r="W591" s="79" t="s">
        <v>64</v>
      </c>
      <c r="X591" s="79" t="s">
        <v>67</v>
      </c>
      <c r="Y591" s="130">
        <v>0.9</v>
      </c>
      <c r="Z591" s="111">
        <v>22.0</v>
      </c>
      <c r="AA591" s="111">
        <v>360.0</v>
      </c>
      <c r="AB591" s="111" t="s">
        <v>62</v>
      </c>
      <c r="AC591" s="133"/>
      <c r="AD591" s="133"/>
      <c r="AE591" s="133"/>
      <c r="AF591" s="111"/>
      <c r="AG591" s="147"/>
      <c r="AH591" s="73"/>
      <c r="AI591" s="135"/>
      <c r="AJ591" s="136"/>
      <c r="AK591" s="76"/>
      <c r="AL591" s="137"/>
      <c r="AM591" s="139">
        <v>360.0</v>
      </c>
      <c r="AN591" s="139">
        <v>168.0</v>
      </c>
      <c r="AO591" s="140">
        <v>20.54</v>
      </c>
      <c r="AP591" s="142">
        <v>6463.0</v>
      </c>
      <c r="AQ591" s="142">
        <v>218.0</v>
      </c>
      <c r="AR591" s="143"/>
      <c r="AS591" s="144">
        <v>0.9885413960277636</v>
      </c>
      <c r="AT591" s="144">
        <v>0.005858603972236365</v>
      </c>
      <c r="AU591" s="146" t="s">
        <v>2231</v>
      </c>
      <c r="AV591" s="146" t="s">
        <v>2231</v>
      </c>
      <c r="AW591" s="148" t="s">
        <v>2231</v>
      </c>
      <c r="AX591" s="151"/>
      <c r="AY591" s="105"/>
      <c r="AZ591" s="186"/>
      <c r="BA591" s="186"/>
      <c r="BB591" s="222"/>
      <c r="BC591" s="45"/>
      <c r="BD591" s="45"/>
      <c r="BE591" s="155"/>
      <c r="BF591" s="45"/>
    </row>
    <row r="592" ht="16.5" customHeight="1">
      <c r="A592" s="111">
        <v>589.0</v>
      </c>
      <c r="B592" s="112" t="s">
        <v>361</v>
      </c>
      <c r="C592" s="115" t="s">
        <v>60</v>
      </c>
      <c r="D592" s="117">
        <v>41603.0</v>
      </c>
      <c r="E592" s="117">
        <v>42647.0</v>
      </c>
      <c r="F592" s="79" t="s">
        <v>59</v>
      </c>
      <c r="G592" s="118">
        <v>117434.0</v>
      </c>
      <c r="H592" s="114">
        <v>112.4</v>
      </c>
      <c r="I592" s="120">
        <v>375.0</v>
      </c>
      <c r="J592" s="111" t="s">
        <v>61</v>
      </c>
      <c r="K592" s="121">
        <v>379.75</v>
      </c>
      <c r="L592" s="120" t="s">
        <v>63</v>
      </c>
      <c r="M592" s="120"/>
      <c r="N592" s="120"/>
      <c r="O592" s="124">
        <v>117434.0</v>
      </c>
      <c r="P592" s="124">
        <v>1045.0</v>
      </c>
      <c r="Q592" s="111">
        <v>223.0</v>
      </c>
      <c r="R592" s="125">
        <v>399.0</v>
      </c>
      <c r="S592" s="126">
        <v>0.9518</v>
      </c>
      <c r="T592" s="127">
        <v>73764.5</v>
      </c>
      <c r="U592" s="128">
        <f t="shared" si="2"/>
        <v>0</v>
      </c>
      <c r="V592" s="79" t="s">
        <v>69</v>
      </c>
      <c r="W592" s="79" t="s">
        <v>69</v>
      </c>
      <c r="X592" s="79" t="s">
        <v>69</v>
      </c>
      <c r="Y592" s="130">
        <v>0.7</v>
      </c>
      <c r="Z592" s="111">
        <v>18.0</v>
      </c>
      <c r="AA592" s="111">
        <v>399.0</v>
      </c>
      <c r="AB592" s="111" t="s">
        <v>61</v>
      </c>
      <c r="AC592" s="133"/>
      <c r="AD592" s="133"/>
      <c r="AE592" s="133"/>
      <c r="AF592" s="111"/>
      <c r="AG592" s="147"/>
      <c r="AH592" s="73"/>
      <c r="AI592" s="135"/>
      <c r="AJ592" s="136"/>
      <c r="AK592" s="76"/>
      <c r="AL592" s="137"/>
      <c r="AM592" s="139">
        <v>404.0</v>
      </c>
      <c r="AN592" s="139">
        <v>1045.0</v>
      </c>
      <c r="AO592" s="140">
        <v>346.3</v>
      </c>
      <c r="AP592" s="142">
        <v>117434.0</v>
      </c>
      <c r="AQ592" s="142">
        <v>223.0</v>
      </c>
      <c r="AR592" s="143"/>
      <c r="AS592" s="144">
        <v>0.9420374801946125</v>
      </c>
      <c r="AT592" s="144">
        <v>0.009762519805387448</v>
      </c>
      <c r="AU592" s="146" t="s">
        <v>2232</v>
      </c>
      <c r="AV592" s="146" t="s">
        <v>2232</v>
      </c>
      <c r="AW592" s="148" t="s">
        <v>2232</v>
      </c>
      <c r="AX592" s="151"/>
      <c r="AY592" s="105"/>
      <c r="AZ592" s="186"/>
      <c r="BA592" s="186"/>
      <c r="BB592" s="222"/>
      <c r="BC592" s="45"/>
      <c r="BD592" s="45"/>
      <c r="BE592" s="155"/>
      <c r="BF592" s="45"/>
    </row>
    <row r="593" ht="16.5" customHeight="1">
      <c r="A593" s="111">
        <v>590.0</v>
      </c>
      <c r="B593" s="112" t="s">
        <v>1703</v>
      </c>
      <c r="C593" s="115" t="s">
        <v>60</v>
      </c>
      <c r="D593" s="117">
        <v>42353.0</v>
      </c>
      <c r="E593" s="117">
        <v>42648.0</v>
      </c>
      <c r="F593" s="79" t="s">
        <v>118</v>
      </c>
      <c r="G593" s="118">
        <v>24088.0</v>
      </c>
      <c r="H593" s="114">
        <v>81.4</v>
      </c>
      <c r="I593" s="120">
        <v>359.0</v>
      </c>
      <c r="J593" s="111" t="s">
        <v>61</v>
      </c>
      <c r="K593" s="121">
        <v>363.54</v>
      </c>
      <c r="L593" s="120" t="s">
        <v>63</v>
      </c>
      <c r="M593" s="120"/>
      <c r="N593" s="120"/>
      <c r="O593" s="124">
        <v>24088.0</v>
      </c>
      <c r="P593" s="124">
        <v>296.0</v>
      </c>
      <c r="Q593" s="111">
        <v>201.0</v>
      </c>
      <c r="R593" s="125">
        <v>365.0</v>
      </c>
      <c r="S593" s="126">
        <v>0.996</v>
      </c>
      <c r="T593" s="127">
        <v>68524.8</v>
      </c>
      <c r="U593" s="128">
        <f t="shared" si="2"/>
        <v>0</v>
      </c>
      <c r="V593" s="79"/>
      <c r="W593" s="79"/>
      <c r="X593" s="79"/>
      <c r="Y593" s="130"/>
      <c r="Z593" s="111"/>
      <c r="AA593" s="133"/>
      <c r="AB593" s="133"/>
      <c r="AC593" s="133"/>
      <c r="AD593" s="133"/>
      <c r="AE593" s="133"/>
      <c r="AF593" s="111"/>
      <c r="AG593" s="134"/>
      <c r="AH593" s="73"/>
      <c r="AI593" s="135"/>
      <c r="AJ593" s="136"/>
      <c r="AK593" s="76"/>
      <c r="AL593" s="137"/>
      <c r="AM593" s="139" t="s">
        <v>71</v>
      </c>
      <c r="AN593" s="139">
        <v>296.0</v>
      </c>
      <c r="AO593" s="140">
        <v>70.53</v>
      </c>
      <c r="AP593" s="142">
        <v>24088.0</v>
      </c>
      <c r="AQ593" s="142">
        <v>201.0</v>
      </c>
      <c r="AR593" s="143"/>
      <c r="AS593" s="144">
        <v>0.9692374302349714</v>
      </c>
      <c r="AT593" s="144">
        <v>0.026762569765028554</v>
      </c>
      <c r="AU593" s="146" t="s">
        <v>2233</v>
      </c>
      <c r="AV593" s="146" t="s">
        <v>2233</v>
      </c>
      <c r="AW593" s="148" t="s">
        <v>2233</v>
      </c>
      <c r="AX593" s="151"/>
      <c r="AY593" s="105"/>
      <c r="AZ593" s="186"/>
      <c r="BA593" s="186"/>
      <c r="BB593" s="222"/>
      <c r="BC593" s="45"/>
      <c r="BD593" s="45"/>
      <c r="BE593" s="155"/>
      <c r="BF593" s="45"/>
    </row>
    <row r="594" ht="16.5" customHeight="1">
      <c r="A594" s="111">
        <v>591.0</v>
      </c>
      <c r="B594" s="112" t="s">
        <v>1726</v>
      </c>
      <c r="C594" s="115" t="s">
        <v>60</v>
      </c>
      <c r="D594" s="117">
        <v>42276.0</v>
      </c>
      <c r="E594" s="117">
        <v>42650.0</v>
      </c>
      <c r="F594" s="79" t="s">
        <v>305</v>
      </c>
      <c r="G594" s="118">
        <v>35011.0</v>
      </c>
      <c r="H594" s="114">
        <v>93.4</v>
      </c>
      <c r="I594" s="120">
        <v>429.0</v>
      </c>
      <c r="J594" s="111" t="s">
        <v>61</v>
      </c>
      <c r="K594" s="121">
        <v>434.43</v>
      </c>
      <c r="L594" s="120" t="s">
        <v>63</v>
      </c>
      <c r="M594" s="120"/>
      <c r="N594" s="120"/>
      <c r="O594" s="124">
        <v>35011.0</v>
      </c>
      <c r="P594" s="124">
        <v>375.0</v>
      </c>
      <c r="Q594" s="111">
        <v>234.0</v>
      </c>
      <c r="R594" s="125">
        <v>452.0</v>
      </c>
      <c r="S594" s="126">
        <v>0.9611</v>
      </c>
      <c r="T594" s="127">
        <v>78617.98</v>
      </c>
      <c r="U594" s="128">
        <f t="shared" si="2"/>
        <v>0</v>
      </c>
      <c r="V594" s="79" t="s">
        <v>69</v>
      </c>
      <c r="W594" s="79" t="s">
        <v>69</v>
      </c>
      <c r="X594" s="79" t="s">
        <v>69</v>
      </c>
      <c r="Y594" s="130">
        <v>0.8</v>
      </c>
      <c r="Z594" s="111">
        <v>11.0</v>
      </c>
      <c r="AA594" s="111">
        <v>426.0</v>
      </c>
      <c r="AB594" s="111" t="s">
        <v>61</v>
      </c>
      <c r="AC594" s="133"/>
      <c r="AD594" s="133"/>
      <c r="AE594" s="133"/>
      <c r="AF594" s="111"/>
      <c r="AG594" s="147"/>
      <c r="AH594" s="73"/>
      <c r="AI594" s="135"/>
      <c r="AJ594" s="136"/>
      <c r="AK594" s="76"/>
      <c r="AL594" s="137"/>
      <c r="AM594" s="139">
        <v>431.0</v>
      </c>
      <c r="AN594" s="139">
        <v>375.0</v>
      </c>
      <c r="AO594" s="140">
        <v>102.16</v>
      </c>
      <c r="AP594" s="142">
        <v>35011.0</v>
      </c>
      <c r="AQ594" s="142">
        <v>234.0</v>
      </c>
      <c r="AR594" s="143"/>
      <c r="AS594" s="144">
        <v>0.962390407608592</v>
      </c>
      <c r="AT594" s="144">
        <v>-0.0012904076085920035</v>
      </c>
      <c r="AU594" s="146" t="s">
        <v>2235</v>
      </c>
      <c r="AV594" s="146" t="s">
        <v>2235</v>
      </c>
      <c r="AW594" s="148" t="s">
        <v>2235</v>
      </c>
      <c r="AX594" s="151"/>
      <c r="AY594" s="105"/>
      <c r="AZ594" s="186"/>
      <c r="BA594" s="186"/>
      <c r="BB594" s="222"/>
      <c r="BC594" s="45"/>
      <c r="BD594" s="45"/>
      <c r="BE594" s="155"/>
      <c r="BF594" s="45"/>
    </row>
    <row r="595" ht="16.5" customHeight="1">
      <c r="A595" s="111">
        <v>592.0</v>
      </c>
      <c r="B595" s="112" t="s">
        <v>1873</v>
      </c>
      <c r="C595" s="115" t="s">
        <v>60</v>
      </c>
      <c r="D595" s="117">
        <v>41783.0</v>
      </c>
      <c r="E595" s="117">
        <v>42649.0</v>
      </c>
      <c r="F595" s="79" t="s">
        <v>109</v>
      </c>
      <c r="G595" s="118">
        <v>45500.0</v>
      </c>
      <c r="H595" s="114">
        <v>52.5</v>
      </c>
      <c r="I595" s="120">
        <v>268.0</v>
      </c>
      <c r="J595" s="111" t="s">
        <v>62</v>
      </c>
      <c r="K595" s="121">
        <v>268.0</v>
      </c>
      <c r="L595" s="120" t="s">
        <v>63</v>
      </c>
      <c r="M595" s="120"/>
      <c r="N595" s="120"/>
      <c r="O595" s="124">
        <v>45500.0</v>
      </c>
      <c r="P595" s="124">
        <v>867.0</v>
      </c>
      <c r="Q595" s="111">
        <v>195.0</v>
      </c>
      <c r="R595" s="125">
        <v>289.0</v>
      </c>
      <c r="S595" s="126">
        <v>0.9273</v>
      </c>
      <c r="T595" s="127">
        <v>54247.05</v>
      </c>
      <c r="U595" s="128">
        <f t="shared" si="2"/>
        <v>0</v>
      </c>
      <c r="V595" s="79" t="s">
        <v>69</v>
      </c>
      <c r="W595" s="79" t="s">
        <v>69</v>
      </c>
      <c r="X595" s="79" t="s">
        <v>68</v>
      </c>
      <c r="Y595" s="130">
        <v>0.9</v>
      </c>
      <c r="Z595" s="111">
        <v>3.0</v>
      </c>
      <c r="AA595" s="111">
        <v>288.0</v>
      </c>
      <c r="AB595" s="111" t="s">
        <v>62</v>
      </c>
      <c r="AC595" s="133"/>
      <c r="AD595" s="133"/>
      <c r="AE595" s="133"/>
      <c r="AF595" s="111"/>
      <c r="AG595" s="147"/>
      <c r="AH595" s="73"/>
      <c r="AI595" s="135"/>
      <c r="AJ595" s="136"/>
      <c r="AK595" s="76"/>
      <c r="AL595" s="137"/>
      <c r="AM595" s="139">
        <v>288.0</v>
      </c>
      <c r="AN595" s="139">
        <v>867.0</v>
      </c>
      <c r="AO595" s="140">
        <v>157.44</v>
      </c>
      <c r="AP595" s="142">
        <v>45500.0</v>
      </c>
      <c r="AQ595" s="142">
        <v>195.0</v>
      </c>
      <c r="AR595" s="143"/>
      <c r="AS595" s="144">
        <v>0.9577748373688372</v>
      </c>
      <c r="AT595" s="144">
        <v>-0.03047483736883716</v>
      </c>
      <c r="AU595" s="146" t="s">
        <v>2237</v>
      </c>
      <c r="AV595" s="146" t="s">
        <v>2237</v>
      </c>
      <c r="AW595" s="148" t="s">
        <v>2237</v>
      </c>
      <c r="AX595" s="151"/>
      <c r="AY595" s="105"/>
      <c r="AZ595" s="186"/>
      <c r="BA595" s="186"/>
      <c r="BB595" s="222"/>
      <c r="BC595" s="45"/>
      <c r="BD595" s="45"/>
      <c r="BE595" s="155"/>
      <c r="BF595" s="45"/>
    </row>
    <row r="596" ht="16.5" customHeight="1">
      <c r="A596" s="111">
        <v>593.0</v>
      </c>
      <c r="B596" s="112" t="s">
        <v>449</v>
      </c>
      <c r="C596" s="115" t="s">
        <v>60</v>
      </c>
      <c r="D596" s="117">
        <v>41598.0</v>
      </c>
      <c r="E596" s="117">
        <v>42639.0</v>
      </c>
      <c r="F596" s="79" t="s">
        <v>59</v>
      </c>
      <c r="G596" s="118">
        <v>156500.0</v>
      </c>
      <c r="H596" s="114">
        <v>150.2</v>
      </c>
      <c r="I596" s="120">
        <v>376.0</v>
      </c>
      <c r="J596" s="111" t="s">
        <v>62</v>
      </c>
      <c r="K596" s="121">
        <v>376.0</v>
      </c>
      <c r="L596" s="120" t="s">
        <v>63</v>
      </c>
      <c r="M596" s="120"/>
      <c r="N596" s="120"/>
      <c r="O596" s="124">
        <v>156500.0</v>
      </c>
      <c r="P596" s="124">
        <v>1042.0</v>
      </c>
      <c r="Q596" s="111">
        <v>185.0</v>
      </c>
      <c r="R596" s="125">
        <v>399.0</v>
      </c>
      <c r="S596" s="126">
        <v>0.9424</v>
      </c>
      <c r="T596" s="127">
        <v>73036.0</v>
      </c>
      <c r="U596" s="128">
        <f t="shared" si="2"/>
        <v>0</v>
      </c>
      <c r="V596" s="79" t="s">
        <v>80</v>
      </c>
      <c r="W596" s="79" t="s">
        <v>69</v>
      </c>
      <c r="X596" s="79" t="s">
        <v>66</v>
      </c>
      <c r="Y596" s="130">
        <v>0.7</v>
      </c>
      <c r="Z596" s="111">
        <v>11.0</v>
      </c>
      <c r="AA596" s="133"/>
      <c r="AB596" s="133"/>
      <c r="AC596" s="133"/>
      <c r="AD596" s="133"/>
      <c r="AE596" s="133"/>
      <c r="AF596" s="111"/>
      <c r="AG596" s="147"/>
      <c r="AH596" s="73"/>
      <c r="AI596" s="135"/>
      <c r="AJ596" s="136"/>
      <c r="AK596" s="76"/>
      <c r="AL596" s="137"/>
      <c r="AM596" s="139" t="s">
        <v>71</v>
      </c>
      <c r="AN596" s="139">
        <v>1042.0</v>
      </c>
      <c r="AO596" s="140">
        <v>384.7</v>
      </c>
      <c r="AP596" s="142">
        <v>156500.0</v>
      </c>
      <c r="AQ596" s="142">
        <v>185.0</v>
      </c>
      <c r="AR596" s="143"/>
      <c r="AS596" s="144">
        <v>0.9357993507974403</v>
      </c>
      <c r="AT596" s="144">
        <v>0.006600649202559761</v>
      </c>
      <c r="AU596" s="146" t="s">
        <v>2238</v>
      </c>
      <c r="AV596" s="146" t="s">
        <v>2238</v>
      </c>
      <c r="AW596" s="148" t="s">
        <v>2238</v>
      </c>
      <c r="AX596" s="151"/>
      <c r="AY596" s="105"/>
      <c r="AZ596" s="186"/>
      <c r="BA596" s="186"/>
      <c r="BB596" s="222"/>
      <c r="BC596" s="45"/>
      <c r="BD596" s="45"/>
      <c r="BE596" s="155"/>
      <c r="BF596" s="45"/>
    </row>
    <row r="597" ht="16.5" customHeight="1">
      <c r="A597" s="111">
        <v>594.0</v>
      </c>
      <c r="B597" s="112" t="s">
        <v>1637</v>
      </c>
      <c r="C597" s="115" t="s">
        <v>60</v>
      </c>
      <c r="D597" s="117">
        <v>42235.0</v>
      </c>
      <c r="E597" s="117">
        <v>42650.0</v>
      </c>
      <c r="F597" s="79" t="s">
        <v>118</v>
      </c>
      <c r="G597" s="118">
        <v>58335.0</v>
      </c>
      <c r="H597" s="114">
        <v>140.2</v>
      </c>
      <c r="I597" s="120">
        <v>351.0</v>
      </c>
      <c r="J597" s="111" t="s">
        <v>61</v>
      </c>
      <c r="K597" s="121">
        <v>355.44</v>
      </c>
      <c r="L597" s="120" t="s">
        <v>63</v>
      </c>
      <c r="M597" s="120"/>
      <c r="N597" s="120"/>
      <c r="O597" s="124">
        <v>58335.0</v>
      </c>
      <c r="P597" s="124">
        <v>416.0</v>
      </c>
      <c r="Q597" s="111">
        <v>203.0</v>
      </c>
      <c r="R597" s="125">
        <v>365.0</v>
      </c>
      <c r="S597" s="126">
        <v>0.9738</v>
      </c>
      <c r="T597" s="127">
        <v>66997.44</v>
      </c>
      <c r="U597" s="128">
        <f t="shared" si="2"/>
        <v>0</v>
      </c>
      <c r="V597" s="79" t="s">
        <v>127</v>
      </c>
      <c r="W597" s="79" t="s">
        <v>64</v>
      </c>
      <c r="X597" s="79" t="s">
        <v>65</v>
      </c>
      <c r="Y597" s="130">
        <v>0.8</v>
      </c>
      <c r="Z597" s="111">
        <v>11.0</v>
      </c>
      <c r="AA597" s="111">
        <v>360.0</v>
      </c>
      <c r="AB597" s="111" t="s">
        <v>61</v>
      </c>
      <c r="AC597" s="133"/>
      <c r="AD597" s="133"/>
      <c r="AE597" s="133"/>
      <c r="AF597" s="111"/>
      <c r="AG597" s="147"/>
      <c r="AH597" s="73"/>
      <c r="AI597" s="135"/>
      <c r="AJ597" s="136"/>
      <c r="AK597" s="76"/>
      <c r="AL597" s="137"/>
      <c r="AM597" s="139">
        <v>365.0</v>
      </c>
      <c r="AN597" s="139">
        <v>416.0</v>
      </c>
      <c r="AO597" s="140">
        <v>174.43</v>
      </c>
      <c r="AP597" s="142">
        <v>58335.0</v>
      </c>
      <c r="AQ597" s="142">
        <v>203.0</v>
      </c>
      <c r="AR597" s="143"/>
      <c r="AS597" s="144">
        <v>0.9536570768953181</v>
      </c>
      <c r="AT597" s="144">
        <v>0.02014292310468191</v>
      </c>
      <c r="AU597" s="146" t="s">
        <v>2241</v>
      </c>
      <c r="AV597" s="146" t="s">
        <v>2241</v>
      </c>
      <c r="AW597" s="148" t="s">
        <v>2241</v>
      </c>
      <c r="AX597" s="151"/>
      <c r="AY597" s="105"/>
      <c r="AZ597" s="186"/>
      <c r="BA597" s="186"/>
      <c r="BB597" s="222"/>
      <c r="BC597" s="45"/>
      <c r="BD597" s="45"/>
      <c r="BE597" s="155"/>
      <c r="BF597" s="45"/>
    </row>
    <row r="598" ht="16.5" customHeight="1">
      <c r="A598" s="111">
        <v>595.0</v>
      </c>
      <c r="B598" s="112" t="s">
        <v>1883</v>
      </c>
      <c r="C598" s="115" t="s">
        <v>60</v>
      </c>
      <c r="D598" s="117">
        <v>42626.0</v>
      </c>
      <c r="E598" s="117">
        <v>42658.0</v>
      </c>
      <c r="F598" s="79" t="s">
        <v>305</v>
      </c>
      <c r="G598" s="118">
        <v>1980.0</v>
      </c>
      <c r="H598" s="114">
        <v>60.0</v>
      </c>
      <c r="I598" s="120">
        <v>445.0</v>
      </c>
      <c r="J598" s="111" t="s">
        <v>61</v>
      </c>
      <c r="K598" s="121">
        <v>450.63</v>
      </c>
      <c r="L598" s="120" t="s">
        <v>63</v>
      </c>
      <c r="M598" s="120"/>
      <c r="N598" s="120"/>
      <c r="O598" s="124">
        <v>1980.0</v>
      </c>
      <c r="P598" s="124">
        <v>33.0</v>
      </c>
      <c r="Q598" s="111">
        <v>214.0</v>
      </c>
      <c r="R598" s="125">
        <v>452.0</v>
      </c>
      <c r="S598" s="126">
        <v>0.997</v>
      </c>
      <c r="T598" s="127">
        <v>81554.6</v>
      </c>
      <c r="U598" s="128">
        <f t="shared" si="2"/>
        <v>0</v>
      </c>
      <c r="V598" s="79" t="s">
        <v>64</v>
      </c>
      <c r="W598" s="79" t="s">
        <v>69</v>
      </c>
      <c r="X598" s="79" t="s">
        <v>68</v>
      </c>
      <c r="Y598" s="130">
        <v>0.8</v>
      </c>
      <c r="Z598" s="111">
        <v>11.0</v>
      </c>
      <c r="AA598" s="111">
        <v>455.0</v>
      </c>
      <c r="AB598" s="111" t="s">
        <v>61</v>
      </c>
      <c r="AC598" s="111">
        <v>455.0</v>
      </c>
      <c r="AD598" s="133"/>
      <c r="AE598" s="133"/>
      <c r="AF598" s="111"/>
      <c r="AG598" s="211" t="s">
        <v>2242</v>
      </c>
      <c r="AH598" s="73" t="s">
        <v>74</v>
      </c>
      <c r="AI598" s="135"/>
      <c r="AJ598" s="136"/>
      <c r="AK598" s="76"/>
      <c r="AL598" s="137"/>
      <c r="AM598" s="139">
        <v>461.0</v>
      </c>
      <c r="AN598" s="139">
        <v>33.0</v>
      </c>
      <c r="AO598" s="140">
        <v>5.19</v>
      </c>
      <c r="AP598" s="142">
        <v>1980.0</v>
      </c>
      <c r="AQ598" s="142">
        <v>214.0</v>
      </c>
      <c r="AR598" s="143"/>
      <c r="AS598" s="144">
        <v>0.9961450239098354</v>
      </c>
      <c r="AT598" s="144">
        <v>8.549760901646053E-4</v>
      </c>
      <c r="AU598" s="146" t="s">
        <v>2243</v>
      </c>
      <c r="AV598" s="146" t="s">
        <v>2243</v>
      </c>
      <c r="AW598" s="148" t="s">
        <v>2243</v>
      </c>
      <c r="AX598" s="151"/>
      <c r="AY598" s="105"/>
      <c r="AZ598" s="186"/>
      <c r="BA598" s="186"/>
      <c r="BB598" s="222"/>
      <c r="BC598" s="45"/>
      <c r="BD598" s="45"/>
      <c r="BE598" s="155"/>
      <c r="BF598" s="45"/>
    </row>
    <row r="599" ht="16.5" customHeight="1">
      <c r="A599" s="111">
        <v>596.0</v>
      </c>
      <c r="B599" s="112" t="s">
        <v>623</v>
      </c>
      <c r="C599" s="115" t="s">
        <v>60</v>
      </c>
      <c r="D599" s="117">
        <v>41794.0</v>
      </c>
      <c r="E599" s="117">
        <v>42654.0</v>
      </c>
      <c r="F599" s="79" t="s">
        <v>59</v>
      </c>
      <c r="G599" s="118">
        <v>136267.0</v>
      </c>
      <c r="H599" s="114">
        <v>158.3</v>
      </c>
      <c r="I599" s="120">
        <v>380.0</v>
      </c>
      <c r="J599" s="111" t="s">
        <v>62</v>
      </c>
      <c r="K599" s="121">
        <v>380.0</v>
      </c>
      <c r="L599" s="120" t="s">
        <v>63</v>
      </c>
      <c r="M599" s="120"/>
      <c r="N599" s="120"/>
      <c r="O599" s="124">
        <v>136267.0</v>
      </c>
      <c r="P599" s="124">
        <v>861.0</v>
      </c>
      <c r="Q599" s="111">
        <v>182.0</v>
      </c>
      <c r="R599" s="125">
        <v>399.0</v>
      </c>
      <c r="S599" s="126">
        <v>0.9524</v>
      </c>
      <c r="T599" s="127">
        <v>73811.0</v>
      </c>
      <c r="U599" s="128">
        <f t="shared" si="2"/>
        <v>0</v>
      </c>
      <c r="V599" s="79" t="s">
        <v>65</v>
      </c>
      <c r="W599" s="79" t="s">
        <v>69</v>
      </c>
      <c r="X599" s="79" t="s">
        <v>69</v>
      </c>
      <c r="Y599" s="130">
        <v>0.9</v>
      </c>
      <c r="Z599" s="111">
        <v>9.0</v>
      </c>
      <c r="AA599" s="133"/>
      <c r="AB599" s="133"/>
      <c r="AC599" s="133"/>
      <c r="AD599" s="133"/>
      <c r="AE599" s="133"/>
      <c r="AF599" s="111"/>
      <c r="AG599" s="828" t="s">
        <v>2244</v>
      </c>
      <c r="AH599" s="73"/>
      <c r="AI599" s="135"/>
      <c r="AJ599" s="136"/>
      <c r="AK599" s="76"/>
      <c r="AL599" s="137"/>
      <c r="AM599" s="139" t="s">
        <v>71</v>
      </c>
      <c r="AN599" s="139">
        <v>861.0</v>
      </c>
      <c r="AO599" s="140">
        <v>327.85</v>
      </c>
      <c r="AP599" s="142">
        <v>136267.0</v>
      </c>
      <c r="AQ599" s="142">
        <v>182.0</v>
      </c>
      <c r="AR599" s="143"/>
      <c r="AS599" s="144">
        <v>0.9390016124810187</v>
      </c>
      <c r="AT599" s="144">
        <v>0.01339838751898137</v>
      </c>
      <c r="AU599" s="146" t="s">
        <v>2245</v>
      </c>
      <c r="AV599" s="146" t="s">
        <v>2245</v>
      </c>
      <c r="AW599" s="148" t="s">
        <v>2245</v>
      </c>
      <c r="AX599" s="151"/>
      <c r="AY599" s="105"/>
      <c r="AZ599" s="186"/>
      <c r="BA599" s="186"/>
      <c r="BB599" s="222"/>
      <c r="BC599" s="45"/>
      <c r="BD599" s="45"/>
      <c r="BE599" s="155"/>
      <c r="BF599" s="45"/>
    </row>
    <row r="600" ht="16.5" customHeight="1">
      <c r="A600" s="111">
        <v>597.0</v>
      </c>
      <c r="B600" s="112" t="s">
        <v>1799</v>
      </c>
      <c r="C600" s="115" t="s">
        <v>60</v>
      </c>
      <c r="D600" s="117">
        <v>42646.0</v>
      </c>
      <c r="E600" s="117">
        <v>42663.0</v>
      </c>
      <c r="F600" s="79" t="s">
        <v>950</v>
      </c>
      <c r="G600" s="118">
        <v>2746.0</v>
      </c>
      <c r="H600" s="114">
        <v>152.6</v>
      </c>
      <c r="I600" s="120">
        <v>378.0</v>
      </c>
      <c r="J600" s="111" t="s">
        <v>61</v>
      </c>
      <c r="K600" s="121">
        <v>382.78</v>
      </c>
      <c r="L600" s="120" t="s">
        <v>63</v>
      </c>
      <c r="M600" s="120"/>
      <c r="N600" s="120"/>
      <c r="O600" s="124">
        <v>2746.0</v>
      </c>
      <c r="P600" s="124">
        <v>18.0</v>
      </c>
      <c r="Q600" s="111">
        <v>261.0</v>
      </c>
      <c r="R600" s="829">
        <v>384.0</v>
      </c>
      <c r="S600" s="126">
        <v>0.9968</v>
      </c>
      <c r="T600" s="127">
        <v>81538.24</v>
      </c>
      <c r="U600" s="128">
        <f t="shared" si="2"/>
        <v>0</v>
      </c>
      <c r="V600" s="79" t="s">
        <v>80</v>
      </c>
      <c r="W600" s="79" t="s">
        <v>69</v>
      </c>
      <c r="X600" s="79" t="s">
        <v>69</v>
      </c>
      <c r="Y600" s="130">
        <v>0.9</v>
      </c>
      <c r="Z600" s="111">
        <v>22.0</v>
      </c>
      <c r="AA600" s="133"/>
      <c r="AB600" s="133"/>
      <c r="AC600" s="133"/>
      <c r="AD600" s="133"/>
      <c r="AE600" s="133"/>
      <c r="AF600" s="111"/>
      <c r="AG600" s="147"/>
      <c r="AH600" s="73"/>
      <c r="AI600" s="135"/>
      <c r="AJ600" s="136"/>
      <c r="AK600" s="76"/>
      <c r="AL600" s="137"/>
      <c r="AM600" s="139" t="s">
        <v>71</v>
      </c>
      <c r="AN600" s="139">
        <v>18.0</v>
      </c>
      <c r="AO600" s="140">
        <v>8.78</v>
      </c>
      <c r="AP600" s="142">
        <v>2746.0</v>
      </c>
      <c r="AQ600" s="142">
        <v>261.0</v>
      </c>
      <c r="AR600" s="143"/>
      <c r="AS600" s="144">
        <v>0.994740068672546</v>
      </c>
      <c r="AT600" s="144">
        <v>0.0020599313274539677</v>
      </c>
      <c r="AU600" s="146" t="s">
        <v>2246</v>
      </c>
      <c r="AV600" s="146" t="s">
        <v>2246</v>
      </c>
      <c r="AW600" s="148" t="s">
        <v>2246</v>
      </c>
      <c r="AX600" s="151"/>
      <c r="AY600" s="105"/>
      <c r="AZ600" s="186"/>
      <c r="BA600" s="186"/>
      <c r="BB600" s="222"/>
      <c r="BC600" s="45"/>
      <c r="BD600" s="45"/>
      <c r="BE600" s="155"/>
      <c r="BF600" s="45"/>
    </row>
    <row r="601" ht="16.5" customHeight="1">
      <c r="A601" s="111">
        <v>598.0</v>
      </c>
      <c r="B601" s="112" t="s">
        <v>1784</v>
      </c>
      <c r="C601" s="115" t="s">
        <v>60</v>
      </c>
      <c r="D601" s="117">
        <v>41942.0</v>
      </c>
      <c r="E601" s="117">
        <v>42666.0</v>
      </c>
      <c r="F601" s="79" t="s">
        <v>59</v>
      </c>
      <c r="G601" s="118">
        <v>73402.0</v>
      </c>
      <c r="H601" s="114">
        <v>101.2</v>
      </c>
      <c r="I601" s="120">
        <v>383.0</v>
      </c>
      <c r="J601" s="111" t="s">
        <v>62</v>
      </c>
      <c r="K601" s="121">
        <v>383.0</v>
      </c>
      <c r="L601" s="120" t="s">
        <v>63</v>
      </c>
      <c r="M601" s="120"/>
      <c r="N601" s="120"/>
      <c r="O601" s="124">
        <v>73402.0</v>
      </c>
      <c r="P601" s="124">
        <v>725.0</v>
      </c>
      <c r="Q601" s="111">
        <v>220.0</v>
      </c>
      <c r="R601" s="125">
        <v>399.0</v>
      </c>
      <c r="S601" s="126">
        <v>0.9599</v>
      </c>
      <c r="T601" s="127">
        <v>74392.25</v>
      </c>
      <c r="U601" s="128">
        <f t="shared" si="2"/>
        <v>0</v>
      </c>
      <c r="V601" s="79"/>
      <c r="W601" s="79"/>
      <c r="X601" s="79"/>
      <c r="Y601" s="130"/>
      <c r="Z601" s="111"/>
      <c r="AA601" s="133"/>
      <c r="AB601" s="133"/>
      <c r="AC601" s="133"/>
      <c r="AD601" s="133"/>
      <c r="AE601" s="133"/>
      <c r="AF601" s="111"/>
      <c r="AG601" s="147"/>
      <c r="AH601" s="73"/>
      <c r="AI601" s="135"/>
      <c r="AJ601" s="136"/>
      <c r="AK601" s="76"/>
      <c r="AL601" s="137"/>
      <c r="AM601" s="139" t="s">
        <v>71</v>
      </c>
      <c r="AN601" s="139">
        <v>725.0</v>
      </c>
      <c r="AO601" s="140">
        <v>212.66</v>
      </c>
      <c r="AP601" s="142">
        <v>73402.0</v>
      </c>
      <c r="AQ601" s="142">
        <v>220.0</v>
      </c>
      <c r="AR601" s="143"/>
      <c r="AS601" s="144">
        <v>0.9500109245424512</v>
      </c>
      <c r="AT601" s="144">
        <v>0.009889075457548802</v>
      </c>
      <c r="AU601" s="146" t="s">
        <v>2247</v>
      </c>
      <c r="AV601" s="146" t="s">
        <v>2247</v>
      </c>
      <c r="AW601" s="148" t="s">
        <v>2247</v>
      </c>
      <c r="AX601" s="151"/>
      <c r="AY601" s="105"/>
      <c r="AZ601" s="186"/>
      <c r="BA601" s="186"/>
      <c r="BB601" s="222"/>
      <c r="BC601" s="45"/>
      <c r="BD601" s="45"/>
      <c r="BE601" s="155"/>
      <c r="BF601" s="45"/>
    </row>
    <row r="602" ht="16.5" customHeight="1">
      <c r="A602" s="111">
        <v>599.0</v>
      </c>
      <c r="B602" s="112" t="s">
        <v>300</v>
      </c>
      <c r="C602" s="115" t="s">
        <v>60</v>
      </c>
      <c r="D602" s="117">
        <v>41593.0</v>
      </c>
      <c r="E602" s="117">
        <v>42666.0</v>
      </c>
      <c r="F602" s="79" t="s">
        <v>59</v>
      </c>
      <c r="G602" s="118">
        <v>126077.0</v>
      </c>
      <c r="H602" s="114">
        <v>117.4</v>
      </c>
      <c r="I602" s="120">
        <v>371.0</v>
      </c>
      <c r="J602" s="111" t="s">
        <v>61</v>
      </c>
      <c r="K602" s="121">
        <v>375.7</v>
      </c>
      <c r="L602" s="120" t="s">
        <v>195</v>
      </c>
      <c r="M602" s="120" t="s">
        <v>281</v>
      </c>
      <c r="N602" s="120">
        <v>28000.0</v>
      </c>
      <c r="O602" s="124">
        <v>103802.0</v>
      </c>
      <c r="P602" s="124">
        <v>884.0</v>
      </c>
      <c r="Q602" s="111">
        <v>226.0</v>
      </c>
      <c r="R602" s="125">
        <v>399.0</v>
      </c>
      <c r="S602" s="126">
        <v>0.9416</v>
      </c>
      <c r="T602" s="127">
        <v>72974.0</v>
      </c>
      <c r="U602" s="128">
        <f t="shared" si="2"/>
        <v>0</v>
      </c>
      <c r="V602" s="79" t="s">
        <v>69</v>
      </c>
      <c r="W602" s="79" t="s">
        <v>69</v>
      </c>
      <c r="X602" s="79" t="s">
        <v>69</v>
      </c>
      <c r="Y602" s="130">
        <v>0.9</v>
      </c>
      <c r="Z602" s="111">
        <v>16.0</v>
      </c>
      <c r="AA602" s="133"/>
      <c r="AB602" s="133"/>
      <c r="AC602" s="111">
        <v>336.0</v>
      </c>
      <c r="AD602" s="133"/>
      <c r="AE602" s="133"/>
      <c r="AF602" s="111"/>
      <c r="AG602" s="147"/>
      <c r="AH602" s="73" t="s">
        <v>74</v>
      </c>
      <c r="AI602" s="135"/>
      <c r="AJ602" s="136"/>
      <c r="AK602" s="76"/>
      <c r="AL602" s="137"/>
      <c r="AM602" s="139" t="s">
        <v>71</v>
      </c>
      <c r="AN602" s="139">
        <v>1074.0</v>
      </c>
      <c r="AO602" s="140">
        <v>311.84</v>
      </c>
      <c r="AP602" s="142">
        <v>103802.0</v>
      </c>
      <c r="AQ602" s="142">
        <v>226.0</v>
      </c>
      <c r="AR602" s="143"/>
      <c r="AS602" s="144">
        <v>0.94430933353314</v>
      </c>
      <c r="AT602" s="144">
        <v>-0.002709333533139957</v>
      </c>
      <c r="AU602" s="146" t="s">
        <v>2248</v>
      </c>
      <c r="AV602" s="146" t="s">
        <v>2248</v>
      </c>
      <c r="AW602" s="148" t="s">
        <v>2248</v>
      </c>
      <c r="AX602" s="151"/>
      <c r="AY602" s="105"/>
      <c r="AZ602" s="186"/>
      <c r="BA602" s="186"/>
      <c r="BB602" s="222"/>
      <c r="BC602" s="45"/>
      <c r="BD602" s="45"/>
      <c r="BE602" s="155"/>
      <c r="BF602" s="45"/>
    </row>
    <row r="603" ht="16.5" customHeight="1">
      <c r="A603" s="111">
        <v>600.0</v>
      </c>
      <c r="B603" s="112" t="s">
        <v>1776</v>
      </c>
      <c r="C603" s="115" t="s">
        <v>60</v>
      </c>
      <c r="D603" s="117">
        <v>42167.0</v>
      </c>
      <c r="E603" s="117">
        <v>42666.0</v>
      </c>
      <c r="F603" s="79" t="s">
        <v>86</v>
      </c>
      <c r="G603" s="118">
        <v>27700.0</v>
      </c>
      <c r="H603" s="114">
        <v>55.4</v>
      </c>
      <c r="I603" s="120">
        <v>400.0</v>
      </c>
      <c r="J603" s="111" t="s">
        <v>61</v>
      </c>
      <c r="K603" s="121">
        <v>405.06</v>
      </c>
      <c r="L603" s="120" t="s">
        <v>63</v>
      </c>
      <c r="M603" s="120"/>
      <c r="N603" s="120"/>
      <c r="O603" s="124">
        <v>27700.0</v>
      </c>
      <c r="P603" s="124">
        <v>500.0</v>
      </c>
      <c r="Q603" s="111">
        <v>215.0</v>
      </c>
      <c r="R603" s="125">
        <v>430.0</v>
      </c>
      <c r="S603" s="126">
        <v>0.942</v>
      </c>
      <c r="T603" s="127">
        <v>73005.0</v>
      </c>
      <c r="U603" s="128">
        <f t="shared" si="2"/>
        <v>0</v>
      </c>
      <c r="V603" s="79" t="s">
        <v>65</v>
      </c>
      <c r="W603" s="79" t="s">
        <v>69</v>
      </c>
      <c r="X603" s="79" t="s">
        <v>66</v>
      </c>
      <c r="Y603" s="130">
        <v>0.8</v>
      </c>
      <c r="Z603" s="111">
        <v>11.0</v>
      </c>
      <c r="AA603" s="133"/>
      <c r="AB603" s="133"/>
      <c r="AC603" s="133"/>
      <c r="AD603" s="133"/>
      <c r="AE603" s="133"/>
      <c r="AF603" s="111"/>
      <c r="AG603" s="147"/>
      <c r="AH603" s="73"/>
      <c r="AI603" s="135"/>
      <c r="AJ603" s="136"/>
      <c r="AK603" s="76"/>
      <c r="AL603" s="137"/>
      <c r="AM603" s="139" t="s">
        <v>71</v>
      </c>
      <c r="AN603" s="139">
        <v>500.0</v>
      </c>
      <c r="AO603" s="140">
        <v>79.16</v>
      </c>
      <c r="AP603" s="142">
        <v>27700.0</v>
      </c>
      <c r="AQ603" s="142">
        <v>215.0</v>
      </c>
      <c r="AR603" s="143"/>
      <c r="AS603" s="144">
        <v>0.9666731820442986</v>
      </c>
      <c r="AT603" s="144">
        <v>-0.02467318204429869</v>
      </c>
      <c r="AU603" s="146" t="s">
        <v>2249</v>
      </c>
      <c r="AV603" s="146" t="s">
        <v>2249</v>
      </c>
      <c r="AW603" s="148" t="s">
        <v>2249</v>
      </c>
      <c r="AX603" s="151"/>
      <c r="AY603" s="105"/>
      <c r="AZ603" s="186"/>
      <c r="BA603" s="186"/>
      <c r="BB603" s="222"/>
      <c r="BC603" s="45"/>
      <c r="BD603" s="45"/>
      <c r="BE603" s="155"/>
      <c r="BF603" s="45"/>
    </row>
    <row r="604" ht="16.5" customHeight="1">
      <c r="A604" s="111">
        <v>601.0</v>
      </c>
      <c r="B604" s="112" t="s">
        <v>1447</v>
      </c>
      <c r="C604" s="115" t="s">
        <v>60</v>
      </c>
      <c r="D604" s="117">
        <v>41992.0</v>
      </c>
      <c r="E604" s="117">
        <v>42667.0</v>
      </c>
      <c r="F604" s="79" t="s">
        <v>59</v>
      </c>
      <c r="G604" s="118">
        <v>24183.0</v>
      </c>
      <c r="H604" s="114">
        <v>35.8</v>
      </c>
      <c r="I604" s="120">
        <v>383.0</v>
      </c>
      <c r="J604" s="111" t="s">
        <v>61</v>
      </c>
      <c r="K604" s="121">
        <v>387.85</v>
      </c>
      <c r="L604" s="120" t="s">
        <v>63</v>
      </c>
      <c r="M604" s="120"/>
      <c r="N604" s="120"/>
      <c r="O604" s="124">
        <v>24183.0</v>
      </c>
      <c r="P604" s="124">
        <v>676.0</v>
      </c>
      <c r="Q604" s="111">
        <v>222.0</v>
      </c>
      <c r="R604" s="125">
        <v>399.0</v>
      </c>
      <c r="S604" s="126">
        <v>0.9721</v>
      </c>
      <c r="T604" s="127">
        <v>75337.75</v>
      </c>
      <c r="U604" s="128">
        <f t="shared" si="2"/>
        <v>0</v>
      </c>
      <c r="V604" s="79" t="s">
        <v>64</v>
      </c>
      <c r="W604" s="79" t="s">
        <v>69</v>
      </c>
      <c r="X604" s="79" t="s">
        <v>68</v>
      </c>
      <c r="Y604" s="130">
        <v>0.9</v>
      </c>
      <c r="Z604" s="111">
        <v>7.0</v>
      </c>
      <c r="AA604" s="133"/>
      <c r="AB604" s="133"/>
      <c r="AC604" s="133"/>
      <c r="AD604" s="133"/>
      <c r="AE604" s="133"/>
      <c r="AF604" s="111"/>
      <c r="AG604" s="147"/>
      <c r="AH604" s="73"/>
      <c r="AI604" s="135"/>
      <c r="AJ604" s="136"/>
      <c r="AK604" s="76"/>
      <c r="AL604" s="137"/>
      <c r="AM604" s="139" t="s">
        <v>71</v>
      </c>
      <c r="AN604" s="139">
        <v>676.0</v>
      </c>
      <c r="AO604" s="140">
        <v>70.28</v>
      </c>
      <c r="AP604" s="142">
        <v>24183.0</v>
      </c>
      <c r="AQ604" s="142">
        <v>222.0</v>
      </c>
      <c r="AR604" s="143"/>
      <c r="AS604" s="144">
        <v>0.9691655078781019</v>
      </c>
      <c r="AT604" s="144">
        <v>0.0029344921218981135</v>
      </c>
      <c r="AU604" s="146" t="s">
        <v>2250</v>
      </c>
      <c r="AV604" s="146" t="s">
        <v>2250</v>
      </c>
      <c r="AW604" s="148" t="s">
        <v>2250</v>
      </c>
      <c r="AX604" s="151"/>
      <c r="AY604" s="105"/>
      <c r="AZ604" s="186"/>
      <c r="BA604" s="186"/>
      <c r="BB604" s="222"/>
      <c r="BC604" s="45"/>
      <c r="BD604" s="45"/>
      <c r="BE604" s="155"/>
      <c r="BF604" s="45"/>
    </row>
    <row r="605" ht="16.5" customHeight="1">
      <c r="A605" s="111">
        <v>602.0</v>
      </c>
      <c r="B605" s="112" t="s">
        <v>1795</v>
      </c>
      <c r="C605" s="115" t="s">
        <v>60</v>
      </c>
      <c r="D605" s="345">
        <v>42200.0</v>
      </c>
      <c r="E605" s="117">
        <v>42672.0</v>
      </c>
      <c r="F605" s="79" t="s">
        <v>59</v>
      </c>
      <c r="G605" s="118">
        <v>66849.0</v>
      </c>
      <c r="H605" s="114">
        <v>141.3</v>
      </c>
      <c r="I605" s="120">
        <v>391.0</v>
      </c>
      <c r="J605" s="111" t="s">
        <v>62</v>
      </c>
      <c r="K605" s="121">
        <v>391.0</v>
      </c>
      <c r="L605" s="120" t="s">
        <v>63</v>
      </c>
      <c r="M605" s="120"/>
      <c r="N605" s="120"/>
      <c r="O605" s="124">
        <v>66849.0</v>
      </c>
      <c r="P605" s="124">
        <v>473.0</v>
      </c>
      <c r="Q605" s="159">
        <v>218.0</v>
      </c>
      <c r="R605" s="125">
        <v>399.0</v>
      </c>
      <c r="S605" s="126">
        <v>0.9799</v>
      </c>
      <c r="T605" s="127">
        <v>75942.25</v>
      </c>
      <c r="U605" s="128">
        <f t="shared" si="2"/>
        <v>0</v>
      </c>
      <c r="V605" s="79"/>
      <c r="W605" s="79"/>
      <c r="X605" s="79"/>
      <c r="Y605" s="130"/>
      <c r="Z605" s="111"/>
      <c r="AA605" s="133"/>
      <c r="AB605" s="133"/>
      <c r="AC605" s="133"/>
      <c r="AD605" s="133"/>
      <c r="AE605" s="133"/>
      <c r="AF605" s="111"/>
      <c r="AG605" s="147"/>
      <c r="AH605" s="73"/>
      <c r="AI605" s="135"/>
      <c r="AJ605" s="136"/>
      <c r="AK605" s="76"/>
      <c r="AL605" s="137"/>
      <c r="AM605" s="139" t="s">
        <v>71</v>
      </c>
      <c r="AN605" s="139">
        <v>473.0</v>
      </c>
      <c r="AO605" s="140">
        <v>189.97</v>
      </c>
      <c r="AP605" s="142">
        <v>66849.0</v>
      </c>
      <c r="AQ605" s="142">
        <v>218.0</v>
      </c>
      <c r="AR605" s="143"/>
      <c r="AS605" s="144">
        <v>0.9514868463802175</v>
      </c>
      <c r="AT605" s="144">
        <v>0.028413153619782472</v>
      </c>
      <c r="AU605" s="146" t="s">
        <v>2251</v>
      </c>
      <c r="AV605" s="146" t="s">
        <v>2251</v>
      </c>
      <c r="AW605" s="148" t="s">
        <v>2251</v>
      </c>
      <c r="AX605" s="151"/>
      <c r="AY605" s="105"/>
      <c r="AZ605" s="186"/>
      <c r="BA605" s="186"/>
      <c r="BB605" s="222"/>
      <c r="BC605" s="45"/>
      <c r="BD605" s="45"/>
      <c r="BE605" s="155"/>
      <c r="BF605" s="45"/>
    </row>
    <row r="606" ht="16.5" customHeight="1">
      <c r="A606" s="111">
        <v>603.0</v>
      </c>
      <c r="B606" s="112" t="s">
        <v>1883</v>
      </c>
      <c r="C606" s="115" t="s">
        <v>60</v>
      </c>
      <c r="D606" s="117">
        <v>42626.0</v>
      </c>
      <c r="E606" s="117">
        <v>42659.0</v>
      </c>
      <c r="F606" s="79" t="s">
        <v>305</v>
      </c>
      <c r="G606" s="118">
        <v>2500.0</v>
      </c>
      <c r="H606" s="114">
        <v>73.5</v>
      </c>
      <c r="I606" s="120">
        <v>450.0</v>
      </c>
      <c r="J606" s="111" t="s">
        <v>61</v>
      </c>
      <c r="K606" s="121">
        <v>455.7</v>
      </c>
      <c r="L606" s="120" t="s">
        <v>63</v>
      </c>
      <c r="M606" s="120"/>
      <c r="N606" s="120"/>
      <c r="O606" s="124">
        <v>2500.0</v>
      </c>
      <c r="P606" s="124">
        <v>34.0</v>
      </c>
      <c r="Q606" s="111">
        <v>214.0</v>
      </c>
      <c r="R606" s="125">
        <v>452.0</v>
      </c>
      <c r="S606" s="126">
        <v>1.0082</v>
      </c>
      <c r="T606" s="127">
        <v>82470.76</v>
      </c>
      <c r="U606" s="128">
        <f t="shared" si="2"/>
        <v>0</v>
      </c>
      <c r="V606" s="79" t="s">
        <v>64</v>
      </c>
      <c r="W606" s="79" t="s">
        <v>69</v>
      </c>
      <c r="X606" s="79" t="s">
        <v>68</v>
      </c>
      <c r="Y606" s="130">
        <v>0.8</v>
      </c>
      <c r="Z606" s="111">
        <v>11.0</v>
      </c>
      <c r="AA606" s="111">
        <v>455.0</v>
      </c>
      <c r="AB606" s="111" t="s">
        <v>61</v>
      </c>
      <c r="AC606" s="111">
        <v>450.0</v>
      </c>
      <c r="AD606" s="133"/>
      <c r="AE606" s="133"/>
      <c r="AF606" s="111"/>
      <c r="AG606" s="147"/>
      <c r="AH606" s="73" t="s">
        <v>74</v>
      </c>
      <c r="AI606" s="135"/>
      <c r="AJ606" s="136"/>
      <c r="AK606" s="76"/>
      <c r="AL606" s="137"/>
      <c r="AM606" s="139">
        <v>461.0</v>
      </c>
      <c r="AN606" s="139">
        <v>34.0</v>
      </c>
      <c r="AO606" s="140">
        <v>6.51</v>
      </c>
      <c r="AP606" s="142">
        <v>2500.0</v>
      </c>
      <c r="AQ606" s="142">
        <v>214.0</v>
      </c>
      <c r="AR606" s="143"/>
      <c r="AS606" s="144">
        <v>0.9951862174410449</v>
      </c>
      <c r="AT606" s="144">
        <v>0.013013782558955134</v>
      </c>
      <c r="AU606" s="146" t="s">
        <v>2252</v>
      </c>
      <c r="AV606" s="146" t="s">
        <v>2252</v>
      </c>
      <c r="AW606" s="148" t="s">
        <v>2252</v>
      </c>
      <c r="AX606" s="151"/>
      <c r="AY606" s="105"/>
      <c r="AZ606" s="186"/>
      <c r="BA606" s="186"/>
      <c r="BB606" s="222"/>
      <c r="BC606" s="45"/>
      <c r="BD606" s="45"/>
      <c r="BE606" s="155"/>
      <c r="BF606" s="45"/>
    </row>
    <row r="607" ht="16.5" customHeight="1">
      <c r="A607" s="111">
        <v>604.0</v>
      </c>
      <c r="B607" s="112" t="s">
        <v>1762</v>
      </c>
      <c r="C607" s="115" t="s">
        <v>60</v>
      </c>
      <c r="D607" s="117">
        <v>41800.0</v>
      </c>
      <c r="E607" s="117">
        <v>42118.0</v>
      </c>
      <c r="F607" s="79" t="s">
        <v>59</v>
      </c>
      <c r="G607" s="118">
        <v>36302.0</v>
      </c>
      <c r="H607" s="114">
        <v>113.8</v>
      </c>
      <c r="I607" s="120">
        <v>388.0</v>
      </c>
      <c r="J607" s="111" t="s">
        <v>61</v>
      </c>
      <c r="K607" s="121">
        <v>392.91</v>
      </c>
      <c r="L607" s="120" t="s">
        <v>63</v>
      </c>
      <c r="M607" s="120"/>
      <c r="N607" s="120"/>
      <c r="O607" s="124">
        <v>36302.0</v>
      </c>
      <c r="P607" s="124">
        <v>319.0</v>
      </c>
      <c r="Q607" s="111">
        <v>220.0</v>
      </c>
      <c r="R607" s="125">
        <v>399.0</v>
      </c>
      <c r="S607" s="126">
        <v>0.9847</v>
      </c>
      <c r="T607" s="127">
        <v>76314.25</v>
      </c>
      <c r="U607" s="128">
        <f t="shared" si="2"/>
        <v>0</v>
      </c>
      <c r="V607" s="79" t="s">
        <v>67</v>
      </c>
      <c r="W607" s="79" t="s">
        <v>69</v>
      </c>
      <c r="X607" s="79" t="s">
        <v>68</v>
      </c>
      <c r="Y607" s="130">
        <v>0.8</v>
      </c>
      <c r="Z607" s="111">
        <v>3.0</v>
      </c>
      <c r="AA607" s="111">
        <v>388.0</v>
      </c>
      <c r="AB607" s="111" t="s">
        <v>61</v>
      </c>
      <c r="AC607" s="133"/>
      <c r="AD607" s="133"/>
      <c r="AE607" s="133"/>
      <c r="AF607" s="111"/>
      <c r="AG607" s="147"/>
      <c r="AH607" s="73"/>
      <c r="AI607" s="135"/>
      <c r="AJ607" s="136"/>
      <c r="AK607" s="76"/>
      <c r="AL607" s="137"/>
      <c r="AM607" s="139">
        <v>393.0</v>
      </c>
      <c r="AN607" s="139">
        <v>319.0</v>
      </c>
      <c r="AO607" s="140">
        <v>103.86</v>
      </c>
      <c r="AP607" s="142">
        <v>36302.0</v>
      </c>
      <c r="AQ607" s="142">
        <v>220.0</v>
      </c>
      <c r="AR607" s="143"/>
      <c r="AS607" s="144">
        <v>0.9617381183694422</v>
      </c>
      <c r="AT607" s="144">
        <v>0.02296188163055779</v>
      </c>
      <c r="AU607" s="146" t="s">
        <v>2253</v>
      </c>
      <c r="AV607" s="146" t="s">
        <v>2253</v>
      </c>
      <c r="AW607" s="148" t="s">
        <v>2253</v>
      </c>
      <c r="AX607" s="151"/>
      <c r="AY607" s="105"/>
      <c r="AZ607" s="186"/>
      <c r="BA607" s="186"/>
      <c r="BB607" s="222"/>
      <c r="BC607" s="45"/>
      <c r="BD607" s="45"/>
      <c r="BE607" s="155"/>
      <c r="BF607" s="45"/>
    </row>
    <row r="608" ht="16.5" customHeight="1">
      <c r="A608" s="111">
        <v>605.0</v>
      </c>
      <c r="B608" s="112" t="s">
        <v>1762</v>
      </c>
      <c r="C608" s="115" t="s">
        <v>60</v>
      </c>
      <c r="D608" s="117">
        <v>41800.0</v>
      </c>
      <c r="E608" s="117">
        <v>42185.0</v>
      </c>
      <c r="F608" s="79" t="s">
        <v>59</v>
      </c>
      <c r="G608" s="118">
        <v>39821.0</v>
      </c>
      <c r="H608" s="114">
        <v>103.2</v>
      </c>
      <c r="I608" s="120">
        <v>381.0</v>
      </c>
      <c r="J608" s="111" t="s">
        <v>61</v>
      </c>
      <c r="K608" s="121">
        <v>385.82</v>
      </c>
      <c r="L608" s="120" t="s">
        <v>63</v>
      </c>
      <c r="M608" s="120"/>
      <c r="N608" s="120"/>
      <c r="O608" s="124">
        <v>39821.0</v>
      </c>
      <c r="P608" s="124">
        <v>386.0</v>
      </c>
      <c r="Q608" s="111">
        <v>220.0</v>
      </c>
      <c r="R608" s="125">
        <v>399.0</v>
      </c>
      <c r="S608" s="126">
        <v>0.967</v>
      </c>
      <c r="T608" s="127">
        <v>74942.5</v>
      </c>
      <c r="U608" s="128">
        <f t="shared" si="2"/>
        <v>0</v>
      </c>
      <c r="V608" s="79" t="s">
        <v>67</v>
      </c>
      <c r="W608" s="79" t="s">
        <v>69</v>
      </c>
      <c r="X608" s="79" t="s">
        <v>68</v>
      </c>
      <c r="Y608" s="130">
        <v>0.8</v>
      </c>
      <c r="Z608" s="111">
        <v>3.0</v>
      </c>
      <c r="AA608" s="111">
        <v>388.0</v>
      </c>
      <c r="AB608" s="111" t="s">
        <v>61</v>
      </c>
      <c r="AC608" s="133"/>
      <c r="AD608" s="133"/>
      <c r="AE608" s="133"/>
      <c r="AF608" s="111"/>
      <c r="AG608" s="147"/>
      <c r="AH608" s="73"/>
      <c r="AI608" s="135"/>
      <c r="AJ608" s="136"/>
      <c r="AK608" s="76"/>
      <c r="AL608" s="137"/>
      <c r="AM608" s="139">
        <v>393.0</v>
      </c>
      <c r="AN608" s="139">
        <v>386.0</v>
      </c>
      <c r="AO608" s="140">
        <v>114.95</v>
      </c>
      <c r="AP608" s="142">
        <v>39821.0</v>
      </c>
      <c r="AQ608" s="142">
        <v>220.0</v>
      </c>
      <c r="AR608" s="143"/>
      <c r="AS608" s="144">
        <v>0.9600907125682886</v>
      </c>
      <c r="AT608" s="144">
        <v>0.006909287431711375</v>
      </c>
      <c r="AU608" s="146" t="s">
        <v>2254</v>
      </c>
      <c r="AV608" s="146" t="s">
        <v>2254</v>
      </c>
      <c r="AW608" s="148" t="s">
        <v>2254</v>
      </c>
      <c r="AX608" s="151"/>
      <c r="AY608" s="105"/>
      <c r="AZ608" s="186"/>
      <c r="BA608" s="186"/>
      <c r="BB608" s="222"/>
      <c r="BC608" s="45"/>
      <c r="BD608" s="45"/>
      <c r="BE608" s="155"/>
      <c r="BF608" s="45"/>
    </row>
    <row r="609" ht="16.5" customHeight="1">
      <c r="A609" s="111">
        <v>606.0</v>
      </c>
      <c r="B609" s="112" t="s">
        <v>1762</v>
      </c>
      <c r="C609" s="115" t="s">
        <v>60</v>
      </c>
      <c r="D609" s="117">
        <v>41800.0</v>
      </c>
      <c r="E609" s="117">
        <v>42278.0</v>
      </c>
      <c r="F609" s="79" t="s">
        <v>59</v>
      </c>
      <c r="G609" s="118">
        <v>48316.0</v>
      </c>
      <c r="H609" s="114">
        <v>100.9</v>
      </c>
      <c r="I609" s="120">
        <v>373.0</v>
      </c>
      <c r="J609" s="111" t="s">
        <v>61</v>
      </c>
      <c r="K609" s="121">
        <v>377.72</v>
      </c>
      <c r="L609" s="120" t="s">
        <v>63</v>
      </c>
      <c r="M609" s="120"/>
      <c r="N609" s="120"/>
      <c r="O609" s="124">
        <v>48316.0</v>
      </c>
      <c r="P609" s="124">
        <v>479.0</v>
      </c>
      <c r="Q609" s="111">
        <v>220.0</v>
      </c>
      <c r="R609" s="125">
        <v>399.0</v>
      </c>
      <c r="S609" s="126">
        <v>0.9467</v>
      </c>
      <c r="T609" s="127">
        <v>73369.25</v>
      </c>
      <c r="U609" s="128">
        <f t="shared" si="2"/>
        <v>0</v>
      </c>
      <c r="V609" s="79" t="s">
        <v>67</v>
      </c>
      <c r="W609" s="79" t="s">
        <v>69</v>
      </c>
      <c r="X609" s="79" t="s">
        <v>68</v>
      </c>
      <c r="Y609" s="130">
        <v>0.8</v>
      </c>
      <c r="Z609" s="111">
        <v>3.0</v>
      </c>
      <c r="AA609" s="111">
        <v>388.0</v>
      </c>
      <c r="AB609" s="111" t="s">
        <v>61</v>
      </c>
      <c r="AC609" s="133"/>
      <c r="AD609" s="133"/>
      <c r="AE609" s="133"/>
      <c r="AF609" s="111"/>
      <c r="AG609" s="147"/>
      <c r="AH609" s="73"/>
      <c r="AI609" s="135"/>
      <c r="AJ609" s="136"/>
      <c r="AK609" s="76"/>
      <c r="AL609" s="137"/>
      <c r="AM609" s="139">
        <v>393.0</v>
      </c>
      <c r="AN609" s="139">
        <v>479.0</v>
      </c>
      <c r="AO609" s="140">
        <v>140.93</v>
      </c>
      <c r="AP609" s="142">
        <v>48316.0</v>
      </c>
      <c r="AQ609" s="142">
        <v>220.0</v>
      </c>
      <c r="AR609" s="143"/>
      <c r="AS609" s="144">
        <v>0.9567563616041124</v>
      </c>
      <c r="AT609" s="144">
        <v>-0.010056361604112385</v>
      </c>
      <c r="AU609" s="146" t="s">
        <v>2255</v>
      </c>
      <c r="AV609" s="146" t="s">
        <v>2255</v>
      </c>
      <c r="AW609" s="148" t="s">
        <v>2255</v>
      </c>
      <c r="AX609" s="151"/>
      <c r="AY609" s="105"/>
      <c r="AZ609" s="186"/>
      <c r="BA609" s="186"/>
      <c r="BB609" s="222"/>
      <c r="BC609" s="45"/>
      <c r="BD609" s="45"/>
      <c r="BE609" s="155"/>
      <c r="BF609" s="45"/>
    </row>
    <row r="610" ht="16.5" customHeight="1">
      <c r="A610" s="111">
        <v>607.0</v>
      </c>
      <c r="B610" s="112" t="s">
        <v>1762</v>
      </c>
      <c r="C610" s="115" t="s">
        <v>60</v>
      </c>
      <c r="D610" s="117">
        <v>41800.0</v>
      </c>
      <c r="E610" s="117">
        <v>42568.0</v>
      </c>
      <c r="F610" s="79" t="s">
        <v>59</v>
      </c>
      <c r="G610" s="118">
        <v>68068.0</v>
      </c>
      <c r="H610" s="114">
        <v>88.5</v>
      </c>
      <c r="I610" s="120">
        <v>376.0</v>
      </c>
      <c r="J610" s="111" t="s">
        <v>61</v>
      </c>
      <c r="K610" s="121">
        <v>380.76</v>
      </c>
      <c r="L610" s="120" t="s">
        <v>63</v>
      </c>
      <c r="M610" s="120"/>
      <c r="N610" s="120"/>
      <c r="O610" s="124">
        <v>68068.0</v>
      </c>
      <c r="P610" s="124">
        <v>769.0</v>
      </c>
      <c r="Q610" s="111">
        <v>220.0</v>
      </c>
      <c r="R610" s="125">
        <v>399.0</v>
      </c>
      <c r="S610" s="126">
        <v>0.9543</v>
      </c>
      <c r="T610" s="127">
        <v>73958.25</v>
      </c>
      <c r="U610" s="128">
        <f t="shared" si="2"/>
        <v>0</v>
      </c>
      <c r="V610" s="79" t="s">
        <v>67</v>
      </c>
      <c r="W610" s="79" t="s">
        <v>69</v>
      </c>
      <c r="X610" s="79" t="s">
        <v>68</v>
      </c>
      <c r="Y610" s="130">
        <v>0.7</v>
      </c>
      <c r="Z610" s="111">
        <v>3.0</v>
      </c>
      <c r="AA610" s="111">
        <v>388.0</v>
      </c>
      <c r="AB610" s="111" t="s">
        <v>61</v>
      </c>
      <c r="AC610" s="133"/>
      <c r="AD610" s="133"/>
      <c r="AE610" s="133"/>
      <c r="AF610" s="111"/>
      <c r="AG610" s="147"/>
      <c r="AH610" s="73"/>
      <c r="AI610" s="135"/>
      <c r="AJ610" s="136"/>
      <c r="AK610" s="76"/>
      <c r="AL610" s="137"/>
      <c r="AM610" s="139">
        <v>393.0</v>
      </c>
      <c r="AN610" s="139">
        <v>769.0</v>
      </c>
      <c r="AO610" s="140">
        <v>197.78</v>
      </c>
      <c r="AP610" s="142">
        <v>68068.0</v>
      </c>
      <c r="AQ610" s="142">
        <v>220.0</v>
      </c>
      <c r="AR610" s="143"/>
      <c r="AS610" s="144">
        <v>0.9512013966835587</v>
      </c>
      <c r="AT610" s="144">
        <v>0.003098603316441295</v>
      </c>
      <c r="AU610" s="146" t="s">
        <v>2256</v>
      </c>
      <c r="AV610" s="146" t="s">
        <v>2256</v>
      </c>
      <c r="AW610" s="148" t="s">
        <v>2256</v>
      </c>
      <c r="AX610" s="151"/>
      <c r="AY610" s="105"/>
      <c r="AZ610" s="186"/>
      <c r="BA610" s="186"/>
      <c r="BB610" s="222"/>
      <c r="BC610" s="45"/>
      <c r="BD610" s="45"/>
      <c r="BE610" s="155"/>
      <c r="BF610" s="45"/>
    </row>
    <row r="611" ht="16.5" customHeight="1">
      <c r="A611" s="111">
        <v>608.0</v>
      </c>
      <c r="B611" s="112" t="s">
        <v>1731</v>
      </c>
      <c r="C611" s="115" t="s">
        <v>60</v>
      </c>
      <c r="D611" s="117">
        <v>42088.0</v>
      </c>
      <c r="E611" s="117">
        <v>42676.0</v>
      </c>
      <c r="F611" s="79" t="s">
        <v>90</v>
      </c>
      <c r="G611" s="118">
        <v>50105.0</v>
      </c>
      <c r="H611" s="114">
        <v>85.1</v>
      </c>
      <c r="I611" s="120">
        <v>387.0</v>
      </c>
      <c r="J611" s="111" t="s">
        <v>61</v>
      </c>
      <c r="K611" s="121">
        <v>391.9</v>
      </c>
      <c r="L611" s="120" t="s">
        <v>63</v>
      </c>
      <c r="M611" s="120"/>
      <c r="N611" s="120"/>
      <c r="O611" s="124">
        <v>50105.0</v>
      </c>
      <c r="P611" s="124">
        <v>589.0</v>
      </c>
      <c r="Q611" s="111">
        <v>185.0</v>
      </c>
      <c r="R611" s="125">
        <v>408.0</v>
      </c>
      <c r="S611" s="126">
        <v>0.9605</v>
      </c>
      <c r="T611" s="127">
        <v>74438.75</v>
      </c>
      <c r="U611" s="128">
        <f t="shared" si="2"/>
        <v>0</v>
      </c>
      <c r="V611" s="79" t="s">
        <v>65</v>
      </c>
      <c r="W611" s="79" t="s">
        <v>69</v>
      </c>
      <c r="X611" s="79" t="s">
        <v>66</v>
      </c>
      <c r="Y611" s="130">
        <v>0.9</v>
      </c>
      <c r="Z611" s="111">
        <v>22.0</v>
      </c>
      <c r="AA611" s="111">
        <v>406.0</v>
      </c>
      <c r="AB611" s="111" t="s">
        <v>61</v>
      </c>
      <c r="AC611" s="133"/>
      <c r="AD611" s="133"/>
      <c r="AE611" s="133"/>
      <c r="AF611" s="111"/>
      <c r="AG611" s="147"/>
      <c r="AH611" s="73"/>
      <c r="AI611" s="135"/>
      <c r="AJ611" s="136"/>
      <c r="AK611" s="76"/>
      <c r="AL611" s="137"/>
      <c r="AM611" s="139">
        <v>411.0</v>
      </c>
      <c r="AN611" s="139">
        <v>589.0</v>
      </c>
      <c r="AO611" s="140">
        <v>122.04</v>
      </c>
      <c r="AP611" s="142">
        <v>50105.0</v>
      </c>
      <c r="AQ611" s="142">
        <v>185.0</v>
      </c>
      <c r="AR611" s="143"/>
      <c r="AS611" s="144">
        <v>0.9561472809645938</v>
      </c>
      <c r="AT611" s="144">
        <v>0.004352719035406238</v>
      </c>
      <c r="AU611" s="146" t="s">
        <v>2257</v>
      </c>
      <c r="AV611" s="146" t="s">
        <v>2257</v>
      </c>
      <c r="AW611" s="148" t="s">
        <v>2257</v>
      </c>
      <c r="AX611" s="151"/>
      <c r="AY611" s="105"/>
      <c r="AZ611" s="186"/>
      <c r="BA611" s="186"/>
      <c r="BB611" s="222"/>
      <c r="BC611" s="45"/>
      <c r="BD611" s="45"/>
      <c r="BE611" s="155"/>
      <c r="BF611" s="45"/>
    </row>
    <row r="612" ht="16.5" customHeight="1">
      <c r="A612" s="111">
        <v>609.0</v>
      </c>
      <c r="B612" s="112" t="s">
        <v>1628</v>
      </c>
      <c r="C612" s="115" t="s">
        <v>60</v>
      </c>
      <c r="D612" s="117">
        <v>42437.0</v>
      </c>
      <c r="E612" s="117">
        <v>42455.0</v>
      </c>
      <c r="F612" s="79" t="s">
        <v>305</v>
      </c>
      <c r="G612" s="118">
        <v>1196.0</v>
      </c>
      <c r="H612" s="114">
        <v>62.9</v>
      </c>
      <c r="I612" s="120">
        <v>450.0</v>
      </c>
      <c r="J612" s="111" t="s">
        <v>61</v>
      </c>
      <c r="K612" s="121">
        <v>455.7</v>
      </c>
      <c r="L612" s="120" t="s">
        <v>63</v>
      </c>
      <c r="M612" s="120"/>
      <c r="N612" s="120"/>
      <c r="O612" s="124">
        <v>1196.0</v>
      </c>
      <c r="P612" s="124">
        <v>19.0</v>
      </c>
      <c r="Q612" s="111">
        <v>228.0</v>
      </c>
      <c r="R612" s="125">
        <v>452.0</v>
      </c>
      <c r="S612" s="126">
        <v>1.0082</v>
      </c>
      <c r="T612" s="127">
        <v>82470.76</v>
      </c>
      <c r="U612" s="128">
        <f t="shared" si="2"/>
        <v>0</v>
      </c>
      <c r="V612" s="79" t="s">
        <v>65</v>
      </c>
      <c r="W612" s="79" t="s">
        <v>64</v>
      </c>
      <c r="X612" s="79" t="s">
        <v>68</v>
      </c>
      <c r="Y612" s="130">
        <v>0.9</v>
      </c>
      <c r="Z612" s="111">
        <v>11.0</v>
      </c>
      <c r="AA612" s="111">
        <v>448.0</v>
      </c>
      <c r="AB612" s="111" t="s">
        <v>61</v>
      </c>
      <c r="AC612" s="133"/>
      <c r="AD612" s="133"/>
      <c r="AE612" s="133"/>
      <c r="AF612" s="111"/>
      <c r="AG612" s="147"/>
      <c r="AH612" s="73"/>
      <c r="AI612" s="135"/>
      <c r="AJ612" s="136"/>
      <c r="AK612" s="76"/>
      <c r="AL612" s="137"/>
      <c r="AM612" s="139">
        <v>454.0</v>
      </c>
      <c r="AN612" s="139">
        <v>19.0</v>
      </c>
      <c r="AO612" s="140">
        <v>3.32</v>
      </c>
      <c r="AP612" s="142">
        <v>1196.0</v>
      </c>
      <c r="AQ612" s="142">
        <v>228.0</v>
      </c>
      <c r="AR612" s="143"/>
      <c r="AS612" s="144">
        <v>0.9976319742679495</v>
      </c>
      <c r="AT612" s="144">
        <v>0.010568025732050512</v>
      </c>
      <c r="AU612" s="146" t="s">
        <v>2258</v>
      </c>
      <c r="AV612" s="146" t="s">
        <v>2258</v>
      </c>
      <c r="AW612" s="148" t="s">
        <v>2258</v>
      </c>
      <c r="AX612" s="151"/>
      <c r="AY612" s="105"/>
      <c r="AZ612" s="186"/>
      <c r="BA612" s="186"/>
      <c r="BB612" s="222"/>
      <c r="BC612" s="45"/>
      <c r="BD612" s="45"/>
      <c r="BE612" s="155"/>
      <c r="BF612" s="45"/>
    </row>
    <row r="613" ht="16.5" customHeight="1">
      <c r="A613" s="111">
        <v>610.0</v>
      </c>
      <c r="B613" s="112" t="s">
        <v>1628</v>
      </c>
      <c r="C613" s="115" t="s">
        <v>60</v>
      </c>
      <c r="D613" s="117">
        <v>42437.0</v>
      </c>
      <c r="E613" s="117">
        <v>42466.0</v>
      </c>
      <c r="F613" s="79" t="s">
        <v>305</v>
      </c>
      <c r="G613" s="118">
        <v>2062.0</v>
      </c>
      <c r="H613" s="114">
        <v>68.7</v>
      </c>
      <c r="I613" s="120">
        <v>448.0</v>
      </c>
      <c r="J613" s="111" t="s">
        <v>61</v>
      </c>
      <c r="K613" s="121">
        <v>453.67</v>
      </c>
      <c r="L613" s="120" t="s">
        <v>63</v>
      </c>
      <c r="M613" s="120"/>
      <c r="N613" s="120"/>
      <c r="O613" s="124">
        <v>2062.0</v>
      </c>
      <c r="P613" s="124">
        <v>30.0</v>
      </c>
      <c r="Q613" s="111">
        <v>226.0</v>
      </c>
      <c r="R613" s="125">
        <v>452.0</v>
      </c>
      <c r="S613" s="126">
        <v>1.0037</v>
      </c>
      <c r="T613" s="127">
        <v>82102.66</v>
      </c>
      <c r="U613" s="128">
        <f t="shared" si="2"/>
        <v>0</v>
      </c>
      <c r="V613" s="79" t="s">
        <v>65</v>
      </c>
      <c r="W613" s="79" t="s">
        <v>64</v>
      </c>
      <c r="X613" s="79" t="s">
        <v>68</v>
      </c>
      <c r="Y613" s="130">
        <v>0.9</v>
      </c>
      <c r="Z613" s="111">
        <v>22.0</v>
      </c>
      <c r="AA613" s="111">
        <v>448.0</v>
      </c>
      <c r="AB613" s="111" t="s">
        <v>61</v>
      </c>
      <c r="AC613" s="133"/>
      <c r="AD613" s="133"/>
      <c r="AE613" s="133"/>
      <c r="AF613" s="111"/>
      <c r="AG613" s="147"/>
      <c r="AH613" s="73"/>
      <c r="AI613" s="135"/>
      <c r="AJ613" s="136"/>
      <c r="AK613" s="76"/>
      <c r="AL613" s="137"/>
      <c r="AM613" s="139">
        <v>454.0</v>
      </c>
      <c r="AN613" s="139">
        <v>30.0</v>
      </c>
      <c r="AO613" s="140">
        <v>5.69</v>
      </c>
      <c r="AP613" s="142">
        <v>2062.0</v>
      </c>
      <c r="AQ613" s="142">
        <v>226.0</v>
      </c>
      <c r="AR613" s="143"/>
      <c r="AS613" s="144">
        <v>0.9959923940381155</v>
      </c>
      <c r="AT613" s="144">
        <v>0.007707605961884578</v>
      </c>
      <c r="AU613" s="146" t="s">
        <v>2259</v>
      </c>
      <c r="AV613" s="146" t="s">
        <v>2259</v>
      </c>
      <c r="AW613" s="148" t="s">
        <v>2259</v>
      </c>
      <c r="AX613" s="151"/>
      <c r="AY613" s="105"/>
      <c r="AZ613" s="186"/>
      <c r="BA613" s="186"/>
      <c r="BB613" s="222"/>
      <c r="BC613" s="45"/>
      <c r="BD613" s="45"/>
      <c r="BE613" s="155"/>
      <c r="BF613" s="45"/>
    </row>
    <row r="614" ht="16.5" customHeight="1">
      <c r="A614" s="111">
        <v>611.0</v>
      </c>
      <c r="B614" s="112" t="s">
        <v>1628</v>
      </c>
      <c r="C614" s="115" t="s">
        <v>60</v>
      </c>
      <c r="D614" s="117">
        <v>42437.0</v>
      </c>
      <c r="E614" s="117">
        <v>42542.0</v>
      </c>
      <c r="F614" s="79" t="s">
        <v>305</v>
      </c>
      <c r="G614" s="118">
        <v>7133.0</v>
      </c>
      <c r="H614" s="114">
        <v>67.3</v>
      </c>
      <c r="I614" s="120">
        <v>448.0</v>
      </c>
      <c r="J614" s="111" t="s">
        <v>61</v>
      </c>
      <c r="K614" s="121">
        <v>453.67</v>
      </c>
      <c r="L614" s="120" t="s">
        <v>63</v>
      </c>
      <c r="M614" s="120"/>
      <c r="N614" s="120"/>
      <c r="O614" s="124">
        <v>7133.0</v>
      </c>
      <c r="P614" s="124">
        <v>106.0</v>
      </c>
      <c r="Q614" s="111">
        <v>218.0</v>
      </c>
      <c r="R614" s="125">
        <v>452.0</v>
      </c>
      <c r="S614" s="126">
        <v>1.0037</v>
      </c>
      <c r="T614" s="127">
        <v>82102.66</v>
      </c>
      <c r="U614" s="128">
        <f t="shared" si="2"/>
        <v>0</v>
      </c>
      <c r="V614" s="79" t="s">
        <v>65</v>
      </c>
      <c r="W614" s="79" t="s">
        <v>64</v>
      </c>
      <c r="X614" s="79" t="s">
        <v>68</v>
      </c>
      <c r="Y614" s="130"/>
      <c r="Z614" s="111"/>
      <c r="AA614" s="111">
        <v>448.0</v>
      </c>
      <c r="AB614" s="111" t="s">
        <v>61</v>
      </c>
      <c r="AC614" s="133"/>
      <c r="AD614" s="133"/>
      <c r="AE614" s="133"/>
      <c r="AF614" s="111"/>
      <c r="AG614" s="147"/>
      <c r="AH614" s="73"/>
      <c r="AI614" s="135"/>
      <c r="AJ614" s="136"/>
      <c r="AK614" s="76"/>
      <c r="AL614" s="137"/>
      <c r="AM614" s="139">
        <v>454.0</v>
      </c>
      <c r="AN614" s="139">
        <v>106.0</v>
      </c>
      <c r="AO614" s="140">
        <v>18.98</v>
      </c>
      <c r="AP614" s="142">
        <v>7133.0</v>
      </c>
      <c r="AQ614" s="142">
        <v>218.0</v>
      </c>
      <c r="AR614" s="143"/>
      <c r="AS614" s="144">
        <v>0.9875247302733545</v>
      </c>
      <c r="AT614" s="144">
        <v>0.016175269726645514</v>
      </c>
      <c r="AU614" s="146" t="s">
        <v>2260</v>
      </c>
      <c r="AV614" s="146" t="s">
        <v>2260</v>
      </c>
      <c r="AW614" s="148" t="s">
        <v>2260</v>
      </c>
      <c r="AX614" s="151"/>
      <c r="AY614" s="105"/>
      <c r="AZ614" s="186"/>
      <c r="BA614" s="186"/>
      <c r="BB614" s="222"/>
      <c r="BC614" s="45"/>
      <c r="BD614" s="45"/>
      <c r="BE614" s="155"/>
      <c r="BF614" s="45"/>
    </row>
    <row r="615" ht="16.5" customHeight="1">
      <c r="A615" s="111">
        <v>612.0</v>
      </c>
      <c r="B615" s="112" t="s">
        <v>1628</v>
      </c>
      <c r="C615" s="115" t="s">
        <v>60</v>
      </c>
      <c r="D615" s="117">
        <v>42437.0</v>
      </c>
      <c r="E615" s="117">
        <v>42587.0</v>
      </c>
      <c r="F615" s="79" t="s">
        <v>305</v>
      </c>
      <c r="G615" s="118">
        <v>10715.0</v>
      </c>
      <c r="H615" s="114">
        <v>71.0</v>
      </c>
      <c r="I615" s="120">
        <v>446.0</v>
      </c>
      <c r="J615" s="111" t="s">
        <v>61</v>
      </c>
      <c r="K615" s="121">
        <v>451.65</v>
      </c>
      <c r="L615" s="120" t="s">
        <v>63</v>
      </c>
      <c r="M615" s="120"/>
      <c r="N615" s="120"/>
      <c r="O615" s="124">
        <v>10715.0</v>
      </c>
      <c r="P615" s="124">
        <v>151.0</v>
      </c>
      <c r="Q615" s="111">
        <v>215.0</v>
      </c>
      <c r="R615" s="125">
        <v>452.0</v>
      </c>
      <c r="S615" s="126">
        <v>0.9992</v>
      </c>
      <c r="T615" s="127">
        <v>81734.56</v>
      </c>
      <c r="U615" s="128">
        <f t="shared" si="2"/>
        <v>0</v>
      </c>
      <c r="V615" s="79" t="s">
        <v>65</v>
      </c>
      <c r="W615" s="79" t="s">
        <v>64</v>
      </c>
      <c r="X615" s="79" t="s">
        <v>68</v>
      </c>
      <c r="Y615" s="130"/>
      <c r="Z615" s="111"/>
      <c r="AA615" s="111">
        <v>448.0</v>
      </c>
      <c r="AB615" s="111" t="s">
        <v>61</v>
      </c>
      <c r="AC615" s="133"/>
      <c r="AD615" s="133"/>
      <c r="AE615" s="133"/>
      <c r="AF615" s="111"/>
      <c r="AG615" s="147"/>
      <c r="AH615" s="73"/>
      <c r="AI615" s="135"/>
      <c r="AJ615" s="136"/>
      <c r="AK615" s="76"/>
      <c r="AL615" s="137"/>
      <c r="AM615" s="139">
        <v>454.0</v>
      </c>
      <c r="AN615" s="139">
        <v>151.0</v>
      </c>
      <c r="AO615" s="140">
        <v>28.18</v>
      </c>
      <c r="AP615" s="142">
        <v>10715.0</v>
      </c>
      <c r="AQ615" s="142">
        <v>215.0</v>
      </c>
      <c r="AR615" s="143"/>
      <c r="AS615" s="144">
        <v>0.982549506074972</v>
      </c>
      <c r="AT615" s="144">
        <v>0.01665049392502793</v>
      </c>
      <c r="AU615" s="146" t="s">
        <v>2261</v>
      </c>
      <c r="AV615" s="146" t="s">
        <v>2261</v>
      </c>
      <c r="AW615" s="148" t="s">
        <v>2261</v>
      </c>
      <c r="AX615" s="151"/>
      <c r="AY615" s="105"/>
      <c r="AZ615" s="186"/>
      <c r="BA615" s="186"/>
      <c r="BB615" s="222"/>
      <c r="BC615" s="45"/>
      <c r="BD615" s="45"/>
      <c r="BE615" s="155"/>
      <c r="BF615" s="45"/>
    </row>
    <row r="616" ht="16.5" customHeight="1">
      <c r="A616" s="111">
        <v>613.0</v>
      </c>
      <c r="B616" s="112" t="s">
        <v>1628</v>
      </c>
      <c r="C616" s="115" t="s">
        <v>60</v>
      </c>
      <c r="D616" s="117">
        <v>42437.0</v>
      </c>
      <c r="E616" s="117">
        <v>42646.0</v>
      </c>
      <c r="F616" s="79" t="s">
        <v>305</v>
      </c>
      <c r="G616" s="118">
        <v>15001.0</v>
      </c>
      <c r="H616" s="114">
        <v>71.4</v>
      </c>
      <c r="I616" s="120">
        <v>439.0</v>
      </c>
      <c r="J616" s="111" t="s">
        <v>61</v>
      </c>
      <c r="K616" s="121">
        <v>444.56</v>
      </c>
      <c r="L616" s="120" t="s">
        <v>63</v>
      </c>
      <c r="M616" s="120"/>
      <c r="N616" s="120"/>
      <c r="O616" s="124">
        <v>15001.0</v>
      </c>
      <c r="P616" s="124">
        <v>210.0</v>
      </c>
      <c r="Q616" s="111">
        <v>216.0</v>
      </c>
      <c r="R616" s="125">
        <v>452.0</v>
      </c>
      <c r="S616" s="126">
        <v>0.9835</v>
      </c>
      <c r="T616" s="127">
        <v>80450.3</v>
      </c>
      <c r="U616" s="128">
        <f t="shared" si="2"/>
        <v>0</v>
      </c>
      <c r="V616" s="79" t="s">
        <v>65</v>
      </c>
      <c r="W616" s="79" t="s">
        <v>69</v>
      </c>
      <c r="X616" s="79" t="s">
        <v>68</v>
      </c>
      <c r="Y616" s="130"/>
      <c r="Z616" s="111"/>
      <c r="AA616" s="111">
        <v>448.0</v>
      </c>
      <c r="AB616" s="111" t="s">
        <v>61</v>
      </c>
      <c r="AC616" s="133"/>
      <c r="AD616" s="133"/>
      <c r="AE616" s="133"/>
      <c r="AF616" s="111"/>
      <c r="AG616" s="147"/>
      <c r="AH616" s="73"/>
      <c r="AI616" s="135"/>
      <c r="AJ616" s="136"/>
      <c r="AK616" s="76"/>
      <c r="AL616" s="137"/>
      <c r="AM616" s="139">
        <v>454.0</v>
      </c>
      <c r="AN616" s="139">
        <v>210.0</v>
      </c>
      <c r="AO616" s="140">
        <v>39.95</v>
      </c>
      <c r="AP616" s="142">
        <v>15001.0</v>
      </c>
      <c r="AQ616" s="142">
        <v>216.0</v>
      </c>
      <c r="AR616" s="143"/>
      <c r="AS616" s="144">
        <v>0.9774889807303835</v>
      </c>
      <c r="AT616" s="144">
        <v>0.006011019269616558</v>
      </c>
      <c r="AU616" s="146" t="s">
        <v>2262</v>
      </c>
      <c r="AV616" s="146" t="s">
        <v>2262</v>
      </c>
      <c r="AW616" s="148" t="s">
        <v>2262</v>
      </c>
      <c r="AX616" s="151"/>
      <c r="AY616" s="105"/>
      <c r="AZ616" s="186"/>
      <c r="BA616" s="186"/>
      <c r="BB616" s="222"/>
      <c r="BC616" s="45"/>
      <c r="BD616" s="45"/>
      <c r="BE616" s="155"/>
      <c r="BF616" s="45"/>
    </row>
    <row r="617" ht="16.5" customHeight="1">
      <c r="A617" s="111">
        <v>614.0</v>
      </c>
      <c r="B617" s="112" t="s">
        <v>1628</v>
      </c>
      <c r="C617" s="115" t="s">
        <v>60</v>
      </c>
      <c r="D617" s="117">
        <v>42437.0</v>
      </c>
      <c r="E617" s="117">
        <v>42656.0</v>
      </c>
      <c r="F617" s="79" t="s">
        <v>305</v>
      </c>
      <c r="G617" s="118">
        <v>18602.0</v>
      </c>
      <c r="H617" s="114">
        <v>84.6</v>
      </c>
      <c r="I617" s="120">
        <v>434.0</v>
      </c>
      <c r="J617" s="111" t="s">
        <v>61</v>
      </c>
      <c r="K617" s="121">
        <v>439.49</v>
      </c>
      <c r="L617" s="120" t="s">
        <v>63</v>
      </c>
      <c r="M617" s="120"/>
      <c r="N617" s="120"/>
      <c r="O617" s="124">
        <v>18602.0</v>
      </c>
      <c r="P617" s="124">
        <v>220.0</v>
      </c>
      <c r="Q617" s="111">
        <v>213.0</v>
      </c>
      <c r="R617" s="125">
        <v>452.0</v>
      </c>
      <c r="S617" s="126">
        <v>0.9723</v>
      </c>
      <c r="T617" s="127">
        <v>79534.14</v>
      </c>
      <c r="U617" s="128">
        <f t="shared" si="2"/>
        <v>0</v>
      </c>
      <c r="V617" s="79" t="s">
        <v>65</v>
      </c>
      <c r="W617" s="79" t="s">
        <v>69</v>
      </c>
      <c r="X617" s="79" t="s">
        <v>68</v>
      </c>
      <c r="Y617" s="130"/>
      <c r="Z617" s="111"/>
      <c r="AA617" s="111">
        <v>448.0</v>
      </c>
      <c r="AB617" s="111" t="s">
        <v>61</v>
      </c>
      <c r="AC617" s="133"/>
      <c r="AD617" s="133"/>
      <c r="AE617" s="133"/>
      <c r="AF617" s="111"/>
      <c r="AG617" s="147"/>
      <c r="AH617" s="73"/>
      <c r="AI617" s="135"/>
      <c r="AJ617" s="136"/>
      <c r="AK617" s="76"/>
      <c r="AL617" s="137"/>
      <c r="AM617" s="139">
        <v>454.0</v>
      </c>
      <c r="AN617" s="139">
        <v>220.0</v>
      </c>
      <c r="AO617" s="140">
        <v>49.13</v>
      </c>
      <c r="AP617" s="142">
        <v>18602.0</v>
      </c>
      <c r="AQ617" s="142">
        <v>213.0</v>
      </c>
      <c r="AR617" s="143"/>
      <c r="AS617" s="144">
        <v>0.9738649124657545</v>
      </c>
      <c r="AT617" s="144">
        <v>-0.001564912465754409</v>
      </c>
      <c r="AU617" s="146" t="s">
        <v>2263</v>
      </c>
      <c r="AV617" s="146" t="s">
        <v>2263</v>
      </c>
      <c r="AW617" s="148" t="s">
        <v>2263</v>
      </c>
      <c r="AX617" s="151"/>
      <c r="AY617" s="105"/>
      <c r="AZ617" s="186"/>
      <c r="BA617" s="186"/>
      <c r="BB617" s="222"/>
      <c r="BC617" s="45"/>
      <c r="BD617" s="45"/>
      <c r="BE617" s="155"/>
      <c r="BF617" s="45"/>
    </row>
    <row r="618" ht="16.5" customHeight="1">
      <c r="A618" s="111">
        <v>615.0</v>
      </c>
      <c r="B618" s="112" t="s">
        <v>1814</v>
      </c>
      <c r="C618" s="115" t="s">
        <v>60</v>
      </c>
      <c r="D618" s="117">
        <v>41988.0</v>
      </c>
      <c r="E618" s="117">
        <v>42671.0</v>
      </c>
      <c r="F618" s="79" t="s">
        <v>59</v>
      </c>
      <c r="G618" s="118">
        <v>26110.0</v>
      </c>
      <c r="H618" s="114">
        <v>38.2</v>
      </c>
      <c r="I618" s="120">
        <v>381.0</v>
      </c>
      <c r="J618" s="111" t="s">
        <v>61</v>
      </c>
      <c r="K618" s="121">
        <v>385.82</v>
      </c>
      <c r="L618" s="120" t="s">
        <v>63</v>
      </c>
      <c r="M618" s="120"/>
      <c r="N618" s="120"/>
      <c r="O618" s="124">
        <v>26110.0</v>
      </c>
      <c r="P618" s="124">
        <v>684.0</v>
      </c>
      <c r="Q618" s="111">
        <v>213.0</v>
      </c>
      <c r="R618" s="125">
        <v>399.0</v>
      </c>
      <c r="S618" s="126">
        <v>0.967</v>
      </c>
      <c r="T618" s="127">
        <v>74942.5</v>
      </c>
      <c r="U618" s="128">
        <f t="shared" si="2"/>
        <v>0</v>
      </c>
      <c r="V618" s="79" t="s">
        <v>66</v>
      </c>
      <c r="W618" s="79" t="s">
        <v>69</v>
      </c>
      <c r="X618" s="79" t="s">
        <v>68</v>
      </c>
      <c r="Y618" s="130">
        <v>0.8</v>
      </c>
      <c r="Z618" s="111">
        <v>11.0</v>
      </c>
      <c r="AA618" s="111">
        <v>383.0</v>
      </c>
      <c r="AB618" s="111" t="s">
        <v>61</v>
      </c>
      <c r="AC618" s="133"/>
      <c r="AD618" s="133"/>
      <c r="AE618" s="133"/>
      <c r="AF618" s="111"/>
      <c r="AG618" s="147"/>
      <c r="AH618" s="73"/>
      <c r="AI618" s="135"/>
      <c r="AJ618" s="136"/>
      <c r="AK618" s="76"/>
      <c r="AL618" s="137"/>
      <c r="AM618" s="139">
        <v>388.0</v>
      </c>
      <c r="AN618" s="139">
        <v>684.0</v>
      </c>
      <c r="AO618" s="140">
        <v>72.99</v>
      </c>
      <c r="AP618" s="142">
        <v>26110.0</v>
      </c>
      <c r="AQ618" s="142">
        <v>213.0</v>
      </c>
      <c r="AR618" s="143"/>
      <c r="AS618" s="144">
        <v>0.9677601524668934</v>
      </c>
      <c r="AT618" s="144">
        <v>-7.601524668934267E-4</v>
      </c>
      <c r="AU618" s="146" t="s">
        <v>2264</v>
      </c>
      <c r="AV618" s="146" t="s">
        <v>2264</v>
      </c>
      <c r="AW618" s="148" t="s">
        <v>2264</v>
      </c>
      <c r="AX618" s="151"/>
      <c r="AY618" s="105"/>
      <c r="AZ618" s="186"/>
      <c r="BA618" s="186"/>
      <c r="BB618" s="222"/>
      <c r="BC618" s="45"/>
      <c r="BD618" s="45"/>
      <c r="BE618" s="155"/>
      <c r="BF618" s="45"/>
    </row>
    <row r="619" ht="16.5" customHeight="1">
      <c r="A619" s="111">
        <v>616.0</v>
      </c>
      <c r="B619" s="112" t="s">
        <v>1814</v>
      </c>
      <c r="C619" s="115" t="s">
        <v>60</v>
      </c>
      <c r="D619" s="117">
        <v>42382.0</v>
      </c>
      <c r="E619" s="117">
        <v>42673.0</v>
      </c>
      <c r="F619" s="79" t="s">
        <v>305</v>
      </c>
      <c r="G619" s="118">
        <v>23990.0</v>
      </c>
      <c r="H619" s="114">
        <v>82.2</v>
      </c>
      <c r="I619" s="120">
        <v>450.0</v>
      </c>
      <c r="J619" s="111" t="s">
        <v>61</v>
      </c>
      <c r="K619" s="121">
        <v>455.7</v>
      </c>
      <c r="L619" s="120" t="s">
        <v>63</v>
      </c>
      <c r="M619" s="120"/>
      <c r="N619" s="120"/>
      <c r="O619" s="124">
        <v>23990.0</v>
      </c>
      <c r="P619" s="124">
        <v>292.0</v>
      </c>
      <c r="Q619" s="111">
        <v>195.0</v>
      </c>
      <c r="R619" s="125">
        <v>452.0</v>
      </c>
      <c r="S619" s="126">
        <v>1.0082</v>
      </c>
      <c r="T619" s="127">
        <v>82470.76</v>
      </c>
      <c r="U619" s="128">
        <f t="shared" si="2"/>
        <v>0</v>
      </c>
      <c r="V619" s="79" t="s">
        <v>65</v>
      </c>
      <c r="W619" s="79" t="s">
        <v>69</v>
      </c>
      <c r="X619" s="79" t="s">
        <v>66</v>
      </c>
      <c r="Y619" s="130">
        <v>0.8</v>
      </c>
      <c r="Z619" s="111">
        <v>11.0</v>
      </c>
      <c r="AA619" s="111">
        <v>460.0</v>
      </c>
      <c r="AB619" s="111" t="s">
        <v>61</v>
      </c>
      <c r="AC619" s="133"/>
      <c r="AD619" s="133"/>
      <c r="AE619" s="133"/>
      <c r="AF619" s="111"/>
      <c r="AG619" s="147"/>
      <c r="AH619" s="73"/>
      <c r="AI619" s="135"/>
      <c r="AJ619" s="136"/>
      <c r="AK619" s="76"/>
      <c r="AL619" s="137"/>
      <c r="AM619" s="139">
        <v>466.0</v>
      </c>
      <c r="AN619" s="139">
        <v>292.0</v>
      </c>
      <c r="AO619" s="140">
        <v>56.97</v>
      </c>
      <c r="AP619" s="142">
        <v>23990.0</v>
      </c>
      <c r="AQ619" s="142">
        <v>195.0</v>
      </c>
      <c r="AR619" s="143"/>
      <c r="AS619" s="144">
        <v>0.9693118924287688</v>
      </c>
      <c r="AT619" s="144">
        <v>0.03888810757123118</v>
      </c>
      <c r="AU619" s="146" t="s">
        <v>2265</v>
      </c>
      <c r="AV619" s="146" t="s">
        <v>2265</v>
      </c>
      <c r="AW619" s="148" t="s">
        <v>2265</v>
      </c>
      <c r="AX619" s="151"/>
      <c r="AY619" s="105"/>
      <c r="AZ619" s="186"/>
      <c r="BA619" s="186"/>
      <c r="BB619" s="222"/>
      <c r="BC619" s="45"/>
      <c r="BD619" s="45"/>
      <c r="BE619" s="155"/>
      <c r="BF619" s="45"/>
    </row>
    <row r="620" ht="16.5" customHeight="1">
      <c r="A620" s="111">
        <v>617.0</v>
      </c>
      <c r="B620" s="112" t="s">
        <v>1762</v>
      </c>
      <c r="C620" s="115" t="s">
        <v>60</v>
      </c>
      <c r="D620" s="117">
        <v>41800.0</v>
      </c>
      <c r="E620" s="117">
        <v>42668.0</v>
      </c>
      <c r="F620" s="79" t="s">
        <v>59</v>
      </c>
      <c r="G620" s="118">
        <v>76800.0</v>
      </c>
      <c r="H620" s="114">
        <v>88.4</v>
      </c>
      <c r="I620" s="120">
        <v>376.0</v>
      </c>
      <c r="J620" s="111" t="s">
        <v>61</v>
      </c>
      <c r="K620" s="121">
        <v>380.76</v>
      </c>
      <c r="L620" s="120" t="s">
        <v>63</v>
      </c>
      <c r="M620" s="120"/>
      <c r="N620" s="120"/>
      <c r="O620" s="124">
        <v>76800.0</v>
      </c>
      <c r="P620" s="124">
        <v>869.0</v>
      </c>
      <c r="Q620" s="111">
        <v>220.0</v>
      </c>
      <c r="R620" s="125">
        <v>399.0</v>
      </c>
      <c r="S620" s="126">
        <v>0.9543</v>
      </c>
      <c r="T620" s="127">
        <v>73958.25</v>
      </c>
      <c r="U620" s="128">
        <f t="shared" si="2"/>
        <v>0</v>
      </c>
      <c r="V620" s="79" t="s">
        <v>64</v>
      </c>
      <c r="W620" s="79" t="s">
        <v>69</v>
      </c>
      <c r="X620" s="79" t="s">
        <v>68</v>
      </c>
      <c r="Y620" s="130">
        <v>0.6</v>
      </c>
      <c r="Z620" s="111">
        <v>3.0</v>
      </c>
      <c r="AA620" s="111">
        <v>388.0</v>
      </c>
      <c r="AB620" s="111" t="s">
        <v>61</v>
      </c>
      <c r="AC620" s="133"/>
      <c r="AD620" s="133"/>
      <c r="AE620" s="133"/>
      <c r="AF620" s="111"/>
      <c r="AG620" s="147"/>
      <c r="AH620" s="73"/>
      <c r="AI620" s="135"/>
      <c r="AJ620" s="136"/>
      <c r="AK620" s="76"/>
      <c r="AL620" s="137"/>
      <c r="AM620" s="139">
        <v>393.0</v>
      </c>
      <c r="AN620" s="139">
        <v>869.0</v>
      </c>
      <c r="AO620" s="140">
        <v>223.15</v>
      </c>
      <c r="AP620" s="142">
        <v>76800.0</v>
      </c>
      <c r="AQ620" s="142">
        <v>220.0</v>
      </c>
      <c r="AR620" s="143"/>
      <c r="AS620" s="144">
        <v>0.949295120054599</v>
      </c>
      <c r="AT620" s="144">
        <v>0.005004879945400997</v>
      </c>
      <c r="AU620" s="146" t="s">
        <v>2266</v>
      </c>
      <c r="AV620" s="146" t="s">
        <v>2266</v>
      </c>
      <c r="AW620" s="148" t="s">
        <v>2266</v>
      </c>
      <c r="AX620" s="151"/>
      <c r="AY620" s="105"/>
      <c r="AZ620" s="186"/>
      <c r="BA620" s="186"/>
      <c r="BB620" s="222"/>
      <c r="BC620" s="45"/>
      <c r="BD620" s="45"/>
      <c r="BE620" s="155"/>
      <c r="BF620" s="45"/>
    </row>
    <row r="621" ht="16.5" customHeight="1">
      <c r="A621" s="111">
        <v>618.0</v>
      </c>
      <c r="B621" s="112" t="s">
        <v>1695</v>
      </c>
      <c r="C621" s="115" t="s">
        <v>60</v>
      </c>
      <c r="D621" s="592">
        <v>41563.0</v>
      </c>
      <c r="E621" s="117">
        <v>42678.0</v>
      </c>
      <c r="F621" s="79" t="s">
        <v>57</v>
      </c>
      <c r="G621" s="118">
        <v>59750.0</v>
      </c>
      <c r="H621" s="114">
        <v>53.5</v>
      </c>
      <c r="I621" s="120">
        <v>380.0</v>
      </c>
      <c r="J621" s="111" t="s">
        <v>61</v>
      </c>
      <c r="K621" s="121">
        <v>384.81</v>
      </c>
      <c r="L621" s="120" t="s">
        <v>63</v>
      </c>
      <c r="M621" s="120"/>
      <c r="N621" s="120"/>
      <c r="O621" s="124">
        <v>59750.0</v>
      </c>
      <c r="P621" s="124">
        <v>1116.0</v>
      </c>
      <c r="Q621" s="111">
        <v>225.0</v>
      </c>
      <c r="R621" s="125">
        <v>399.0</v>
      </c>
      <c r="S621" s="126">
        <v>0.9644</v>
      </c>
      <c r="T621" s="127">
        <v>74741.0</v>
      </c>
      <c r="U621" s="128">
        <f t="shared" si="2"/>
        <v>0</v>
      </c>
      <c r="V621" s="79" t="s">
        <v>66</v>
      </c>
      <c r="W621" s="195" t="s">
        <v>69</v>
      </c>
      <c r="X621" s="195" t="s">
        <v>68</v>
      </c>
      <c r="Y621" s="130">
        <v>0.7</v>
      </c>
      <c r="Z621" s="208">
        <v>17.0</v>
      </c>
      <c r="AA621" s="208">
        <v>400.0</v>
      </c>
      <c r="AB621" s="208" t="s">
        <v>62</v>
      </c>
      <c r="AC621" s="133"/>
      <c r="AD621" s="133"/>
      <c r="AE621" s="133"/>
      <c r="AF621" s="111"/>
      <c r="AG621" s="147"/>
      <c r="AH621" s="73"/>
      <c r="AI621" s="135"/>
      <c r="AJ621" s="136"/>
      <c r="AK621" s="76"/>
      <c r="AL621" s="137"/>
      <c r="AM621" s="139">
        <v>400.0</v>
      </c>
      <c r="AN621" s="139">
        <v>1116.0</v>
      </c>
      <c r="AO621" s="140">
        <v>176.66</v>
      </c>
      <c r="AP621" s="142">
        <v>59750.0</v>
      </c>
      <c r="AQ621" s="142">
        <v>225.0</v>
      </c>
      <c r="AR621" s="143"/>
      <c r="AS621" s="144">
        <v>0.9532720389626375</v>
      </c>
      <c r="AT621" s="144">
        <v>0.011127961037362577</v>
      </c>
      <c r="AU621" s="146" t="s">
        <v>2267</v>
      </c>
      <c r="AV621" s="146" t="s">
        <v>2267</v>
      </c>
      <c r="AW621" s="148" t="s">
        <v>2267</v>
      </c>
      <c r="AX621" s="151"/>
      <c r="AY621" s="105"/>
      <c r="AZ621" s="186"/>
      <c r="BA621" s="186"/>
      <c r="BB621" s="222"/>
      <c r="BC621" s="45"/>
      <c r="BD621" s="45"/>
      <c r="BE621" s="155"/>
      <c r="BF621" s="45"/>
    </row>
    <row r="622" ht="16.5" customHeight="1">
      <c r="A622" s="111">
        <v>619.0</v>
      </c>
      <c r="B622" s="112" t="s">
        <v>761</v>
      </c>
      <c r="C622" s="115" t="s">
        <v>60</v>
      </c>
      <c r="D622" s="157">
        <v>42097.0</v>
      </c>
      <c r="E622" s="117">
        <v>42672.0</v>
      </c>
      <c r="F622" s="79" t="s">
        <v>90</v>
      </c>
      <c r="G622" s="118">
        <v>34205.0</v>
      </c>
      <c r="H622" s="114">
        <v>59.4</v>
      </c>
      <c r="I622" s="120">
        <v>383.0</v>
      </c>
      <c r="J622" s="111" t="s">
        <v>62</v>
      </c>
      <c r="K622" s="121">
        <v>383.0</v>
      </c>
      <c r="L622" s="120" t="s">
        <v>63</v>
      </c>
      <c r="M622" s="120"/>
      <c r="N622" s="120"/>
      <c r="O622" s="124">
        <v>34205.0</v>
      </c>
      <c r="P622" s="124">
        <v>576.0</v>
      </c>
      <c r="Q622" s="111">
        <v>229.0</v>
      </c>
      <c r="R622" s="125">
        <v>408.0</v>
      </c>
      <c r="S622" s="126">
        <v>0.9387</v>
      </c>
      <c r="T622" s="127">
        <v>72749.25</v>
      </c>
      <c r="U622" s="128">
        <f t="shared" si="2"/>
        <v>0</v>
      </c>
      <c r="V622" s="636" t="s">
        <v>65</v>
      </c>
      <c r="W622" s="636" t="s">
        <v>64</v>
      </c>
      <c r="X622" s="636" t="s">
        <v>66</v>
      </c>
      <c r="Y622" s="130">
        <v>0.7</v>
      </c>
      <c r="Z622" s="639">
        <v>11.0</v>
      </c>
      <c r="AA622" s="133">
        <v>406.0</v>
      </c>
      <c r="AB622" s="133" t="s">
        <v>62</v>
      </c>
      <c r="AC622" s="133"/>
      <c r="AD622" s="133"/>
      <c r="AE622" s="133"/>
      <c r="AF622" s="111"/>
      <c r="AG622" s="134" t="s">
        <v>1899</v>
      </c>
      <c r="AH622" s="73"/>
      <c r="AI622" s="135"/>
      <c r="AJ622" s="136"/>
      <c r="AK622" s="76"/>
      <c r="AL622" s="137"/>
      <c r="AM622" s="139">
        <v>406.0</v>
      </c>
      <c r="AN622" s="139">
        <v>576.0</v>
      </c>
      <c r="AO622" s="140">
        <v>104.29</v>
      </c>
      <c r="AP622" s="142">
        <v>34205.0</v>
      </c>
      <c r="AQ622" s="142">
        <v>229.0</v>
      </c>
      <c r="AR622" s="143"/>
      <c r="AS622" s="144">
        <v>0.962811877967478</v>
      </c>
      <c r="AT622" s="144">
        <v>-0.024111877967478046</v>
      </c>
      <c r="AU622" s="146" t="s">
        <v>2268</v>
      </c>
      <c r="AV622" s="146" t="s">
        <v>2268</v>
      </c>
      <c r="AW622" s="148" t="s">
        <v>2268</v>
      </c>
      <c r="AX622" s="151"/>
      <c r="AY622" s="105"/>
      <c r="AZ622" s="186"/>
      <c r="BA622" s="186"/>
      <c r="BB622" s="222"/>
      <c r="BC622" s="45"/>
      <c r="BD622" s="45"/>
      <c r="BE622" s="155"/>
      <c r="BF622" s="45"/>
    </row>
    <row r="623" ht="16.5" customHeight="1">
      <c r="A623" s="111">
        <v>620.0</v>
      </c>
      <c r="B623" s="112" t="s">
        <v>1726</v>
      </c>
      <c r="C623" s="115" t="s">
        <v>60</v>
      </c>
      <c r="D623" s="117">
        <v>42276.0</v>
      </c>
      <c r="E623" s="117">
        <v>42676.0</v>
      </c>
      <c r="F623" s="79" t="s">
        <v>305</v>
      </c>
      <c r="G623" s="118">
        <v>37900.0</v>
      </c>
      <c r="H623" s="114">
        <v>94.5</v>
      </c>
      <c r="I623" s="120">
        <v>433.0</v>
      </c>
      <c r="J623" s="111" t="s">
        <v>61</v>
      </c>
      <c r="K623" s="121">
        <v>438.48</v>
      </c>
      <c r="L623" s="120" t="s">
        <v>63</v>
      </c>
      <c r="M623" s="120"/>
      <c r="N623" s="120"/>
      <c r="O623" s="124">
        <v>37900.0</v>
      </c>
      <c r="P623" s="124">
        <v>401.0</v>
      </c>
      <c r="Q623" s="111">
        <v>229.0</v>
      </c>
      <c r="R623" s="125">
        <v>452.0</v>
      </c>
      <c r="S623" s="126">
        <v>0.9701</v>
      </c>
      <c r="T623" s="127">
        <v>79354.18</v>
      </c>
      <c r="U623" s="128">
        <f t="shared" si="2"/>
        <v>0</v>
      </c>
      <c r="V623" s="79" t="s">
        <v>64</v>
      </c>
      <c r="W623" s="79" t="s">
        <v>64</v>
      </c>
      <c r="X623" s="79" t="s">
        <v>69</v>
      </c>
      <c r="Y623" s="130">
        <v>0.8</v>
      </c>
      <c r="Z623" s="111">
        <v>11.0</v>
      </c>
      <c r="AA623" s="111">
        <v>426.0</v>
      </c>
      <c r="AB623" s="111" t="s">
        <v>61</v>
      </c>
      <c r="AC623" s="133"/>
      <c r="AD623" s="133"/>
      <c r="AE623" s="133"/>
      <c r="AF623" s="111"/>
      <c r="AG623" s="147"/>
      <c r="AH623" s="73"/>
      <c r="AI623" s="135"/>
      <c r="AJ623" s="136"/>
      <c r="AK623" s="76"/>
      <c r="AL623" s="137"/>
      <c r="AM623" s="139">
        <v>431.0</v>
      </c>
      <c r="AN623" s="139">
        <v>401.0</v>
      </c>
      <c r="AO623" s="140">
        <v>107.73</v>
      </c>
      <c r="AP623" s="142">
        <v>37900.0</v>
      </c>
      <c r="AQ623" s="142">
        <v>229.0</v>
      </c>
      <c r="AR623" s="143"/>
      <c r="AS623" s="144">
        <v>0.9609674001359271</v>
      </c>
      <c r="AT623" s="144">
        <v>0.009132599864072888</v>
      </c>
      <c r="AU623" s="146" t="s">
        <v>2269</v>
      </c>
      <c r="AV623" s="146" t="s">
        <v>2269</v>
      </c>
      <c r="AW623" s="148" t="s">
        <v>2269</v>
      </c>
      <c r="AX623" s="151"/>
      <c r="AY623" s="105"/>
      <c r="AZ623" s="186"/>
      <c r="BA623" s="186"/>
      <c r="BB623" s="222"/>
      <c r="BC623" s="45"/>
      <c r="BD623" s="45"/>
      <c r="BE623" s="155"/>
      <c r="BF623" s="45"/>
    </row>
    <row r="624" ht="16.5" customHeight="1">
      <c r="A624" s="111">
        <v>621.0</v>
      </c>
      <c r="B624" s="112" t="s">
        <v>1717</v>
      </c>
      <c r="C624" s="115" t="s">
        <v>60</v>
      </c>
      <c r="D624" s="117">
        <v>42002.0</v>
      </c>
      <c r="E624" s="117">
        <v>42663.0</v>
      </c>
      <c r="F624" s="79" t="s">
        <v>59</v>
      </c>
      <c r="G624" s="118">
        <v>24950.0</v>
      </c>
      <c r="H624" s="114">
        <v>37.7</v>
      </c>
      <c r="I624" s="120">
        <v>396.0</v>
      </c>
      <c r="J624" s="111" t="s">
        <v>61</v>
      </c>
      <c r="K624" s="121">
        <v>401.01</v>
      </c>
      <c r="L624" s="120" t="s">
        <v>63</v>
      </c>
      <c r="M624" s="120"/>
      <c r="N624" s="120"/>
      <c r="O624" s="124">
        <v>24950.0</v>
      </c>
      <c r="P624" s="124">
        <v>662.0</v>
      </c>
      <c r="Q624" s="111">
        <v>215.0</v>
      </c>
      <c r="R624" s="125">
        <v>399.0</v>
      </c>
      <c r="S624" s="126">
        <v>1.005</v>
      </c>
      <c r="T624" s="127">
        <v>77887.49999999999</v>
      </c>
      <c r="U624" s="128">
        <f t="shared" si="2"/>
        <v>0</v>
      </c>
      <c r="V624" s="79" t="s">
        <v>65</v>
      </c>
      <c r="W624" s="79" t="s">
        <v>69</v>
      </c>
      <c r="X624" s="79" t="s">
        <v>66</v>
      </c>
      <c r="Y624" s="130">
        <v>0.9</v>
      </c>
      <c r="Z624" s="111">
        <v>10.0</v>
      </c>
      <c r="AA624" s="133"/>
      <c r="AB624" s="133"/>
      <c r="AC624" s="133"/>
      <c r="AD624" s="133"/>
      <c r="AE624" s="133"/>
      <c r="AF624" s="111"/>
      <c r="AG624" s="147"/>
      <c r="AH624" s="73"/>
      <c r="AI624" s="135"/>
      <c r="AJ624" s="136"/>
      <c r="AK624" s="76"/>
      <c r="AL624" s="137"/>
      <c r="AM624" s="139" t="s">
        <v>71</v>
      </c>
      <c r="AN624" s="139">
        <v>662.0</v>
      </c>
      <c r="AO624" s="140">
        <v>69.07</v>
      </c>
      <c r="AP624" s="142">
        <v>24950.0</v>
      </c>
      <c r="AQ624" s="142">
        <v>215.0</v>
      </c>
      <c r="AR624" s="143"/>
      <c r="AS624" s="144">
        <v>0.9685940784755506</v>
      </c>
      <c r="AT624" s="144">
        <v>0.036405921524449325</v>
      </c>
      <c r="AU624" s="146" t="s">
        <v>2270</v>
      </c>
      <c r="AV624" s="146" t="s">
        <v>2270</v>
      </c>
      <c r="AW624" s="148" t="s">
        <v>2270</v>
      </c>
      <c r="AX624" s="151"/>
      <c r="AY624" s="105"/>
      <c r="AZ624" s="186"/>
      <c r="BA624" s="186"/>
      <c r="BB624" s="222"/>
      <c r="BC624" s="45"/>
      <c r="BD624" s="45"/>
      <c r="BE624" s="155"/>
      <c r="BF624" s="45"/>
    </row>
    <row r="625" ht="16.5" customHeight="1">
      <c r="A625" s="111">
        <v>622.0</v>
      </c>
      <c r="B625" s="112" t="s">
        <v>1723</v>
      </c>
      <c r="C625" s="115" t="s">
        <v>60</v>
      </c>
      <c r="D625" s="117">
        <v>41807.0</v>
      </c>
      <c r="E625" s="117">
        <v>42636.0</v>
      </c>
      <c r="F625" s="79" t="s">
        <v>79</v>
      </c>
      <c r="G625" s="118">
        <v>115834.0</v>
      </c>
      <c r="H625" s="114">
        <v>139.6</v>
      </c>
      <c r="I625" s="120">
        <v>384.0</v>
      </c>
      <c r="J625" s="111" t="s">
        <v>62</v>
      </c>
      <c r="K625" s="121">
        <v>384.0</v>
      </c>
      <c r="L625" s="120" t="s">
        <v>63</v>
      </c>
      <c r="M625" s="120"/>
      <c r="N625" s="120"/>
      <c r="O625" s="124">
        <v>115834.0</v>
      </c>
      <c r="P625" s="124">
        <v>830.0</v>
      </c>
      <c r="Q625" s="111">
        <v>169.0</v>
      </c>
      <c r="R625" s="125">
        <v>399.0</v>
      </c>
      <c r="S625" s="126">
        <v>0.9624</v>
      </c>
      <c r="T625" s="127">
        <v>74586.0</v>
      </c>
      <c r="U625" s="128">
        <f t="shared" si="2"/>
        <v>0</v>
      </c>
      <c r="V625" s="79" t="s">
        <v>65</v>
      </c>
      <c r="W625" s="195" t="s">
        <v>69</v>
      </c>
      <c r="X625" s="79" t="s">
        <v>66</v>
      </c>
      <c r="Y625" s="130">
        <v>0.9</v>
      </c>
      <c r="Z625" s="111">
        <v>7.0</v>
      </c>
      <c r="AA625" s="133"/>
      <c r="AB625" s="133"/>
      <c r="AC625" s="133"/>
      <c r="AD625" s="133"/>
      <c r="AE625" s="133"/>
      <c r="AF625" s="111"/>
      <c r="AG625" s="134" t="s">
        <v>2271</v>
      </c>
      <c r="AH625" s="73"/>
      <c r="AI625" s="135"/>
      <c r="AJ625" s="136"/>
      <c r="AK625" s="76"/>
      <c r="AL625" s="137"/>
      <c r="AM625" s="139" t="s">
        <v>71</v>
      </c>
      <c r="AN625" s="139">
        <v>830.0</v>
      </c>
      <c r="AO625" s="140">
        <v>257.47</v>
      </c>
      <c r="AP625" s="142">
        <v>115834.0</v>
      </c>
      <c r="AQ625" s="142">
        <v>169.0</v>
      </c>
      <c r="AR625" s="143"/>
      <c r="AS625" s="144">
        <v>0.9422998331757301</v>
      </c>
      <c r="AT625" s="144">
        <v>0.02010016682426996</v>
      </c>
      <c r="AU625" s="146" t="s">
        <v>2272</v>
      </c>
      <c r="AV625" s="146" t="s">
        <v>2272</v>
      </c>
      <c r="AW625" s="148" t="s">
        <v>2272</v>
      </c>
      <c r="AX625" s="151"/>
      <c r="AY625" s="105"/>
      <c r="AZ625" s="186"/>
      <c r="BA625" s="186"/>
      <c r="BB625" s="222"/>
      <c r="BC625" s="45"/>
      <c r="BD625" s="45"/>
      <c r="BE625" s="155"/>
      <c r="BF625" s="45"/>
    </row>
    <row r="626" ht="16.5" customHeight="1">
      <c r="A626" s="111">
        <v>623.0</v>
      </c>
      <c r="B626" s="112" t="s">
        <v>1752</v>
      </c>
      <c r="C626" s="115" t="s">
        <v>60</v>
      </c>
      <c r="D626" s="117">
        <v>41457.0</v>
      </c>
      <c r="E626" s="117">
        <v>42678.0</v>
      </c>
      <c r="F626" s="79" t="s">
        <v>59</v>
      </c>
      <c r="G626" s="118">
        <v>102000.0</v>
      </c>
      <c r="H626" s="114">
        <v>83.5</v>
      </c>
      <c r="I626" s="120">
        <v>376.0</v>
      </c>
      <c r="J626" s="111" t="s">
        <v>61</v>
      </c>
      <c r="K626" s="121">
        <v>380.76</v>
      </c>
      <c r="L626" s="120" t="s">
        <v>63</v>
      </c>
      <c r="M626" s="120"/>
      <c r="N626" s="120"/>
      <c r="O626" s="124">
        <v>102000.0</v>
      </c>
      <c r="P626" s="124">
        <v>1222.0</v>
      </c>
      <c r="Q626" s="111">
        <v>205.0</v>
      </c>
      <c r="R626" s="125">
        <v>399.0</v>
      </c>
      <c r="S626" s="126">
        <v>0.9543</v>
      </c>
      <c r="T626" s="127">
        <v>73958.25</v>
      </c>
      <c r="U626" s="128">
        <f t="shared" si="2"/>
        <v>0</v>
      </c>
      <c r="V626" s="79" t="s">
        <v>64</v>
      </c>
      <c r="W626" s="636" t="s">
        <v>64</v>
      </c>
      <c r="X626" s="79" t="s">
        <v>69</v>
      </c>
      <c r="Y626" s="130">
        <v>0.9</v>
      </c>
      <c r="Z626" s="111">
        <v>3.0</v>
      </c>
      <c r="AA626" s="111">
        <v>383.0</v>
      </c>
      <c r="AB626" s="111" t="s">
        <v>61</v>
      </c>
      <c r="AC626" s="133"/>
      <c r="AD626" s="133"/>
      <c r="AE626" s="133"/>
      <c r="AF626" s="111"/>
      <c r="AG626" s="147"/>
      <c r="AH626" s="73"/>
      <c r="AI626" s="135"/>
      <c r="AJ626" s="136"/>
      <c r="AK626" s="76"/>
      <c r="AL626" s="137"/>
      <c r="AM626" s="139">
        <v>388.0</v>
      </c>
      <c r="AN626" s="139">
        <v>1222.0</v>
      </c>
      <c r="AO626" s="140">
        <v>276.17</v>
      </c>
      <c r="AP626" s="142">
        <v>102000.0</v>
      </c>
      <c r="AQ626" s="142">
        <v>205.0</v>
      </c>
      <c r="AR626" s="143"/>
      <c r="AS626" s="144">
        <v>0.9446173802221296</v>
      </c>
      <c r="AT626" s="144">
        <v>0.009682619777870438</v>
      </c>
      <c r="AU626" s="146" t="s">
        <v>2273</v>
      </c>
      <c r="AV626" s="146" t="s">
        <v>2273</v>
      </c>
      <c r="AW626" s="148" t="s">
        <v>2273</v>
      </c>
      <c r="AX626" s="151"/>
      <c r="AY626" s="105"/>
      <c r="AZ626" s="186"/>
      <c r="BA626" s="186"/>
      <c r="BB626" s="222"/>
      <c r="BC626" s="45"/>
      <c r="BD626" s="45"/>
      <c r="BE626" s="155"/>
      <c r="BF626" s="45"/>
    </row>
    <row r="627" ht="16.5" customHeight="1">
      <c r="A627" s="111">
        <v>624.0</v>
      </c>
      <c r="B627" s="112" t="s">
        <v>279</v>
      </c>
      <c r="C627" s="115" t="s">
        <v>60</v>
      </c>
      <c r="D627" s="117">
        <v>41591.0</v>
      </c>
      <c r="E627" s="117">
        <v>42681.0</v>
      </c>
      <c r="F627" s="79" t="s">
        <v>59</v>
      </c>
      <c r="G627" s="118">
        <v>91921.0</v>
      </c>
      <c r="H627" s="114">
        <v>84.3</v>
      </c>
      <c r="I627" s="120">
        <v>379.0</v>
      </c>
      <c r="J627" s="111" t="s">
        <v>61</v>
      </c>
      <c r="K627" s="121">
        <v>383.8</v>
      </c>
      <c r="L627" s="120" t="s">
        <v>195</v>
      </c>
      <c r="M627" s="120" t="s">
        <v>281</v>
      </c>
      <c r="N627" s="120">
        <v>12000.0</v>
      </c>
      <c r="O627" s="124">
        <v>79921.0</v>
      </c>
      <c r="P627" s="124">
        <v>949.0</v>
      </c>
      <c r="Q627" s="111">
        <v>234.0</v>
      </c>
      <c r="R627" s="125">
        <v>399.0</v>
      </c>
      <c r="S627" s="126">
        <v>0.9619</v>
      </c>
      <c r="T627" s="127">
        <v>74547.25</v>
      </c>
      <c r="U627" s="128">
        <f t="shared" si="2"/>
        <v>0</v>
      </c>
      <c r="V627" s="79" t="s">
        <v>64</v>
      </c>
      <c r="W627" s="79" t="s">
        <v>69</v>
      </c>
      <c r="X627" s="79" t="s">
        <v>66</v>
      </c>
      <c r="Y627" s="130">
        <v>0.9</v>
      </c>
      <c r="Z627" s="111">
        <v>11.0</v>
      </c>
      <c r="AA627" s="133"/>
      <c r="AB627" s="111" t="s">
        <v>61</v>
      </c>
      <c r="AC627" s="133"/>
      <c r="AD627" s="133"/>
      <c r="AE627" s="133"/>
      <c r="AF627" s="111"/>
      <c r="AG627" s="147"/>
      <c r="AH627" s="73"/>
      <c r="AI627" s="135"/>
      <c r="AJ627" s="136"/>
      <c r="AK627" s="76"/>
      <c r="AL627" s="137"/>
      <c r="AM627" s="139" t="s">
        <v>71</v>
      </c>
      <c r="AN627" s="139">
        <v>1091.0</v>
      </c>
      <c r="AO627" s="140">
        <v>246.04</v>
      </c>
      <c r="AP627" s="142">
        <v>79921.0</v>
      </c>
      <c r="AQ627" s="142">
        <v>234.0</v>
      </c>
      <c r="AR627" s="143"/>
      <c r="AS627" s="144">
        <v>0.9486618602170025</v>
      </c>
      <c r="AT627" s="144">
        <v>0.013238139782997482</v>
      </c>
      <c r="AU627" s="146" t="s">
        <v>2274</v>
      </c>
      <c r="AV627" s="146" t="s">
        <v>2274</v>
      </c>
      <c r="AW627" s="148" t="s">
        <v>2274</v>
      </c>
      <c r="AX627" s="151"/>
      <c r="AY627" s="105"/>
      <c r="AZ627" s="186"/>
      <c r="BA627" s="186"/>
      <c r="BB627" s="222"/>
      <c r="BC627" s="45"/>
      <c r="BD627" s="45"/>
      <c r="BE627" s="155"/>
      <c r="BF627" s="45"/>
    </row>
    <row r="628" ht="16.5" customHeight="1">
      <c r="A628" s="111">
        <v>625.0</v>
      </c>
      <c r="B628" s="112" t="s">
        <v>1882</v>
      </c>
      <c r="C628" s="115" t="s">
        <v>60</v>
      </c>
      <c r="D628" s="117">
        <v>42342.0</v>
      </c>
      <c r="E628" s="117">
        <v>42684.0</v>
      </c>
      <c r="F628" s="79" t="s">
        <v>118</v>
      </c>
      <c r="G628" s="118">
        <v>31273.0</v>
      </c>
      <c r="H628" s="114">
        <v>91.2</v>
      </c>
      <c r="I628" s="120">
        <v>349.0</v>
      </c>
      <c r="J628" s="111" t="s">
        <v>61</v>
      </c>
      <c r="K628" s="121">
        <v>353.42</v>
      </c>
      <c r="L628" s="120" t="s">
        <v>63</v>
      </c>
      <c r="M628" s="120"/>
      <c r="N628" s="120"/>
      <c r="O628" s="124">
        <v>31273.0</v>
      </c>
      <c r="P628" s="124">
        <v>343.0</v>
      </c>
      <c r="Q628" s="111">
        <v>201.0</v>
      </c>
      <c r="R628" s="125">
        <v>365.0</v>
      </c>
      <c r="S628" s="126">
        <v>0.9683</v>
      </c>
      <c r="T628" s="127">
        <v>66619.04000000001</v>
      </c>
      <c r="U628" s="128">
        <f t="shared" si="2"/>
        <v>0</v>
      </c>
      <c r="V628" s="79" t="s">
        <v>64</v>
      </c>
      <c r="W628" s="79" t="s">
        <v>69</v>
      </c>
      <c r="X628" s="79" t="s">
        <v>68</v>
      </c>
      <c r="Y628" s="130">
        <v>0.8</v>
      </c>
      <c r="Z628" s="111">
        <v>11.0</v>
      </c>
      <c r="AA628" s="111">
        <v>365.0</v>
      </c>
      <c r="AB628" s="111" t="s">
        <v>61</v>
      </c>
      <c r="AC628" s="133"/>
      <c r="AD628" s="133"/>
      <c r="AE628" s="133"/>
      <c r="AF628" s="111"/>
      <c r="AG628" s="147"/>
      <c r="AH628" s="73"/>
      <c r="AI628" s="135"/>
      <c r="AJ628" s="136"/>
      <c r="AK628" s="76"/>
      <c r="AL628" s="137"/>
      <c r="AM628" s="139">
        <v>370.0</v>
      </c>
      <c r="AN628" s="139">
        <v>343.0</v>
      </c>
      <c r="AO628" s="140">
        <v>92.85</v>
      </c>
      <c r="AP628" s="142">
        <v>31273.0</v>
      </c>
      <c r="AQ628" s="142">
        <v>201.0</v>
      </c>
      <c r="AR628" s="143"/>
      <c r="AS628" s="144">
        <v>0.9644449966128175</v>
      </c>
      <c r="AT628" s="144">
        <v>0.0038550033871825873</v>
      </c>
      <c r="AU628" s="146" t="s">
        <v>2275</v>
      </c>
      <c r="AV628" s="146" t="s">
        <v>2275</v>
      </c>
      <c r="AW628" s="148" t="s">
        <v>2275</v>
      </c>
      <c r="AX628" s="151"/>
      <c r="AY628" s="105"/>
      <c r="AZ628" s="186"/>
      <c r="BA628" s="186"/>
      <c r="BB628" s="222"/>
      <c r="BC628" s="45"/>
      <c r="BD628" s="45"/>
      <c r="BE628" s="155"/>
      <c r="BF628" s="45"/>
    </row>
    <row r="629" ht="16.5" customHeight="1">
      <c r="A629" s="111">
        <v>626.0</v>
      </c>
      <c r="B629" s="112" t="s">
        <v>1013</v>
      </c>
      <c r="C629" s="115" t="s">
        <v>60</v>
      </c>
      <c r="D629" s="117">
        <v>41814.0</v>
      </c>
      <c r="E629" s="117">
        <v>42685.0</v>
      </c>
      <c r="F629" s="79" t="s">
        <v>59</v>
      </c>
      <c r="G629" s="118">
        <v>112000.0</v>
      </c>
      <c r="H629" s="114">
        <v>128.4</v>
      </c>
      <c r="I629" s="120">
        <v>377.0</v>
      </c>
      <c r="J629" s="111" t="s">
        <v>62</v>
      </c>
      <c r="K629" s="121">
        <v>377.0</v>
      </c>
      <c r="L629" s="120" t="s">
        <v>63</v>
      </c>
      <c r="M629" s="120"/>
      <c r="N629" s="120"/>
      <c r="O629" s="124">
        <v>112000.0</v>
      </c>
      <c r="P629" s="124">
        <v>872.0</v>
      </c>
      <c r="Q629" s="111">
        <v>221.0</v>
      </c>
      <c r="R629" s="125">
        <v>399.0</v>
      </c>
      <c r="S629" s="126">
        <v>0.9449</v>
      </c>
      <c r="T629" s="127">
        <v>73229.75</v>
      </c>
      <c r="U629" s="128">
        <f t="shared" si="2"/>
        <v>0</v>
      </c>
      <c r="V629" s="79" t="s">
        <v>64</v>
      </c>
      <c r="W629" s="79" t="s">
        <v>64</v>
      </c>
      <c r="X629" s="79" t="s">
        <v>69</v>
      </c>
      <c r="Y629" s="130">
        <v>0.9</v>
      </c>
      <c r="Z629" s="111">
        <v>17.0</v>
      </c>
      <c r="AA629" s="111">
        <v>388.0</v>
      </c>
      <c r="AB629" s="111" t="s">
        <v>61</v>
      </c>
      <c r="AC629" s="133"/>
      <c r="AD629" s="133"/>
      <c r="AE629" s="133"/>
      <c r="AF629" s="111"/>
      <c r="AG629" s="147"/>
      <c r="AH629" s="73"/>
      <c r="AI629" s="135"/>
      <c r="AJ629" s="136"/>
      <c r="AK629" s="76"/>
      <c r="AL629" s="137"/>
      <c r="AM629" s="139">
        <v>393.0</v>
      </c>
      <c r="AN629" s="139">
        <v>872.0</v>
      </c>
      <c r="AO629" s="140">
        <v>328.47</v>
      </c>
      <c r="AP629" s="142">
        <v>112000.0</v>
      </c>
      <c r="AQ629" s="142">
        <v>221.0</v>
      </c>
      <c r="AR629" s="143"/>
      <c r="AS629" s="144">
        <v>0.9429325468946902</v>
      </c>
      <c r="AT629" s="144">
        <v>0.001967453105309769</v>
      </c>
      <c r="AU629" s="146" t="s">
        <v>2276</v>
      </c>
      <c r="AV629" s="146" t="s">
        <v>2276</v>
      </c>
      <c r="AW629" s="148" t="s">
        <v>2276</v>
      </c>
      <c r="AX629" s="151"/>
      <c r="AY629" s="105"/>
      <c r="AZ629" s="186"/>
      <c r="BA629" s="186"/>
      <c r="BB629" s="222"/>
      <c r="BC629" s="45"/>
      <c r="BD629" s="45"/>
      <c r="BE629" s="155"/>
      <c r="BF629" s="45"/>
    </row>
    <row r="630" ht="16.5" customHeight="1">
      <c r="A630" s="111">
        <v>627.0</v>
      </c>
      <c r="B630" s="112" t="s">
        <v>1611</v>
      </c>
      <c r="C630" s="115" t="s">
        <v>60</v>
      </c>
      <c r="D630" s="117">
        <v>41715.0</v>
      </c>
      <c r="E630" s="117">
        <v>42686.0</v>
      </c>
      <c r="F630" s="79" t="s">
        <v>79</v>
      </c>
      <c r="G630" s="118">
        <v>90000.0</v>
      </c>
      <c r="H630" s="114">
        <v>92.6</v>
      </c>
      <c r="I630" s="120">
        <v>374.0</v>
      </c>
      <c r="J630" s="111" t="s">
        <v>61</v>
      </c>
      <c r="K630" s="121">
        <v>378.73</v>
      </c>
      <c r="L630" s="120" t="s">
        <v>63</v>
      </c>
      <c r="M630" s="120"/>
      <c r="N630" s="120"/>
      <c r="O630" s="124">
        <v>90000.0</v>
      </c>
      <c r="P630" s="124">
        <v>972.0</v>
      </c>
      <c r="Q630" s="111">
        <v>200.0</v>
      </c>
      <c r="R630" s="125">
        <v>399.0</v>
      </c>
      <c r="S630" s="126">
        <v>0.9492</v>
      </c>
      <c r="T630" s="127">
        <v>73563.0</v>
      </c>
      <c r="U630" s="128">
        <f t="shared" si="2"/>
        <v>0</v>
      </c>
      <c r="V630" s="79" t="s">
        <v>69</v>
      </c>
      <c r="W630" s="79" t="s">
        <v>69</v>
      </c>
      <c r="X630" s="79" t="s">
        <v>68</v>
      </c>
      <c r="Y630" s="130">
        <v>0.9</v>
      </c>
      <c r="Z630" s="111">
        <v>11.0</v>
      </c>
      <c r="AA630" s="111">
        <v>392.0</v>
      </c>
      <c r="AB630" s="111" t="s">
        <v>61</v>
      </c>
      <c r="AC630" s="133"/>
      <c r="AD630" s="133"/>
      <c r="AE630" s="133"/>
      <c r="AF630" s="111"/>
      <c r="AG630" s="134" t="s">
        <v>2277</v>
      </c>
      <c r="AH630" s="73"/>
      <c r="AI630" s="135"/>
      <c r="AJ630" s="136"/>
      <c r="AK630" s="76"/>
      <c r="AL630" s="137"/>
      <c r="AM630" s="139">
        <v>397.0</v>
      </c>
      <c r="AN630" s="139">
        <v>972.0</v>
      </c>
      <c r="AO630" s="140">
        <v>238.35</v>
      </c>
      <c r="AP630" s="142">
        <v>90000.0</v>
      </c>
      <c r="AQ630" s="142">
        <v>200.0</v>
      </c>
      <c r="AR630" s="143"/>
      <c r="AS630" s="144">
        <v>0.9467394813294219</v>
      </c>
      <c r="AT630" s="144">
        <v>0.002460518670578171</v>
      </c>
      <c r="AU630" s="146" t="s">
        <v>2278</v>
      </c>
      <c r="AV630" s="146" t="s">
        <v>2278</v>
      </c>
      <c r="AW630" s="148" t="s">
        <v>2278</v>
      </c>
      <c r="AX630" s="151"/>
      <c r="AY630" s="105"/>
      <c r="AZ630" s="186"/>
      <c r="BA630" s="186"/>
      <c r="BB630" s="222"/>
      <c r="BC630" s="45"/>
      <c r="BD630" s="45"/>
      <c r="BE630" s="155"/>
      <c r="BF630" s="45"/>
    </row>
    <row r="631" ht="16.5" customHeight="1">
      <c r="A631" s="111">
        <v>628.0</v>
      </c>
      <c r="B631" s="112" t="s">
        <v>1741</v>
      </c>
      <c r="C631" s="115" t="s">
        <v>60</v>
      </c>
      <c r="D631" s="117">
        <v>42165.0</v>
      </c>
      <c r="E631" s="117">
        <v>42167.0</v>
      </c>
      <c r="F631" s="79" t="s">
        <v>86</v>
      </c>
      <c r="G631" s="118">
        <v>744.0</v>
      </c>
      <c r="H631" s="114">
        <v>248.0</v>
      </c>
      <c r="I631" s="120">
        <v>406.0</v>
      </c>
      <c r="J631" s="111" t="s">
        <v>61</v>
      </c>
      <c r="K631" s="121">
        <v>411.14</v>
      </c>
      <c r="L631" s="120" t="s">
        <v>63</v>
      </c>
      <c r="M631" s="120"/>
      <c r="N631" s="120"/>
      <c r="O631" s="124">
        <v>744.0</v>
      </c>
      <c r="P631" s="124">
        <v>3.0</v>
      </c>
      <c r="Q631" s="111">
        <v>205.0</v>
      </c>
      <c r="R631" s="125">
        <v>430.0</v>
      </c>
      <c r="S631" s="126">
        <v>0.9561</v>
      </c>
      <c r="T631" s="127">
        <v>74097.75</v>
      </c>
      <c r="U631" s="128">
        <f t="shared" si="2"/>
        <v>0</v>
      </c>
      <c r="V631" s="79" t="s">
        <v>65</v>
      </c>
      <c r="W631" s="79" t="s">
        <v>64</v>
      </c>
      <c r="X631" s="79" t="s">
        <v>66</v>
      </c>
      <c r="Y631" s="130">
        <v>0.9</v>
      </c>
      <c r="Z631" s="111">
        <v>11.0</v>
      </c>
      <c r="AA631" s="133"/>
      <c r="AB631" s="133"/>
      <c r="AC631" s="133"/>
      <c r="AD631" s="133"/>
      <c r="AE631" s="133"/>
      <c r="AF631" s="111"/>
      <c r="AG631" s="147"/>
      <c r="AH631" s="73"/>
      <c r="AI631" s="135"/>
      <c r="AJ631" s="136"/>
      <c r="AK631" s="76"/>
      <c r="AL631" s="137"/>
      <c r="AM631" s="139" t="s">
        <v>71</v>
      </c>
      <c r="AN631" s="139">
        <v>3.0</v>
      </c>
      <c r="AO631" s="140">
        <v>2.01</v>
      </c>
      <c r="AP631" s="142">
        <v>744.0</v>
      </c>
      <c r="AQ631" s="142">
        <v>205.0</v>
      </c>
      <c r="AR631" s="143"/>
      <c r="AS631" s="144">
        <v>0.9985124839984474</v>
      </c>
      <c r="AT631" s="144">
        <v>-0.04241248399844744</v>
      </c>
      <c r="AU631" s="146" t="s">
        <v>2279</v>
      </c>
      <c r="AV631" s="146" t="s">
        <v>2279</v>
      </c>
      <c r="AW631" s="148" t="s">
        <v>2279</v>
      </c>
      <c r="AX631" s="151"/>
      <c r="AY631" s="105"/>
      <c r="AZ631" s="186"/>
      <c r="BA631" s="186"/>
      <c r="BB631" s="222"/>
      <c r="BC631" s="45"/>
      <c r="BD631" s="45"/>
      <c r="BE631" s="155"/>
      <c r="BF631" s="45"/>
    </row>
    <row r="632" ht="16.5" customHeight="1">
      <c r="A632" s="111">
        <v>629.0</v>
      </c>
      <c r="B632" s="112" t="s">
        <v>1741</v>
      </c>
      <c r="C632" s="115" t="s">
        <v>60</v>
      </c>
      <c r="D632" s="117">
        <v>42165.0</v>
      </c>
      <c r="E632" s="117">
        <v>42180.0</v>
      </c>
      <c r="F632" s="79" t="s">
        <v>86</v>
      </c>
      <c r="G632" s="118">
        <v>2908.0</v>
      </c>
      <c r="H632" s="114">
        <v>181.8</v>
      </c>
      <c r="I632" s="120">
        <v>406.0</v>
      </c>
      <c r="J632" s="111" t="s">
        <v>61</v>
      </c>
      <c r="K632" s="121">
        <v>411.14</v>
      </c>
      <c r="L632" s="120" t="s">
        <v>63</v>
      </c>
      <c r="M632" s="120"/>
      <c r="N632" s="120"/>
      <c r="O632" s="124">
        <v>2908.0</v>
      </c>
      <c r="P632" s="124">
        <v>16.0</v>
      </c>
      <c r="Q632" s="111">
        <v>205.0</v>
      </c>
      <c r="R632" s="125">
        <v>430.0</v>
      </c>
      <c r="S632" s="126">
        <v>0.9561</v>
      </c>
      <c r="T632" s="127">
        <v>74097.75</v>
      </c>
      <c r="U632" s="128">
        <f t="shared" si="2"/>
        <v>0</v>
      </c>
      <c r="V632" s="79" t="s">
        <v>65</v>
      </c>
      <c r="W632" s="79" t="s">
        <v>64</v>
      </c>
      <c r="X632" s="79" t="s">
        <v>66</v>
      </c>
      <c r="Y632" s="130">
        <v>0.9</v>
      </c>
      <c r="Z632" s="111">
        <v>11.0</v>
      </c>
      <c r="AA632" s="133"/>
      <c r="AB632" s="133"/>
      <c r="AC632" s="133"/>
      <c r="AD632" s="133"/>
      <c r="AE632" s="133"/>
      <c r="AF632" s="111"/>
      <c r="AG632" s="147"/>
      <c r="AH632" s="73"/>
      <c r="AI632" s="135"/>
      <c r="AJ632" s="136"/>
      <c r="AK632" s="76"/>
      <c r="AL632" s="137"/>
      <c r="AM632" s="139" t="s">
        <v>71</v>
      </c>
      <c r="AN632" s="139">
        <v>16.0</v>
      </c>
      <c r="AO632" s="140">
        <v>7.87</v>
      </c>
      <c r="AP632" s="142">
        <v>2908.0</v>
      </c>
      <c r="AQ632" s="142">
        <v>205.0</v>
      </c>
      <c r="AR632" s="143"/>
      <c r="AS632" s="144">
        <v>0.9944488353473571</v>
      </c>
      <c r="AT632" s="144">
        <v>-0.03834883534735711</v>
      </c>
      <c r="AU632" s="146" t="s">
        <v>2280</v>
      </c>
      <c r="AV632" s="146" t="s">
        <v>2280</v>
      </c>
      <c r="AW632" s="148" t="s">
        <v>2280</v>
      </c>
      <c r="AX632" s="151"/>
      <c r="AY632" s="105"/>
      <c r="AZ632" s="186"/>
      <c r="BA632" s="186"/>
      <c r="BB632" s="222"/>
      <c r="BC632" s="45"/>
      <c r="BD632" s="45"/>
      <c r="BE632" s="155"/>
      <c r="BF632" s="45"/>
    </row>
    <row r="633" ht="16.5" customHeight="1">
      <c r="A633" s="111">
        <v>630.0</v>
      </c>
      <c r="B633" s="112" t="s">
        <v>1741</v>
      </c>
      <c r="C633" s="115" t="s">
        <v>60</v>
      </c>
      <c r="D633" s="117">
        <v>42165.0</v>
      </c>
      <c r="E633" s="117">
        <v>42185.0</v>
      </c>
      <c r="F633" s="79" t="s">
        <v>86</v>
      </c>
      <c r="G633" s="118">
        <v>4021.0</v>
      </c>
      <c r="H633" s="114">
        <v>191.5</v>
      </c>
      <c r="I633" s="120">
        <v>407.0</v>
      </c>
      <c r="J633" s="111" t="s">
        <v>61</v>
      </c>
      <c r="K633" s="121">
        <v>412.15</v>
      </c>
      <c r="L633" s="120" t="s">
        <v>63</v>
      </c>
      <c r="M633" s="120"/>
      <c r="N633" s="120"/>
      <c r="O633" s="124">
        <v>4021.0</v>
      </c>
      <c r="P633" s="124">
        <v>21.0</v>
      </c>
      <c r="Q633" s="111">
        <v>205.0</v>
      </c>
      <c r="R633" s="125">
        <v>430.0</v>
      </c>
      <c r="S633" s="126">
        <v>0.9585</v>
      </c>
      <c r="T633" s="127">
        <v>74283.75</v>
      </c>
      <c r="U633" s="128">
        <f t="shared" si="2"/>
        <v>0</v>
      </c>
      <c r="V633" s="79" t="s">
        <v>65</v>
      </c>
      <c r="W633" s="79" t="s">
        <v>64</v>
      </c>
      <c r="X633" s="79" t="s">
        <v>66</v>
      </c>
      <c r="Y633" s="130">
        <v>0.9</v>
      </c>
      <c r="Z633" s="111">
        <v>11.0</v>
      </c>
      <c r="AA633" s="133"/>
      <c r="AB633" s="133"/>
      <c r="AC633" s="133"/>
      <c r="AD633" s="133"/>
      <c r="AE633" s="133"/>
      <c r="AF633" s="111"/>
      <c r="AG633" s="147"/>
      <c r="AH633" s="73"/>
      <c r="AI633" s="135"/>
      <c r="AJ633" s="136"/>
      <c r="AK633" s="76"/>
      <c r="AL633" s="137"/>
      <c r="AM633" s="139" t="s">
        <v>71</v>
      </c>
      <c r="AN633" s="139">
        <v>21.0</v>
      </c>
      <c r="AO633" s="140">
        <v>10.86</v>
      </c>
      <c r="AP633" s="142">
        <v>4021.0</v>
      </c>
      <c r="AQ633" s="142">
        <v>205.0</v>
      </c>
      <c r="AR633" s="143"/>
      <c r="AS633" s="144">
        <v>0.9925018737744894</v>
      </c>
      <c r="AT633" s="144">
        <v>-0.03400187377448938</v>
      </c>
      <c r="AU633" s="146" t="s">
        <v>2281</v>
      </c>
      <c r="AV633" s="146" t="s">
        <v>2281</v>
      </c>
      <c r="AW633" s="148" t="s">
        <v>2281</v>
      </c>
      <c r="AX633" s="151"/>
      <c r="AY633" s="105"/>
      <c r="AZ633" s="186"/>
      <c r="BA633" s="186"/>
      <c r="BB633" s="222"/>
      <c r="BC633" s="45"/>
      <c r="BD633" s="45"/>
      <c r="BE633" s="155"/>
      <c r="BF633" s="45"/>
    </row>
    <row r="634" ht="16.5" customHeight="1">
      <c r="A634" s="111">
        <v>631.0</v>
      </c>
      <c r="B634" s="112" t="s">
        <v>1741</v>
      </c>
      <c r="C634" s="115" t="s">
        <v>60</v>
      </c>
      <c r="D634" s="117">
        <v>42165.0</v>
      </c>
      <c r="E634" s="117">
        <v>42194.0</v>
      </c>
      <c r="F634" s="79" t="s">
        <v>86</v>
      </c>
      <c r="G634" s="118">
        <v>5488.0</v>
      </c>
      <c r="H634" s="114">
        <v>182.9</v>
      </c>
      <c r="I634" s="120">
        <v>405.0</v>
      </c>
      <c r="J634" s="111" t="s">
        <v>61</v>
      </c>
      <c r="K634" s="121">
        <v>410.13</v>
      </c>
      <c r="L634" s="120" t="s">
        <v>63</v>
      </c>
      <c r="M634" s="120"/>
      <c r="N634" s="120"/>
      <c r="O634" s="124">
        <v>5488.0</v>
      </c>
      <c r="P634" s="124">
        <v>30.0</v>
      </c>
      <c r="Q634" s="111">
        <v>205.0</v>
      </c>
      <c r="R634" s="125">
        <v>430.0</v>
      </c>
      <c r="S634" s="126">
        <v>0.9538</v>
      </c>
      <c r="T634" s="127">
        <v>73919.5</v>
      </c>
      <c r="U634" s="128">
        <f t="shared" si="2"/>
        <v>0</v>
      </c>
      <c r="V634" s="79" t="s">
        <v>65</v>
      </c>
      <c r="W634" s="79" t="s">
        <v>64</v>
      </c>
      <c r="X634" s="79" t="s">
        <v>66</v>
      </c>
      <c r="Y634" s="130">
        <v>0.9</v>
      </c>
      <c r="Z634" s="111">
        <v>11.0</v>
      </c>
      <c r="AA634" s="133"/>
      <c r="AB634" s="133"/>
      <c r="AC634" s="133"/>
      <c r="AD634" s="133"/>
      <c r="AE634" s="133"/>
      <c r="AF634" s="111"/>
      <c r="AG634" s="147"/>
      <c r="AH634" s="73"/>
      <c r="AI634" s="135"/>
      <c r="AJ634" s="136"/>
      <c r="AK634" s="76"/>
      <c r="AL634" s="137"/>
      <c r="AM634" s="139" t="s">
        <v>71</v>
      </c>
      <c r="AN634" s="139">
        <v>30.0</v>
      </c>
      <c r="AO634" s="140">
        <v>14.86</v>
      </c>
      <c r="AP634" s="142">
        <v>5488.0</v>
      </c>
      <c r="AQ634" s="142">
        <v>205.0</v>
      </c>
      <c r="AR634" s="143"/>
      <c r="AS634" s="144">
        <v>0.990073434775174</v>
      </c>
      <c r="AT634" s="144">
        <v>-0.036273434775173974</v>
      </c>
      <c r="AU634" s="146" t="s">
        <v>2282</v>
      </c>
      <c r="AV634" s="146" t="s">
        <v>2282</v>
      </c>
      <c r="AW634" s="148" t="s">
        <v>2282</v>
      </c>
      <c r="AX634" s="151"/>
      <c r="AY634" s="105"/>
      <c r="AZ634" s="186"/>
      <c r="BA634" s="186"/>
      <c r="BB634" s="222"/>
      <c r="BC634" s="45"/>
      <c r="BD634" s="45"/>
      <c r="BE634" s="155"/>
      <c r="BF634" s="45"/>
    </row>
    <row r="635" ht="16.5" customHeight="1">
      <c r="A635" s="111">
        <v>632.0</v>
      </c>
      <c r="B635" s="112" t="s">
        <v>1741</v>
      </c>
      <c r="C635" s="115" t="s">
        <v>60</v>
      </c>
      <c r="D635" s="117">
        <v>42165.0</v>
      </c>
      <c r="E635" s="117">
        <v>42199.0</v>
      </c>
      <c r="F635" s="79" t="s">
        <v>86</v>
      </c>
      <c r="G635" s="118">
        <v>6204.0</v>
      </c>
      <c r="H635" s="114">
        <v>177.3</v>
      </c>
      <c r="I635" s="120">
        <v>404.0</v>
      </c>
      <c r="J635" s="111" t="s">
        <v>61</v>
      </c>
      <c r="K635" s="121">
        <v>409.11</v>
      </c>
      <c r="L635" s="120" t="s">
        <v>63</v>
      </c>
      <c r="M635" s="120"/>
      <c r="N635" s="120"/>
      <c r="O635" s="124">
        <v>6204.0</v>
      </c>
      <c r="P635" s="124">
        <v>35.0</v>
      </c>
      <c r="Q635" s="111">
        <v>205.0</v>
      </c>
      <c r="R635" s="125">
        <v>430.0</v>
      </c>
      <c r="S635" s="126">
        <v>0.9514</v>
      </c>
      <c r="T635" s="127">
        <v>73733.5</v>
      </c>
      <c r="U635" s="128">
        <f t="shared" si="2"/>
        <v>0</v>
      </c>
      <c r="V635" s="79" t="s">
        <v>65</v>
      </c>
      <c r="W635" s="79" t="s">
        <v>64</v>
      </c>
      <c r="X635" s="79" t="s">
        <v>66</v>
      </c>
      <c r="Y635" s="130">
        <v>0.9</v>
      </c>
      <c r="Z635" s="111">
        <v>11.0</v>
      </c>
      <c r="AA635" s="133"/>
      <c r="AB635" s="133"/>
      <c r="AC635" s="133"/>
      <c r="AD635" s="133"/>
      <c r="AE635" s="133"/>
      <c r="AF635" s="111"/>
      <c r="AG635" s="147"/>
      <c r="AH635" s="73"/>
      <c r="AI635" s="135"/>
      <c r="AJ635" s="136"/>
      <c r="AK635" s="76"/>
      <c r="AL635" s="137"/>
      <c r="AM635" s="139" t="s">
        <v>71</v>
      </c>
      <c r="AN635" s="139">
        <v>35.0</v>
      </c>
      <c r="AO635" s="140">
        <v>16.82</v>
      </c>
      <c r="AP635" s="142">
        <v>6204.0</v>
      </c>
      <c r="AQ635" s="142">
        <v>205.0</v>
      </c>
      <c r="AR635" s="143"/>
      <c r="AS635" s="144">
        <v>0.9889422020372455</v>
      </c>
      <c r="AT635" s="144">
        <v>-0.03754220203724545</v>
      </c>
      <c r="AU635" s="146" t="s">
        <v>2283</v>
      </c>
      <c r="AV635" s="146" t="s">
        <v>2283</v>
      </c>
      <c r="AW635" s="148" t="s">
        <v>2283</v>
      </c>
      <c r="AX635" s="151"/>
      <c r="AY635" s="105"/>
      <c r="AZ635" s="186"/>
      <c r="BA635" s="186"/>
      <c r="BB635" s="222"/>
      <c r="BC635" s="45"/>
      <c r="BD635" s="45"/>
      <c r="BE635" s="155"/>
      <c r="BF635" s="45"/>
    </row>
    <row r="636" ht="16.5" customHeight="1">
      <c r="A636" s="111">
        <v>633.0</v>
      </c>
      <c r="B636" s="112" t="s">
        <v>1741</v>
      </c>
      <c r="C636" s="115" t="s">
        <v>60</v>
      </c>
      <c r="D636" s="117">
        <v>42165.0</v>
      </c>
      <c r="E636" s="117">
        <v>42225.0</v>
      </c>
      <c r="F636" s="79" t="s">
        <v>86</v>
      </c>
      <c r="G636" s="118">
        <v>8626.0</v>
      </c>
      <c r="H636" s="114">
        <v>141.4</v>
      </c>
      <c r="I636" s="120">
        <v>404.0</v>
      </c>
      <c r="J636" s="111" t="s">
        <v>61</v>
      </c>
      <c r="K636" s="121">
        <v>409.11</v>
      </c>
      <c r="L636" s="120" t="s">
        <v>63</v>
      </c>
      <c r="M636" s="120"/>
      <c r="N636" s="120"/>
      <c r="O636" s="124">
        <v>8626.0</v>
      </c>
      <c r="P636" s="124">
        <v>61.0</v>
      </c>
      <c r="Q636" s="111">
        <v>205.0</v>
      </c>
      <c r="R636" s="125">
        <v>430.0</v>
      </c>
      <c r="S636" s="126">
        <v>0.9514</v>
      </c>
      <c r="T636" s="127">
        <v>73733.5</v>
      </c>
      <c r="U636" s="128">
        <f t="shared" si="2"/>
        <v>0</v>
      </c>
      <c r="V636" s="79" t="s">
        <v>65</v>
      </c>
      <c r="W636" s="79" t="s">
        <v>64</v>
      </c>
      <c r="X636" s="79" t="s">
        <v>66</v>
      </c>
      <c r="Y636" s="130">
        <v>0.9</v>
      </c>
      <c r="Z636" s="111">
        <v>11.0</v>
      </c>
      <c r="AA636" s="133"/>
      <c r="AB636" s="133"/>
      <c r="AC636" s="133"/>
      <c r="AD636" s="133"/>
      <c r="AE636" s="133"/>
      <c r="AF636" s="111"/>
      <c r="AG636" s="147"/>
      <c r="AH636" s="73"/>
      <c r="AI636" s="135"/>
      <c r="AJ636" s="136"/>
      <c r="AK636" s="76"/>
      <c r="AL636" s="137"/>
      <c r="AM636" s="139" t="s">
        <v>71</v>
      </c>
      <c r="AN636" s="139">
        <v>61.0</v>
      </c>
      <c r="AO636" s="140">
        <v>23.39</v>
      </c>
      <c r="AP636" s="142">
        <v>8626.0</v>
      </c>
      <c r="AQ636" s="142">
        <v>205.0</v>
      </c>
      <c r="AR636" s="143"/>
      <c r="AS636" s="144">
        <v>0.9853599829085123</v>
      </c>
      <c r="AT636" s="144">
        <v>-0.03395998290851232</v>
      </c>
      <c r="AU636" s="146" t="s">
        <v>2284</v>
      </c>
      <c r="AV636" s="146" t="s">
        <v>2284</v>
      </c>
      <c r="AW636" s="148" t="s">
        <v>2284</v>
      </c>
      <c r="AX636" s="151"/>
      <c r="AY636" s="105"/>
      <c r="AZ636" s="186"/>
      <c r="BA636" s="186"/>
      <c r="BB636" s="222"/>
      <c r="BC636" s="45"/>
      <c r="BD636" s="45"/>
      <c r="BE636" s="155"/>
      <c r="BF636" s="45"/>
    </row>
    <row r="637" ht="16.5" customHeight="1">
      <c r="A637" s="111">
        <v>634.0</v>
      </c>
      <c r="B637" s="112" t="s">
        <v>1741</v>
      </c>
      <c r="C637" s="115" t="s">
        <v>60</v>
      </c>
      <c r="D637" s="117">
        <v>42165.0</v>
      </c>
      <c r="E637" s="117">
        <v>42233.0</v>
      </c>
      <c r="F637" s="79" t="s">
        <v>86</v>
      </c>
      <c r="G637" s="118">
        <v>10762.0</v>
      </c>
      <c r="H637" s="114">
        <v>156.0</v>
      </c>
      <c r="I637" s="120">
        <v>403.0</v>
      </c>
      <c r="J637" s="111" t="s">
        <v>61</v>
      </c>
      <c r="K637" s="121">
        <v>408.1</v>
      </c>
      <c r="L637" s="120" t="s">
        <v>63</v>
      </c>
      <c r="M637" s="120"/>
      <c r="N637" s="120"/>
      <c r="O637" s="124">
        <v>10762.0</v>
      </c>
      <c r="P637" s="124">
        <v>69.0</v>
      </c>
      <c r="Q637" s="111">
        <v>205.0</v>
      </c>
      <c r="R637" s="125">
        <v>430.0</v>
      </c>
      <c r="S637" s="126">
        <v>0.9491</v>
      </c>
      <c r="T637" s="127">
        <v>73555.25</v>
      </c>
      <c r="U637" s="128">
        <f t="shared" si="2"/>
        <v>0</v>
      </c>
      <c r="V637" s="79" t="s">
        <v>65</v>
      </c>
      <c r="W637" s="79" t="s">
        <v>64</v>
      </c>
      <c r="X637" s="79" t="s">
        <v>66</v>
      </c>
      <c r="Y637" s="130">
        <v>0.9</v>
      </c>
      <c r="Z637" s="111">
        <v>11.0</v>
      </c>
      <c r="AA637" s="133"/>
      <c r="AB637" s="133"/>
      <c r="AC637" s="133"/>
      <c r="AD637" s="133"/>
      <c r="AE637" s="133"/>
      <c r="AF637" s="111"/>
      <c r="AG637" s="147"/>
      <c r="AH637" s="73"/>
      <c r="AI637" s="135"/>
      <c r="AJ637" s="136"/>
      <c r="AK637" s="76"/>
      <c r="AL637" s="137"/>
      <c r="AM637" s="139" t="s">
        <v>71</v>
      </c>
      <c r="AN637" s="139">
        <v>69.0</v>
      </c>
      <c r="AO637" s="140">
        <v>29.21</v>
      </c>
      <c r="AP637" s="142">
        <v>10762.0</v>
      </c>
      <c r="AQ637" s="142">
        <v>205.0</v>
      </c>
      <c r="AR637" s="143"/>
      <c r="AS637" s="144">
        <v>0.9824890408165151</v>
      </c>
      <c r="AT637" s="144">
        <v>-0.03338904081651506</v>
      </c>
      <c r="AU637" s="146" t="s">
        <v>2285</v>
      </c>
      <c r="AV637" s="146" t="s">
        <v>2285</v>
      </c>
      <c r="AW637" s="148" t="s">
        <v>2285</v>
      </c>
      <c r="AX637" s="151"/>
      <c r="AY637" s="105"/>
      <c r="AZ637" s="186"/>
      <c r="BA637" s="186"/>
      <c r="BB637" s="222"/>
      <c r="BC637" s="45"/>
      <c r="BD637" s="45"/>
      <c r="BE637" s="155"/>
      <c r="BF637" s="45"/>
    </row>
    <row r="638" ht="16.5" customHeight="1">
      <c r="A638" s="111">
        <v>635.0</v>
      </c>
      <c r="B638" s="112" t="s">
        <v>1741</v>
      </c>
      <c r="C638" s="115" t="s">
        <v>60</v>
      </c>
      <c r="D638" s="117">
        <v>42165.0</v>
      </c>
      <c r="E638" s="117">
        <v>42297.0</v>
      </c>
      <c r="F638" s="79" t="s">
        <v>86</v>
      </c>
      <c r="G638" s="118">
        <v>18650.0</v>
      </c>
      <c r="H638" s="114">
        <v>140.2</v>
      </c>
      <c r="I638" s="120">
        <v>393.0</v>
      </c>
      <c r="J638" s="111" t="s">
        <v>61</v>
      </c>
      <c r="K638" s="121">
        <v>397.97</v>
      </c>
      <c r="L638" s="120" t="s">
        <v>63</v>
      </c>
      <c r="M638" s="120"/>
      <c r="N638" s="120"/>
      <c r="O638" s="124">
        <v>18650.0</v>
      </c>
      <c r="P638" s="124">
        <v>133.0</v>
      </c>
      <c r="Q638" s="111">
        <v>205.0</v>
      </c>
      <c r="R638" s="125">
        <v>430.0</v>
      </c>
      <c r="S638" s="126">
        <v>0.9255</v>
      </c>
      <c r="T638" s="127">
        <v>71726.25</v>
      </c>
      <c r="U638" s="128">
        <f t="shared" si="2"/>
        <v>0</v>
      </c>
      <c r="V638" s="79" t="s">
        <v>65</v>
      </c>
      <c r="W638" s="79" t="s">
        <v>64</v>
      </c>
      <c r="X638" s="79" t="s">
        <v>66</v>
      </c>
      <c r="Y638" s="130">
        <v>0.8</v>
      </c>
      <c r="Z638" s="111">
        <v>11.0</v>
      </c>
      <c r="AA638" s="133"/>
      <c r="AB638" s="133"/>
      <c r="AC638" s="133"/>
      <c r="AD638" s="133"/>
      <c r="AE638" s="133"/>
      <c r="AF638" s="111"/>
      <c r="AG638" s="147"/>
      <c r="AH638" s="73"/>
      <c r="AI638" s="135"/>
      <c r="AJ638" s="136"/>
      <c r="AK638" s="76"/>
      <c r="AL638" s="137"/>
      <c r="AM638" s="139" t="s">
        <v>71</v>
      </c>
      <c r="AN638" s="139">
        <v>133.0</v>
      </c>
      <c r="AO638" s="140">
        <v>51.25</v>
      </c>
      <c r="AP638" s="142">
        <v>18650.0</v>
      </c>
      <c r="AQ638" s="142">
        <v>205.0</v>
      </c>
      <c r="AR638" s="143"/>
      <c r="AS638" s="144">
        <v>0.9738200147440602</v>
      </c>
      <c r="AT638" s="144">
        <v>-0.048320014744060225</v>
      </c>
      <c r="AU638" s="146" t="s">
        <v>2286</v>
      </c>
      <c r="AV638" s="146" t="s">
        <v>2286</v>
      </c>
      <c r="AW638" s="148" t="s">
        <v>2286</v>
      </c>
      <c r="AX638" s="151"/>
      <c r="AY638" s="105"/>
      <c r="AZ638" s="186"/>
      <c r="BA638" s="186"/>
      <c r="BB638" s="222"/>
      <c r="BC638" s="45"/>
      <c r="BD638" s="45"/>
      <c r="BE638" s="155"/>
      <c r="BF638" s="45"/>
    </row>
    <row r="639" ht="16.5" customHeight="1">
      <c r="A639" s="111">
        <v>636.0</v>
      </c>
      <c r="B639" s="112" t="s">
        <v>1741</v>
      </c>
      <c r="C639" s="115" t="s">
        <v>60</v>
      </c>
      <c r="D639" s="117">
        <v>42165.0</v>
      </c>
      <c r="E639" s="117">
        <v>42307.0</v>
      </c>
      <c r="F639" s="79" t="s">
        <v>86</v>
      </c>
      <c r="G639" s="118">
        <v>26279.0</v>
      </c>
      <c r="H639" s="114">
        <v>183.8</v>
      </c>
      <c r="I639" s="120">
        <v>391.0</v>
      </c>
      <c r="J639" s="111" t="s">
        <v>61</v>
      </c>
      <c r="K639" s="121">
        <v>395.95</v>
      </c>
      <c r="L639" s="120" t="s">
        <v>63</v>
      </c>
      <c r="M639" s="120"/>
      <c r="N639" s="120"/>
      <c r="O639" s="124">
        <v>26279.0</v>
      </c>
      <c r="P639" s="124">
        <v>143.0</v>
      </c>
      <c r="Q639" s="111">
        <v>205.0</v>
      </c>
      <c r="R639" s="125">
        <v>430.0</v>
      </c>
      <c r="S639" s="126">
        <v>0.9208</v>
      </c>
      <c r="T639" s="127">
        <v>71362.0</v>
      </c>
      <c r="U639" s="128">
        <f t="shared" si="2"/>
        <v>0</v>
      </c>
      <c r="V639" s="79" t="s">
        <v>65</v>
      </c>
      <c r="W639" s="79" t="s">
        <v>64</v>
      </c>
      <c r="X639" s="79" t="s">
        <v>66</v>
      </c>
      <c r="Y639" s="130">
        <v>0.8</v>
      </c>
      <c r="Z639" s="111">
        <v>11.0</v>
      </c>
      <c r="AA639" s="133"/>
      <c r="AB639" s="133"/>
      <c r="AC639" s="133"/>
      <c r="AD639" s="133"/>
      <c r="AE639" s="133"/>
      <c r="AF639" s="111"/>
      <c r="AG639" s="147"/>
      <c r="AH639" s="73"/>
      <c r="AI639" s="135"/>
      <c r="AJ639" s="136"/>
      <c r="AK639" s="76"/>
      <c r="AL639" s="137"/>
      <c r="AM639" s="139" t="s">
        <v>71</v>
      </c>
      <c r="AN639" s="139">
        <v>143.0</v>
      </c>
      <c r="AO639" s="140">
        <v>72.38</v>
      </c>
      <c r="AP639" s="142">
        <v>26279.0</v>
      </c>
      <c r="AQ639" s="142">
        <v>205.0</v>
      </c>
      <c r="AR639" s="143"/>
      <c r="AS639" s="144">
        <v>0.9676416032280782</v>
      </c>
      <c r="AT639" s="144">
        <v>-0.04684160322807829</v>
      </c>
      <c r="AU639" s="146" t="s">
        <v>2287</v>
      </c>
      <c r="AV639" s="146" t="s">
        <v>2287</v>
      </c>
      <c r="AW639" s="148" t="s">
        <v>2287</v>
      </c>
      <c r="AX639" s="151"/>
      <c r="AY639" s="105"/>
      <c r="AZ639" s="186"/>
      <c r="BA639" s="186"/>
      <c r="BB639" s="222"/>
      <c r="BC639" s="45"/>
      <c r="BD639" s="45"/>
      <c r="BE639" s="155"/>
      <c r="BF639" s="45"/>
    </row>
    <row r="640" ht="16.5" customHeight="1">
      <c r="A640" s="111">
        <v>637.0</v>
      </c>
      <c r="B640" s="112" t="s">
        <v>1741</v>
      </c>
      <c r="C640" s="115" t="s">
        <v>60</v>
      </c>
      <c r="D640" s="117">
        <v>42165.0</v>
      </c>
      <c r="E640" s="117">
        <v>42438.0</v>
      </c>
      <c r="F640" s="79" t="s">
        <v>86</v>
      </c>
      <c r="G640" s="118">
        <v>35030.0</v>
      </c>
      <c r="H640" s="114">
        <v>127.8</v>
      </c>
      <c r="I640" s="120">
        <v>401.0</v>
      </c>
      <c r="J640" s="111" t="s">
        <v>61</v>
      </c>
      <c r="K640" s="121">
        <v>406.08</v>
      </c>
      <c r="L640" s="120" t="s">
        <v>63</v>
      </c>
      <c r="M640" s="120"/>
      <c r="N640" s="120"/>
      <c r="O640" s="124">
        <v>35030.0</v>
      </c>
      <c r="P640" s="124">
        <v>274.0</v>
      </c>
      <c r="Q640" s="111">
        <v>205.0</v>
      </c>
      <c r="R640" s="125">
        <v>430.0</v>
      </c>
      <c r="S640" s="126">
        <v>0.9444</v>
      </c>
      <c r="T640" s="127">
        <v>73191.0</v>
      </c>
      <c r="U640" s="128">
        <f t="shared" si="2"/>
        <v>0</v>
      </c>
      <c r="V640" s="79" t="s">
        <v>65</v>
      </c>
      <c r="W640" s="79" t="s">
        <v>64</v>
      </c>
      <c r="X640" s="79" t="s">
        <v>66</v>
      </c>
      <c r="Y640" s="130">
        <v>0.8</v>
      </c>
      <c r="Z640" s="111">
        <v>11.0</v>
      </c>
      <c r="AA640" s="133"/>
      <c r="AB640" s="133"/>
      <c r="AC640" s="133"/>
      <c r="AD640" s="133"/>
      <c r="AE640" s="133"/>
      <c r="AF640" s="111"/>
      <c r="AG640" s="147"/>
      <c r="AH640" s="73"/>
      <c r="AI640" s="135"/>
      <c r="AJ640" s="136"/>
      <c r="AK640" s="76"/>
      <c r="AL640" s="137"/>
      <c r="AM640" s="139" t="s">
        <v>71</v>
      </c>
      <c r="AN640" s="139">
        <v>274.0</v>
      </c>
      <c r="AO640" s="140">
        <v>95.32</v>
      </c>
      <c r="AP640" s="142">
        <v>35030.0</v>
      </c>
      <c r="AQ640" s="142">
        <v>205.0</v>
      </c>
      <c r="AR640" s="143"/>
      <c r="AS640" s="144">
        <v>0.9623806068338515</v>
      </c>
      <c r="AT640" s="144">
        <v>-0.017980606833851498</v>
      </c>
      <c r="AU640" s="146" t="s">
        <v>2288</v>
      </c>
      <c r="AV640" s="146" t="s">
        <v>2288</v>
      </c>
      <c r="AW640" s="148" t="s">
        <v>2288</v>
      </c>
      <c r="AX640" s="151"/>
      <c r="AY640" s="105"/>
      <c r="AZ640" s="186"/>
      <c r="BA640" s="186"/>
      <c r="BB640" s="222"/>
      <c r="BC640" s="45"/>
      <c r="BD640" s="45"/>
      <c r="BE640" s="155"/>
      <c r="BF640" s="45"/>
    </row>
    <row r="641" ht="16.5" customHeight="1">
      <c r="A641" s="111">
        <v>638.0</v>
      </c>
      <c r="B641" s="112" t="s">
        <v>1741</v>
      </c>
      <c r="C641" s="115" t="s">
        <v>60</v>
      </c>
      <c r="D641" s="117">
        <v>42165.0</v>
      </c>
      <c r="E641" s="117">
        <v>42472.0</v>
      </c>
      <c r="F641" s="79" t="s">
        <v>86</v>
      </c>
      <c r="G641" s="118">
        <v>39966.0</v>
      </c>
      <c r="H641" s="114">
        <v>129.8</v>
      </c>
      <c r="I641" s="120">
        <v>405.0</v>
      </c>
      <c r="J641" s="111" t="s">
        <v>61</v>
      </c>
      <c r="K641" s="121">
        <v>410.13</v>
      </c>
      <c r="L641" s="120" t="s">
        <v>63</v>
      </c>
      <c r="M641" s="120"/>
      <c r="N641" s="120"/>
      <c r="O641" s="124">
        <v>39966.0</v>
      </c>
      <c r="P641" s="124">
        <v>308.0</v>
      </c>
      <c r="Q641" s="111">
        <v>205.0</v>
      </c>
      <c r="R641" s="125">
        <v>430.0</v>
      </c>
      <c r="S641" s="126">
        <v>0.9538</v>
      </c>
      <c r="T641" s="127">
        <v>73919.5</v>
      </c>
      <c r="U641" s="128">
        <f t="shared" si="2"/>
        <v>0</v>
      </c>
      <c r="V641" s="79" t="s">
        <v>65</v>
      </c>
      <c r="W641" s="79" t="s">
        <v>64</v>
      </c>
      <c r="X641" s="79" t="s">
        <v>66</v>
      </c>
      <c r="Y641" s="130">
        <v>0.8</v>
      </c>
      <c r="Z641" s="111">
        <v>11.0</v>
      </c>
      <c r="AA641" s="133"/>
      <c r="AB641" s="133"/>
      <c r="AC641" s="133"/>
      <c r="AD641" s="133"/>
      <c r="AE641" s="133"/>
      <c r="AF641" s="111"/>
      <c r="AG641" s="147"/>
      <c r="AH641" s="73"/>
      <c r="AI641" s="135"/>
      <c r="AJ641" s="136"/>
      <c r="AK641" s="76"/>
      <c r="AL641" s="137"/>
      <c r="AM641" s="139" t="s">
        <v>71</v>
      </c>
      <c r="AN641" s="139">
        <v>308.0</v>
      </c>
      <c r="AO641" s="140">
        <v>108.23</v>
      </c>
      <c r="AP641" s="142">
        <v>39966.0</v>
      </c>
      <c r="AQ641" s="142">
        <v>205.0</v>
      </c>
      <c r="AR641" s="143"/>
      <c r="AS641" s="144">
        <v>0.9600266221128552</v>
      </c>
      <c r="AT641" s="144">
        <v>-0.006226622112855185</v>
      </c>
      <c r="AU641" s="146" t="s">
        <v>2289</v>
      </c>
      <c r="AV641" s="146" t="s">
        <v>2289</v>
      </c>
      <c r="AW641" s="148" t="s">
        <v>2289</v>
      </c>
      <c r="AX641" s="151"/>
      <c r="AY641" s="105"/>
      <c r="AZ641" s="186"/>
      <c r="BA641" s="186"/>
      <c r="BB641" s="222"/>
      <c r="BC641" s="45"/>
      <c r="BD641" s="45"/>
      <c r="BE641" s="155"/>
      <c r="BF641" s="45"/>
    </row>
    <row r="642" ht="16.5" customHeight="1">
      <c r="A642" s="111">
        <v>639.0</v>
      </c>
      <c r="B642" s="112" t="s">
        <v>1741</v>
      </c>
      <c r="C642" s="115" t="s">
        <v>60</v>
      </c>
      <c r="D642" s="117">
        <v>42165.0</v>
      </c>
      <c r="E642" s="117">
        <v>42488.0</v>
      </c>
      <c r="F642" s="79" t="s">
        <v>86</v>
      </c>
      <c r="G642" s="118">
        <v>42641.0</v>
      </c>
      <c r="H642" s="114">
        <v>131.6</v>
      </c>
      <c r="I642" s="120">
        <v>404.0</v>
      </c>
      <c r="J642" s="111" t="s">
        <v>61</v>
      </c>
      <c r="K642" s="121">
        <v>409.11</v>
      </c>
      <c r="L642" s="120" t="s">
        <v>63</v>
      </c>
      <c r="M642" s="120"/>
      <c r="N642" s="120"/>
      <c r="O642" s="124">
        <v>42641.0</v>
      </c>
      <c r="P642" s="124">
        <v>324.0</v>
      </c>
      <c r="Q642" s="111">
        <v>205.0</v>
      </c>
      <c r="R642" s="125">
        <v>430.0</v>
      </c>
      <c r="S642" s="126">
        <v>0.9514</v>
      </c>
      <c r="T642" s="127">
        <v>73733.5</v>
      </c>
      <c r="U642" s="128">
        <f t="shared" si="2"/>
        <v>0</v>
      </c>
      <c r="V642" s="79" t="s">
        <v>65</v>
      </c>
      <c r="W642" s="79" t="s">
        <v>64</v>
      </c>
      <c r="X642" s="79" t="s">
        <v>66</v>
      </c>
      <c r="Y642" s="130">
        <v>0.8</v>
      </c>
      <c r="Z642" s="111">
        <v>11.0</v>
      </c>
      <c r="AA642" s="133"/>
      <c r="AB642" s="133"/>
      <c r="AC642" s="133"/>
      <c r="AD642" s="133"/>
      <c r="AE642" s="133"/>
      <c r="AF642" s="111"/>
      <c r="AG642" s="147"/>
      <c r="AH642" s="73"/>
      <c r="AI642" s="135"/>
      <c r="AJ642" s="136"/>
      <c r="AK642" s="76"/>
      <c r="AL642" s="137"/>
      <c r="AM642" s="139" t="s">
        <v>71</v>
      </c>
      <c r="AN642" s="139">
        <v>324.0</v>
      </c>
      <c r="AO642" s="140">
        <v>115.62</v>
      </c>
      <c r="AP642" s="142">
        <v>42641.0</v>
      </c>
      <c r="AQ642" s="142">
        <v>205.0</v>
      </c>
      <c r="AR642" s="143"/>
      <c r="AS642" s="144">
        <v>0.9588929646399968</v>
      </c>
      <c r="AT642" s="144">
        <v>-0.007492964639996824</v>
      </c>
      <c r="AU642" s="146" t="s">
        <v>2290</v>
      </c>
      <c r="AV642" s="146" t="s">
        <v>2290</v>
      </c>
      <c r="AW642" s="148" t="s">
        <v>2290</v>
      </c>
      <c r="AX642" s="151"/>
      <c r="AY642" s="105"/>
      <c r="AZ642" s="186"/>
      <c r="BA642" s="186"/>
      <c r="BB642" s="222"/>
      <c r="BC642" s="45"/>
      <c r="BD642" s="45"/>
      <c r="BE642" s="155"/>
      <c r="BF642" s="45"/>
    </row>
    <row r="643" ht="16.5" customHeight="1">
      <c r="A643" s="111">
        <v>640.0</v>
      </c>
      <c r="B643" s="112" t="s">
        <v>1741</v>
      </c>
      <c r="C643" s="115" t="s">
        <v>60</v>
      </c>
      <c r="D643" s="117">
        <v>42165.0</v>
      </c>
      <c r="E643" s="117">
        <v>42502.0</v>
      </c>
      <c r="F643" s="79" t="s">
        <v>86</v>
      </c>
      <c r="G643" s="118">
        <v>44051.0</v>
      </c>
      <c r="H643" s="114">
        <v>130.3</v>
      </c>
      <c r="I643" s="120">
        <v>408.0</v>
      </c>
      <c r="J643" s="111" t="s">
        <v>61</v>
      </c>
      <c r="K643" s="121">
        <v>413.16</v>
      </c>
      <c r="L643" s="120" t="s">
        <v>63</v>
      </c>
      <c r="M643" s="120"/>
      <c r="N643" s="120"/>
      <c r="O643" s="124">
        <v>44051.0</v>
      </c>
      <c r="P643" s="124">
        <v>338.0</v>
      </c>
      <c r="Q643" s="111">
        <v>205.0</v>
      </c>
      <c r="R643" s="125">
        <v>430.0</v>
      </c>
      <c r="S643" s="126">
        <v>0.9608</v>
      </c>
      <c r="T643" s="127">
        <v>74462.0</v>
      </c>
      <c r="U643" s="128">
        <f t="shared" si="2"/>
        <v>0</v>
      </c>
      <c r="V643" s="79" t="s">
        <v>65</v>
      </c>
      <c r="W643" s="79" t="s">
        <v>64</v>
      </c>
      <c r="X643" s="79" t="s">
        <v>66</v>
      </c>
      <c r="Y643" s="130">
        <v>0.8</v>
      </c>
      <c r="Z643" s="111">
        <v>11.0</v>
      </c>
      <c r="AA643" s="133"/>
      <c r="AB643" s="133"/>
      <c r="AC643" s="133"/>
      <c r="AD643" s="133"/>
      <c r="AE643" s="133"/>
      <c r="AF643" s="111"/>
      <c r="AG643" s="147"/>
      <c r="AH643" s="73"/>
      <c r="AI643" s="135"/>
      <c r="AJ643" s="136"/>
      <c r="AK643" s="76"/>
      <c r="AL643" s="137"/>
      <c r="AM643" s="139" t="s">
        <v>71</v>
      </c>
      <c r="AN643" s="139">
        <v>338.0</v>
      </c>
      <c r="AO643" s="140">
        <v>118.87</v>
      </c>
      <c r="AP643" s="142">
        <v>44051.0</v>
      </c>
      <c r="AQ643" s="142">
        <v>205.0</v>
      </c>
      <c r="AR643" s="143"/>
      <c r="AS643" s="144">
        <v>0.9583302152308222</v>
      </c>
      <c r="AT643" s="144">
        <v>0.0024697847691778074</v>
      </c>
      <c r="AU643" s="146" t="s">
        <v>2291</v>
      </c>
      <c r="AV643" s="146" t="s">
        <v>2291</v>
      </c>
      <c r="AW643" s="148" t="s">
        <v>2291</v>
      </c>
      <c r="AX643" s="151"/>
      <c r="AY643" s="105"/>
      <c r="AZ643" s="186"/>
      <c r="BA643" s="186"/>
      <c r="BB643" s="222"/>
      <c r="BC643" s="45"/>
      <c r="BD643" s="45"/>
      <c r="BE643" s="155"/>
      <c r="BF643" s="45"/>
    </row>
    <row r="644" ht="16.5" customHeight="1">
      <c r="A644" s="111">
        <v>641.0</v>
      </c>
      <c r="B644" s="112" t="s">
        <v>1741</v>
      </c>
      <c r="C644" s="115" t="s">
        <v>60</v>
      </c>
      <c r="D644" s="117">
        <v>42165.0</v>
      </c>
      <c r="E644" s="117">
        <v>42510.0</v>
      </c>
      <c r="F644" s="79" t="s">
        <v>86</v>
      </c>
      <c r="G644" s="118">
        <v>45490.0</v>
      </c>
      <c r="H644" s="114">
        <v>131.5</v>
      </c>
      <c r="I644" s="120">
        <v>407.0</v>
      </c>
      <c r="J644" s="111" t="s">
        <v>61</v>
      </c>
      <c r="K644" s="121">
        <v>412.15</v>
      </c>
      <c r="L644" s="120" t="s">
        <v>63</v>
      </c>
      <c r="M644" s="120"/>
      <c r="N644" s="120"/>
      <c r="O644" s="124">
        <v>45490.0</v>
      </c>
      <c r="P644" s="124">
        <v>346.0</v>
      </c>
      <c r="Q644" s="111">
        <v>206.0</v>
      </c>
      <c r="R644" s="125">
        <v>430.0</v>
      </c>
      <c r="S644" s="126">
        <v>0.9585</v>
      </c>
      <c r="T644" s="127">
        <v>74283.75</v>
      </c>
      <c r="U644" s="128">
        <f t="shared" si="2"/>
        <v>0</v>
      </c>
      <c r="V644" s="79" t="s">
        <v>65</v>
      </c>
      <c r="W644" s="79" t="s">
        <v>64</v>
      </c>
      <c r="X644" s="79" t="s">
        <v>66</v>
      </c>
      <c r="Y644" s="130">
        <v>0.8</v>
      </c>
      <c r="Z644" s="111">
        <v>11.0</v>
      </c>
      <c r="AA644" s="133"/>
      <c r="AB644" s="133"/>
      <c r="AC644" s="133"/>
      <c r="AD644" s="133"/>
      <c r="AE644" s="133"/>
      <c r="AF644" s="111"/>
      <c r="AG644" s="147"/>
      <c r="AH644" s="73"/>
      <c r="AI644" s="135"/>
      <c r="AJ644" s="136"/>
      <c r="AK644" s="76"/>
      <c r="AL644" s="137"/>
      <c r="AM644" s="139" t="s">
        <v>71</v>
      </c>
      <c r="AN644" s="139">
        <v>346.0</v>
      </c>
      <c r="AO644" s="140">
        <v>123.49</v>
      </c>
      <c r="AP644" s="142">
        <v>45490.0</v>
      </c>
      <c r="AQ644" s="142">
        <v>206.0</v>
      </c>
      <c r="AR644" s="143"/>
      <c r="AS644" s="144">
        <v>0.9577785940400743</v>
      </c>
      <c r="AT644" s="144">
        <v>7.214059599257583E-4</v>
      </c>
      <c r="AU644" s="146" t="s">
        <v>2292</v>
      </c>
      <c r="AV644" s="146" t="s">
        <v>2292</v>
      </c>
      <c r="AW644" s="148" t="s">
        <v>2292</v>
      </c>
      <c r="AX644" s="151"/>
      <c r="AY644" s="105"/>
      <c r="AZ644" s="186"/>
      <c r="BA644" s="186"/>
      <c r="BB644" s="222"/>
      <c r="BC644" s="45"/>
      <c r="BD644" s="45"/>
      <c r="BE644" s="155"/>
      <c r="BF644" s="45"/>
    </row>
    <row r="645" ht="16.5" customHeight="1">
      <c r="A645" s="111">
        <v>642.0</v>
      </c>
      <c r="B645" s="112" t="s">
        <v>1741</v>
      </c>
      <c r="C645" s="115" t="s">
        <v>60</v>
      </c>
      <c r="D645" s="117">
        <v>42165.0</v>
      </c>
      <c r="E645" s="117">
        <v>42542.0</v>
      </c>
      <c r="F645" s="79" t="s">
        <v>86</v>
      </c>
      <c r="G645" s="118">
        <v>49489.0</v>
      </c>
      <c r="H645" s="114">
        <v>130.9</v>
      </c>
      <c r="I645" s="120">
        <v>408.0</v>
      </c>
      <c r="J645" s="111" t="s">
        <v>61</v>
      </c>
      <c r="K645" s="121">
        <v>413.16</v>
      </c>
      <c r="L645" s="120" t="s">
        <v>63</v>
      </c>
      <c r="M645" s="120"/>
      <c r="N645" s="120"/>
      <c r="O645" s="124">
        <v>49489.0</v>
      </c>
      <c r="P645" s="124">
        <v>378.0</v>
      </c>
      <c r="Q645" s="111">
        <v>206.0</v>
      </c>
      <c r="R645" s="125">
        <v>430.0</v>
      </c>
      <c r="S645" s="126">
        <v>0.9608</v>
      </c>
      <c r="T645" s="127">
        <v>74462.0</v>
      </c>
      <c r="U645" s="128">
        <f t="shared" si="2"/>
        <v>0</v>
      </c>
      <c r="V645" s="79" t="s">
        <v>65</v>
      </c>
      <c r="W645" s="79" t="s">
        <v>64</v>
      </c>
      <c r="X645" s="79" t="s">
        <v>66</v>
      </c>
      <c r="Y645" s="130">
        <v>0.8</v>
      </c>
      <c r="Z645" s="111">
        <v>11.0</v>
      </c>
      <c r="AA645" s="133"/>
      <c r="AB645" s="133"/>
      <c r="AC645" s="133"/>
      <c r="AD645" s="133"/>
      <c r="AE645" s="133"/>
      <c r="AF645" s="111"/>
      <c r="AG645" s="147"/>
      <c r="AH645" s="73"/>
      <c r="AI645" s="135"/>
      <c r="AJ645" s="136"/>
      <c r="AK645" s="76"/>
      <c r="AL645" s="137"/>
      <c r="AM645" s="139" t="s">
        <v>71</v>
      </c>
      <c r="AN645" s="139">
        <v>378.0</v>
      </c>
      <c r="AO645" s="140">
        <v>134.19</v>
      </c>
      <c r="AP645" s="142">
        <v>49489.0</v>
      </c>
      <c r="AQ645" s="142">
        <v>206.0</v>
      </c>
      <c r="AR645" s="143"/>
      <c r="AS645" s="144">
        <v>0.9563538795885307</v>
      </c>
      <c r="AT645" s="144">
        <v>0.004446120411469301</v>
      </c>
      <c r="AU645" s="146" t="s">
        <v>2293</v>
      </c>
      <c r="AV645" s="146" t="s">
        <v>2293</v>
      </c>
      <c r="AW645" s="148" t="s">
        <v>2293</v>
      </c>
      <c r="AX645" s="151"/>
      <c r="AY645" s="105"/>
      <c r="AZ645" s="186"/>
      <c r="BA645" s="186"/>
      <c r="BB645" s="222"/>
      <c r="BC645" s="45"/>
      <c r="BD645" s="45"/>
      <c r="BE645" s="155"/>
      <c r="BF645" s="45"/>
    </row>
    <row r="646" ht="16.5" customHeight="1">
      <c r="A646" s="111">
        <v>643.0</v>
      </c>
      <c r="B646" s="112" t="s">
        <v>1741</v>
      </c>
      <c r="C646" s="115" t="s">
        <v>60</v>
      </c>
      <c r="D646" s="117">
        <v>42165.0</v>
      </c>
      <c r="E646" s="117">
        <v>42549.0</v>
      </c>
      <c r="F646" s="79" t="s">
        <v>86</v>
      </c>
      <c r="G646" s="118">
        <v>50600.0</v>
      </c>
      <c r="H646" s="114">
        <v>131.4</v>
      </c>
      <c r="I646" s="120">
        <v>409.0</v>
      </c>
      <c r="J646" s="111" t="s">
        <v>61</v>
      </c>
      <c r="K646" s="121">
        <v>414.18</v>
      </c>
      <c r="L646" s="120" t="s">
        <v>63</v>
      </c>
      <c r="M646" s="120"/>
      <c r="N646" s="120"/>
      <c r="O646" s="124">
        <v>50600.0</v>
      </c>
      <c r="P646" s="124">
        <v>385.0</v>
      </c>
      <c r="Q646" s="111">
        <v>206.0</v>
      </c>
      <c r="R646" s="125">
        <v>430.0</v>
      </c>
      <c r="S646" s="126">
        <v>0.9632</v>
      </c>
      <c r="T646" s="127">
        <v>74648.0</v>
      </c>
      <c r="U646" s="128">
        <f t="shared" si="2"/>
        <v>0</v>
      </c>
      <c r="V646" s="79" t="s">
        <v>65</v>
      </c>
      <c r="W646" s="79" t="s">
        <v>64</v>
      </c>
      <c r="X646" s="79" t="s">
        <v>66</v>
      </c>
      <c r="Y646" s="130">
        <v>0.8</v>
      </c>
      <c r="Z646" s="111">
        <v>11.0</v>
      </c>
      <c r="AA646" s="133"/>
      <c r="AB646" s="133"/>
      <c r="AC646" s="133"/>
      <c r="AD646" s="133"/>
      <c r="AE646" s="133"/>
      <c r="AF646" s="111"/>
      <c r="AG646" s="147"/>
      <c r="AH646" s="73"/>
      <c r="AI646" s="135"/>
      <c r="AJ646" s="136"/>
      <c r="AK646" s="76"/>
      <c r="AL646" s="137"/>
      <c r="AM646" s="139" t="s">
        <v>71</v>
      </c>
      <c r="AN646" s="139">
        <v>385.0</v>
      </c>
      <c r="AO646" s="140">
        <v>137.04</v>
      </c>
      <c r="AP646" s="142">
        <v>50600.0</v>
      </c>
      <c r="AQ646" s="142">
        <v>206.0</v>
      </c>
      <c r="AR646" s="143"/>
      <c r="AS646" s="144">
        <v>0.9559835577501467</v>
      </c>
      <c r="AT646" s="144">
        <v>0.007216442249853294</v>
      </c>
      <c r="AU646" s="146" t="s">
        <v>2294</v>
      </c>
      <c r="AV646" s="146" t="s">
        <v>2294</v>
      </c>
      <c r="AW646" s="148" t="s">
        <v>2294</v>
      </c>
      <c r="AX646" s="151"/>
      <c r="AY646" s="105"/>
      <c r="AZ646" s="186"/>
      <c r="BA646" s="186"/>
      <c r="BB646" s="222"/>
      <c r="BC646" s="45"/>
      <c r="BD646" s="45"/>
      <c r="BE646" s="155"/>
      <c r="BF646" s="45"/>
    </row>
    <row r="647" ht="16.5" customHeight="1">
      <c r="A647" s="111">
        <v>644.0</v>
      </c>
      <c r="B647" s="112" t="s">
        <v>1741</v>
      </c>
      <c r="C647" s="115" t="s">
        <v>60</v>
      </c>
      <c r="D647" s="117">
        <v>42165.0</v>
      </c>
      <c r="E647" s="117">
        <v>42582.0</v>
      </c>
      <c r="F647" s="79" t="s">
        <v>86</v>
      </c>
      <c r="G647" s="118">
        <v>53720.0</v>
      </c>
      <c r="H647" s="114">
        <v>128.5</v>
      </c>
      <c r="I647" s="120">
        <v>411.0</v>
      </c>
      <c r="J647" s="111" t="s">
        <v>61</v>
      </c>
      <c r="K647" s="121">
        <v>416.2</v>
      </c>
      <c r="L647" s="120" t="s">
        <v>63</v>
      </c>
      <c r="M647" s="120"/>
      <c r="N647" s="120"/>
      <c r="O647" s="124">
        <v>53720.0</v>
      </c>
      <c r="P647" s="124">
        <v>418.0</v>
      </c>
      <c r="Q647" s="111">
        <v>206.0</v>
      </c>
      <c r="R647" s="125">
        <v>430.0</v>
      </c>
      <c r="S647" s="126">
        <v>0.9679</v>
      </c>
      <c r="T647" s="127">
        <v>75012.25</v>
      </c>
      <c r="U647" s="128">
        <f t="shared" si="2"/>
        <v>0</v>
      </c>
      <c r="V647" s="79" t="s">
        <v>65</v>
      </c>
      <c r="W647" s="79" t="s">
        <v>64</v>
      </c>
      <c r="X647" s="79" t="s">
        <v>66</v>
      </c>
      <c r="Y647" s="130">
        <v>0.8</v>
      </c>
      <c r="Z647" s="111">
        <v>11.0</v>
      </c>
      <c r="AA647" s="133"/>
      <c r="AB647" s="133"/>
      <c r="AC647" s="133"/>
      <c r="AD647" s="133"/>
      <c r="AE647" s="133"/>
      <c r="AF647" s="111"/>
      <c r="AG647" s="147"/>
      <c r="AH647" s="73"/>
      <c r="AI647" s="135"/>
      <c r="AJ647" s="136"/>
      <c r="AK647" s="76"/>
      <c r="AL647" s="137"/>
      <c r="AM647" s="139" t="s">
        <v>71</v>
      </c>
      <c r="AN647" s="139">
        <v>418.0</v>
      </c>
      <c r="AO647" s="140">
        <v>145.14</v>
      </c>
      <c r="AP647" s="142">
        <v>53720.0</v>
      </c>
      <c r="AQ647" s="142">
        <v>206.0</v>
      </c>
      <c r="AR647" s="143"/>
      <c r="AS647" s="144">
        <v>0.9549956446434982</v>
      </c>
      <c r="AT647" s="144">
        <v>0.012904355356501807</v>
      </c>
      <c r="AU647" s="146" t="s">
        <v>2295</v>
      </c>
      <c r="AV647" s="146" t="s">
        <v>2295</v>
      </c>
      <c r="AW647" s="148" t="s">
        <v>2295</v>
      </c>
      <c r="AX647" s="151"/>
      <c r="AY647" s="105"/>
      <c r="AZ647" s="186"/>
      <c r="BA647" s="186"/>
      <c r="BB647" s="222"/>
      <c r="BC647" s="45"/>
      <c r="BD647" s="45"/>
      <c r="BE647" s="155"/>
      <c r="BF647" s="45"/>
    </row>
    <row r="648" ht="16.5" customHeight="1">
      <c r="A648" s="111">
        <v>645.0</v>
      </c>
      <c r="B648" s="112" t="s">
        <v>1741</v>
      </c>
      <c r="C648" s="115" t="s">
        <v>60</v>
      </c>
      <c r="D648" s="117">
        <v>42165.0</v>
      </c>
      <c r="E648" s="117">
        <v>42596.0</v>
      </c>
      <c r="F648" s="79" t="s">
        <v>86</v>
      </c>
      <c r="G648" s="118">
        <v>56320.0</v>
      </c>
      <c r="H648" s="114">
        <v>130.4</v>
      </c>
      <c r="I648" s="120">
        <v>411.0</v>
      </c>
      <c r="J648" s="111" t="s">
        <v>61</v>
      </c>
      <c r="K648" s="121">
        <v>416.2</v>
      </c>
      <c r="L648" s="120" t="s">
        <v>63</v>
      </c>
      <c r="M648" s="120"/>
      <c r="N648" s="120"/>
      <c r="O648" s="124">
        <v>56320.0</v>
      </c>
      <c r="P648" s="124">
        <v>432.0</v>
      </c>
      <c r="Q648" s="111">
        <v>206.0</v>
      </c>
      <c r="R648" s="125">
        <v>430.0</v>
      </c>
      <c r="S648" s="126">
        <v>0.9679</v>
      </c>
      <c r="T648" s="127">
        <v>75012.25</v>
      </c>
      <c r="U648" s="128">
        <f t="shared" si="2"/>
        <v>0</v>
      </c>
      <c r="V648" s="79" t="s">
        <v>65</v>
      </c>
      <c r="W648" s="79" t="s">
        <v>64</v>
      </c>
      <c r="X648" s="79" t="s">
        <v>66</v>
      </c>
      <c r="Y648" s="130">
        <v>0.8</v>
      </c>
      <c r="Z648" s="111">
        <v>11.0</v>
      </c>
      <c r="AA648" s="133"/>
      <c r="AB648" s="133"/>
      <c r="AC648" s="133"/>
      <c r="AD648" s="133"/>
      <c r="AE648" s="133"/>
      <c r="AF648" s="111"/>
      <c r="AG648" s="147"/>
      <c r="AH648" s="73"/>
      <c r="AI648" s="135"/>
      <c r="AJ648" s="136"/>
      <c r="AK648" s="76"/>
      <c r="AL648" s="137"/>
      <c r="AM648" s="139" t="s">
        <v>71</v>
      </c>
      <c r="AN648" s="139">
        <v>432.0</v>
      </c>
      <c r="AO648" s="140">
        <v>152.16</v>
      </c>
      <c r="AP648" s="142">
        <v>56320.0</v>
      </c>
      <c r="AQ648" s="142">
        <v>206.0</v>
      </c>
      <c r="AR648" s="143"/>
      <c r="AS648" s="144">
        <v>0.9542250899003385</v>
      </c>
      <c r="AT648" s="144">
        <v>0.013674910099661486</v>
      </c>
      <c r="AU648" s="146" t="s">
        <v>2296</v>
      </c>
      <c r="AV648" s="146" t="s">
        <v>2296</v>
      </c>
      <c r="AW648" s="148" t="s">
        <v>2296</v>
      </c>
      <c r="AX648" s="151"/>
      <c r="AY648" s="105"/>
      <c r="AZ648" s="186"/>
      <c r="BA648" s="186"/>
      <c r="BB648" s="222"/>
      <c r="BC648" s="45"/>
      <c r="BD648" s="45"/>
      <c r="BE648" s="155"/>
      <c r="BF648" s="45"/>
    </row>
    <row r="649" ht="16.5" customHeight="1">
      <c r="A649" s="111">
        <v>646.0</v>
      </c>
      <c r="B649" s="112" t="s">
        <v>1741</v>
      </c>
      <c r="C649" s="115" t="s">
        <v>60</v>
      </c>
      <c r="D649" s="117">
        <v>42165.0</v>
      </c>
      <c r="E649" s="117">
        <v>42625.0</v>
      </c>
      <c r="F649" s="79" t="s">
        <v>86</v>
      </c>
      <c r="G649" s="118">
        <v>61226.0</v>
      </c>
      <c r="H649" s="114">
        <v>132.8</v>
      </c>
      <c r="I649" s="120">
        <v>413.0</v>
      </c>
      <c r="J649" s="111" t="s">
        <v>61</v>
      </c>
      <c r="K649" s="121">
        <v>418.23</v>
      </c>
      <c r="L649" s="120" t="s">
        <v>63</v>
      </c>
      <c r="M649" s="120"/>
      <c r="N649" s="120"/>
      <c r="O649" s="124">
        <v>61226.0</v>
      </c>
      <c r="P649" s="124">
        <v>461.0</v>
      </c>
      <c r="Q649" s="111">
        <v>206.0</v>
      </c>
      <c r="R649" s="125">
        <v>430.0</v>
      </c>
      <c r="S649" s="126">
        <v>0.9726</v>
      </c>
      <c r="T649" s="127">
        <v>75376.5</v>
      </c>
      <c r="U649" s="128">
        <f t="shared" si="2"/>
        <v>0</v>
      </c>
      <c r="V649" s="79" t="s">
        <v>65</v>
      </c>
      <c r="W649" s="79" t="s">
        <v>64</v>
      </c>
      <c r="X649" s="79" t="s">
        <v>66</v>
      </c>
      <c r="Y649" s="130">
        <v>0.8</v>
      </c>
      <c r="Z649" s="111">
        <v>11.0</v>
      </c>
      <c r="AA649" s="133"/>
      <c r="AB649" s="133"/>
      <c r="AC649" s="133"/>
      <c r="AD649" s="133"/>
      <c r="AE649" s="133"/>
      <c r="AF649" s="111"/>
      <c r="AG649" s="147"/>
      <c r="AH649" s="73"/>
      <c r="AI649" s="135"/>
      <c r="AJ649" s="136"/>
      <c r="AK649" s="76"/>
      <c r="AL649" s="137"/>
      <c r="AM649" s="139" t="s">
        <v>71</v>
      </c>
      <c r="AN649" s="139">
        <v>461.0</v>
      </c>
      <c r="AO649" s="140">
        <v>165.02</v>
      </c>
      <c r="AP649" s="142">
        <v>61226.0</v>
      </c>
      <c r="AQ649" s="142">
        <v>206.0</v>
      </c>
      <c r="AR649" s="143"/>
      <c r="AS649" s="144">
        <v>0.9528816648023019</v>
      </c>
      <c r="AT649" s="144">
        <v>0.019718335197698167</v>
      </c>
      <c r="AU649" s="146" t="s">
        <v>2297</v>
      </c>
      <c r="AV649" s="146" t="s">
        <v>2297</v>
      </c>
      <c r="AW649" s="148" t="s">
        <v>2297</v>
      </c>
      <c r="AX649" s="151"/>
      <c r="AY649" s="105"/>
      <c r="AZ649" s="186"/>
      <c r="BA649" s="186"/>
      <c r="BB649" s="222"/>
      <c r="BC649" s="45"/>
      <c r="BD649" s="45"/>
      <c r="BE649" s="155"/>
      <c r="BF649" s="45"/>
    </row>
    <row r="650" ht="16.5" customHeight="1">
      <c r="A650" s="111">
        <v>647.0</v>
      </c>
      <c r="B650" s="112" t="s">
        <v>1741</v>
      </c>
      <c r="C650" s="115" t="s">
        <v>60</v>
      </c>
      <c r="D650" s="117">
        <v>42165.0</v>
      </c>
      <c r="E650" s="117">
        <v>42634.0</v>
      </c>
      <c r="F650" s="79" t="s">
        <v>86</v>
      </c>
      <c r="G650" s="118">
        <v>63010.0</v>
      </c>
      <c r="H650" s="114">
        <v>134.1</v>
      </c>
      <c r="I650" s="120">
        <v>414.0</v>
      </c>
      <c r="J650" s="111" t="s">
        <v>61</v>
      </c>
      <c r="K650" s="121">
        <v>419.24</v>
      </c>
      <c r="L650" s="120" t="s">
        <v>63</v>
      </c>
      <c r="M650" s="120"/>
      <c r="N650" s="120"/>
      <c r="O650" s="124">
        <v>63010.0</v>
      </c>
      <c r="P650" s="124">
        <v>470.0</v>
      </c>
      <c r="Q650" s="111">
        <v>206.0</v>
      </c>
      <c r="R650" s="125">
        <v>430.0</v>
      </c>
      <c r="S650" s="126">
        <v>0.975</v>
      </c>
      <c r="T650" s="127">
        <v>75562.5</v>
      </c>
      <c r="U650" s="128">
        <f t="shared" si="2"/>
        <v>0</v>
      </c>
      <c r="V650" s="79" t="s">
        <v>65</v>
      </c>
      <c r="W650" s="79" t="s">
        <v>64</v>
      </c>
      <c r="X650" s="79" t="s">
        <v>66</v>
      </c>
      <c r="Y650" s="130">
        <v>0.8</v>
      </c>
      <c r="Z650" s="111">
        <v>11.0</v>
      </c>
      <c r="AA650" s="133"/>
      <c r="AB650" s="133"/>
      <c r="AC650" s="133"/>
      <c r="AD650" s="133"/>
      <c r="AE650" s="133"/>
      <c r="AF650" s="111"/>
      <c r="AG650" s="147"/>
      <c r="AH650" s="73"/>
      <c r="AI650" s="135"/>
      <c r="AJ650" s="136"/>
      <c r="AK650" s="76"/>
      <c r="AL650" s="137"/>
      <c r="AM650" s="139" t="s">
        <v>71</v>
      </c>
      <c r="AN650" s="139">
        <v>470.0</v>
      </c>
      <c r="AO650" s="140">
        <v>169.62</v>
      </c>
      <c r="AP650" s="142">
        <v>63010.0</v>
      </c>
      <c r="AQ650" s="142">
        <v>206.0</v>
      </c>
      <c r="AR650" s="143"/>
      <c r="AS650" s="144">
        <v>0.9524240943638936</v>
      </c>
      <c r="AT650" s="144">
        <v>0.02257590563610634</v>
      </c>
      <c r="AU650" s="146" t="s">
        <v>2298</v>
      </c>
      <c r="AV650" s="146" t="s">
        <v>2298</v>
      </c>
      <c r="AW650" s="148" t="s">
        <v>2298</v>
      </c>
      <c r="AX650" s="151"/>
      <c r="AY650" s="105"/>
      <c r="AZ650" s="186"/>
      <c r="BA650" s="186"/>
      <c r="BB650" s="222"/>
      <c r="BC650" s="45"/>
      <c r="BD650" s="45"/>
      <c r="BE650" s="155"/>
      <c r="BF650" s="45"/>
    </row>
    <row r="651" ht="16.5" customHeight="1">
      <c r="A651" s="111">
        <v>648.0</v>
      </c>
      <c r="B651" s="112" t="s">
        <v>1741</v>
      </c>
      <c r="C651" s="115" t="s">
        <v>60</v>
      </c>
      <c r="D651" s="117">
        <v>42165.0</v>
      </c>
      <c r="E651" s="117">
        <v>42653.0</v>
      </c>
      <c r="F651" s="79" t="s">
        <v>86</v>
      </c>
      <c r="G651" s="118">
        <v>64468.0</v>
      </c>
      <c r="H651" s="114">
        <v>131.8</v>
      </c>
      <c r="I651" s="120">
        <v>415.0</v>
      </c>
      <c r="J651" s="111" t="s">
        <v>61</v>
      </c>
      <c r="K651" s="121">
        <v>420.25</v>
      </c>
      <c r="L651" s="120" t="s">
        <v>63</v>
      </c>
      <c r="M651" s="120"/>
      <c r="N651" s="120"/>
      <c r="O651" s="124">
        <v>64468.0</v>
      </c>
      <c r="P651" s="124">
        <v>489.0</v>
      </c>
      <c r="Q651" s="111">
        <v>206.0</v>
      </c>
      <c r="R651" s="125">
        <v>430.0</v>
      </c>
      <c r="S651" s="126">
        <v>0.9773</v>
      </c>
      <c r="T651" s="127">
        <v>75740.75</v>
      </c>
      <c r="U651" s="128">
        <f t="shared" si="2"/>
        <v>0</v>
      </c>
      <c r="V651" s="79" t="s">
        <v>65</v>
      </c>
      <c r="W651" s="79" t="s">
        <v>64</v>
      </c>
      <c r="X651" s="79" t="s">
        <v>66</v>
      </c>
      <c r="Y651" s="130">
        <v>0.8</v>
      </c>
      <c r="Z651" s="111">
        <v>11.0</v>
      </c>
      <c r="AA651" s="133"/>
      <c r="AB651" s="133"/>
      <c r="AC651" s="133"/>
      <c r="AD651" s="133"/>
      <c r="AE651" s="133"/>
      <c r="AF651" s="111"/>
      <c r="AG651" s="147"/>
      <c r="AH651" s="73"/>
      <c r="AI651" s="135"/>
      <c r="AJ651" s="136"/>
      <c r="AK651" s="76"/>
      <c r="AL651" s="137"/>
      <c r="AM651" s="139" t="s">
        <v>71</v>
      </c>
      <c r="AN651" s="139">
        <v>489.0</v>
      </c>
      <c r="AO651" s="140">
        <v>173.35</v>
      </c>
      <c r="AP651" s="142">
        <v>64468.0</v>
      </c>
      <c r="AQ651" s="142">
        <v>206.0</v>
      </c>
      <c r="AR651" s="143"/>
      <c r="AS651" s="144">
        <v>0.9520609023587008</v>
      </c>
      <c r="AT651" s="144">
        <v>0.02523909764129917</v>
      </c>
      <c r="AU651" s="146" t="s">
        <v>2299</v>
      </c>
      <c r="AV651" s="146" t="s">
        <v>2299</v>
      </c>
      <c r="AW651" s="148" t="s">
        <v>2299</v>
      </c>
      <c r="AX651" s="151"/>
      <c r="AY651" s="105"/>
      <c r="AZ651" s="186"/>
      <c r="BA651" s="186"/>
      <c r="BB651" s="222"/>
      <c r="BC651" s="45"/>
      <c r="BD651" s="45"/>
      <c r="BE651" s="155"/>
      <c r="BF651" s="45"/>
    </row>
    <row r="652" ht="16.5" customHeight="1">
      <c r="A652" s="111">
        <v>649.0</v>
      </c>
      <c r="B652" s="112" t="s">
        <v>1741</v>
      </c>
      <c r="C652" s="115" t="s">
        <v>60</v>
      </c>
      <c r="D652" s="117">
        <v>42165.0</v>
      </c>
      <c r="E652" s="117">
        <v>42654.0</v>
      </c>
      <c r="F652" s="79" t="s">
        <v>86</v>
      </c>
      <c r="G652" s="118">
        <v>65086.0</v>
      </c>
      <c r="H652" s="114">
        <v>132.8</v>
      </c>
      <c r="I652" s="120">
        <v>416.0</v>
      </c>
      <c r="J652" s="111" t="s">
        <v>61</v>
      </c>
      <c r="K652" s="121">
        <v>421.27</v>
      </c>
      <c r="L652" s="120" t="s">
        <v>63</v>
      </c>
      <c r="M652" s="120"/>
      <c r="N652" s="120"/>
      <c r="O652" s="124">
        <v>65086.0</v>
      </c>
      <c r="P652" s="124">
        <v>490.0</v>
      </c>
      <c r="Q652" s="111">
        <v>206.0</v>
      </c>
      <c r="R652" s="125">
        <v>430.0</v>
      </c>
      <c r="S652" s="126">
        <v>0.9797</v>
      </c>
      <c r="T652" s="127">
        <v>75926.75</v>
      </c>
      <c r="U652" s="128">
        <f t="shared" si="2"/>
        <v>0</v>
      </c>
      <c r="V652" s="79" t="s">
        <v>65</v>
      </c>
      <c r="W652" s="79" t="s">
        <v>64</v>
      </c>
      <c r="X652" s="79" t="s">
        <v>66</v>
      </c>
      <c r="Y652" s="130">
        <v>0.8</v>
      </c>
      <c r="Z652" s="111">
        <v>11.0</v>
      </c>
      <c r="AA652" s="133"/>
      <c r="AB652" s="133"/>
      <c r="AC652" s="133"/>
      <c r="AD652" s="133"/>
      <c r="AE652" s="133"/>
      <c r="AF652" s="111"/>
      <c r="AG652" s="147"/>
      <c r="AH652" s="73"/>
      <c r="AI652" s="135"/>
      <c r="AJ652" s="136"/>
      <c r="AK652" s="76"/>
      <c r="AL652" s="137"/>
      <c r="AM652" s="139" t="s">
        <v>71</v>
      </c>
      <c r="AN652" s="139">
        <v>490.0</v>
      </c>
      <c r="AO652" s="140">
        <v>174.8</v>
      </c>
      <c r="AP652" s="142">
        <v>65086.0</v>
      </c>
      <c r="AQ652" s="142">
        <v>206.0</v>
      </c>
      <c r="AR652" s="143"/>
      <c r="AS652" s="144">
        <v>0.9519097055833817</v>
      </c>
      <c r="AT652" s="144">
        <v>0.02779029441661829</v>
      </c>
      <c r="AU652" s="146" t="s">
        <v>2300</v>
      </c>
      <c r="AV652" s="146" t="s">
        <v>2300</v>
      </c>
      <c r="AW652" s="148" t="s">
        <v>2300</v>
      </c>
      <c r="AX652" s="151"/>
      <c r="AY652" s="105"/>
      <c r="AZ652" s="186"/>
      <c r="BA652" s="186"/>
      <c r="BB652" s="222"/>
      <c r="BC652" s="45"/>
      <c r="BD652" s="45"/>
      <c r="BE652" s="155"/>
      <c r="BF652" s="45"/>
    </row>
    <row r="653" ht="16.5" customHeight="1">
      <c r="A653" s="111">
        <v>650.0</v>
      </c>
      <c r="B653" s="112" t="s">
        <v>1741</v>
      </c>
      <c r="C653" s="115" t="s">
        <v>60</v>
      </c>
      <c r="D653" s="117">
        <v>42165.0</v>
      </c>
      <c r="E653" s="117">
        <v>42655.0</v>
      </c>
      <c r="F653" s="79" t="s">
        <v>86</v>
      </c>
      <c r="G653" s="118">
        <v>65739.0</v>
      </c>
      <c r="H653" s="114">
        <v>133.9</v>
      </c>
      <c r="I653" s="120">
        <v>414.0</v>
      </c>
      <c r="J653" s="111" t="s">
        <v>61</v>
      </c>
      <c r="K653" s="121">
        <v>419.24</v>
      </c>
      <c r="L653" s="120" t="s">
        <v>63</v>
      </c>
      <c r="M653" s="120"/>
      <c r="N653" s="120"/>
      <c r="O653" s="124">
        <v>65739.0</v>
      </c>
      <c r="P653" s="124">
        <v>491.0</v>
      </c>
      <c r="Q653" s="111">
        <v>206.0</v>
      </c>
      <c r="R653" s="125">
        <v>430.0</v>
      </c>
      <c r="S653" s="126">
        <v>0.975</v>
      </c>
      <c r="T653" s="127">
        <v>75562.5</v>
      </c>
      <c r="U653" s="128">
        <f t="shared" si="2"/>
        <v>0</v>
      </c>
      <c r="V653" s="79" t="s">
        <v>65</v>
      </c>
      <c r="W653" s="79" t="s">
        <v>64</v>
      </c>
      <c r="X653" s="79" t="s">
        <v>66</v>
      </c>
      <c r="Y653" s="130">
        <v>0.8</v>
      </c>
      <c r="Z653" s="111">
        <v>11.0</v>
      </c>
      <c r="AA653" s="133"/>
      <c r="AB653" s="133"/>
      <c r="AC653" s="133"/>
      <c r="AD653" s="133"/>
      <c r="AE653" s="133"/>
      <c r="AF653" s="111"/>
      <c r="AG653" s="147"/>
      <c r="AH653" s="73"/>
      <c r="AI653" s="135"/>
      <c r="AJ653" s="136"/>
      <c r="AK653" s="76"/>
      <c r="AL653" s="137"/>
      <c r="AM653" s="139" t="s">
        <v>71</v>
      </c>
      <c r="AN653" s="139">
        <v>491.0</v>
      </c>
      <c r="AO653" s="140">
        <v>176.97</v>
      </c>
      <c r="AP653" s="142">
        <v>65739.0</v>
      </c>
      <c r="AQ653" s="142">
        <v>206.0</v>
      </c>
      <c r="AR653" s="143"/>
      <c r="AS653" s="144">
        <v>0.9517516491908691</v>
      </c>
      <c r="AT653" s="144">
        <v>0.023248350809130902</v>
      </c>
      <c r="AU653" s="146" t="s">
        <v>2301</v>
      </c>
      <c r="AV653" s="146" t="s">
        <v>2301</v>
      </c>
      <c r="AW653" s="148" t="s">
        <v>2301</v>
      </c>
      <c r="AX653" s="151"/>
      <c r="AY653" s="105"/>
      <c r="AZ653" s="186"/>
      <c r="BA653" s="186"/>
      <c r="BB653" s="222"/>
      <c r="BC653" s="45"/>
      <c r="BD653" s="45"/>
      <c r="BE653" s="155"/>
      <c r="BF653" s="45"/>
    </row>
    <row r="654" ht="16.5" customHeight="1">
      <c r="A654" s="111">
        <v>651.0</v>
      </c>
      <c r="B654" s="112" t="s">
        <v>1741</v>
      </c>
      <c r="C654" s="115" t="s">
        <v>60</v>
      </c>
      <c r="D654" s="117">
        <v>42165.0</v>
      </c>
      <c r="E654" s="117">
        <v>42661.0</v>
      </c>
      <c r="F654" s="79" t="s">
        <v>86</v>
      </c>
      <c r="G654" s="118">
        <v>66604.0</v>
      </c>
      <c r="H654" s="114">
        <v>134.0</v>
      </c>
      <c r="I654" s="120">
        <v>417.0</v>
      </c>
      <c r="J654" s="111" t="s">
        <v>61</v>
      </c>
      <c r="K654" s="121">
        <v>422.28</v>
      </c>
      <c r="L654" s="120" t="s">
        <v>63</v>
      </c>
      <c r="M654" s="120"/>
      <c r="N654" s="120"/>
      <c r="O654" s="124">
        <v>66604.0</v>
      </c>
      <c r="P654" s="124">
        <v>497.0</v>
      </c>
      <c r="Q654" s="111">
        <v>206.0</v>
      </c>
      <c r="R654" s="125">
        <v>430.0</v>
      </c>
      <c r="S654" s="126">
        <v>0.982</v>
      </c>
      <c r="T654" s="127">
        <v>76105.0</v>
      </c>
      <c r="U654" s="128">
        <f t="shared" si="2"/>
        <v>0</v>
      </c>
      <c r="V654" s="79" t="s">
        <v>65</v>
      </c>
      <c r="W654" s="79" t="s">
        <v>64</v>
      </c>
      <c r="X654" s="79" t="s">
        <v>66</v>
      </c>
      <c r="Y654" s="130">
        <v>0.8</v>
      </c>
      <c r="Z654" s="111">
        <v>11.0</v>
      </c>
      <c r="AA654" s="133"/>
      <c r="AB654" s="133"/>
      <c r="AC654" s="133"/>
      <c r="AD654" s="133"/>
      <c r="AE654" s="133"/>
      <c r="AF654" s="111"/>
      <c r="AG654" s="147"/>
      <c r="AH654" s="73"/>
      <c r="AI654" s="135"/>
      <c r="AJ654" s="136"/>
      <c r="AK654" s="76"/>
      <c r="AL654" s="137"/>
      <c r="AM654" s="139" t="s">
        <v>71</v>
      </c>
      <c r="AN654" s="139">
        <v>497.0</v>
      </c>
      <c r="AO654" s="140">
        <v>178.67</v>
      </c>
      <c r="AP654" s="142">
        <v>66604.0</v>
      </c>
      <c r="AQ654" s="142">
        <v>206.0</v>
      </c>
      <c r="AR654" s="143"/>
      <c r="AS654" s="144">
        <v>0.9515448847875856</v>
      </c>
      <c r="AT654" s="144">
        <v>0.030455115212414396</v>
      </c>
      <c r="AU654" s="146" t="s">
        <v>2302</v>
      </c>
      <c r="AV654" s="146" t="s">
        <v>2302</v>
      </c>
      <c r="AW654" s="148" t="s">
        <v>2302</v>
      </c>
      <c r="AX654" s="151"/>
      <c r="AY654" s="105"/>
      <c r="AZ654" s="186"/>
      <c r="BA654" s="186"/>
      <c r="BB654" s="222"/>
      <c r="BC654" s="45"/>
      <c r="BD654" s="45"/>
      <c r="BE654" s="155"/>
      <c r="BF654" s="45"/>
    </row>
    <row r="655" ht="16.5" customHeight="1">
      <c r="A655" s="111">
        <v>652.0</v>
      </c>
      <c r="B655" s="112" t="s">
        <v>1741</v>
      </c>
      <c r="C655" s="115" t="s">
        <v>60</v>
      </c>
      <c r="D655" s="117">
        <v>42165.0</v>
      </c>
      <c r="E655" s="117">
        <v>42668.0</v>
      </c>
      <c r="F655" s="79" t="s">
        <v>86</v>
      </c>
      <c r="G655" s="118">
        <v>67245.0</v>
      </c>
      <c r="H655" s="114">
        <v>133.4</v>
      </c>
      <c r="I655" s="120">
        <v>415.0</v>
      </c>
      <c r="J655" s="111" t="s">
        <v>61</v>
      </c>
      <c r="K655" s="121">
        <v>420.25</v>
      </c>
      <c r="L655" s="120" t="s">
        <v>63</v>
      </c>
      <c r="M655" s="120"/>
      <c r="N655" s="120"/>
      <c r="O655" s="124">
        <v>67245.0</v>
      </c>
      <c r="P655" s="124">
        <v>504.0</v>
      </c>
      <c r="Q655" s="111">
        <v>206.0</v>
      </c>
      <c r="R655" s="125">
        <v>430.0</v>
      </c>
      <c r="S655" s="126">
        <v>0.9773</v>
      </c>
      <c r="T655" s="127">
        <v>75740.75</v>
      </c>
      <c r="U655" s="128">
        <f t="shared" si="2"/>
        <v>0</v>
      </c>
      <c r="V655" s="79" t="s">
        <v>65</v>
      </c>
      <c r="W655" s="79" t="s">
        <v>64</v>
      </c>
      <c r="X655" s="79" t="s">
        <v>66</v>
      </c>
      <c r="Y655" s="130">
        <v>0.8</v>
      </c>
      <c r="Z655" s="111">
        <v>11.0</v>
      </c>
      <c r="AA655" s="133"/>
      <c r="AB655" s="133"/>
      <c r="AC655" s="133"/>
      <c r="AD655" s="133"/>
      <c r="AE655" s="133"/>
      <c r="AF655" s="111"/>
      <c r="AG655" s="147"/>
      <c r="AH655" s="73"/>
      <c r="AI655" s="135"/>
      <c r="AJ655" s="136"/>
      <c r="AK655" s="76"/>
      <c r="AL655" s="137"/>
      <c r="AM655" s="139" t="s">
        <v>71</v>
      </c>
      <c r="AN655" s="139">
        <v>504.0</v>
      </c>
      <c r="AO655" s="140">
        <v>180.81</v>
      </c>
      <c r="AP655" s="142">
        <v>67245.0</v>
      </c>
      <c r="AQ655" s="142">
        <v>206.0</v>
      </c>
      <c r="AR655" s="143"/>
      <c r="AS655" s="144">
        <v>0.9513935158330221</v>
      </c>
      <c r="AT655" s="144">
        <v>0.025906484166977828</v>
      </c>
      <c r="AU655" s="146" t="s">
        <v>2303</v>
      </c>
      <c r="AV655" s="146" t="s">
        <v>2303</v>
      </c>
      <c r="AW655" s="148" t="s">
        <v>2303</v>
      </c>
      <c r="AX655" s="151"/>
      <c r="AY655" s="105"/>
      <c r="AZ655" s="186"/>
      <c r="BA655" s="186"/>
      <c r="BB655" s="222"/>
      <c r="BC655" s="45"/>
      <c r="BD655" s="45"/>
      <c r="BE655" s="155"/>
      <c r="BF655" s="45"/>
    </row>
    <row r="656" ht="16.5" customHeight="1">
      <c r="A656" s="111">
        <v>653.0</v>
      </c>
      <c r="B656" s="112" t="s">
        <v>1741</v>
      </c>
      <c r="C656" s="115" t="s">
        <v>60</v>
      </c>
      <c r="D656" s="117">
        <v>42165.0</v>
      </c>
      <c r="E656" s="117">
        <v>42670.0</v>
      </c>
      <c r="F656" s="79" t="s">
        <v>86</v>
      </c>
      <c r="G656" s="118">
        <v>68687.0</v>
      </c>
      <c r="H656" s="114">
        <v>135.7</v>
      </c>
      <c r="I656" s="120">
        <v>415.0</v>
      </c>
      <c r="J656" s="111" t="s">
        <v>61</v>
      </c>
      <c r="K656" s="121">
        <v>420.25</v>
      </c>
      <c r="L656" s="120" t="s">
        <v>63</v>
      </c>
      <c r="M656" s="120"/>
      <c r="N656" s="120"/>
      <c r="O656" s="124">
        <v>68687.0</v>
      </c>
      <c r="P656" s="124">
        <v>506.0</v>
      </c>
      <c r="Q656" s="111">
        <v>206.0</v>
      </c>
      <c r="R656" s="125">
        <v>430.0</v>
      </c>
      <c r="S656" s="126">
        <v>0.9773</v>
      </c>
      <c r="T656" s="127">
        <v>75740.75</v>
      </c>
      <c r="U656" s="128">
        <f t="shared" si="2"/>
        <v>0</v>
      </c>
      <c r="V656" s="79" t="s">
        <v>65</v>
      </c>
      <c r="W656" s="79" t="s">
        <v>64</v>
      </c>
      <c r="X656" s="79" t="s">
        <v>66</v>
      </c>
      <c r="Y656" s="130">
        <v>0.8</v>
      </c>
      <c r="Z656" s="111">
        <v>11.0</v>
      </c>
      <c r="AA656" s="133"/>
      <c r="AB656" s="133"/>
      <c r="AC656" s="133"/>
      <c r="AD656" s="133"/>
      <c r="AE656" s="133"/>
      <c r="AF656" s="111"/>
      <c r="AG656" s="147"/>
      <c r="AH656" s="73"/>
      <c r="AI656" s="135"/>
      <c r="AJ656" s="136"/>
      <c r="AK656" s="76"/>
      <c r="AL656" s="137"/>
      <c r="AM656" s="139" t="s">
        <v>71</v>
      </c>
      <c r="AN656" s="139">
        <v>506.0</v>
      </c>
      <c r="AO656" s="140">
        <v>184.69</v>
      </c>
      <c r="AP656" s="142">
        <v>68687.0</v>
      </c>
      <c r="AQ656" s="142">
        <v>206.0</v>
      </c>
      <c r="AR656" s="143"/>
      <c r="AS656" s="144">
        <v>0.9510584963162049</v>
      </c>
      <c r="AT656" s="144">
        <v>0.026241503683795075</v>
      </c>
      <c r="AU656" s="146" t="s">
        <v>2304</v>
      </c>
      <c r="AV656" s="146" t="s">
        <v>2304</v>
      </c>
      <c r="AW656" s="148" t="s">
        <v>2304</v>
      </c>
      <c r="AX656" s="151"/>
      <c r="AY656" s="105"/>
      <c r="AZ656" s="186"/>
      <c r="BA656" s="186"/>
      <c r="BB656" s="222"/>
      <c r="BC656" s="45"/>
      <c r="BD656" s="45"/>
      <c r="BE656" s="155"/>
      <c r="BF656" s="45"/>
    </row>
    <row r="657" ht="16.5" customHeight="1">
      <c r="A657" s="111">
        <v>654.0</v>
      </c>
      <c r="B657" s="112" t="s">
        <v>1615</v>
      </c>
      <c r="C657" s="115" t="s">
        <v>60</v>
      </c>
      <c r="D657" s="117">
        <v>42545.0</v>
      </c>
      <c r="E657" s="117">
        <v>42651.0</v>
      </c>
      <c r="F657" s="79" t="s">
        <v>629</v>
      </c>
      <c r="G657" s="118">
        <v>1322.0</v>
      </c>
      <c r="H657" s="114">
        <v>12.4</v>
      </c>
      <c r="I657" s="120">
        <v>381.0</v>
      </c>
      <c r="J657" s="111" t="s">
        <v>61</v>
      </c>
      <c r="K657" s="121">
        <v>385.82</v>
      </c>
      <c r="L657" s="120" t="s">
        <v>63</v>
      </c>
      <c r="M657" s="120"/>
      <c r="N657" s="120"/>
      <c r="O657" s="124">
        <v>1322.0</v>
      </c>
      <c r="P657" s="124">
        <v>107.0</v>
      </c>
      <c r="Q657" s="111">
        <v>188.0</v>
      </c>
      <c r="R657" s="125">
        <v>386.0</v>
      </c>
      <c r="S657" s="126">
        <v>0.9995</v>
      </c>
      <c r="T657" s="127">
        <v>72563.7</v>
      </c>
      <c r="U657" s="128">
        <f t="shared" si="2"/>
        <v>0</v>
      </c>
      <c r="V657" s="79"/>
      <c r="W657" s="79"/>
      <c r="X657" s="79"/>
      <c r="Y657" s="130">
        <v>0.9</v>
      </c>
      <c r="Z657" s="111"/>
      <c r="AA657" s="111">
        <v>384.0</v>
      </c>
      <c r="AB657" s="111" t="s">
        <v>61</v>
      </c>
      <c r="AC657" s="133"/>
      <c r="AD657" s="133"/>
      <c r="AE657" s="133"/>
      <c r="AF657" s="111"/>
      <c r="AG657" s="147"/>
      <c r="AH657" s="73"/>
      <c r="AI657" s="135"/>
      <c r="AJ657" s="136"/>
      <c r="AK657" s="76"/>
      <c r="AL657" s="137"/>
      <c r="AM657" s="139">
        <v>389.0</v>
      </c>
      <c r="AN657" s="139">
        <v>107.0</v>
      </c>
      <c r="AO657" s="140">
        <v>3.43</v>
      </c>
      <c r="AP657" s="142">
        <v>1322.0</v>
      </c>
      <c r="AQ657" s="142">
        <v>188.0</v>
      </c>
      <c r="AR657" s="143"/>
      <c r="AS657" s="144">
        <v>0.9973895829719811</v>
      </c>
      <c r="AT657" s="144">
        <v>0.0021104170280189516</v>
      </c>
      <c r="AU657" s="146" t="s">
        <v>2305</v>
      </c>
      <c r="AV657" s="146" t="s">
        <v>2305</v>
      </c>
      <c r="AW657" s="148" t="s">
        <v>2305</v>
      </c>
      <c r="AX657" s="151"/>
      <c r="AY657" s="105"/>
      <c r="AZ657" s="186"/>
      <c r="BA657" s="186"/>
      <c r="BB657" s="222"/>
      <c r="BC657" s="45"/>
      <c r="BD657" s="45"/>
      <c r="BE657" s="155"/>
      <c r="BF657" s="45"/>
    </row>
    <row r="658" ht="16.5" customHeight="1">
      <c r="A658" s="111">
        <v>655.0</v>
      </c>
      <c r="B658" s="112" t="s">
        <v>1615</v>
      </c>
      <c r="C658" s="115" t="s">
        <v>60</v>
      </c>
      <c r="D658" s="117">
        <v>42545.0</v>
      </c>
      <c r="E658" s="117">
        <v>42658.0</v>
      </c>
      <c r="F658" s="79" t="s">
        <v>629</v>
      </c>
      <c r="G658" s="118">
        <v>3164.0</v>
      </c>
      <c r="H658" s="114">
        <v>27.8</v>
      </c>
      <c r="I658" s="120">
        <v>381.0</v>
      </c>
      <c r="J658" s="111" t="s">
        <v>61</v>
      </c>
      <c r="K658" s="121">
        <v>385.82</v>
      </c>
      <c r="L658" s="120" t="s">
        <v>63</v>
      </c>
      <c r="M658" s="120"/>
      <c r="N658" s="120"/>
      <c r="O658" s="124">
        <v>3164.0</v>
      </c>
      <c r="P658" s="124">
        <v>114.0</v>
      </c>
      <c r="Q658" s="111">
        <v>187.0</v>
      </c>
      <c r="R658" s="125">
        <v>386.0</v>
      </c>
      <c r="S658" s="126">
        <v>0.9995</v>
      </c>
      <c r="T658" s="127">
        <v>72563.7</v>
      </c>
      <c r="U658" s="128">
        <f t="shared" si="2"/>
        <v>0</v>
      </c>
      <c r="V658" s="79"/>
      <c r="W658" s="79"/>
      <c r="X658" s="79"/>
      <c r="Y658" s="130">
        <v>0.9</v>
      </c>
      <c r="Z658" s="111"/>
      <c r="AA658" s="133"/>
      <c r="AB658" s="133"/>
      <c r="AC658" s="133"/>
      <c r="AD658" s="133"/>
      <c r="AE658" s="133"/>
      <c r="AF658" s="111"/>
      <c r="AG658" s="147"/>
      <c r="AH658" s="73"/>
      <c r="AI658" s="135"/>
      <c r="AJ658" s="136"/>
      <c r="AK658" s="76"/>
      <c r="AL658" s="137"/>
      <c r="AM658" s="139" t="s">
        <v>71</v>
      </c>
      <c r="AN658" s="139">
        <v>114.0</v>
      </c>
      <c r="AO658" s="140">
        <v>8.16</v>
      </c>
      <c r="AP658" s="142">
        <v>3164.0</v>
      </c>
      <c r="AQ658" s="142">
        <v>187.0</v>
      </c>
      <c r="AR658" s="143"/>
      <c r="AS658" s="144">
        <v>0.9939927354892957</v>
      </c>
      <c r="AT658" s="144">
        <v>0.005507264510704379</v>
      </c>
      <c r="AU658" s="146" t="s">
        <v>2306</v>
      </c>
      <c r="AV658" s="146" t="s">
        <v>2306</v>
      </c>
      <c r="AW658" s="148" t="s">
        <v>2306</v>
      </c>
      <c r="AX658" s="151"/>
      <c r="AY658" s="105"/>
      <c r="AZ658" s="186"/>
      <c r="BA658" s="186"/>
      <c r="BB658" s="222"/>
      <c r="BC658" s="45"/>
      <c r="BD658" s="45"/>
      <c r="BE658" s="155"/>
      <c r="BF658" s="45"/>
    </row>
    <row r="659" ht="16.5" customHeight="1">
      <c r="A659" s="111">
        <v>656.0</v>
      </c>
      <c r="B659" s="112" t="s">
        <v>1615</v>
      </c>
      <c r="C659" s="115" t="s">
        <v>60</v>
      </c>
      <c r="D659" s="117">
        <v>42545.0</v>
      </c>
      <c r="E659" s="117">
        <v>42677.0</v>
      </c>
      <c r="F659" s="79" t="s">
        <v>629</v>
      </c>
      <c r="G659" s="118">
        <v>4752.0</v>
      </c>
      <c r="H659" s="114">
        <v>35.7</v>
      </c>
      <c r="I659" s="120">
        <v>383.0</v>
      </c>
      <c r="J659" s="111" t="s">
        <v>61</v>
      </c>
      <c r="K659" s="121">
        <v>387.85</v>
      </c>
      <c r="L659" s="120" t="s">
        <v>63</v>
      </c>
      <c r="M659" s="120"/>
      <c r="N659" s="120"/>
      <c r="O659" s="124">
        <v>4752.0</v>
      </c>
      <c r="P659" s="124">
        <v>133.0</v>
      </c>
      <c r="Q659" s="111">
        <v>188.0</v>
      </c>
      <c r="R659" s="125">
        <v>386.0</v>
      </c>
      <c r="S659" s="126">
        <v>1.0048</v>
      </c>
      <c r="T659" s="127">
        <v>72948.48</v>
      </c>
      <c r="U659" s="128">
        <f t="shared" si="2"/>
        <v>0</v>
      </c>
      <c r="V659" s="79"/>
      <c r="W659" s="79"/>
      <c r="X659" s="79"/>
      <c r="Y659" s="130">
        <v>0.9</v>
      </c>
      <c r="Z659" s="111"/>
      <c r="AA659" s="133"/>
      <c r="AB659" s="133"/>
      <c r="AC659" s="133"/>
      <c r="AD659" s="133"/>
      <c r="AE659" s="133"/>
      <c r="AF659" s="111"/>
      <c r="AG659" s="147"/>
      <c r="AH659" s="73"/>
      <c r="AI659" s="135"/>
      <c r="AJ659" s="136"/>
      <c r="AK659" s="76"/>
      <c r="AL659" s="137"/>
      <c r="AM659" s="139" t="s">
        <v>71</v>
      </c>
      <c r="AN659" s="139">
        <v>133.0</v>
      </c>
      <c r="AO659" s="140">
        <v>12.28</v>
      </c>
      <c r="AP659" s="142">
        <v>4752.0</v>
      </c>
      <c r="AQ659" s="142">
        <v>188.0</v>
      </c>
      <c r="AR659" s="143"/>
      <c r="AS659" s="144">
        <v>0.9912727721917006</v>
      </c>
      <c r="AT659" s="144">
        <v>0.013527227808299291</v>
      </c>
      <c r="AU659" s="146" t="s">
        <v>2307</v>
      </c>
      <c r="AV659" s="146" t="s">
        <v>2307</v>
      </c>
      <c r="AW659" s="148" t="s">
        <v>2307</v>
      </c>
      <c r="AX659" s="151"/>
      <c r="AY659" s="105"/>
      <c r="AZ659" s="186"/>
      <c r="BA659" s="186"/>
      <c r="BB659" s="222"/>
      <c r="BC659" s="45"/>
      <c r="BD659" s="45"/>
      <c r="BE659" s="155"/>
      <c r="BF659" s="45"/>
    </row>
    <row r="660" ht="16.5" customHeight="1">
      <c r="A660" s="111">
        <v>657.0</v>
      </c>
      <c r="B660" s="112" t="s">
        <v>1784</v>
      </c>
      <c r="C660" s="115" t="s">
        <v>60</v>
      </c>
      <c r="D660" s="117">
        <v>41942.0</v>
      </c>
      <c r="E660" s="117">
        <v>42688.0</v>
      </c>
      <c r="F660" s="79" t="s">
        <v>59</v>
      </c>
      <c r="G660" s="118">
        <v>77430.0</v>
      </c>
      <c r="H660" s="114">
        <v>103.7</v>
      </c>
      <c r="I660" s="120">
        <v>377.0</v>
      </c>
      <c r="J660" s="111" t="s">
        <v>61</v>
      </c>
      <c r="K660" s="121">
        <v>381.77</v>
      </c>
      <c r="L660" s="120" t="s">
        <v>63</v>
      </c>
      <c r="M660" s="120"/>
      <c r="N660" s="120"/>
      <c r="O660" s="124">
        <v>77430.0</v>
      </c>
      <c r="P660" s="124">
        <v>747.0</v>
      </c>
      <c r="Q660" s="111">
        <v>193.0</v>
      </c>
      <c r="R660" s="125">
        <v>399.0</v>
      </c>
      <c r="S660" s="126">
        <v>0.9568</v>
      </c>
      <c r="T660" s="127">
        <v>74152.0</v>
      </c>
      <c r="U660" s="128">
        <f t="shared" si="2"/>
        <v>0</v>
      </c>
      <c r="V660" s="79" t="s">
        <v>80</v>
      </c>
      <c r="W660" s="79" t="s">
        <v>66</v>
      </c>
      <c r="X660" s="79" t="s">
        <v>68</v>
      </c>
      <c r="Y660" s="130">
        <v>0.9</v>
      </c>
      <c r="Z660" s="111" t="s">
        <v>2308</v>
      </c>
      <c r="AA660" s="133"/>
      <c r="AB660" s="133"/>
      <c r="AC660" s="133"/>
      <c r="AD660" s="133"/>
      <c r="AE660" s="133"/>
      <c r="AF660" s="111"/>
      <c r="AG660" s="147"/>
      <c r="AH660" s="73"/>
      <c r="AI660" s="135"/>
      <c r="AJ660" s="136"/>
      <c r="AK660" s="76"/>
      <c r="AL660" s="137"/>
      <c r="AM660" s="139" t="s">
        <v>71</v>
      </c>
      <c r="AN660" s="139">
        <v>747.0</v>
      </c>
      <c r="AO660" s="140">
        <v>197.11</v>
      </c>
      <c r="AP660" s="142">
        <v>77430.0</v>
      </c>
      <c r="AQ660" s="142">
        <v>193.0</v>
      </c>
      <c r="AR660" s="143"/>
      <c r="AS660" s="144">
        <v>0.9491655422450284</v>
      </c>
      <c r="AT660" s="144">
        <v>0.007634457754971624</v>
      </c>
      <c r="AU660" s="146" t="s">
        <v>2309</v>
      </c>
      <c r="AV660" s="146" t="s">
        <v>2310</v>
      </c>
      <c r="AW660" s="148" t="s">
        <v>2310</v>
      </c>
      <c r="AX660" s="151"/>
      <c r="AY660" s="105"/>
      <c r="AZ660" s="186"/>
      <c r="BA660" s="186"/>
      <c r="BB660" s="222"/>
      <c r="BC660" s="45"/>
      <c r="BD660" s="45"/>
      <c r="BE660" s="155"/>
      <c r="BF660" s="45"/>
    </row>
    <row r="661" ht="16.5" customHeight="1">
      <c r="A661" s="111">
        <v>658.0</v>
      </c>
      <c r="B661" s="112" t="s">
        <v>1703</v>
      </c>
      <c r="C661" s="115" t="s">
        <v>60</v>
      </c>
      <c r="D661" s="117">
        <v>42353.0</v>
      </c>
      <c r="E661" s="117">
        <v>42691.0</v>
      </c>
      <c r="F661" s="79" t="s">
        <v>118</v>
      </c>
      <c r="G661" s="118">
        <v>28514.0</v>
      </c>
      <c r="H661" s="114">
        <v>84.1</v>
      </c>
      <c r="I661" s="120">
        <v>359.0</v>
      </c>
      <c r="J661" s="111" t="s">
        <v>61</v>
      </c>
      <c r="K661" s="121">
        <v>363.54</v>
      </c>
      <c r="L661" s="120" t="s">
        <v>63</v>
      </c>
      <c r="M661" s="120"/>
      <c r="N661" s="120"/>
      <c r="O661" s="124">
        <v>28514.0</v>
      </c>
      <c r="P661" s="124">
        <v>339.0</v>
      </c>
      <c r="Q661" s="111">
        <v>203.0</v>
      </c>
      <c r="R661" s="125">
        <v>365.0</v>
      </c>
      <c r="S661" s="126">
        <v>0.996</v>
      </c>
      <c r="T661" s="127">
        <v>68524.8</v>
      </c>
      <c r="U661" s="128">
        <f t="shared" si="2"/>
        <v>0</v>
      </c>
      <c r="V661" s="79"/>
      <c r="W661" s="79"/>
      <c r="X661" s="79"/>
      <c r="Y661" s="130"/>
      <c r="Z661" s="111"/>
      <c r="AA661" s="133"/>
      <c r="AB661" s="133"/>
      <c r="AC661" s="133"/>
      <c r="AD661" s="133"/>
      <c r="AE661" s="133"/>
      <c r="AF661" s="111"/>
      <c r="AG661" s="147"/>
      <c r="AH661" s="73"/>
      <c r="AI661" s="135"/>
      <c r="AJ661" s="136"/>
      <c r="AK661" s="76"/>
      <c r="AL661" s="137"/>
      <c r="AM661" s="139" t="s">
        <v>71</v>
      </c>
      <c r="AN661" s="139">
        <v>339.0</v>
      </c>
      <c r="AO661" s="140">
        <v>84.32</v>
      </c>
      <c r="AP661" s="142">
        <v>28514.0</v>
      </c>
      <c r="AQ661" s="142">
        <v>203.0</v>
      </c>
      <c r="AR661" s="143"/>
      <c r="AS661" s="144">
        <v>0.9661404376388364</v>
      </c>
      <c r="AT661" s="144">
        <v>0.029859562361163605</v>
      </c>
      <c r="AU661" s="146" t="s">
        <v>2311</v>
      </c>
      <c r="AV661" s="146" t="s">
        <v>2311</v>
      </c>
      <c r="AW661" s="148" t="s">
        <v>2311</v>
      </c>
      <c r="AX661" s="151"/>
      <c r="AY661" s="105"/>
      <c r="AZ661" s="186"/>
      <c r="BA661" s="186"/>
      <c r="BB661" s="222"/>
      <c r="BC661" s="45"/>
      <c r="BD661" s="45"/>
      <c r="BE661" s="155"/>
      <c r="BF661" s="45"/>
    </row>
    <row r="662" ht="16.5" customHeight="1">
      <c r="A662" s="111">
        <v>659.0</v>
      </c>
      <c r="B662" s="112" t="s">
        <v>1726</v>
      </c>
      <c r="C662" s="115" t="s">
        <v>60</v>
      </c>
      <c r="D662" s="117">
        <v>42276.0</v>
      </c>
      <c r="E662" s="117">
        <v>42692.0</v>
      </c>
      <c r="F662" s="79" t="s">
        <v>305</v>
      </c>
      <c r="G662" s="118">
        <v>39193.0</v>
      </c>
      <c r="H662" s="114">
        <v>94.0</v>
      </c>
      <c r="I662" s="120">
        <v>433.0</v>
      </c>
      <c r="J662" s="111" t="s">
        <v>61</v>
      </c>
      <c r="K662" s="121">
        <v>438.48</v>
      </c>
      <c r="L662" s="120" t="s">
        <v>63</v>
      </c>
      <c r="M662" s="120"/>
      <c r="N662" s="120"/>
      <c r="O662" s="124">
        <v>39193.0</v>
      </c>
      <c r="P662" s="124">
        <v>417.0</v>
      </c>
      <c r="Q662" s="111">
        <v>229.0</v>
      </c>
      <c r="R662" s="125">
        <v>452.0</v>
      </c>
      <c r="S662" s="126">
        <v>0.9701</v>
      </c>
      <c r="T662" s="127">
        <v>79354.18</v>
      </c>
      <c r="U662" s="128">
        <f t="shared" si="2"/>
        <v>0</v>
      </c>
      <c r="V662" s="79" t="s">
        <v>64</v>
      </c>
      <c r="W662" s="79" t="s">
        <v>64</v>
      </c>
      <c r="X662" s="79" t="s">
        <v>69</v>
      </c>
      <c r="Y662" s="130">
        <v>0.8</v>
      </c>
      <c r="Z662" s="111">
        <v>11.0</v>
      </c>
      <c r="AA662" s="111">
        <v>426.0</v>
      </c>
      <c r="AB662" s="111" t="s">
        <v>61</v>
      </c>
      <c r="AC662" s="133"/>
      <c r="AD662" s="133"/>
      <c r="AE662" s="133"/>
      <c r="AF662" s="111"/>
      <c r="AG662" s="147"/>
      <c r="AH662" s="73"/>
      <c r="AI662" s="135"/>
      <c r="AJ662" s="136"/>
      <c r="AK662" s="76"/>
      <c r="AL662" s="137"/>
      <c r="AM662" s="139">
        <v>431.0</v>
      </c>
      <c r="AN662" s="139">
        <v>417.0</v>
      </c>
      <c r="AO662" s="140">
        <v>111.4</v>
      </c>
      <c r="AP662" s="142">
        <v>39193.0</v>
      </c>
      <c r="AQ662" s="142">
        <v>229.0</v>
      </c>
      <c r="AR662" s="143"/>
      <c r="AS662" s="144">
        <v>0.9603715977372581</v>
      </c>
      <c r="AT662" s="144">
        <v>0.009728402262741853</v>
      </c>
      <c r="AU662" s="146" t="s">
        <v>2312</v>
      </c>
      <c r="AV662" s="146" t="s">
        <v>2312</v>
      </c>
      <c r="AW662" s="148" t="s">
        <v>2312</v>
      </c>
      <c r="AX662" s="151"/>
      <c r="AY662" s="105"/>
      <c r="AZ662" s="186"/>
      <c r="BA662" s="186"/>
      <c r="BB662" s="222"/>
      <c r="BC662" s="45"/>
      <c r="BD662" s="45"/>
      <c r="BE662" s="155"/>
      <c r="BF662" s="45"/>
    </row>
    <row r="663" ht="16.5" customHeight="1">
      <c r="A663" s="111">
        <v>660.0</v>
      </c>
      <c r="B663" s="112" t="s">
        <v>1628</v>
      </c>
      <c r="C663" s="115" t="s">
        <v>60</v>
      </c>
      <c r="D663" s="117">
        <v>42437.0</v>
      </c>
      <c r="E663" s="117">
        <v>42685.0</v>
      </c>
      <c r="F663" s="79" t="s">
        <v>305</v>
      </c>
      <c r="G663" s="118">
        <v>20421.0</v>
      </c>
      <c r="H663" s="114">
        <v>82.0</v>
      </c>
      <c r="I663" s="120">
        <v>439.0</v>
      </c>
      <c r="J663" s="111" t="s">
        <v>61</v>
      </c>
      <c r="K663" s="121">
        <v>444.56</v>
      </c>
      <c r="L663" s="120" t="s">
        <v>63</v>
      </c>
      <c r="M663" s="120"/>
      <c r="N663" s="120"/>
      <c r="O663" s="124">
        <v>20421.0</v>
      </c>
      <c r="P663" s="124">
        <v>249.0</v>
      </c>
      <c r="Q663" s="111">
        <v>214.0</v>
      </c>
      <c r="R663" s="125">
        <v>452.0</v>
      </c>
      <c r="S663" s="126">
        <v>0.9835</v>
      </c>
      <c r="T663" s="127">
        <v>80450.3</v>
      </c>
      <c r="U663" s="128">
        <f t="shared" si="2"/>
        <v>0</v>
      </c>
      <c r="V663" s="79" t="s">
        <v>65</v>
      </c>
      <c r="W663" s="79" t="s">
        <v>65</v>
      </c>
      <c r="X663" s="79" t="s">
        <v>68</v>
      </c>
      <c r="Y663" s="130">
        <v>0.8</v>
      </c>
      <c r="Z663" s="111">
        <v>22.0</v>
      </c>
      <c r="AA663" s="111">
        <v>448.0</v>
      </c>
      <c r="AB663" s="111" t="s">
        <v>61</v>
      </c>
      <c r="AC663" s="133"/>
      <c r="AD663" s="133"/>
      <c r="AE663" s="133"/>
      <c r="AF663" s="111"/>
      <c r="AG663" s="147"/>
      <c r="AH663" s="73"/>
      <c r="AI663" s="135"/>
      <c r="AJ663" s="136"/>
      <c r="AK663" s="76"/>
      <c r="AL663" s="137"/>
      <c r="AM663" s="139">
        <v>454.0</v>
      </c>
      <c r="AN663" s="139">
        <v>249.0</v>
      </c>
      <c r="AO663" s="140">
        <v>53.88</v>
      </c>
      <c r="AP663" s="142">
        <v>20421.0</v>
      </c>
      <c r="AQ663" s="142">
        <v>214.0</v>
      </c>
      <c r="AR663" s="143"/>
      <c r="AS663" s="144">
        <v>0.9722210306642463</v>
      </c>
      <c r="AT663" s="144">
        <v>0.011278969335753786</v>
      </c>
      <c r="AU663" s="146" t="s">
        <v>2313</v>
      </c>
      <c r="AV663" s="146" t="s">
        <v>2313</v>
      </c>
      <c r="AW663" s="148" t="s">
        <v>2313</v>
      </c>
      <c r="AX663" s="151"/>
      <c r="AY663" s="105"/>
      <c r="AZ663" s="186"/>
      <c r="BA663" s="186"/>
      <c r="BB663" s="222"/>
      <c r="BC663" s="45"/>
      <c r="BD663" s="45"/>
      <c r="BE663" s="155"/>
      <c r="BF663" s="45"/>
    </row>
    <row r="664" ht="16.5" customHeight="1">
      <c r="A664" s="111">
        <v>661.0</v>
      </c>
      <c r="B664" s="112" t="s">
        <v>1642</v>
      </c>
      <c r="C664" s="115" t="s">
        <v>60</v>
      </c>
      <c r="D664" s="117">
        <v>42486.0</v>
      </c>
      <c r="E664" s="117">
        <v>42693.0</v>
      </c>
      <c r="F664" s="79" t="s">
        <v>118</v>
      </c>
      <c r="G664" s="118">
        <v>11989.0</v>
      </c>
      <c r="H664" s="114">
        <v>57.6</v>
      </c>
      <c r="I664" s="120">
        <v>362.0</v>
      </c>
      <c r="J664" s="111" t="s">
        <v>61</v>
      </c>
      <c r="K664" s="121">
        <v>366.58</v>
      </c>
      <c r="L664" s="120" t="s">
        <v>63</v>
      </c>
      <c r="M664" s="120"/>
      <c r="N664" s="120"/>
      <c r="O664" s="124">
        <v>11989.0</v>
      </c>
      <c r="P664" s="124">
        <v>208.0</v>
      </c>
      <c r="Q664" s="111">
        <v>219.0</v>
      </c>
      <c r="R664" s="125">
        <v>365.0</v>
      </c>
      <c r="S664" s="126">
        <v>1.0043</v>
      </c>
      <c r="T664" s="127">
        <v>69095.84</v>
      </c>
      <c r="U664" s="128">
        <f t="shared" si="2"/>
        <v>0</v>
      </c>
      <c r="V664" s="79" t="s">
        <v>65</v>
      </c>
      <c r="W664" s="79" t="s">
        <v>69</v>
      </c>
      <c r="X664" s="79" t="s">
        <v>69</v>
      </c>
      <c r="Y664" s="130">
        <v>0.9</v>
      </c>
      <c r="Z664" s="111"/>
      <c r="AA664" s="133"/>
      <c r="AB664" s="133"/>
      <c r="AC664" s="133"/>
      <c r="AD664" s="133"/>
      <c r="AE664" s="133"/>
      <c r="AF664" s="111"/>
      <c r="AG664" s="147"/>
      <c r="AH664" s="73"/>
      <c r="AI664" s="135"/>
      <c r="AJ664" s="136"/>
      <c r="AK664" s="76"/>
      <c r="AL664" s="137"/>
      <c r="AM664" s="139" t="s">
        <v>71</v>
      </c>
      <c r="AN664" s="139">
        <v>208.0</v>
      </c>
      <c r="AO664" s="140">
        <v>38.09</v>
      </c>
      <c r="AP664" s="142">
        <v>11989.0</v>
      </c>
      <c r="AQ664" s="142">
        <v>219.0</v>
      </c>
      <c r="AR664" s="143"/>
      <c r="AS664" s="144">
        <v>0.9809513715905483</v>
      </c>
      <c r="AT664" s="144">
        <v>0.02334862840945162</v>
      </c>
      <c r="AU664" s="146" t="s">
        <v>2314</v>
      </c>
      <c r="AV664" s="146" t="s">
        <v>2314</v>
      </c>
      <c r="AW664" s="148" t="s">
        <v>2314</v>
      </c>
      <c r="AX664" s="151"/>
      <c r="AY664" s="105"/>
      <c r="AZ664" s="186"/>
      <c r="BA664" s="186"/>
      <c r="BB664" s="222"/>
      <c r="BC664" s="45"/>
      <c r="BD664" s="45"/>
      <c r="BE664" s="155"/>
      <c r="BF664" s="45"/>
    </row>
    <row r="665" ht="16.5" customHeight="1">
      <c r="A665" s="111">
        <v>662.0</v>
      </c>
      <c r="B665" s="112" t="s">
        <v>1895</v>
      </c>
      <c r="C665" s="115" t="s">
        <v>60</v>
      </c>
      <c r="D665" s="117">
        <v>42122.0</v>
      </c>
      <c r="E665" s="117">
        <v>42697.0</v>
      </c>
      <c r="F665" s="79" t="s">
        <v>86</v>
      </c>
      <c r="G665" s="118">
        <v>88932.0</v>
      </c>
      <c r="H665" s="114">
        <v>154.4</v>
      </c>
      <c r="I665" s="120">
        <v>410.0</v>
      </c>
      <c r="J665" s="111" t="s">
        <v>61</v>
      </c>
      <c r="K665" s="121">
        <v>415.19</v>
      </c>
      <c r="L665" s="120" t="s">
        <v>63</v>
      </c>
      <c r="M665" s="120"/>
      <c r="N665" s="120"/>
      <c r="O665" s="124">
        <v>88932.0</v>
      </c>
      <c r="P665" s="124">
        <v>576.0</v>
      </c>
      <c r="Q665" s="111">
        <v>203.0</v>
      </c>
      <c r="R665" s="125">
        <v>430.0</v>
      </c>
      <c r="S665" s="126">
        <v>0.9656</v>
      </c>
      <c r="T665" s="127">
        <v>74834.0</v>
      </c>
      <c r="U665" s="128">
        <f t="shared" si="2"/>
        <v>0</v>
      </c>
      <c r="V665" s="79" t="s">
        <v>69</v>
      </c>
      <c r="W665" s="79" t="s">
        <v>64</v>
      </c>
      <c r="X665" s="79" t="s">
        <v>66</v>
      </c>
      <c r="Y665" s="130">
        <v>0.9</v>
      </c>
      <c r="Z665" s="111">
        <v>11.0</v>
      </c>
      <c r="AA665" s="133"/>
      <c r="AB665" s="133"/>
      <c r="AC665" s="133"/>
      <c r="AD665" s="133"/>
      <c r="AE665" s="133"/>
      <c r="AF665" s="111"/>
      <c r="AG665" s="147"/>
      <c r="AH665" s="73"/>
      <c r="AI665" s="135"/>
      <c r="AJ665" s="136"/>
      <c r="AK665" s="76"/>
      <c r="AL665" s="137"/>
      <c r="AM665" s="139" t="s">
        <v>71</v>
      </c>
      <c r="AN665" s="139">
        <v>576.0</v>
      </c>
      <c r="AO665" s="140">
        <v>237.05</v>
      </c>
      <c r="AP665" s="142">
        <v>88932.0</v>
      </c>
      <c r="AQ665" s="142">
        <v>203.0</v>
      </c>
      <c r="AR665" s="143"/>
      <c r="AS665" s="144">
        <v>0.9469358701100088</v>
      </c>
      <c r="AT665" s="144">
        <v>0.01866412988999122</v>
      </c>
      <c r="AU665" s="146" t="s">
        <v>2315</v>
      </c>
      <c r="AV665" s="146" t="s">
        <v>2315</v>
      </c>
      <c r="AW665" s="148" t="s">
        <v>2315</v>
      </c>
      <c r="AX665" s="151"/>
      <c r="AY665" s="105"/>
      <c r="AZ665" s="186"/>
      <c r="BA665" s="186"/>
      <c r="BB665" s="222"/>
      <c r="BC665" s="45"/>
      <c r="BD665" s="45"/>
      <c r="BE665" s="155"/>
      <c r="BF665" s="45"/>
    </row>
    <row r="666" ht="16.5" customHeight="1">
      <c r="A666" s="111">
        <v>663.0</v>
      </c>
      <c r="B666" s="112" t="s">
        <v>1615</v>
      </c>
      <c r="C666" s="115" t="s">
        <v>60</v>
      </c>
      <c r="D666" s="117">
        <v>42545.0</v>
      </c>
      <c r="E666" s="117">
        <v>42697.0</v>
      </c>
      <c r="F666" s="79" t="s">
        <v>629</v>
      </c>
      <c r="G666" s="118">
        <v>6500.0</v>
      </c>
      <c r="H666" s="114">
        <v>42.5</v>
      </c>
      <c r="I666" s="120">
        <v>382.0</v>
      </c>
      <c r="J666" s="111" t="s">
        <v>62</v>
      </c>
      <c r="K666" s="121">
        <v>382.0</v>
      </c>
      <c r="L666" s="120" t="s">
        <v>63</v>
      </c>
      <c r="M666" s="120"/>
      <c r="N666" s="120"/>
      <c r="O666" s="124">
        <v>6500.0</v>
      </c>
      <c r="P666" s="124">
        <v>153.0</v>
      </c>
      <c r="Q666" s="111">
        <v>189.0</v>
      </c>
      <c r="R666" s="125">
        <v>386.0</v>
      </c>
      <c r="S666" s="126">
        <v>0.9896</v>
      </c>
      <c r="T666" s="127">
        <v>71844.96</v>
      </c>
      <c r="U666" s="128">
        <f t="shared" si="2"/>
        <v>0</v>
      </c>
      <c r="V666" s="79" t="s">
        <v>65</v>
      </c>
      <c r="W666" s="79" t="s">
        <v>65</v>
      </c>
      <c r="X666" s="79" t="s">
        <v>66</v>
      </c>
      <c r="Y666" s="130">
        <v>0.9</v>
      </c>
      <c r="Z666" s="111">
        <v>11.0</v>
      </c>
      <c r="AA666" s="111">
        <v>384.0</v>
      </c>
      <c r="AB666" s="111" t="s">
        <v>61</v>
      </c>
      <c r="AC666" s="133"/>
      <c r="AD666" s="133"/>
      <c r="AE666" s="133"/>
      <c r="AF666" s="111"/>
      <c r="AG666" s="147"/>
      <c r="AH666" s="73"/>
      <c r="AI666" s="135"/>
      <c r="AJ666" s="136"/>
      <c r="AK666" s="76"/>
      <c r="AL666" s="137"/>
      <c r="AM666" s="139">
        <v>389.0</v>
      </c>
      <c r="AN666" s="139">
        <v>153.0</v>
      </c>
      <c r="AO666" s="140">
        <v>17.02</v>
      </c>
      <c r="AP666" s="142">
        <v>6500.0</v>
      </c>
      <c r="AQ666" s="142">
        <v>189.0</v>
      </c>
      <c r="AR666" s="143"/>
      <c r="AS666" s="144">
        <v>0.9884844964353219</v>
      </c>
      <c r="AT666" s="144">
        <v>0.0011155035646781553</v>
      </c>
      <c r="AU666" s="146" t="s">
        <v>2316</v>
      </c>
      <c r="AV666" s="146" t="s">
        <v>2316</v>
      </c>
      <c r="AW666" s="148" t="s">
        <v>2316</v>
      </c>
      <c r="AX666" s="151"/>
      <c r="AY666" s="105"/>
      <c r="AZ666" s="186"/>
      <c r="BA666" s="186"/>
      <c r="BB666" s="222"/>
      <c r="BC666" s="45"/>
      <c r="BD666" s="45"/>
      <c r="BE666" s="155"/>
      <c r="BF666" s="45"/>
    </row>
    <row r="667" ht="16.5" customHeight="1">
      <c r="A667" s="111">
        <v>664.0</v>
      </c>
      <c r="B667" s="112" t="s">
        <v>1784</v>
      </c>
      <c r="C667" s="115" t="s">
        <v>60</v>
      </c>
      <c r="D667" s="117">
        <v>41942.0</v>
      </c>
      <c r="E667" s="117">
        <v>42698.0</v>
      </c>
      <c r="F667" s="79" t="s">
        <v>59</v>
      </c>
      <c r="G667" s="118">
        <v>78334.0</v>
      </c>
      <c r="H667" s="114">
        <v>103.5</v>
      </c>
      <c r="I667" s="120">
        <v>376.0</v>
      </c>
      <c r="J667" s="111" t="s">
        <v>61</v>
      </c>
      <c r="K667" s="121">
        <v>380.76</v>
      </c>
      <c r="L667" s="120" t="s">
        <v>63</v>
      </c>
      <c r="M667" s="120"/>
      <c r="N667" s="120"/>
      <c r="O667" s="124">
        <v>78334.0</v>
      </c>
      <c r="P667" s="124">
        <v>757.0</v>
      </c>
      <c r="Q667" s="111">
        <v>194.0</v>
      </c>
      <c r="R667" s="125">
        <v>399.0</v>
      </c>
      <c r="S667" s="126">
        <v>0.9543</v>
      </c>
      <c r="T667" s="127">
        <v>73958.25</v>
      </c>
      <c r="U667" s="128">
        <f t="shared" si="2"/>
        <v>0</v>
      </c>
      <c r="V667" s="79" t="s">
        <v>80</v>
      </c>
      <c r="W667" s="79" t="s">
        <v>69</v>
      </c>
      <c r="X667" s="79" t="s">
        <v>68</v>
      </c>
      <c r="Y667" s="130">
        <v>0.9</v>
      </c>
      <c r="Z667" s="111"/>
      <c r="AA667" s="133"/>
      <c r="AB667" s="133"/>
      <c r="AC667" s="133"/>
      <c r="AD667" s="133"/>
      <c r="AE667" s="133"/>
      <c r="AF667" s="111"/>
      <c r="AG667" s="147"/>
      <c r="AH667" s="73"/>
      <c r="AI667" s="135"/>
      <c r="AJ667" s="136"/>
      <c r="AK667" s="76"/>
      <c r="AL667" s="137"/>
      <c r="AM667" s="139" t="s">
        <v>71</v>
      </c>
      <c r="AN667" s="139">
        <v>757.0</v>
      </c>
      <c r="AO667" s="140">
        <v>200.71</v>
      </c>
      <c r="AP667" s="142">
        <v>78334.0</v>
      </c>
      <c r="AQ667" s="142">
        <v>194.0</v>
      </c>
      <c r="AR667" s="143"/>
      <c r="AS667" s="144">
        <v>0.948981192306557</v>
      </c>
      <c r="AT667" s="144">
        <v>0.005318807693443062</v>
      </c>
      <c r="AU667" s="146" t="s">
        <v>2317</v>
      </c>
      <c r="AV667" s="146" t="s">
        <v>2317</v>
      </c>
      <c r="AW667" s="148" t="s">
        <v>2317</v>
      </c>
      <c r="AX667" s="151"/>
      <c r="AY667" s="105"/>
      <c r="AZ667" s="186"/>
      <c r="BA667" s="186"/>
      <c r="BB667" s="222"/>
      <c r="BC667" s="45"/>
      <c r="BD667" s="45"/>
      <c r="BE667" s="155"/>
      <c r="BF667" s="45"/>
    </row>
    <row r="668" ht="16.5" customHeight="1">
      <c r="A668" s="111">
        <v>665.0</v>
      </c>
      <c r="B668" s="112" t="s">
        <v>1784</v>
      </c>
      <c r="C668" s="115" t="s">
        <v>60</v>
      </c>
      <c r="D668" s="117">
        <v>41942.0</v>
      </c>
      <c r="E668" s="117">
        <v>42701.0</v>
      </c>
      <c r="F668" s="79" t="s">
        <v>59</v>
      </c>
      <c r="G668" s="118">
        <v>78456.0</v>
      </c>
      <c r="H668" s="114">
        <v>103.2</v>
      </c>
      <c r="I668" s="120">
        <v>376.0</v>
      </c>
      <c r="J668" s="111" t="s">
        <v>61</v>
      </c>
      <c r="K668" s="121">
        <v>380.76</v>
      </c>
      <c r="L668" s="120" t="s">
        <v>63</v>
      </c>
      <c r="M668" s="120"/>
      <c r="N668" s="120"/>
      <c r="O668" s="124">
        <v>78456.0</v>
      </c>
      <c r="P668" s="124">
        <v>760.0</v>
      </c>
      <c r="Q668" s="111">
        <v>194.0</v>
      </c>
      <c r="R668" s="125">
        <v>399.0</v>
      </c>
      <c r="S668" s="126">
        <v>0.9543</v>
      </c>
      <c r="T668" s="127">
        <v>73958.25</v>
      </c>
      <c r="U668" s="128">
        <f t="shared" si="2"/>
        <v>0</v>
      </c>
      <c r="V668" s="79"/>
      <c r="W668" s="79"/>
      <c r="X668" s="79"/>
      <c r="Y668" s="130"/>
      <c r="Z668" s="111"/>
      <c r="AA668" s="133"/>
      <c r="AB668" s="133"/>
      <c r="AC668" s="133"/>
      <c r="AD668" s="133"/>
      <c r="AE668" s="133"/>
      <c r="AF668" s="111"/>
      <c r="AG668" s="147"/>
      <c r="AH668" s="73"/>
      <c r="AI668" s="135"/>
      <c r="AJ668" s="136"/>
      <c r="AK668" s="76"/>
      <c r="AL668" s="137"/>
      <c r="AM668" s="139" t="s">
        <v>71</v>
      </c>
      <c r="AN668" s="139">
        <v>760.0</v>
      </c>
      <c r="AO668" s="140">
        <v>201.02</v>
      </c>
      <c r="AP668" s="142">
        <v>78456.0</v>
      </c>
      <c r="AQ668" s="142">
        <v>194.0</v>
      </c>
      <c r="AR668" s="143"/>
      <c r="AS668" s="144">
        <v>0.9489564525119702</v>
      </c>
      <c r="AT668" s="144">
        <v>0.005343547488029787</v>
      </c>
      <c r="AU668" s="146" t="s">
        <v>2318</v>
      </c>
      <c r="AV668" s="146" t="s">
        <v>2318</v>
      </c>
      <c r="AW668" s="148" t="s">
        <v>2318</v>
      </c>
      <c r="AX668" s="151"/>
      <c r="AY668" s="105"/>
      <c r="AZ668" s="186"/>
      <c r="BA668" s="186"/>
      <c r="BB668" s="222"/>
      <c r="BC668" s="45"/>
      <c r="BD668" s="45"/>
      <c r="BE668" s="155"/>
      <c r="BF668" s="45"/>
    </row>
    <row r="669" ht="16.5" customHeight="1">
      <c r="A669" s="111">
        <v>666.0</v>
      </c>
      <c r="B669" s="112" t="s">
        <v>1336</v>
      </c>
      <c r="C669" s="115" t="s">
        <v>60</v>
      </c>
      <c r="D669" s="117">
        <v>42137.0</v>
      </c>
      <c r="E669" s="117">
        <v>42702.0</v>
      </c>
      <c r="F669" s="79" t="s">
        <v>59</v>
      </c>
      <c r="G669" s="118">
        <v>60825.0</v>
      </c>
      <c r="H669" s="114">
        <v>107.5</v>
      </c>
      <c r="I669" s="120">
        <v>384.0</v>
      </c>
      <c r="J669" s="111" t="s">
        <v>62</v>
      </c>
      <c r="K669" s="121">
        <v>384.0</v>
      </c>
      <c r="L669" s="120" t="s">
        <v>63</v>
      </c>
      <c r="M669" s="120"/>
      <c r="N669" s="120"/>
      <c r="O669" s="124">
        <v>60825.0</v>
      </c>
      <c r="P669" s="124">
        <v>566.0</v>
      </c>
      <c r="Q669" s="111">
        <v>205.0</v>
      </c>
      <c r="R669" s="125">
        <v>399.0</v>
      </c>
      <c r="S669" s="126">
        <v>0.9624</v>
      </c>
      <c r="T669" s="127">
        <v>74586.0</v>
      </c>
      <c r="U669" s="128">
        <f t="shared" si="2"/>
        <v>0</v>
      </c>
      <c r="V669" s="79" t="s">
        <v>64</v>
      </c>
      <c r="W669" s="79" t="s">
        <v>69</v>
      </c>
      <c r="X669" s="79" t="s">
        <v>68</v>
      </c>
      <c r="Y669" s="130">
        <v>0.9</v>
      </c>
      <c r="Z669" s="111">
        <v>11.0</v>
      </c>
      <c r="AA669" s="133"/>
      <c r="AB669" s="133"/>
      <c r="AC669" s="111">
        <v>384.0</v>
      </c>
      <c r="AD669" s="111">
        <v>200.0</v>
      </c>
      <c r="AE669" s="111">
        <v>34.8</v>
      </c>
      <c r="AF669" s="111" t="s">
        <v>62</v>
      </c>
      <c r="AG669" s="147"/>
      <c r="AH669" s="73">
        <v>184.0</v>
      </c>
      <c r="AI669" s="135">
        <v>184.0</v>
      </c>
      <c r="AJ669" s="136">
        <v>72.62608695652173</v>
      </c>
      <c r="AK669" s="76">
        <v>0.93711079943899</v>
      </c>
      <c r="AL669" s="137" t="s">
        <v>2319</v>
      </c>
      <c r="AM669" s="139" t="s">
        <v>71</v>
      </c>
      <c r="AN669" s="139">
        <v>566.0</v>
      </c>
      <c r="AO669" s="140">
        <v>164.0</v>
      </c>
      <c r="AP669" s="142">
        <v>60825.0</v>
      </c>
      <c r="AQ669" s="142">
        <v>205.0</v>
      </c>
      <c r="AR669" s="143"/>
      <c r="AS669" s="144">
        <v>0.9529866279536677</v>
      </c>
      <c r="AT669" s="144">
        <v>0.009413372046332302</v>
      </c>
      <c r="AU669" s="146" t="s">
        <v>2320</v>
      </c>
      <c r="AV669" s="146" t="s">
        <v>2320</v>
      </c>
      <c r="AW669" s="148" t="s">
        <v>2320</v>
      </c>
      <c r="AX669" s="151"/>
      <c r="AY669" s="105"/>
      <c r="AZ669" s="186"/>
      <c r="BA669" s="186"/>
      <c r="BB669" s="222"/>
      <c r="BC669" s="45"/>
      <c r="BD669" s="45"/>
      <c r="BE669" s="155"/>
      <c r="BF669" s="45"/>
    </row>
    <row r="670" ht="16.5" customHeight="1">
      <c r="A670" s="111">
        <v>667.0</v>
      </c>
      <c r="B670" s="112" t="s">
        <v>1783</v>
      </c>
      <c r="C670" s="115" t="s">
        <v>60</v>
      </c>
      <c r="D670" s="117">
        <v>42180.0</v>
      </c>
      <c r="E670" s="117">
        <v>42698.0</v>
      </c>
      <c r="F670" s="79" t="s">
        <v>59</v>
      </c>
      <c r="G670" s="118">
        <v>58163.0</v>
      </c>
      <c r="H670" s="114">
        <v>112.1</v>
      </c>
      <c r="I670" s="120">
        <v>378.0</v>
      </c>
      <c r="J670" s="111" t="s">
        <v>61</v>
      </c>
      <c r="K670" s="121">
        <v>382.78</v>
      </c>
      <c r="L670" s="120" t="s">
        <v>63</v>
      </c>
      <c r="M670" s="120"/>
      <c r="N670" s="120"/>
      <c r="O670" s="124">
        <v>58163.0</v>
      </c>
      <c r="P670" s="124">
        <v>519.0</v>
      </c>
      <c r="Q670" s="111">
        <v>226.0</v>
      </c>
      <c r="R670" s="125">
        <v>399.0</v>
      </c>
      <c r="S670" s="126">
        <v>0.9593</v>
      </c>
      <c r="T670" s="127">
        <v>74345.75</v>
      </c>
      <c r="U670" s="128">
        <f t="shared" si="2"/>
        <v>0</v>
      </c>
      <c r="V670" s="79" t="s">
        <v>67</v>
      </c>
      <c r="W670" s="79" t="s">
        <v>69</v>
      </c>
      <c r="X670" s="79" t="s">
        <v>69</v>
      </c>
      <c r="Y670" s="130">
        <v>0.9</v>
      </c>
      <c r="Z670" s="111">
        <v>11.0</v>
      </c>
      <c r="AA670" s="133"/>
      <c r="AB670" s="133"/>
      <c r="AC670" s="133"/>
      <c r="AD670" s="133"/>
      <c r="AE670" s="133"/>
      <c r="AF670" s="111"/>
      <c r="AG670" s="147"/>
      <c r="AH670" s="73"/>
      <c r="AI670" s="135"/>
      <c r="AJ670" s="136"/>
      <c r="AK670" s="76"/>
      <c r="AL670" s="137"/>
      <c r="AM670" s="139" t="s">
        <v>71</v>
      </c>
      <c r="AN670" s="139">
        <v>519.0</v>
      </c>
      <c r="AO670" s="140">
        <v>173.16</v>
      </c>
      <c r="AP670" s="142">
        <v>58163.0</v>
      </c>
      <c r="AQ670" s="142">
        <v>226.0</v>
      </c>
      <c r="AR670" s="143"/>
      <c r="AS670" s="144">
        <v>0.9537046359108607</v>
      </c>
      <c r="AT670" s="144">
        <v>0.005595364089139299</v>
      </c>
      <c r="AU670" s="146" t="s">
        <v>2321</v>
      </c>
      <c r="AV670" s="146" t="s">
        <v>2321</v>
      </c>
      <c r="AW670" s="148" t="s">
        <v>2321</v>
      </c>
      <c r="AX670" s="151"/>
      <c r="AY670" s="105"/>
      <c r="AZ670" s="186"/>
      <c r="BA670" s="186"/>
      <c r="BB670" s="222"/>
      <c r="BC670" s="45"/>
      <c r="BD670" s="45"/>
      <c r="BE670" s="155"/>
      <c r="BF670" s="45"/>
    </row>
    <row r="671" ht="16.5" customHeight="1">
      <c r="A671" s="111">
        <v>668.0</v>
      </c>
      <c r="B671" s="112" t="s">
        <v>126</v>
      </c>
      <c r="C671" s="115" t="s">
        <v>60</v>
      </c>
      <c r="D671" s="117">
        <v>41527.0</v>
      </c>
      <c r="E671" s="117">
        <v>42702.0</v>
      </c>
      <c r="F671" s="79" t="s">
        <v>79</v>
      </c>
      <c r="G671" s="118">
        <v>211500.0</v>
      </c>
      <c r="H671" s="114">
        <v>179.8</v>
      </c>
      <c r="I671" s="120">
        <v>358.0</v>
      </c>
      <c r="J671" s="111" t="s">
        <v>61</v>
      </c>
      <c r="K671" s="121">
        <v>362.53</v>
      </c>
      <c r="L671" s="120" t="s">
        <v>63</v>
      </c>
      <c r="M671" s="120"/>
      <c r="N671" s="120"/>
      <c r="O671" s="124">
        <v>211500.0</v>
      </c>
      <c r="P671" s="124">
        <v>1176.0</v>
      </c>
      <c r="Q671" s="111">
        <v>212.0</v>
      </c>
      <c r="R671" s="125">
        <v>399.0</v>
      </c>
      <c r="S671" s="126">
        <v>0.9086</v>
      </c>
      <c r="T671" s="127">
        <v>70416.5</v>
      </c>
      <c r="U671" s="128">
        <f t="shared" si="2"/>
        <v>0</v>
      </c>
      <c r="V671" s="79" t="s">
        <v>65</v>
      </c>
      <c r="W671" s="79" t="s">
        <v>127</v>
      </c>
      <c r="X671" s="79" t="s">
        <v>69</v>
      </c>
      <c r="Y671" s="130">
        <v>1.0</v>
      </c>
      <c r="Z671" s="111">
        <v>22.0</v>
      </c>
      <c r="AA671" s="111">
        <v>400.0</v>
      </c>
      <c r="AB671" s="111" t="s">
        <v>61</v>
      </c>
      <c r="AC671" s="111">
        <v>358.0</v>
      </c>
      <c r="AD671" s="111">
        <v>259.0</v>
      </c>
      <c r="AE671" s="111">
        <v>18.5</v>
      </c>
      <c r="AF671" s="111" t="s">
        <v>61</v>
      </c>
      <c r="AG671" s="134" t="s">
        <v>2322</v>
      </c>
      <c r="AH671" s="73">
        <v>99.0</v>
      </c>
      <c r="AI671" s="135">
        <v>100.25316455696203</v>
      </c>
      <c r="AJ671" s="136">
        <v>66.89868623737372</v>
      </c>
      <c r="AK671" s="76">
        <v>0.86320885467579</v>
      </c>
      <c r="AL671" s="137" t="s">
        <v>2323</v>
      </c>
      <c r="AM671" s="139">
        <v>405.0</v>
      </c>
      <c r="AN671" s="139">
        <v>1176.0</v>
      </c>
      <c r="AO671" s="140">
        <v>606.31</v>
      </c>
      <c r="AP671" s="142">
        <v>211500.0</v>
      </c>
      <c r="AQ671" s="142">
        <v>212.0</v>
      </c>
      <c r="AR671" s="143"/>
      <c r="AS671" s="144">
        <v>0.9271790702610453</v>
      </c>
      <c r="AT671" s="144">
        <v>-0.018579070261045327</v>
      </c>
      <c r="AU671" s="146" t="s">
        <v>2324</v>
      </c>
      <c r="AV671" s="146" t="s">
        <v>2324</v>
      </c>
      <c r="AW671" s="148" t="s">
        <v>2324</v>
      </c>
      <c r="AX671" s="151"/>
      <c r="AY671" s="105"/>
      <c r="AZ671" s="186"/>
      <c r="BA671" s="186"/>
      <c r="BB671" s="222"/>
      <c r="BC671" s="45"/>
      <c r="BD671" s="45"/>
      <c r="BE671" s="155"/>
      <c r="BF671" s="45"/>
    </row>
    <row r="672" ht="16.5" customHeight="1">
      <c r="A672" s="111">
        <v>669.0</v>
      </c>
      <c r="B672" s="112" t="s">
        <v>640</v>
      </c>
      <c r="C672" s="115" t="s">
        <v>60</v>
      </c>
      <c r="D672" s="117">
        <v>41927.0</v>
      </c>
      <c r="E672" s="117">
        <v>42702.0</v>
      </c>
      <c r="F672" s="79" t="s">
        <v>59</v>
      </c>
      <c r="G672" s="118">
        <v>97602.0</v>
      </c>
      <c r="H672" s="114">
        <v>125.8</v>
      </c>
      <c r="I672" s="120">
        <v>373.0</v>
      </c>
      <c r="J672" s="111" t="s">
        <v>61</v>
      </c>
      <c r="K672" s="121">
        <v>377.72</v>
      </c>
      <c r="L672" s="120" t="s">
        <v>63</v>
      </c>
      <c r="M672" s="120"/>
      <c r="N672" s="120"/>
      <c r="O672" s="124">
        <v>97602.0</v>
      </c>
      <c r="P672" s="124">
        <v>776.0</v>
      </c>
      <c r="Q672" s="111">
        <v>215.0</v>
      </c>
      <c r="R672" s="125">
        <v>399.0</v>
      </c>
      <c r="S672" s="126">
        <v>0.9467</v>
      </c>
      <c r="T672" s="127">
        <v>73369.25</v>
      </c>
      <c r="U672" s="128">
        <f t="shared" si="2"/>
        <v>0</v>
      </c>
      <c r="V672" s="79" t="s">
        <v>127</v>
      </c>
      <c r="W672" s="79" t="s">
        <v>69</v>
      </c>
      <c r="X672" s="79" t="s">
        <v>64</v>
      </c>
      <c r="Y672" s="130">
        <v>0.9</v>
      </c>
      <c r="Z672" s="111" t="s">
        <v>2308</v>
      </c>
      <c r="AA672" s="111">
        <v>393.0</v>
      </c>
      <c r="AB672" s="111" t="s">
        <v>61</v>
      </c>
      <c r="AC672" s="133"/>
      <c r="AD672" s="133"/>
      <c r="AE672" s="133"/>
      <c r="AF672" s="111"/>
      <c r="AG672" s="147"/>
      <c r="AH672" s="73"/>
      <c r="AI672" s="135"/>
      <c r="AJ672" s="136"/>
      <c r="AK672" s="76"/>
      <c r="AL672" s="137"/>
      <c r="AM672" s="139">
        <v>398.0</v>
      </c>
      <c r="AN672" s="139">
        <v>776.0</v>
      </c>
      <c r="AO672" s="140">
        <v>278.21</v>
      </c>
      <c r="AP672" s="142">
        <v>97602.0</v>
      </c>
      <c r="AQ672" s="142">
        <v>215.0</v>
      </c>
      <c r="AR672" s="143"/>
      <c r="AS672" s="144">
        <v>0.9453794487774079</v>
      </c>
      <c r="AT672" s="144">
        <v>0.0013205512225921145</v>
      </c>
      <c r="AU672" s="146" t="s">
        <v>2325</v>
      </c>
      <c r="AV672" s="146" t="s">
        <v>2325</v>
      </c>
      <c r="AW672" s="148" t="s">
        <v>2325</v>
      </c>
      <c r="AX672" s="151"/>
      <c r="AY672" s="105"/>
      <c r="AZ672" s="186"/>
      <c r="BA672" s="186"/>
      <c r="BB672" s="222"/>
      <c r="BC672" s="45"/>
      <c r="BD672" s="45"/>
      <c r="BE672" s="155"/>
      <c r="BF672" s="45"/>
    </row>
    <row r="673" ht="16.5" customHeight="1">
      <c r="A673" s="111">
        <v>670.0</v>
      </c>
      <c r="B673" s="112" t="s">
        <v>1883</v>
      </c>
      <c r="C673" s="115" t="s">
        <v>60</v>
      </c>
      <c r="D673" s="117">
        <v>42626.0</v>
      </c>
      <c r="E673" s="117">
        <v>42701.0</v>
      </c>
      <c r="F673" s="79" t="s">
        <v>305</v>
      </c>
      <c r="G673" s="118">
        <v>8000.0</v>
      </c>
      <c r="H673" s="114">
        <v>105.3</v>
      </c>
      <c r="I673" s="120">
        <v>444.0</v>
      </c>
      <c r="J673" s="111" t="s">
        <v>61</v>
      </c>
      <c r="K673" s="121">
        <v>449.62</v>
      </c>
      <c r="L673" s="120" t="s">
        <v>63</v>
      </c>
      <c r="M673" s="120"/>
      <c r="N673" s="120"/>
      <c r="O673" s="124">
        <v>8000.0</v>
      </c>
      <c r="P673" s="124">
        <v>76.0</v>
      </c>
      <c r="Q673" s="111">
        <v>220.0</v>
      </c>
      <c r="R673" s="125">
        <v>452.0</v>
      </c>
      <c r="S673" s="126">
        <v>0.9947</v>
      </c>
      <c r="T673" s="127">
        <v>81366.46</v>
      </c>
      <c r="U673" s="128">
        <f t="shared" si="2"/>
        <v>0</v>
      </c>
      <c r="V673" s="79" t="s">
        <v>127</v>
      </c>
      <c r="W673" s="79" t="s">
        <v>69</v>
      </c>
      <c r="X673" s="79" t="s">
        <v>68</v>
      </c>
      <c r="Y673" s="130">
        <v>0.9</v>
      </c>
      <c r="Z673" s="111">
        <v>11.0</v>
      </c>
      <c r="AA673" s="111">
        <v>450.0</v>
      </c>
      <c r="AB673" s="111" t="s">
        <v>61</v>
      </c>
      <c r="AC673" s="831">
        <v>444.0</v>
      </c>
      <c r="AD673" s="133"/>
      <c r="AE673" s="133"/>
      <c r="AF673" s="111"/>
      <c r="AG673" s="147"/>
      <c r="AH673" s="73" t="s">
        <v>74</v>
      </c>
      <c r="AI673" s="135"/>
      <c r="AJ673" s="136"/>
      <c r="AK673" s="76"/>
      <c r="AL673" s="137"/>
      <c r="AM673" s="139">
        <v>456.0</v>
      </c>
      <c r="AN673" s="139">
        <v>76.0</v>
      </c>
      <c r="AO673" s="140">
        <v>21.58</v>
      </c>
      <c r="AP673" s="142">
        <v>8000.0</v>
      </c>
      <c r="AQ673" s="142">
        <v>220.0</v>
      </c>
      <c r="AR673" s="143"/>
      <c r="AS673" s="144">
        <v>0.9862511139643646</v>
      </c>
      <c r="AT673" s="144">
        <v>0.008448886035635428</v>
      </c>
      <c r="AU673" s="146" t="s">
        <v>2326</v>
      </c>
      <c r="AV673" s="146" t="s">
        <v>2326</v>
      </c>
      <c r="AW673" s="148" t="s">
        <v>2326</v>
      </c>
      <c r="AX673" s="151"/>
      <c r="AY673" s="105"/>
      <c r="AZ673" s="186"/>
      <c r="BA673" s="186"/>
      <c r="BB673" s="222"/>
      <c r="BC673" s="45"/>
      <c r="BD673" s="45"/>
      <c r="BE673" s="155"/>
      <c r="BF673" s="45"/>
    </row>
    <row r="674" ht="16.5" customHeight="1">
      <c r="A674" s="111">
        <v>671.0</v>
      </c>
      <c r="B674" s="112" t="s">
        <v>1703</v>
      </c>
      <c r="C674" s="115" t="s">
        <v>60</v>
      </c>
      <c r="D674" s="117">
        <v>42353.0</v>
      </c>
      <c r="E674" s="117">
        <v>42705.0</v>
      </c>
      <c r="F674" s="79" t="s">
        <v>118</v>
      </c>
      <c r="G674" s="118">
        <v>30000.0</v>
      </c>
      <c r="H674" s="114">
        <v>85.0</v>
      </c>
      <c r="I674" s="120">
        <v>358.0</v>
      </c>
      <c r="J674" s="111" t="s">
        <v>61</v>
      </c>
      <c r="K674" s="121">
        <v>362.53</v>
      </c>
      <c r="L674" s="120" t="s">
        <v>63</v>
      </c>
      <c r="M674" s="120"/>
      <c r="N674" s="120"/>
      <c r="O674" s="124">
        <v>30000.0</v>
      </c>
      <c r="P674" s="124">
        <v>353.0</v>
      </c>
      <c r="Q674" s="111">
        <v>205.0</v>
      </c>
      <c r="R674" s="125">
        <v>365.0</v>
      </c>
      <c r="S674" s="126">
        <v>0.9932</v>
      </c>
      <c r="T674" s="127">
        <v>68332.16</v>
      </c>
      <c r="U674" s="128">
        <f t="shared" si="2"/>
        <v>0</v>
      </c>
      <c r="V674" s="79"/>
      <c r="W674" s="79"/>
      <c r="X674" s="79"/>
      <c r="Y674" s="130"/>
      <c r="Z674" s="111"/>
      <c r="AA674" s="133"/>
      <c r="AB674" s="133"/>
      <c r="AC674" s="133"/>
      <c r="AD674" s="133"/>
      <c r="AE674" s="133"/>
      <c r="AF674" s="111"/>
      <c r="AG674" s="147"/>
      <c r="AH674" s="73"/>
      <c r="AI674" s="135"/>
      <c r="AJ674" s="136"/>
      <c r="AK674" s="76"/>
      <c r="AL674" s="137"/>
      <c r="AM674" s="139" t="s">
        <v>71</v>
      </c>
      <c r="AN674" s="139">
        <v>353.0</v>
      </c>
      <c r="AO674" s="140">
        <v>89.71</v>
      </c>
      <c r="AP674" s="142">
        <v>30000.0</v>
      </c>
      <c r="AQ674" s="142">
        <v>205.0</v>
      </c>
      <c r="AR674" s="143"/>
      <c r="AS674" s="144">
        <v>0.9652068704147506</v>
      </c>
      <c r="AT674" s="144">
        <v>0.027993129585249354</v>
      </c>
      <c r="AU674" s="146" t="s">
        <v>2327</v>
      </c>
      <c r="AV674" s="146" t="s">
        <v>2327</v>
      </c>
      <c r="AW674" s="148" t="s">
        <v>2327</v>
      </c>
      <c r="AX674" s="151"/>
      <c r="AY674" s="105"/>
      <c r="AZ674" s="186"/>
      <c r="BA674" s="186"/>
      <c r="BB674" s="222"/>
      <c r="BC674" s="45"/>
      <c r="BD674" s="45"/>
      <c r="BE674" s="155"/>
      <c r="BF674" s="45"/>
    </row>
    <row r="675" ht="16.5" customHeight="1">
      <c r="A675" s="111">
        <v>672.0</v>
      </c>
      <c r="B675" s="112" t="s">
        <v>1726</v>
      </c>
      <c r="C675" s="115" t="s">
        <v>60</v>
      </c>
      <c r="D675" s="117">
        <v>42276.0</v>
      </c>
      <c r="E675" s="117">
        <v>42706.0</v>
      </c>
      <c r="F675" s="79" t="s">
        <v>305</v>
      </c>
      <c r="G675" s="118">
        <v>39821.0</v>
      </c>
      <c r="H675" s="114">
        <v>92.4</v>
      </c>
      <c r="I675" s="120">
        <v>433.0</v>
      </c>
      <c r="J675" s="111" t="s">
        <v>61</v>
      </c>
      <c r="K675" s="121">
        <v>438.48</v>
      </c>
      <c r="L675" s="120" t="s">
        <v>63</v>
      </c>
      <c r="M675" s="120"/>
      <c r="N675" s="120"/>
      <c r="O675" s="124">
        <v>39821.0</v>
      </c>
      <c r="P675" s="124">
        <v>431.0</v>
      </c>
      <c r="Q675" s="111">
        <v>230.0</v>
      </c>
      <c r="R675" s="125">
        <v>452.0</v>
      </c>
      <c r="S675" s="126">
        <v>0.9701</v>
      </c>
      <c r="T675" s="127">
        <v>79354.18</v>
      </c>
      <c r="U675" s="128">
        <f t="shared" si="2"/>
        <v>0</v>
      </c>
      <c r="V675" s="79" t="s">
        <v>64</v>
      </c>
      <c r="W675" s="79" t="s">
        <v>64</v>
      </c>
      <c r="X675" s="79" t="s">
        <v>69</v>
      </c>
      <c r="Y675" s="130">
        <v>0.8</v>
      </c>
      <c r="Z675" s="111">
        <v>11.0</v>
      </c>
      <c r="AA675" s="111">
        <v>426.0</v>
      </c>
      <c r="AB675" s="111" t="s">
        <v>61</v>
      </c>
      <c r="AC675" s="133"/>
      <c r="AD675" s="133"/>
      <c r="AE675" s="133"/>
      <c r="AF675" s="111"/>
      <c r="AG675" s="147"/>
      <c r="AH675" s="73"/>
      <c r="AI675" s="135"/>
      <c r="AJ675" s="136"/>
      <c r="AK675" s="76"/>
      <c r="AL675" s="137"/>
      <c r="AM675" s="139">
        <v>431.0</v>
      </c>
      <c r="AN675" s="139">
        <v>431.0</v>
      </c>
      <c r="AO675" s="140">
        <v>113.68</v>
      </c>
      <c r="AP675" s="142">
        <v>39821.0</v>
      </c>
      <c r="AQ675" s="142">
        <v>230.0</v>
      </c>
      <c r="AR675" s="143"/>
      <c r="AS675" s="144">
        <v>0.9600907125682886</v>
      </c>
      <c r="AT675" s="144">
        <v>0.010009287431711367</v>
      </c>
      <c r="AU675" s="146" t="s">
        <v>2328</v>
      </c>
      <c r="AV675" s="146" t="s">
        <v>2328</v>
      </c>
      <c r="AW675" s="148" t="s">
        <v>2328</v>
      </c>
      <c r="AX675" s="151"/>
      <c r="AY675" s="105"/>
      <c r="AZ675" s="186"/>
      <c r="BA675" s="186"/>
      <c r="BB675" s="222"/>
      <c r="BC675" s="45"/>
      <c r="BD675" s="45"/>
      <c r="BE675" s="155"/>
      <c r="BF675" s="45"/>
    </row>
    <row r="676" ht="16.5" customHeight="1">
      <c r="A676" s="111">
        <v>673.0</v>
      </c>
      <c r="B676" s="112" t="s">
        <v>541</v>
      </c>
      <c r="C676" s="115" t="s">
        <v>60</v>
      </c>
      <c r="D676" s="117">
        <v>41603.0</v>
      </c>
      <c r="E676" s="117">
        <v>42707.0</v>
      </c>
      <c r="F676" s="79" t="s">
        <v>57</v>
      </c>
      <c r="G676" s="118">
        <v>127974.0</v>
      </c>
      <c r="H676" s="114">
        <v>115.8</v>
      </c>
      <c r="I676" s="120">
        <v>370.0</v>
      </c>
      <c r="J676" s="111" t="s">
        <v>62</v>
      </c>
      <c r="K676" s="121">
        <v>370.0</v>
      </c>
      <c r="L676" s="120" t="s">
        <v>63</v>
      </c>
      <c r="M676" s="120"/>
      <c r="N676" s="120"/>
      <c r="O676" s="124">
        <v>127974.0</v>
      </c>
      <c r="P676" s="124">
        <v>1105.0</v>
      </c>
      <c r="Q676" s="111">
        <v>224.0</v>
      </c>
      <c r="R676" s="125">
        <v>399.0</v>
      </c>
      <c r="S676" s="126">
        <v>0.9273</v>
      </c>
      <c r="T676" s="127">
        <v>71865.75</v>
      </c>
      <c r="U676" s="128">
        <f t="shared" si="2"/>
        <v>0</v>
      </c>
      <c r="V676" s="79" t="s">
        <v>69</v>
      </c>
      <c r="W676" s="79" t="s">
        <v>67</v>
      </c>
      <c r="X676" s="79" t="s">
        <v>69</v>
      </c>
      <c r="Y676" s="130">
        <v>0.9</v>
      </c>
      <c r="Z676" s="111">
        <v>11.0</v>
      </c>
      <c r="AA676" s="111">
        <v>400.0</v>
      </c>
      <c r="AB676" s="111" t="s">
        <v>61</v>
      </c>
      <c r="AC676" s="133"/>
      <c r="AD676" s="133"/>
      <c r="AE676" s="133"/>
      <c r="AF676" s="111"/>
      <c r="AG676" s="147"/>
      <c r="AH676" s="73"/>
      <c r="AI676" s="135"/>
      <c r="AJ676" s="136"/>
      <c r="AK676" s="76"/>
      <c r="AL676" s="137"/>
      <c r="AM676" s="139">
        <v>405.0</v>
      </c>
      <c r="AN676" s="139">
        <v>1105.0</v>
      </c>
      <c r="AO676" s="140">
        <v>383.89</v>
      </c>
      <c r="AP676" s="142">
        <v>127974.0</v>
      </c>
      <c r="AQ676" s="142">
        <v>224.0</v>
      </c>
      <c r="AR676" s="143"/>
      <c r="AS676" s="144">
        <v>0.9403287057459978</v>
      </c>
      <c r="AT676" s="144">
        <v>-0.013028705745997793</v>
      </c>
      <c r="AU676" s="146" t="s">
        <v>2329</v>
      </c>
      <c r="AV676" s="146" t="s">
        <v>2329</v>
      </c>
      <c r="AW676" s="148" t="s">
        <v>2329</v>
      </c>
      <c r="AX676" s="151"/>
      <c r="AY676" s="105"/>
      <c r="AZ676" s="186"/>
      <c r="BA676" s="186"/>
      <c r="BB676" s="222"/>
      <c r="BC676" s="45"/>
      <c r="BD676" s="45"/>
      <c r="BE676" s="155"/>
      <c r="BF676" s="45"/>
    </row>
    <row r="677" ht="16.5" customHeight="1">
      <c r="A677" s="111">
        <v>674.0</v>
      </c>
      <c r="B677" s="112" t="s">
        <v>1637</v>
      </c>
      <c r="C677" s="115" t="s">
        <v>60</v>
      </c>
      <c r="D677" s="117">
        <v>42235.0</v>
      </c>
      <c r="E677" s="117">
        <v>42698.0</v>
      </c>
      <c r="F677" s="79" t="s">
        <v>118</v>
      </c>
      <c r="G677" s="118">
        <v>65470.0</v>
      </c>
      <c r="H677" s="114">
        <v>141.1</v>
      </c>
      <c r="I677" s="120">
        <v>351.0</v>
      </c>
      <c r="J677" s="111" t="s">
        <v>61</v>
      </c>
      <c r="K677" s="121">
        <v>355.44</v>
      </c>
      <c r="L677" s="120" t="s">
        <v>63</v>
      </c>
      <c r="M677" s="120"/>
      <c r="N677" s="120"/>
      <c r="O677" s="124">
        <v>65470.0</v>
      </c>
      <c r="P677" s="124">
        <v>464.0</v>
      </c>
      <c r="Q677" s="111">
        <v>203.0</v>
      </c>
      <c r="R677" s="125">
        <v>365.0</v>
      </c>
      <c r="S677" s="126">
        <v>0.9738</v>
      </c>
      <c r="T677" s="127">
        <v>66997.44</v>
      </c>
      <c r="U677" s="128">
        <f t="shared" si="2"/>
        <v>0</v>
      </c>
      <c r="V677" s="79" t="s">
        <v>67</v>
      </c>
      <c r="W677" s="79" t="s">
        <v>64</v>
      </c>
      <c r="X677" s="79" t="s">
        <v>69</v>
      </c>
      <c r="Y677" s="130">
        <v>0.8</v>
      </c>
      <c r="Z677" s="111">
        <v>11.0</v>
      </c>
      <c r="AA677" s="111">
        <v>360.0</v>
      </c>
      <c r="AB677" s="111" t="s">
        <v>61</v>
      </c>
      <c r="AC677" s="133"/>
      <c r="AD677" s="133"/>
      <c r="AE677" s="133"/>
      <c r="AF677" s="111"/>
      <c r="AG677" s="147"/>
      <c r="AH677" s="73"/>
      <c r="AI677" s="135"/>
      <c r="AJ677" s="136"/>
      <c r="AK677" s="76"/>
      <c r="AL677" s="137"/>
      <c r="AM677" s="139">
        <v>365.0</v>
      </c>
      <c r="AN677" s="139">
        <v>464.0</v>
      </c>
      <c r="AO677" s="140">
        <v>195.76</v>
      </c>
      <c r="AP677" s="142">
        <v>65470.0</v>
      </c>
      <c r="AQ677" s="142">
        <v>203.0</v>
      </c>
      <c r="AR677" s="143"/>
      <c r="AS677" s="144">
        <v>0.951816551044923</v>
      </c>
      <c r="AT677" s="144">
        <v>0.02198344895507698</v>
      </c>
      <c r="AU677" s="146" t="s">
        <v>2330</v>
      </c>
      <c r="AV677" s="146" t="s">
        <v>2330</v>
      </c>
      <c r="AW677" s="148" t="s">
        <v>2330</v>
      </c>
      <c r="AX677" s="151"/>
      <c r="AY677" s="105"/>
      <c r="AZ677" s="186"/>
      <c r="BA677" s="186"/>
      <c r="BB677" s="222"/>
      <c r="BC677" s="45"/>
      <c r="BD677" s="45"/>
      <c r="BE677" s="155"/>
      <c r="BF677" s="45"/>
    </row>
    <row r="678" ht="16.5" customHeight="1">
      <c r="A678" s="111">
        <v>675.0</v>
      </c>
      <c r="B678" s="112" t="s">
        <v>1784</v>
      </c>
      <c r="C678" s="115" t="s">
        <v>60</v>
      </c>
      <c r="D678" s="117">
        <v>41942.0</v>
      </c>
      <c r="E678" s="117">
        <v>42710.0</v>
      </c>
      <c r="F678" s="79" t="s">
        <v>59</v>
      </c>
      <c r="G678" s="118">
        <v>79700.0</v>
      </c>
      <c r="H678" s="114">
        <v>103.6</v>
      </c>
      <c r="I678" s="120">
        <v>376.0</v>
      </c>
      <c r="J678" s="111" t="s">
        <v>61</v>
      </c>
      <c r="K678" s="121">
        <v>380.76</v>
      </c>
      <c r="L678" s="120" t="s">
        <v>63</v>
      </c>
      <c r="M678" s="120"/>
      <c r="N678" s="120"/>
      <c r="O678" s="124">
        <v>79700.0</v>
      </c>
      <c r="P678" s="124">
        <v>769.0</v>
      </c>
      <c r="Q678" s="111">
        <v>194.0</v>
      </c>
      <c r="R678" s="125">
        <v>399.0</v>
      </c>
      <c r="S678" s="126">
        <v>0.9543</v>
      </c>
      <c r="T678" s="127">
        <v>73958.25</v>
      </c>
      <c r="U678" s="128">
        <f t="shared" si="2"/>
        <v>0</v>
      </c>
      <c r="V678" s="79" t="s">
        <v>80</v>
      </c>
      <c r="W678" s="79" t="s">
        <v>69</v>
      </c>
      <c r="X678" s="79" t="s">
        <v>68</v>
      </c>
      <c r="Y678" s="130">
        <v>0.9</v>
      </c>
      <c r="Z678" s="111"/>
      <c r="AA678" s="133"/>
      <c r="AB678" s="133"/>
      <c r="AC678" s="133"/>
      <c r="AD678" s="133"/>
      <c r="AE678" s="133"/>
      <c r="AF678" s="111"/>
      <c r="AG678" s="147"/>
      <c r="AH678" s="73"/>
      <c r="AI678" s="135"/>
      <c r="AJ678" s="136"/>
      <c r="AK678" s="76"/>
      <c r="AL678" s="137"/>
      <c r="AM678" s="139" t="s">
        <v>71</v>
      </c>
      <c r="AN678" s="139">
        <v>769.0</v>
      </c>
      <c r="AO678" s="140">
        <v>204.2</v>
      </c>
      <c r="AP678" s="142">
        <v>79700.0</v>
      </c>
      <c r="AQ678" s="142">
        <v>194.0</v>
      </c>
      <c r="AR678" s="143"/>
      <c r="AS678" s="144">
        <v>0.9487060124726533</v>
      </c>
      <c r="AT678" s="144">
        <v>0.005593987527346744</v>
      </c>
      <c r="AU678" s="146" t="s">
        <v>2331</v>
      </c>
      <c r="AV678" s="146" t="s">
        <v>2331</v>
      </c>
      <c r="AW678" s="148" t="s">
        <v>2331</v>
      </c>
      <c r="AX678" s="151"/>
      <c r="AY678" s="105"/>
      <c r="AZ678" s="186"/>
      <c r="BA678" s="186"/>
      <c r="BB678" s="222"/>
      <c r="BC678" s="45"/>
      <c r="BD678" s="45"/>
      <c r="BE678" s="155"/>
      <c r="BF678" s="45"/>
    </row>
    <row r="679" ht="16.5" customHeight="1">
      <c r="A679" s="111">
        <v>676.0</v>
      </c>
      <c r="B679" s="112" t="s">
        <v>84</v>
      </c>
      <c r="C679" s="115" t="s">
        <v>60</v>
      </c>
      <c r="D679" s="117">
        <v>41814.0</v>
      </c>
      <c r="E679" s="117">
        <v>42701.0</v>
      </c>
      <c r="F679" s="79" t="s">
        <v>59</v>
      </c>
      <c r="G679" s="118">
        <v>83000.0</v>
      </c>
      <c r="H679" s="114">
        <v>93.5</v>
      </c>
      <c r="I679" s="120">
        <v>377.0</v>
      </c>
      <c r="J679" s="111" t="s">
        <v>62</v>
      </c>
      <c r="K679" s="121">
        <v>377.0</v>
      </c>
      <c r="L679" s="120" t="s">
        <v>63</v>
      </c>
      <c r="M679" s="120"/>
      <c r="N679" s="120"/>
      <c r="O679" s="124">
        <v>83000.0</v>
      </c>
      <c r="P679" s="124">
        <v>888.0</v>
      </c>
      <c r="Q679" s="111">
        <v>215.0</v>
      </c>
      <c r="R679" s="125">
        <v>399.0</v>
      </c>
      <c r="S679" s="126">
        <v>0.9449</v>
      </c>
      <c r="T679" s="127">
        <v>73229.75</v>
      </c>
      <c r="U679" s="128">
        <f t="shared" si="2"/>
        <v>0</v>
      </c>
      <c r="V679" s="79" t="s">
        <v>127</v>
      </c>
      <c r="W679" s="79" t="s">
        <v>69</v>
      </c>
      <c r="X679" s="79" t="s">
        <v>68</v>
      </c>
      <c r="Y679" s="130">
        <v>0.9</v>
      </c>
      <c r="Z679" s="111">
        <v>11.0</v>
      </c>
      <c r="AA679" s="133"/>
      <c r="AB679" s="133"/>
      <c r="AC679" s="133"/>
      <c r="AD679" s="133"/>
      <c r="AE679" s="133"/>
      <c r="AF679" s="111"/>
      <c r="AG679" s="147"/>
      <c r="AH679" s="73"/>
      <c r="AI679" s="135"/>
      <c r="AJ679" s="136"/>
      <c r="AK679" s="76"/>
      <c r="AL679" s="137"/>
      <c r="AM679" s="139" t="s">
        <v>71</v>
      </c>
      <c r="AN679" s="139">
        <v>888.0</v>
      </c>
      <c r="AO679" s="140">
        <v>236.82</v>
      </c>
      <c r="AP679" s="142">
        <v>83000.0</v>
      </c>
      <c r="AQ679" s="142">
        <v>215.0</v>
      </c>
      <c r="AR679" s="143"/>
      <c r="AS679" s="144">
        <v>0.9480566386657675</v>
      </c>
      <c r="AT679" s="144">
        <v>-0.0031566386657675416</v>
      </c>
      <c r="AU679" s="146" t="s">
        <v>2333</v>
      </c>
      <c r="AV679" s="146" t="s">
        <v>2333</v>
      </c>
      <c r="AW679" s="148" t="s">
        <v>2333</v>
      </c>
      <c r="AX679" s="151"/>
      <c r="AY679" s="105"/>
      <c r="AZ679" s="186"/>
      <c r="BA679" s="186"/>
      <c r="BB679" s="222"/>
      <c r="BC679" s="45"/>
      <c r="BD679" s="45"/>
      <c r="BE679" s="155"/>
      <c r="BF679" s="45"/>
    </row>
    <row r="680" ht="16.5" customHeight="1">
      <c r="A680" s="111">
        <v>677.0</v>
      </c>
      <c r="B680" s="112" t="s">
        <v>376</v>
      </c>
      <c r="C680" s="115" t="s">
        <v>60</v>
      </c>
      <c r="D680" s="117">
        <v>41600.0</v>
      </c>
      <c r="E680" s="117">
        <v>42713.0</v>
      </c>
      <c r="F680" s="79" t="s">
        <v>59</v>
      </c>
      <c r="G680" s="118">
        <v>119000.0</v>
      </c>
      <c r="H680" s="114">
        <v>106.8</v>
      </c>
      <c r="I680" s="120">
        <v>375.0</v>
      </c>
      <c r="J680" s="111" t="s">
        <v>62</v>
      </c>
      <c r="K680" s="121">
        <v>375.0</v>
      </c>
      <c r="L680" s="120" t="s">
        <v>63</v>
      </c>
      <c r="M680" s="120"/>
      <c r="N680" s="120"/>
      <c r="O680" s="124">
        <v>119000.0</v>
      </c>
      <c r="P680" s="124">
        <v>1114.0</v>
      </c>
      <c r="Q680" s="111">
        <v>200.0</v>
      </c>
      <c r="R680" s="125">
        <v>399.0</v>
      </c>
      <c r="S680" s="126">
        <v>0.9398</v>
      </c>
      <c r="T680" s="127">
        <v>72834.5</v>
      </c>
      <c r="U680" s="128">
        <f t="shared" si="2"/>
        <v>0</v>
      </c>
      <c r="V680" s="79" t="s">
        <v>64</v>
      </c>
      <c r="W680" s="79" t="s">
        <v>64</v>
      </c>
      <c r="X680" s="79" t="s">
        <v>68</v>
      </c>
      <c r="Y680" s="130">
        <v>0.9</v>
      </c>
      <c r="Z680" s="111">
        <v>11.0</v>
      </c>
      <c r="AA680" s="111">
        <v>383.0</v>
      </c>
      <c r="AB680" s="111" t="s">
        <v>61</v>
      </c>
      <c r="AC680" s="133"/>
      <c r="AD680" s="133"/>
      <c r="AE680" s="133"/>
      <c r="AF680" s="111"/>
      <c r="AG680" s="147"/>
      <c r="AH680" s="73"/>
      <c r="AI680" s="135"/>
      <c r="AJ680" s="136"/>
      <c r="AK680" s="76"/>
      <c r="AL680" s="137"/>
      <c r="AM680" s="139">
        <v>388.0</v>
      </c>
      <c r="AN680" s="139">
        <v>1114.0</v>
      </c>
      <c r="AO680" s="140">
        <v>316.67</v>
      </c>
      <c r="AP680" s="142">
        <v>119000.0</v>
      </c>
      <c r="AQ680" s="142">
        <v>200.0</v>
      </c>
      <c r="AR680" s="143"/>
      <c r="AS680" s="144">
        <v>0.9417815647910195</v>
      </c>
      <c r="AT680" s="144">
        <v>-0.001981564791019519</v>
      </c>
      <c r="AU680" s="146" t="s">
        <v>2335</v>
      </c>
      <c r="AV680" s="146" t="s">
        <v>2335</v>
      </c>
      <c r="AW680" s="148" t="s">
        <v>2335</v>
      </c>
      <c r="AX680" s="151"/>
      <c r="AY680" s="105"/>
      <c r="AZ680" s="186"/>
      <c r="BA680" s="186"/>
      <c r="BB680" s="222"/>
      <c r="BC680" s="45"/>
      <c r="BD680" s="45"/>
      <c r="BE680" s="155"/>
      <c r="BF680" s="45"/>
    </row>
    <row r="681" ht="16.5" customHeight="1">
      <c r="A681" s="111">
        <v>678.0</v>
      </c>
      <c r="B681" s="112" t="s">
        <v>1615</v>
      </c>
      <c r="C681" s="115" t="s">
        <v>60</v>
      </c>
      <c r="D681" s="117">
        <v>42545.0</v>
      </c>
      <c r="E681" s="117">
        <v>42713.0</v>
      </c>
      <c r="F681" s="79" t="s">
        <v>629</v>
      </c>
      <c r="G681" s="118">
        <v>8000.0</v>
      </c>
      <c r="H681" s="114">
        <v>47.3</v>
      </c>
      <c r="I681" s="120">
        <v>379.0</v>
      </c>
      <c r="J681" s="111" t="s">
        <v>62</v>
      </c>
      <c r="K681" s="121">
        <v>379.0</v>
      </c>
      <c r="L681" s="120" t="s">
        <v>63</v>
      </c>
      <c r="M681" s="120"/>
      <c r="N681" s="120"/>
      <c r="O681" s="124">
        <v>8000.0</v>
      </c>
      <c r="P681" s="124">
        <v>169.0</v>
      </c>
      <c r="Q681" s="111">
        <v>192.0</v>
      </c>
      <c r="R681" s="125">
        <v>386.0</v>
      </c>
      <c r="S681" s="126">
        <v>0.9819</v>
      </c>
      <c r="T681" s="127">
        <v>71285.94</v>
      </c>
      <c r="U681" s="128">
        <f t="shared" si="2"/>
        <v>0</v>
      </c>
      <c r="V681" s="79"/>
      <c r="W681" s="79"/>
      <c r="X681" s="79"/>
      <c r="Y681" s="130"/>
      <c r="Z681" s="111"/>
      <c r="AA681" s="133"/>
      <c r="AB681" s="133"/>
      <c r="AC681" s="133"/>
      <c r="AD681" s="133"/>
      <c r="AE681" s="133"/>
      <c r="AF681" s="111"/>
      <c r="AG681" s="147"/>
      <c r="AH681" s="73"/>
      <c r="AI681" s="135"/>
      <c r="AJ681" s="136"/>
      <c r="AK681" s="76"/>
      <c r="AL681" s="137"/>
      <c r="AM681" s="139" t="s">
        <v>71</v>
      </c>
      <c r="AN681" s="139">
        <v>169.0</v>
      </c>
      <c r="AO681" s="140">
        <v>21.36</v>
      </c>
      <c r="AP681" s="142">
        <v>8000.0</v>
      </c>
      <c r="AQ681" s="142">
        <v>192.0</v>
      </c>
      <c r="AR681" s="143"/>
      <c r="AS681" s="144">
        <v>0.9862511139643646</v>
      </c>
      <c r="AT681" s="144">
        <v>-0.004351113964364606</v>
      </c>
      <c r="AU681" s="146" t="s">
        <v>2337</v>
      </c>
      <c r="AV681" s="146" t="s">
        <v>2337</v>
      </c>
      <c r="AW681" s="148" t="s">
        <v>2337</v>
      </c>
      <c r="AX681" s="151"/>
      <c r="AY681" s="105"/>
      <c r="AZ681" s="186"/>
      <c r="BA681" s="186"/>
      <c r="BB681" s="222"/>
      <c r="BC681" s="45"/>
      <c r="BD681" s="45"/>
      <c r="BE681" s="155"/>
      <c r="BF681" s="45"/>
    </row>
    <row r="682" ht="16.5" customHeight="1">
      <c r="A682" s="111">
        <v>679.0</v>
      </c>
      <c r="B682" s="112" t="s">
        <v>1683</v>
      </c>
      <c r="C682" s="115" t="s">
        <v>60</v>
      </c>
      <c r="D682" s="117">
        <v>42460.0</v>
      </c>
      <c r="E682" s="117">
        <v>42713.0</v>
      </c>
      <c r="F682" s="79" t="s">
        <v>118</v>
      </c>
      <c r="G682" s="118">
        <v>17070.0</v>
      </c>
      <c r="H682" s="114">
        <v>67.2</v>
      </c>
      <c r="I682" s="120">
        <v>357.0</v>
      </c>
      <c r="J682" s="111" t="s">
        <v>61</v>
      </c>
      <c r="K682" s="121">
        <v>361.52</v>
      </c>
      <c r="L682" s="120" t="s">
        <v>63</v>
      </c>
      <c r="M682" s="120"/>
      <c r="N682" s="120"/>
      <c r="O682" s="124">
        <v>17070.0</v>
      </c>
      <c r="P682" s="124">
        <v>254.0</v>
      </c>
      <c r="Q682" s="111">
        <v>229.0</v>
      </c>
      <c r="R682" s="125">
        <v>365.0</v>
      </c>
      <c r="S682" s="126">
        <v>0.9905</v>
      </c>
      <c r="T682" s="127">
        <v>68146.40000000001</v>
      </c>
      <c r="U682" s="128">
        <f t="shared" si="2"/>
        <v>0</v>
      </c>
      <c r="V682" s="79" t="s">
        <v>69</v>
      </c>
      <c r="W682" s="79" t="s">
        <v>69</v>
      </c>
      <c r="X682" s="79" t="s">
        <v>66</v>
      </c>
      <c r="Y682" s="130">
        <v>0.9</v>
      </c>
      <c r="Z682" s="111" t="s">
        <v>2340</v>
      </c>
      <c r="AA682" s="111">
        <v>361.0</v>
      </c>
      <c r="AB682" s="111" t="s">
        <v>61</v>
      </c>
      <c r="AC682" s="133"/>
      <c r="AD682" s="133"/>
      <c r="AE682" s="133"/>
      <c r="AF682" s="111"/>
      <c r="AG682" s="147"/>
      <c r="AH682" s="73"/>
      <c r="AI682" s="135"/>
      <c r="AJ682" s="136"/>
      <c r="AK682" s="76"/>
      <c r="AL682" s="137"/>
      <c r="AM682" s="139">
        <v>366.0</v>
      </c>
      <c r="AN682" s="139">
        <v>254.0</v>
      </c>
      <c r="AO682" s="140">
        <v>57.1</v>
      </c>
      <c r="AP682" s="142">
        <v>17070.0</v>
      </c>
      <c r="AQ682" s="142">
        <v>229.0</v>
      </c>
      <c r="AR682" s="143"/>
      <c r="AS682" s="144">
        <v>0.9753434815559681</v>
      </c>
      <c r="AT682" s="144">
        <v>0.015156518444031986</v>
      </c>
      <c r="AU682" s="146" t="s">
        <v>2341</v>
      </c>
      <c r="AV682" s="146" t="s">
        <v>2341</v>
      </c>
      <c r="AW682" s="148" t="s">
        <v>2341</v>
      </c>
      <c r="AX682" s="151"/>
      <c r="AY682" s="105"/>
      <c r="AZ682" s="186"/>
      <c r="BA682" s="186"/>
      <c r="BB682" s="222"/>
      <c r="BC682" s="45"/>
      <c r="BD682" s="45"/>
      <c r="BE682" s="155"/>
      <c r="BF682" s="45"/>
    </row>
    <row r="683" ht="16.5" customHeight="1">
      <c r="A683" s="111">
        <v>680.0</v>
      </c>
      <c r="B683" s="112" t="s">
        <v>761</v>
      </c>
      <c r="C683" s="115" t="s">
        <v>60</v>
      </c>
      <c r="D683" s="582">
        <v>42097.0</v>
      </c>
      <c r="E683" s="117">
        <v>42713.0</v>
      </c>
      <c r="F683" s="79" t="s">
        <v>90</v>
      </c>
      <c r="G683" s="118">
        <v>36095.0</v>
      </c>
      <c r="H683" s="114">
        <v>58.5</v>
      </c>
      <c r="I683" s="120">
        <v>386.0</v>
      </c>
      <c r="J683" s="111" t="s">
        <v>62</v>
      </c>
      <c r="K683" s="121">
        <v>386.0</v>
      </c>
      <c r="L683" s="120" t="s">
        <v>63</v>
      </c>
      <c r="M683" s="120"/>
      <c r="N683" s="120"/>
      <c r="O683" s="124">
        <v>36095.0</v>
      </c>
      <c r="P683" s="124">
        <v>617.0</v>
      </c>
      <c r="Q683" s="111">
        <v>230.0</v>
      </c>
      <c r="R683" s="125">
        <v>408.0</v>
      </c>
      <c r="S683" s="126">
        <v>0.9461</v>
      </c>
      <c r="T683" s="127">
        <v>73322.75</v>
      </c>
      <c r="U683" s="128">
        <f t="shared" si="2"/>
        <v>0</v>
      </c>
      <c r="V683" s="636" t="s">
        <v>65</v>
      </c>
      <c r="W683" s="691" t="s">
        <v>64</v>
      </c>
      <c r="X683" s="691" t="s">
        <v>66</v>
      </c>
      <c r="Y683" s="130">
        <v>0.7</v>
      </c>
      <c r="Z683" s="693">
        <v>11.0</v>
      </c>
      <c r="AA683" s="202">
        <v>406.0</v>
      </c>
      <c r="AB683" s="202" t="s">
        <v>62</v>
      </c>
      <c r="AC683" s="133"/>
      <c r="AD683" s="133"/>
      <c r="AE683" s="133"/>
      <c r="AF683" s="111"/>
      <c r="AG683" s="134" t="s">
        <v>1899</v>
      </c>
      <c r="AH683" s="73"/>
      <c r="AI683" s="135"/>
      <c r="AJ683" s="136"/>
      <c r="AK683" s="76"/>
      <c r="AL683" s="137"/>
      <c r="AM683" s="139">
        <v>406.0</v>
      </c>
      <c r="AN683" s="139">
        <v>617.0</v>
      </c>
      <c r="AO683" s="140">
        <v>110.11</v>
      </c>
      <c r="AP683" s="142">
        <v>36095.0</v>
      </c>
      <c r="AQ683" s="142">
        <v>230.0</v>
      </c>
      <c r="AR683" s="143"/>
      <c r="AS683" s="144">
        <v>0.9618408731048244</v>
      </c>
      <c r="AT683" s="144">
        <v>-0.015740873104824304</v>
      </c>
      <c r="AU683" s="146" t="s">
        <v>2342</v>
      </c>
      <c r="AV683" s="146" t="s">
        <v>2342</v>
      </c>
      <c r="AW683" s="148" t="s">
        <v>2342</v>
      </c>
      <c r="AX683" s="151"/>
      <c r="AY683" s="105"/>
      <c r="AZ683" s="186"/>
      <c r="BA683" s="186"/>
      <c r="BB683" s="222"/>
      <c r="BC683" s="45"/>
      <c r="BD683" s="45"/>
      <c r="BE683" s="155"/>
      <c r="BF683" s="45"/>
    </row>
    <row r="684" ht="16.5" customHeight="1">
      <c r="A684" s="111">
        <v>681.0</v>
      </c>
      <c r="B684" s="112" t="s">
        <v>1710</v>
      </c>
      <c r="C684" s="115" t="s">
        <v>60</v>
      </c>
      <c r="D684" s="117">
        <v>41579.0</v>
      </c>
      <c r="E684" s="117">
        <v>42717.0</v>
      </c>
      <c r="F684" s="79" t="s">
        <v>59</v>
      </c>
      <c r="G684" s="118">
        <v>128000.0</v>
      </c>
      <c r="H684" s="114">
        <v>112.4</v>
      </c>
      <c r="I684" s="120">
        <v>371.0</v>
      </c>
      <c r="J684" s="111" t="s">
        <v>62</v>
      </c>
      <c r="K684" s="121">
        <v>371.0</v>
      </c>
      <c r="L684" s="120" t="s">
        <v>63</v>
      </c>
      <c r="M684" s="120"/>
      <c r="N684" s="120"/>
      <c r="O684" s="124">
        <v>128000.0</v>
      </c>
      <c r="P684" s="124">
        <v>1139.0</v>
      </c>
      <c r="Q684" s="111">
        <v>212.0</v>
      </c>
      <c r="R684" s="125">
        <v>399.0</v>
      </c>
      <c r="S684" s="126">
        <v>0.9298</v>
      </c>
      <c r="T684" s="127">
        <v>72059.5</v>
      </c>
      <c r="U684" s="128">
        <f t="shared" si="2"/>
        <v>0</v>
      </c>
      <c r="V684" s="79"/>
      <c r="W684" s="79"/>
      <c r="X684" s="79"/>
      <c r="Y684" s="130"/>
      <c r="Z684" s="111"/>
      <c r="AA684" s="133"/>
      <c r="AB684" s="133"/>
      <c r="AC684" s="133"/>
      <c r="AD684" s="133"/>
      <c r="AE684" s="133"/>
      <c r="AF684" s="111"/>
      <c r="AG684" s="147"/>
      <c r="AH684" s="73"/>
      <c r="AI684" s="135"/>
      <c r="AJ684" s="136"/>
      <c r="AK684" s="76"/>
      <c r="AL684" s="137"/>
      <c r="AM684" s="139" t="s">
        <v>71</v>
      </c>
      <c r="AN684" s="139">
        <v>1139.0</v>
      </c>
      <c r="AO684" s="140">
        <v>362.93</v>
      </c>
      <c r="AP684" s="142">
        <v>128000.0</v>
      </c>
      <c r="AQ684" s="142">
        <v>212.0</v>
      </c>
      <c r="AR684" s="143"/>
      <c r="AS684" s="144">
        <v>0.9403245250573192</v>
      </c>
      <c r="AT684" s="144">
        <v>-0.010524525057319267</v>
      </c>
      <c r="AU684" s="146" t="s">
        <v>2343</v>
      </c>
      <c r="AV684" s="146" t="s">
        <v>2343</v>
      </c>
      <c r="AW684" s="148" t="s">
        <v>2343</v>
      </c>
      <c r="AX684" s="151"/>
      <c r="AY684" s="105"/>
      <c r="AZ684" s="186"/>
      <c r="BA684" s="186"/>
      <c r="BB684" s="222"/>
      <c r="BC684" s="45"/>
      <c r="BD684" s="45"/>
      <c r="BE684" s="155"/>
      <c r="BF684" s="45"/>
    </row>
    <row r="685" ht="16.5" customHeight="1">
      <c r="A685" s="111">
        <v>682.0</v>
      </c>
      <c r="B685" s="112" t="s">
        <v>623</v>
      </c>
      <c r="C685" s="115" t="s">
        <v>60</v>
      </c>
      <c r="D685" s="117">
        <v>41794.0</v>
      </c>
      <c r="E685" s="117">
        <v>42697.0</v>
      </c>
      <c r="F685" s="79" t="s">
        <v>59</v>
      </c>
      <c r="G685" s="118">
        <v>145160.0</v>
      </c>
      <c r="H685" s="114">
        <v>160.6</v>
      </c>
      <c r="I685" s="120">
        <v>377.0</v>
      </c>
      <c r="J685" s="111" t="s">
        <v>62</v>
      </c>
      <c r="K685" s="121">
        <v>377.0</v>
      </c>
      <c r="L685" s="120" t="s">
        <v>63</v>
      </c>
      <c r="M685" s="120"/>
      <c r="N685" s="120"/>
      <c r="O685" s="124">
        <v>145160.0</v>
      </c>
      <c r="P685" s="124">
        <v>904.0</v>
      </c>
      <c r="Q685" s="111">
        <v>182.0</v>
      </c>
      <c r="R685" s="125">
        <v>399.0</v>
      </c>
      <c r="S685" s="126">
        <v>0.9449</v>
      </c>
      <c r="T685" s="127">
        <v>73229.75</v>
      </c>
      <c r="U685" s="128">
        <f t="shared" si="2"/>
        <v>0</v>
      </c>
      <c r="V685" s="79" t="s">
        <v>67</v>
      </c>
      <c r="W685" s="79" t="s">
        <v>69</v>
      </c>
      <c r="X685" s="79" t="s">
        <v>66</v>
      </c>
      <c r="Y685" s="130">
        <v>0.9</v>
      </c>
      <c r="Z685" s="111">
        <v>9.0</v>
      </c>
      <c r="AA685" s="133"/>
      <c r="AB685" s="133"/>
      <c r="AC685" s="133"/>
      <c r="AD685" s="133"/>
      <c r="AE685" s="133"/>
      <c r="AF685" s="111"/>
      <c r="AG685" s="840" t="s">
        <v>2244</v>
      </c>
      <c r="AH685" s="73"/>
      <c r="AI685" s="135"/>
      <c r="AJ685" s="136"/>
      <c r="AK685" s="76"/>
      <c r="AL685" s="137"/>
      <c r="AM685" s="139" t="s">
        <v>71</v>
      </c>
      <c r="AN685" s="139">
        <v>904.0</v>
      </c>
      <c r="AO685" s="140">
        <v>350.59</v>
      </c>
      <c r="AP685" s="142">
        <v>145160.0</v>
      </c>
      <c r="AQ685" s="142">
        <v>182.0</v>
      </c>
      <c r="AR685" s="143"/>
      <c r="AS685" s="144">
        <v>0.9375894764239395</v>
      </c>
      <c r="AT685" s="144">
        <v>0.007310523576060435</v>
      </c>
      <c r="AU685" s="146" t="s">
        <v>2345</v>
      </c>
      <c r="AV685" s="146" t="s">
        <v>2345</v>
      </c>
      <c r="AW685" s="148" t="s">
        <v>2345</v>
      </c>
      <c r="AX685" s="151"/>
      <c r="AY685" s="105"/>
      <c r="AZ685" s="186"/>
      <c r="BA685" s="186"/>
      <c r="BB685" s="222"/>
      <c r="BC685" s="45"/>
      <c r="BD685" s="45"/>
      <c r="BE685" s="155"/>
      <c r="BF685" s="45"/>
    </row>
    <row r="686" ht="16.5" customHeight="1">
      <c r="A686" s="111">
        <v>683.0</v>
      </c>
      <c r="B686" s="112" t="s">
        <v>1615</v>
      </c>
      <c r="C686" s="115" t="s">
        <v>60</v>
      </c>
      <c r="D686" s="117">
        <v>42545.0</v>
      </c>
      <c r="E686" s="117">
        <v>42720.0</v>
      </c>
      <c r="F686" s="79" t="s">
        <v>629</v>
      </c>
      <c r="G686" s="118">
        <v>8400.0</v>
      </c>
      <c r="H686" s="114">
        <v>47.7</v>
      </c>
      <c r="I686" s="120">
        <v>380.0</v>
      </c>
      <c r="J686" s="111" t="s">
        <v>62</v>
      </c>
      <c r="K686" s="121">
        <v>380.0</v>
      </c>
      <c r="L686" s="120" t="s">
        <v>63</v>
      </c>
      <c r="M686" s="120"/>
      <c r="N686" s="120"/>
      <c r="O686" s="124">
        <v>8400.0</v>
      </c>
      <c r="P686" s="124">
        <v>176.0</v>
      </c>
      <c r="Q686" s="111">
        <v>194.0</v>
      </c>
      <c r="R686" s="125">
        <v>386.0</v>
      </c>
      <c r="S686" s="126">
        <v>0.9845</v>
      </c>
      <c r="T686" s="127">
        <v>71474.7</v>
      </c>
      <c r="U686" s="128">
        <f t="shared" si="2"/>
        <v>0</v>
      </c>
      <c r="V686" s="79"/>
      <c r="W686" s="79"/>
      <c r="X686" s="79" t="s">
        <v>69</v>
      </c>
      <c r="Y686" s="130"/>
      <c r="Z686" s="111"/>
      <c r="AA686" s="133"/>
      <c r="AB686" s="133"/>
      <c r="AC686" s="133"/>
      <c r="AD686" s="133"/>
      <c r="AE686" s="133"/>
      <c r="AF686" s="111"/>
      <c r="AG686" s="147"/>
      <c r="AH686" s="73"/>
      <c r="AI686" s="135"/>
      <c r="AJ686" s="136"/>
      <c r="AK686" s="76"/>
      <c r="AL686" s="137"/>
      <c r="AM686" s="139" t="s">
        <v>71</v>
      </c>
      <c r="AN686" s="139">
        <v>176.0</v>
      </c>
      <c r="AO686" s="140">
        <v>22.63</v>
      </c>
      <c r="AP686" s="142">
        <v>8400.0</v>
      </c>
      <c r="AQ686" s="142">
        <v>194.0</v>
      </c>
      <c r="AR686" s="143"/>
      <c r="AS686" s="144">
        <v>0.9856790030901246</v>
      </c>
      <c r="AT686" s="144">
        <v>-0.0011790030901245308</v>
      </c>
      <c r="AU686" s="146" t="s">
        <v>2348</v>
      </c>
      <c r="AV686" s="146" t="s">
        <v>2348</v>
      </c>
      <c r="AW686" s="148" t="s">
        <v>2348</v>
      </c>
      <c r="AX686" s="151"/>
      <c r="AY686" s="105"/>
      <c r="AZ686" s="186"/>
      <c r="BA686" s="186"/>
      <c r="BB686" s="222"/>
      <c r="BC686" s="45"/>
      <c r="BD686" s="45"/>
      <c r="BE686" s="155"/>
      <c r="BF686" s="45"/>
    </row>
    <row r="687" ht="16.5" customHeight="1">
      <c r="A687" s="111">
        <v>684.0</v>
      </c>
      <c r="B687" s="112" t="s">
        <v>1632</v>
      </c>
      <c r="C687" s="115" t="s">
        <v>60</v>
      </c>
      <c r="D687" s="117">
        <v>42473.0</v>
      </c>
      <c r="E687" s="117">
        <v>42722.0</v>
      </c>
      <c r="F687" s="79" t="s">
        <v>619</v>
      </c>
      <c r="G687" s="118">
        <v>10001.0</v>
      </c>
      <c r="H687" s="114">
        <v>40.0</v>
      </c>
      <c r="I687" s="120">
        <v>402.0</v>
      </c>
      <c r="J687" s="111" t="s">
        <v>61</v>
      </c>
      <c r="K687" s="121">
        <v>407.09</v>
      </c>
      <c r="L687" s="120" t="s">
        <v>63</v>
      </c>
      <c r="M687" s="120"/>
      <c r="N687" s="120"/>
      <c r="O687" s="124">
        <v>10001.0</v>
      </c>
      <c r="P687" s="124">
        <v>250.0</v>
      </c>
      <c r="Q687" s="111">
        <v>235.0</v>
      </c>
      <c r="R687" s="125">
        <v>417.0</v>
      </c>
      <c r="S687" s="126">
        <v>0.9762</v>
      </c>
      <c r="T687" s="127">
        <v>79853.16</v>
      </c>
      <c r="U687" s="128">
        <f t="shared" si="2"/>
        <v>0</v>
      </c>
      <c r="V687" s="79" t="s">
        <v>69</v>
      </c>
      <c r="W687" s="79" t="s">
        <v>69</v>
      </c>
      <c r="X687" s="79" t="s">
        <v>69</v>
      </c>
      <c r="Y687" s="130">
        <v>0.8</v>
      </c>
      <c r="Z687" s="111">
        <v>11.0</v>
      </c>
      <c r="AA687" s="111">
        <v>412.0</v>
      </c>
      <c r="AB687" s="111" t="s">
        <v>61</v>
      </c>
      <c r="AC687" s="133"/>
      <c r="AD687" s="133"/>
      <c r="AE687" s="133"/>
      <c r="AF687" s="111"/>
      <c r="AG687" s="147"/>
      <c r="AH687" s="73"/>
      <c r="AI687" s="135"/>
      <c r="AJ687" s="136"/>
      <c r="AK687" s="76"/>
      <c r="AL687" s="137"/>
      <c r="AM687" s="139">
        <v>417.0</v>
      </c>
      <c r="AN687" s="139">
        <v>250.0</v>
      </c>
      <c r="AO687" s="140">
        <v>29.09</v>
      </c>
      <c r="AP687" s="142">
        <v>10001.0</v>
      </c>
      <c r="AQ687" s="142">
        <v>235.0</v>
      </c>
      <c r="AR687" s="143"/>
      <c r="AS687" s="144">
        <v>0.9834827160083776</v>
      </c>
      <c r="AT687" s="144">
        <v>-0.007282716008377599</v>
      </c>
      <c r="AU687" s="146" t="s">
        <v>2350</v>
      </c>
      <c r="AV687" s="146" t="s">
        <v>2350</v>
      </c>
      <c r="AW687" s="148" t="s">
        <v>2350</v>
      </c>
      <c r="AX687" s="151"/>
      <c r="AY687" s="105"/>
      <c r="AZ687" s="186"/>
      <c r="BA687" s="186"/>
      <c r="BB687" s="222"/>
      <c r="BC687" s="45"/>
      <c r="BD687" s="45"/>
      <c r="BE687" s="155"/>
      <c r="BF687" s="45"/>
    </row>
    <row r="688" ht="16.5" customHeight="1">
      <c r="A688" s="111">
        <v>685.0</v>
      </c>
      <c r="B688" s="112" t="s">
        <v>1703</v>
      </c>
      <c r="C688" s="115" t="s">
        <v>60</v>
      </c>
      <c r="D688" s="117">
        <v>42353.0</v>
      </c>
      <c r="E688" s="117">
        <v>42705.0</v>
      </c>
      <c r="F688" s="79" t="s">
        <v>118</v>
      </c>
      <c r="G688" s="118">
        <v>32054.0</v>
      </c>
      <c r="H688" s="114">
        <v>90.8</v>
      </c>
      <c r="I688" s="120">
        <v>358.0</v>
      </c>
      <c r="J688" s="111" t="s">
        <v>61</v>
      </c>
      <c r="K688" s="121">
        <v>362.53</v>
      </c>
      <c r="L688" s="120" t="s">
        <v>63</v>
      </c>
      <c r="M688" s="120"/>
      <c r="N688" s="120"/>
      <c r="O688" s="124">
        <v>32054.0</v>
      </c>
      <c r="P688" s="124">
        <v>353.0</v>
      </c>
      <c r="Q688" s="111">
        <v>207.0</v>
      </c>
      <c r="R688" s="125">
        <v>365.0</v>
      </c>
      <c r="S688" s="126">
        <v>0.9932</v>
      </c>
      <c r="T688" s="127">
        <v>68332.16</v>
      </c>
      <c r="U688" s="128">
        <f t="shared" si="2"/>
        <v>0</v>
      </c>
      <c r="V688" s="79"/>
      <c r="W688" s="79"/>
      <c r="X688" s="79"/>
      <c r="Y688" s="130"/>
      <c r="Z688" s="111"/>
      <c r="AA688" s="133"/>
      <c r="AB688" s="133"/>
      <c r="AC688" s="133"/>
      <c r="AD688" s="133"/>
      <c r="AE688" s="133"/>
      <c r="AF688" s="111"/>
      <c r="AG688" s="147"/>
      <c r="AH688" s="73"/>
      <c r="AI688" s="135"/>
      <c r="AJ688" s="136"/>
      <c r="AK688" s="76"/>
      <c r="AL688" s="137"/>
      <c r="AM688" s="139" t="s">
        <v>71</v>
      </c>
      <c r="AN688" s="139">
        <v>353.0</v>
      </c>
      <c r="AO688" s="140">
        <v>96.79</v>
      </c>
      <c r="AP688" s="142">
        <v>32054.0</v>
      </c>
      <c r="AQ688" s="142">
        <v>207.0</v>
      </c>
      <c r="AR688" s="143"/>
      <c r="AS688" s="144">
        <v>0.9639939396522402</v>
      </c>
      <c r="AT688" s="144">
        <v>0.029206060347759744</v>
      </c>
      <c r="AU688" s="146" t="s">
        <v>2352</v>
      </c>
      <c r="AV688" s="146" t="s">
        <v>2352</v>
      </c>
      <c r="AW688" s="148" t="s">
        <v>2352</v>
      </c>
      <c r="AX688" s="151"/>
      <c r="AY688" s="105"/>
      <c r="AZ688" s="186"/>
      <c r="BA688" s="186"/>
      <c r="BB688" s="222"/>
      <c r="BC688" s="45"/>
      <c r="BD688" s="45"/>
      <c r="BE688" s="155"/>
      <c r="BF688" s="45"/>
    </row>
    <row r="689" ht="16.5" customHeight="1">
      <c r="A689" s="111">
        <v>686.0</v>
      </c>
      <c r="B689" s="112" t="s">
        <v>1874</v>
      </c>
      <c r="C689" s="115" t="s">
        <v>60</v>
      </c>
      <c r="D689" s="117">
        <v>42444.0</v>
      </c>
      <c r="E689" s="117">
        <v>42727.0</v>
      </c>
      <c r="F689" s="79" t="s">
        <v>118</v>
      </c>
      <c r="G689" s="118">
        <v>32500.0</v>
      </c>
      <c r="H689" s="114">
        <v>114.4</v>
      </c>
      <c r="I689" s="120">
        <v>362.0</v>
      </c>
      <c r="J689" s="111" t="s">
        <v>62</v>
      </c>
      <c r="K689" s="121">
        <v>362.0</v>
      </c>
      <c r="L689" s="120" t="s">
        <v>63</v>
      </c>
      <c r="M689" s="120"/>
      <c r="N689" s="120"/>
      <c r="O689" s="124">
        <v>32500.0</v>
      </c>
      <c r="P689" s="124">
        <v>284.0</v>
      </c>
      <c r="Q689" s="111">
        <v>204.0</v>
      </c>
      <c r="R689" s="125">
        <v>365.0</v>
      </c>
      <c r="S689" s="126">
        <v>0.9918</v>
      </c>
      <c r="T689" s="127">
        <v>68235.84</v>
      </c>
      <c r="U689" s="128">
        <f t="shared" si="2"/>
        <v>0</v>
      </c>
      <c r="V689" s="79" t="s">
        <v>64</v>
      </c>
      <c r="W689" s="79" t="s">
        <v>65</v>
      </c>
      <c r="X689" s="79" t="s">
        <v>68</v>
      </c>
      <c r="Y689" s="130">
        <v>0.9</v>
      </c>
      <c r="Z689" s="111">
        <v>11.0</v>
      </c>
      <c r="AA689" s="111">
        <v>360.0</v>
      </c>
      <c r="AB689" s="111" t="s">
        <v>61</v>
      </c>
      <c r="AC689" s="133"/>
      <c r="AD689" s="133"/>
      <c r="AE689" s="133"/>
      <c r="AF689" s="111"/>
      <c r="AG689" s="147"/>
      <c r="AH689" s="73"/>
      <c r="AI689" s="135"/>
      <c r="AJ689" s="136"/>
      <c r="AK689" s="76"/>
      <c r="AL689" s="137"/>
      <c r="AM689" s="139">
        <v>365.0</v>
      </c>
      <c r="AN689" s="139">
        <v>284.0</v>
      </c>
      <c r="AO689" s="140">
        <v>96.78</v>
      </c>
      <c r="AP689" s="142">
        <v>32500.0</v>
      </c>
      <c r="AQ689" s="142">
        <v>204.0</v>
      </c>
      <c r="AR689" s="143"/>
      <c r="AS689" s="144">
        <v>0.9637417234335016</v>
      </c>
      <c r="AT689" s="144">
        <v>0.028058276566498397</v>
      </c>
      <c r="AU689" s="146" t="s">
        <v>2356</v>
      </c>
      <c r="AV689" s="146" t="s">
        <v>2356</v>
      </c>
      <c r="AW689" s="148" t="s">
        <v>2356</v>
      </c>
      <c r="AX689" s="151"/>
      <c r="AY689" s="105"/>
      <c r="AZ689" s="186"/>
      <c r="BA689" s="186"/>
      <c r="BB689" s="222"/>
      <c r="BC689" s="45"/>
      <c r="BD689" s="45"/>
      <c r="BE689" s="155"/>
      <c r="BF689" s="45"/>
    </row>
    <row r="690" ht="16.5" customHeight="1">
      <c r="A690" s="111">
        <v>687.0</v>
      </c>
      <c r="B690" s="112" t="s">
        <v>761</v>
      </c>
      <c r="C690" s="115" t="s">
        <v>60</v>
      </c>
      <c r="D690" s="582">
        <v>42097.0</v>
      </c>
      <c r="E690" s="117">
        <v>42728.0</v>
      </c>
      <c r="F690" s="79" t="s">
        <v>90</v>
      </c>
      <c r="G690" s="118">
        <v>36535.0</v>
      </c>
      <c r="H690" s="114">
        <v>57.8</v>
      </c>
      <c r="I690" s="120">
        <v>386.0</v>
      </c>
      <c r="J690" s="111" t="s">
        <v>62</v>
      </c>
      <c r="K690" s="121">
        <v>386.0</v>
      </c>
      <c r="L690" s="120" t="s">
        <v>63</v>
      </c>
      <c r="M690" s="120"/>
      <c r="N690" s="120"/>
      <c r="O690" s="124">
        <v>36535.0</v>
      </c>
      <c r="P690" s="124">
        <v>632.0</v>
      </c>
      <c r="Q690" s="111">
        <v>230.0</v>
      </c>
      <c r="R690" s="125">
        <v>408.0</v>
      </c>
      <c r="S690" s="126">
        <v>0.9461</v>
      </c>
      <c r="T690" s="127">
        <v>73322.75</v>
      </c>
      <c r="U690" s="128">
        <f t="shared" si="2"/>
        <v>0</v>
      </c>
      <c r="V690" s="636" t="s">
        <v>65</v>
      </c>
      <c r="W690" s="691" t="s">
        <v>64</v>
      </c>
      <c r="X690" s="691" t="s">
        <v>66</v>
      </c>
      <c r="Y690" s="130">
        <v>0.7</v>
      </c>
      <c r="Z690" s="693">
        <v>11.0</v>
      </c>
      <c r="AA690" s="202">
        <v>406.0</v>
      </c>
      <c r="AB690" s="202" t="s">
        <v>62</v>
      </c>
      <c r="AC690" s="133"/>
      <c r="AD690" s="133"/>
      <c r="AE690" s="133"/>
      <c r="AF690" s="111"/>
      <c r="AG690" s="134" t="s">
        <v>1899</v>
      </c>
      <c r="AH690" s="73"/>
      <c r="AI690" s="135"/>
      <c r="AJ690" s="136"/>
      <c r="AK690" s="76"/>
      <c r="AL690" s="137"/>
      <c r="AM690" s="139">
        <v>406.0</v>
      </c>
      <c r="AN690" s="139">
        <v>632.0</v>
      </c>
      <c r="AO690" s="140">
        <v>111.46</v>
      </c>
      <c r="AP690" s="142">
        <v>36535.0</v>
      </c>
      <c r="AQ690" s="142">
        <v>230.0</v>
      </c>
      <c r="AR690" s="143"/>
      <c r="AS690" s="144">
        <v>0.9616232752035785</v>
      </c>
      <c r="AT690" s="144">
        <v>-0.015523275203578435</v>
      </c>
      <c r="AU690" s="146" t="s">
        <v>2360</v>
      </c>
      <c r="AV690" s="146" t="s">
        <v>2360</v>
      </c>
      <c r="AW690" s="148" t="s">
        <v>2360</v>
      </c>
      <c r="AX690" s="151"/>
      <c r="AY690" s="105"/>
      <c r="AZ690" s="186"/>
      <c r="BA690" s="186"/>
      <c r="BB690" s="222"/>
      <c r="BC690" s="45"/>
      <c r="BD690" s="45"/>
      <c r="BE690" s="155"/>
      <c r="BF690" s="45"/>
    </row>
    <row r="691" ht="16.5" customHeight="1">
      <c r="A691" s="111">
        <v>688.0</v>
      </c>
      <c r="B691" s="112" t="s">
        <v>541</v>
      </c>
      <c r="C691" s="115" t="s">
        <v>60</v>
      </c>
      <c r="D691" s="117">
        <v>41603.0</v>
      </c>
      <c r="E691" s="117">
        <v>42728.0</v>
      </c>
      <c r="F691" s="79" t="s">
        <v>57</v>
      </c>
      <c r="G691" s="118">
        <v>130200.0</v>
      </c>
      <c r="H691" s="114">
        <v>115.6</v>
      </c>
      <c r="I691" s="120">
        <v>376.0</v>
      </c>
      <c r="J691" s="111" t="s">
        <v>62</v>
      </c>
      <c r="K691" s="121">
        <v>376.0</v>
      </c>
      <c r="L691" s="120" t="s">
        <v>63</v>
      </c>
      <c r="M691" s="120"/>
      <c r="N691" s="120"/>
      <c r="O691" s="124">
        <v>130200.0</v>
      </c>
      <c r="P691" s="124">
        <v>1126.0</v>
      </c>
      <c r="Q691" s="159">
        <v>218.0</v>
      </c>
      <c r="R691" s="125">
        <v>399.0</v>
      </c>
      <c r="S691" s="126">
        <v>0.9424</v>
      </c>
      <c r="T691" s="127">
        <v>73036.0</v>
      </c>
      <c r="U691" s="128">
        <f t="shared" si="2"/>
        <v>0</v>
      </c>
      <c r="V691" s="79" t="s">
        <v>69</v>
      </c>
      <c r="W691" s="79" t="s">
        <v>80</v>
      </c>
      <c r="X691" s="79" t="s">
        <v>69</v>
      </c>
      <c r="Y691" s="130">
        <v>0.9</v>
      </c>
      <c r="Z691" s="111">
        <v>11.0</v>
      </c>
      <c r="AA691" s="111">
        <v>400.0</v>
      </c>
      <c r="AB691" s="111" t="s">
        <v>62</v>
      </c>
      <c r="AC691" s="133"/>
      <c r="AD691" s="133"/>
      <c r="AE691" s="133"/>
      <c r="AF691" s="111"/>
      <c r="AG691" s="134" t="s">
        <v>2362</v>
      </c>
      <c r="AH691" s="73"/>
      <c r="AI691" s="135"/>
      <c r="AJ691" s="136"/>
      <c r="AK691" s="76"/>
      <c r="AL691" s="137"/>
      <c r="AM691" s="139">
        <v>400.0</v>
      </c>
      <c r="AN691" s="139">
        <v>1126.0</v>
      </c>
      <c r="AO691" s="140">
        <v>377.15</v>
      </c>
      <c r="AP691" s="142">
        <v>130200.0</v>
      </c>
      <c r="AQ691" s="142">
        <v>218.0</v>
      </c>
      <c r="AR691" s="143"/>
      <c r="AS691" s="144">
        <v>0.9399712743315569</v>
      </c>
      <c r="AT691" s="144">
        <v>0.002428725668443099</v>
      </c>
      <c r="AU691" s="146" t="s">
        <v>2363</v>
      </c>
      <c r="AV691" s="146" t="s">
        <v>2363</v>
      </c>
      <c r="AW691" s="148" t="s">
        <v>2363</v>
      </c>
      <c r="AX691" s="151"/>
      <c r="AY691" s="105"/>
      <c r="AZ691" s="186"/>
      <c r="BA691" s="186"/>
      <c r="BB691" s="222"/>
      <c r="BC691" s="45"/>
      <c r="BD691" s="45"/>
      <c r="BE691" s="155"/>
      <c r="BF691" s="45"/>
    </row>
    <row r="692" ht="16.5" customHeight="1">
      <c r="A692" s="111">
        <v>689.0</v>
      </c>
      <c r="B692" s="112" t="s">
        <v>1727</v>
      </c>
      <c r="C692" s="115" t="s">
        <v>60</v>
      </c>
      <c r="D692" s="117">
        <v>42547.0</v>
      </c>
      <c r="E692" s="117">
        <v>42639.0</v>
      </c>
      <c r="F692" s="79" t="s">
        <v>305</v>
      </c>
      <c r="G692" s="118">
        <v>8000.0</v>
      </c>
      <c r="H692" s="114">
        <v>86.0</v>
      </c>
      <c r="I692" s="120">
        <v>444.0</v>
      </c>
      <c r="J692" s="111" t="s">
        <v>62</v>
      </c>
      <c r="K692" s="121">
        <v>444.0</v>
      </c>
      <c r="L692" s="120" t="s">
        <v>63</v>
      </c>
      <c r="M692" s="120"/>
      <c r="N692" s="120"/>
      <c r="O692" s="124">
        <v>8000.0</v>
      </c>
      <c r="P692" s="124">
        <v>93.0</v>
      </c>
      <c r="Q692" s="111">
        <v>220.0</v>
      </c>
      <c r="R692" s="125">
        <v>452.0</v>
      </c>
      <c r="S692" s="126">
        <v>0.9823</v>
      </c>
      <c r="T692" s="127">
        <v>80352.14</v>
      </c>
      <c r="U692" s="128">
        <f t="shared" si="2"/>
        <v>0</v>
      </c>
      <c r="V692" s="79" t="s">
        <v>67</v>
      </c>
      <c r="W692" s="79" t="s">
        <v>69</v>
      </c>
      <c r="X692" s="79" t="s">
        <v>69</v>
      </c>
      <c r="Y692" s="130"/>
      <c r="Z692" s="111"/>
      <c r="AA692" s="111">
        <v>457.0</v>
      </c>
      <c r="AB692" s="111" t="s">
        <v>62</v>
      </c>
      <c r="AC692" s="133"/>
      <c r="AD692" s="133"/>
      <c r="AE692" s="133"/>
      <c r="AF692" s="111"/>
      <c r="AG692" s="134" t="s">
        <v>2364</v>
      </c>
      <c r="AH692" s="73"/>
      <c r="AI692" s="135"/>
      <c r="AJ692" s="136"/>
      <c r="AK692" s="76"/>
      <c r="AL692" s="137"/>
      <c r="AM692" s="139">
        <v>457.0</v>
      </c>
      <c r="AN692" s="139">
        <v>93.0</v>
      </c>
      <c r="AO692" s="140">
        <v>21.71</v>
      </c>
      <c r="AP692" s="142">
        <v>8000.0</v>
      </c>
      <c r="AQ692" s="142">
        <v>220.0</v>
      </c>
      <c r="AR692" s="143"/>
      <c r="AS692" s="144">
        <v>0.9862511139643646</v>
      </c>
      <c r="AT692" s="144">
        <v>-0.00395111396436465</v>
      </c>
      <c r="AU692" s="146" t="s">
        <v>2365</v>
      </c>
      <c r="AV692" s="146" t="s">
        <v>2365</v>
      </c>
      <c r="AW692" s="148" t="s">
        <v>2365</v>
      </c>
      <c r="AX692" s="151"/>
      <c r="AY692" s="105"/>
      <c r="AZ692" s="186"/>
      <c r="BA692" s="186"/>
      <c r="BB692" s="222"/>
      <c r="BC692" s="45"/>
      <c r="BD692" s="45"/>
      <c r="BE692" s="155"/>
      <c r="BF692" s="45"/>
    </row>
    <row r="693" ht="16.5" customHeight="1">
      <c r="A693" s="111">
        <v>690.0</v>
      </c>
      <c r="B693" s="112" t="s">
        <v>1727</v>
      </c>
      <c r="C693" s="115" t="s">
        <v>60</v>
      </c>
      <c r="D693" s="117">
        <v>42547.0</v>
      </c>
      <c r="E693" s="117">
        <v>42734.0</v>
      </c>
      <c r="F693" s="79" t="s">
        <v>305</v>
      </c>
      <c r="G693" s="118">
        <v>13500.0</v>
      </c>
      <c r="H693" s="114">
        <v>71.8</v>
      </c>
      <c r="I693" s="120">
        <v>436.0</v>
      </c>
      <c r="J693" s="111" t="s">
        <v>62</v>
      </c>
      <c r="K693" s="121">
        <v>436.0</v>
      </c>
      <c r="L693" s="120" t="s">
        <v>63</v>
      </c>
      <c r="M693" s="120"/>
      <c r="N693" s="120"/>
      <c r="O693" s="124">
        <v>13500.0</v>
      </c>
      <c r="P693" s="124">
        <v>188.0</v>
      </c>
      <c r="Q693" s="111">
        <v>220.0</v>
      </c>
      <c r="R693" s="125">
        <v>452.0</v>
      </c>
      <c r="S693" s="126">
        <v>0.9646</v>
      </c>
      <c r="T693" s="127">
        <v>78904.28</v>
      </c>
      <c r="U693" s="128">
        <f t="shared" si="2"/>
        <v>0</v>
      </c>
      <c r="V693" s="79" t="s">
        <v>67</v>
      </c>
      <c r="W693" s="79" t="s">
        <v>69</v>
      </c>
      <c r="X693" s="79" t="s">
        <v>69</v>
      </c>
      <c r="Y693" s="130"/>
      <c r="Z693" s="111"/>
      <c r="AA693" s="111">
        <v>457.0</v>
      </c>
      <c r="AB693" s="111" t="s">
        <v>62</v>
      </c>
      <c r="AC693" s="133"/>
      <c r="AD693" s="133"/>
      <c r="AE693" s="133"/>
      <c r="AF693" s="111"/>
      <c r="AG693" s="134" t="s">
        <v>2366</v>
      </c>
      <c r="AH693" s="73"/>
      <c r="AI693" s="135"/>
      <c r="AJ693" s="136"/>
      <c r="AK693" s="76"/>
      <c r="AL693" s="137"/>
      <c r="AM693" s="139">
        <v>457.0</v>
      </c>
      <c r="AN693" s="139">
        <v>188.0</v>
      </c>
      <c r="AO693" s="140">
        <v>36.97</v>
      </c>
      <c r="AP693" s="142">
        <v>13500.0</v>
      </c>
      <c r="AQ693" s="142">
        <v>220.0</v>
      </c>
      <c r="AR693" s="143"/>
      <c r="AS693" s="144">
        <v>0.9791613270566715</v>
      </c>
      <c r="AT693" s="144">
        <v>-0.014561327056671458</v>
      </c>
      <c r="AU693" s="146" t="s">
        <v>2367</v>
      </c>
      <c r="AV693" s="146" t="s">
        <v>2367</v>
      </c>
      <c r="AW693" s="148" t="s">
        <v>2367</v>
      </c>
      <c r="AX693" s="151"/>
      <c r="AY693" s="105"/>
      <c r="AZ693" s="186"/>
      <c r="BA693" s="186"/>
      <c r="BB693" s="222"/>
      <c r="BC693" s="45"/>
      <c r="BD693" s="45"/>
      <c r="BE693" s="155"/>
      <c r="BF693" s="45"/>
    </row>
    <row r="694" ht="16.5" customHeight="1">
      <c r="A694" s="111">
        <v>691.0</v>
      </c>
      <c r="B694" s="112" t="s">
        <v>1693</v>
      </c>
      <c r="C694" s="115" t="s">
        <v>60</v>
      </c>
      <c r="D694" s="117">
        <v>41721.0</v>
      </c>
      <c r="E694" s="117">
        <v>42735.0</v>
      </c>
      <c r="F694" s="79" t="s">
        <v>59</v>
      </c>
      <c r="G694" s="118">
        <v>79950.0</v>
      </c>
      <c r="H694" s="114">
        <v>78.8</v>
      </c>
      <c r="I694" s="120">
        <v>389.0</v>
      </c>
      <c r="J694" s="111" t="s">
        <v>62</v>
      </c>
      <c r="K694" s="121">
        <v>389.0</v>
      </c>
      <c r="L694" s="120" t="s">
        <v>63</v>
      </c>
      <c r="M694" s="120"/>
      <c r="N694" s="120"/>
      <c r="O694" s="124">
        <v>79950.0</v>
      </c>
      <c r="P694" s="124">
        <v>1015.0</v>
      </c>
      <c r="Q694" s="159">
        <v>218.0</v>
      </c>
      <c r="R694" s="125">
        <v>399.0</v>
      </c>
      <c r="S694" s="126">
        <v>0.9749</v>
      </c>
      <c r="T694" s="127">
        <v>75554.75</v>
      </c>
      <c r="U694" s="128">
        <f t="shared" si="2"/>
        <v>0</v>
      </c>
      <c r="V694" s="79"/>
      <c r="W694" s="79"/>
      <c r="X694" s="79"/>
      <c r="Y694" s="130"/>
      <c r="Z694" s="111"/>
      <c r="AA694" s="133"/>
      <c r="AB694" s="133"/>
      <c r="AC694" s="133"/>
      <c r="AD694" s="133"/>
      <c r="AE694" s="133"/>
      <c r="AF694" s="111"/>
      <c r="AG694" s="147"/>
      <c r="AH694" s="73"/>
      <c r="AI694" s="135"/>
      <c r="AJ694" s="136"/>
      <c r="AK694" s="76"/>
      <c r="AL694" s="137"/>
      <c r="AM694" s="139" t="s">
        <v>71</v>
      </c>
      <c r="AN694" s="139">
        <v>1015.0</v>
      </c>
      <c r="AO694" s="140">
        <v>227.79</v>
      </c>
      <c r="AP694" s="142">
        <v>79950.0</v>
      </c>
      <c r="AQ694" s="142">
        <v>218.0</v>
      </c>
      <c r="AR694" s="143"/>
      <c r="AS694" s="144">
        <v>0.9486560738984025</v>
      </c>
      <c r="AT694" s="144">
        <v>0.026243926101597537</v>
      </c>
      <c r="AU694" s="146" t="s">
        <v>2370</v>
      </c>
      <c r="AV694" s="146" t="s">
        <v>2370</v>
      </c>
      <c r="AW694" s="148" t="s">
        <v>2370</v>
      </c>
      <c r="AX694" s="151"/>
      <c r="AY694" s="105"/>
      <c r="AZ694" s="186"/>
      <c r="BA694" s="186"/>
      <c r="BB694" s="222"/>
      <c r="BC694" s="45"/>
      <c r="BD694" s="45"/>
      <c r="BE694" s="155"/>
      <c r="BF694" s="45"/>
    </row>
    <row r="695" ht="16.5" customHeight="1">
      <c r="A695" s="111">
        <v>692.0</v>
      </c>
      <c r="B695" s="112" t="s">
        <v>231</v>
      </c>
      <c r="C695" s="115" t="s">
        <v>60</v>
      </c>
      <c r="D695" s="117">
        <v>41536.0</v>
      </c>
      <c r="E695" s="117">
        <v>42735.0</v>
      </c>
      <c r="F695" s="79" t="s">
        <v>59</v>
      </c>
      <c r="G695" s="118">
        <v>135000.0</v>
      </c>
      <c r="H695" s="114">
        <v>112.5</v>
      </c>
      <c r="I695" s="120">
        <v>368.0</v>
      </c>
      <c r="J695" s="111" t="s">
        <v>62</v>
      </c>
      <c r="K695" s="121">
        <v>368.0</v>
      </c>
      <c r="L695" s="120" t="s">
        <v>63</v>
      </c>
      <c r="M695" s="120"/>
      <c r="N695" s="120"/>
      <c r="O695" s="124">
        <v>135000.0</v>
      </c>
      <c r="P695" s="124">
        <v>1200.0</v>
      </c>
      <c r="Q695" s="111">
        <v>241.0</v>
      </c>
      <c r="R695" s="125">
        <v>399.0</v>
      </c>
      <c r="S695" s="126">
        <v>0.9223</v>
      </c>
      <c r="T695" s="127">
        <v>71478.25</v>
      </c>
      <c r="U695" s="128">
        <f t="shared" si="2"/>
        <v>0</v>
      </c>
      <c r="V695" s="79" t="s">
        <v>80</v>
      </c>
      <c r="W695" s="79" t="s">
        <v>64</v>
      </c>
      <c r="X695" s="79" t="s">
        <v>80</v>
      </c>
      <c r="Y695" s="130">
        <v>0.9</v>
      </c>
      <c r="Z695" s="111">
        <v>22.0</v>
      </c>
      <c r="AA695" s="133"/>
      <c r="AB695" s="133"/>
      <c r="AC695" s="133"/>
      <c r="AD695" s="133"/>
      <c r="AE695" s="133"/>
      <c r="AF695" s="111"/>
      <c r="AG695" s="147"/>
      <c r="AH695" s="73"/>
      <c r="AI695" s="135"/>
      <c r="AJ695" s="136"/>
      <c r="AK695" s="76"/>
      <c r="AL695" s="137"/>
      <c r="AM695" s="139" t="s">
        <v>71</v>
      </c>
      <c r="AN695" s="139">
        <v>1200.0</v>
      </c>
      <c r="AO695" s="140">
        <v>436.83</v>
      </c>
      <c r="AP695" s="142">
        <v>135000.0</v>
      </c>
      <c r="AQ695" s="142">
        <v>241.0</v>
      </c>
      <c r="AR695" s="143"/>
      <c r="AS695" s="144">
        <v>0.9392036226401504</v>
      </c>
      <c r="AT695" s="144">
        <v>-0.01690362264015044</v>
      </c>
      <c r="AU695" s="146" t="s">
        <v>2374</v>
      </c>
      <c r="AV695" s="146" t="s">
        <v>2374</v>
      </c>
      <c r="AW695" s="148" t="s">
        <v>2374</v>
      </c>
      <c r="AX695" s="151"/>
      <c r="AY695" s="105"/>
      <c r="AZ695" s="186"/>
      <c r="BA695" s="186"/>
      <c r="BB695" s="222"/>
      <c r="BC695" s="45"/>
      <c r="BD695" s="45"/>
      <c r="BE695" s="155"/>
      <c r="BF695" s="45"/>
    </row>
    <row r="696" ht="16.5" customHeight="1">
      <c r="A696" s="111">
        <v>693.0</v>
      </c>
      <c r="B696" s="112" t="s">
        <v>1784</v>
      </c>
      <c r="C696" s="115" t="s">
        <v>60</v>
      </c>
      <c r="D696" s="117">
        <v>41942.0</v>
      </c>
      <c r="E696" s="117">
        <v>42736.0</v>
      </c>
      <c r="F696" s="79" t="s">
        <v>59</v>
      </c>
      <c r="G696" s="118">
        <v>83021.0</v>
      </c>
      <c r="H696" s="114">
        <v>104.4</v>
      </c>
      <c r="I696" s="120">
        <v>377.0</v>
      </c>
      <c r="J696" s="111" t="s">
        <v>61</v>
      </c>
      <c r="K696" s="121">
        <v>381.77</v>
      </c>
      <c r="L696" s="120" t="s">
        <v>63</v>
      </c>
      <c r="M696" s="120"/>
      <c r="N696" s="120"/>
      <c r="O696" s="124">
        <v>83021.0</v>
      </c>
      <c r="P696" s="124">
        <v>795.0</v>
      </c>
      <c r="Q696" s="111">
        <v>214.0</v>
      </c>
      <c r="R696" s="125">
        <v>399.0</v>
      </c>
      <c r="S696" s="126">
        <v>0.9568</v>
      </c>
      <c r="T696" s="127">
        <v>74152.0</v>
      </c>
      <c r="U696" s="128">
        <f t="shared" si="2"/>
        <v>0</v>
      </c>
      <c r="V696" s="79"/>
      <c r="W696" s="79"/>
      <c r="X696" s="79"/>
      <c r="Y696" s="130"/>
      <c r="Z696" s="111"/>
      <c r="AA696" s="133"/>
      <c r="AB696" s="133"/>
      <c r="AC696" s="133"/>
      <c r="AD696" s="133"/>
      <c r="AE696" s="133"/>
      <c r="AF696" s="111"/>
      <c r="AG696" s="147"/>
      <c r="AH696" s="73"/>
      <c r="AI696" s="135"/>
      <c r="AJ696" s="136"/>
      <c r="AK696" s="76"/>
      <c r="AL696" s="137"/>
      <c r="AM696" s="139" t="s">
        <v>71</v>
      </c>
      <c r="AN696" s="139">
        <v>795.0</v>
      </c>
      <c r="AO696" s="140">
        <v>234.34</v>
      </c>
      <c r="AP696" s="142">
        <v>83021.0</v>
      </c>
      <c r="AQ696" s="142">
        <v>214.0</v>
      </c>
      <c r="AR696" s="143"/>
      <c r="AS696" s="144">
        <v>0.9480525710962391</v>
      </c>
      <c r="AT696" s="144">
        <v>0.008747428903760901</v>
      </c>
      <c r="AU696" s="146" t="s">
        <v>2380</v>
      </c>
      <c r="AV696" s="146" t="s">
        <v>2380</v>
      </c>
      <c r="AW696" s="148" t="s">
        <v>2380</v>
      </c>
      <c r="AX696" s="151"/>
      <c r="AY696" s="105"/>
      <c r="AZ696" s="186"/>
      <c r="BA696" s="186"/>
      <c r="BB696" s="222"/>
      <c r="BC696" s="45"/>
      <c r="BD696" s="45"/>
      <c r="BE696" s="155"/>
      <c r="BF696" s="45"/>
    </row>
    <row r="697" ht="16.5" customHeight="1">
      <c r="A697" s="111">
        <v>694.0</v>
      </c>
      <c r="B697" s="112" t="s">
        <v>1741</v>
      </c>
      <c r="C697" s="115" t="s">
        <v>60</v>
      </c>
      <c r="D697" s="117">
        <v>42165.0</v>
      </c>
      <c r="E697" s="117">
        <v>42692.0</v>
      </c>
      <c r="F697" s="79" t="s">
        <v>86</v>
      </c>
      <c r="G697" s="118">
        <v>70532.0</v>
      </c>
      <c r="H697" s="114">
        <v>133.6</v>
      </c>
      <c r="I697" s="120">
        <v>415.0</v>
      </c>
      <c r="J697" s="111" t="s">
        <v>61</v>
      </c>
      <c r="K697" s="121">
        <v>420.25</v>
      </c>
      <c r="L697" s="120" t="s">
        <v>63</v>
      </c>
      <c r="M697" s="120"/>
      <c r="N697" s="120"/>
      <c r="O697" s="124">
        <v>70532.0</v>
      </c>
      <c r="P697" s="124">
        <v>528.0</v>
      </c>
      <c r="Q697" s="111">
        <v>206.0</v>
      </c>
      <c r="R697" s="125">
        <v>430.0</v>
      </c>
      <c r="S697" s="126">
        <v>0.9773</v>
      </c>
      <c r="T697" s="127">
        <v>75740.75</v>
      </c>
      <c r="U697" s="128">
        <f t="shared" si="2"/>
        <v>0</v>
      </c>
      <c r="V697" s="79" t="s">
        <v>65</v>
      </c>
      <c r="W697" s="79" t="s">
        <v>64</v>
      </c>
      <c r="X697" s="79" t="s">
        <v>66</v>
      </c>
      <c r="Y697" s="130">
        <v>0.8</v>
      </c>
      <c r="Z697" s="111">
        <v>11.0</v>
      </c>
      <c r="AA697" s="133"/>
      <c r="AB697" s="133"/>
      <c r="AC697" s="133"/>
      <c r="AD697" s="133"/>
      <c r="AE697" s="133"/>
      <c r="AF697" s="111"/>
      <c r="AG697" s="147"/>
      <c r="AH697" s="73"/>
      <c r="AI697" s="135"/>
      <c r="AJ697" s="136"/>
      <c r="AK697" s="76"/>
      <c r="AL697" s="137"/>
      <c r="AM697" s="139" t="s">
        <v>71</v>
      </c>
      <c r="AN697" s="139">
        <v>528.0</v>
      </c>
      <c r="AO697" s="140">
        <v>189.65</v>
      </c>
      <c r="AP697" s="142">
        <v>70532.0</v>
      </c>
      <c r="AQ697" s="142">
        <v>206.0</v>
      </c>
      <c r="AR697" s="143"/>
      <c r="AS697" s="144">
        <v>0.9506402935331171</v>
      </c>
      <c r="AT697" s="144">
        <v>0.02665970646688287</v>
      </c>
      <c r="AU697" s="146" t="s">
        <v>2382</v>
      </c>
      <c r="AV697" s="146" t="s">
        <v>2382</v>
      </c>
      <c r="AW697" s="148" t="s">
        <v>2382</v>
      </c>
      <c r="AX697" s="151"/>
      <c r="AY697" s="105"/>
      <c r="AZ697" s="186"/>
      <c r="BA697" s="186"/>
      <c r="BB697" s="222"/>
      <c r="BC697" s="45"/>
      <c r="BD697" s="45"/>
      <c r="BE697" s="155"/>
      <c r="BF697" s="45"/>
    </row>
    <row r="698" ht="16.5" customHeight="1">
      <c r="A698" s="111">
        <v>695.0</v>
      </c>
      <c r="B698" s="112" t="s">
        <v>1741</v>
      </c>
      <c r="C698" s="115" t="s">
        <v>60</v>
      </c>
      <c r="D698" s="117">
        <v>42165.0</v>
      </c>
      <c r="E698" s="117">
        <v>42702.0</v>
      </c>
      <c r="F698" s="79" t="s">
        <v>86</v>
      </c>
      <c r="G698" s="118">
        <v>71619.0</v>
      </c>
      <c r="H698" s="114">
        <v>133.1</v>
      </c>
      <c r="I698" s="120">
        <v>410.0</v>
      </c>
      <c r="J698" s="111" t="s">
        <v>61</v>
      </c>
      <c r="K698" s="121">
        <v>415.19</v>
      </c>
      <c r="L698" s="120" t="s">
        <v>63</v>
      </c>
      <c r="M698" s="120"/>
      <c r="N698" s="120"/>
      <c r="O698" s="124">
        <v>71619.0</v>
      </c>
      <c r="P698" s="124">
        <v>538.0</v>
      </c>
      <c r="Q698" s="111">
        <v>206.0</v>
      </c>
      <c r="R698" s="125">
        <v>430.0</v>
      </c>
      <c r="S698" s="126">
        <v>0.9656</v>
      </c>
      <c r="T698" s="127">
        <v>74834.0</v>
      </c>
      <c r="U698" s="128">
        <f t="shared" si="2"/>
        <v>0</v>
      </c>
      <c r="V698" s="79" t="s">
        <v>65</v>
      </c>
      <c r="W698" s="79" t="s">
        <v>64</v>
      </c>
      <c r="X698" s="79" t="s">
        <v>66</v>
      </c>
      <c r="Y698" s="130">
        <v>0.8</v>
      </c>
      <c r="Z698" s="111">
        <v>11.0</v>
      </c>
      <c r="AA698" s="133"/>
      <c r="AB698" s="133"/>
      <c r="AC698" s="133"/>
      <c r="AD698" s="133"/>
      <c r="AE698" s="133"/>
      <c r="AF698" s="111"/>
      <c r="AG698" s="147"/>
      <c r="AH698" s="73"/>
      <c r="AI698" s="135"/>
      <c r="AJ698" s="136"/>
      <c r="AK698" s="76"/>
      <c r="AL698" s="137"/>
      <c r="AM698" s="139" t="s">
        <v>71</v>
      </c>
      <c r="AN698" s="139">
        <v>538.0</v>
      </c>
      <c r="AO698" s="140">
        <v>193.72</v>
      </c>
      <c r="AP698" s="142">
        <v>71619.0</v>
      </c>
      <c r="AQ698" s="142">
        <v>206.0</v>
      </c>
      <c r="AR698" s="143"/>
      <c r="AS698" s="144">
        <v>0.9503990293905673</v>
      </c>
      <c r="AT698" s="144">
        <v>0.015200970609432707</v>
      </c>
      <c r="AU698" s="146" t="s">
        <v>2388</v>
      </c>
      <c r="AV698" s="146" t="s">
        <v>2388</v>
      </c>
      <c r="AW698" s="148" t="s">
        <v>2388</v>
      </c>
      <c r="AX698" s="151"/>
      <c r="AY698" s="105"/>
      <c r="AZ698" s="186"/>
      <c r="BA698" s="186"/>
      <c r="BB698" s="222"/>
      <c r="BC698" s="45"/>
      <c r="BD698" s="45"/>
      <c r="BE698" s="155"/>
      <c r="BF698" s="45"/>
    </row>
    <row r="699" ht="16.5" customHeight="1">
      <c r="A699" s="111">
        <v>696.0</v>
      </c>
      <c r="B699" s="112" t="s">
        <v>294</v>
      </c>
      <c r="C699" s="115" t="s">
        <v>60</v>
      </c>
      <c r="D699" s="117">
        <v>41604.0</v>
      </c>
      <c r="E699" s="117">
        <v>42727.0</v>
      </c>
      <c r="F699" s="79" t="s">
        <v>59</v>
      </c>
      <c r="G699" s="118">
        <v>70300.0</v>
      </c>
      <c r="H699" s="114">
        <v>62.5</v>
      </c>
      <c r="I699" s="120">
        <v>382.0</v>
      </c>
      <c r="J699" s="111" t="s">
        <v>61</v>
      </c>
      <c r="K699" s="121">
        <v>386.84</v>
      </c>
      <c r="L699" s="120" t="s">
        <v>63</v>
      </c>
      <c r="M699" s="120"/>
      <c r="N699" s="120"/>
      <c r="O699" s="124">
        <v>70300.0</v>
      </c>
      <c r="P699" s="124">
        <v>1124.0</v>
      </c>
      <c r="Q699" s="111">
        <v>200.0</v>
      </c>
      <c r="R699" s="125">
        <v>399.0</v>
      </c>
      <c r="S699" s="126">
        <v>0.9695</v>
      </c>
      <c r="T699" s="127">
        <v>75136.25</v>
      </c>
      <c r="U699" s="128">
        <f t="shared" si="2"/>
        <v>0</v>
      </c>
      <c r="V699" s="79" t="s">
        <v>64</v>
      </c>
      <c r="W699" s="79" t="s">
        <v>69</v>
      </c>
      <c r="X699" s="79" t="s">
        <v>66</v>
      </c>
      <c r="Y699" s="130">
        <v>0.8</v>
      </c>
      <c r="Z699" s="111">
        <v>9.0</v>
      </c>
      <c r="AA699" s="111">
        <v>396.0</v>
      </c>
      <c r="AB699" s="111" t="s">
        <v>62</v>
      </c>
      <c r="AC699" s="133"/>
      <c r="AD699" s="133"/>
      <c r="AE699" s="133"/>
      <c r="AF699" s="111"/>
      <c r="AG699" s="147"/>
      <c r="AH699" s="73"/>
      <c r="AI699" s="135"/>
      <c r="AJ699" s="136"/>
      <c r="AK699" s="76"/>
      <c r="AL699" s="137"/>
      <c r="AM699" s="139">
        <v>396.0</v>
      </c>
      <c r="AN699" s="139">
        <v>1124.0</v>
      </c>
      <c r="AO699" s="140">
        <v>184.28</v>
      </c>
      <c r="AP699" s="142">
        <v>70300.0</v>
      </c>
      <c r="AQ699" s="142">
        <v>200.0</v>
      </c>
      <c r="AR699" s="143"/>
      <c r="AS699" s="144">
        <v>0.9506922664159996</v>
      </c>
      <c r="AT699" s="144">
        <v>0.018807733584000452</v>
      </c>
      <c r="AU699" s="146" t="s">
        <v>2392</v>
      </c>
      <c r="AV699" s="146" t="s">
        <v>2392</v>
      </c>
      <c r="AW699" s="148" t="s">
        <v>2392</v>
      </c>
      <c r="AX699" s="151"/>
      <c r="AY699" s="105"/>
      <c r="AZ699" s="186"/>
      <c r="BA699" s="186"/>
      <c r="BB699" s="222"/>
      <c r="BC699" s="45"/>
      <c r="BD699" s="45"/>
      <c r="BE699" s="155"/>
      <c r="BF699" s="45"/>
    </row>
    <row r="700" ht="16.5" customHeight="1">
      <c r="A700" s="111">
        <v>697.0</v>
      </c>
      <c r="B700" s="112" t="s">
        <v>1741</v>
      </c>
      <c r="C700" s="115" t="s">
        <v>60</v>
      </c>
      <c r="D700" s="117">
        <v>42165.0</v>
      </c>
      <c r="E700" s="117">
        <v>42716.0</v>
      </c>
      <c r="F700" s="79" t="s">
        <v>86</v>
      </c>
      <c r="G700" s="118">
        <v>72843.0</v>
      </c>
      <c r="H700" s="114">
        <v>132.0</v>
      </c>
      <c r="I700" s="120">
        <v>410.0</v>
      </c>
      <c r="J700" s="111" t="s">
        <v>61</v>
      </c>
      <c r="K700" s="121">
        <v>415.19</v>
      </c>
      <c r="L700" s="120" t="s">
        <v>63</v>
      </c>
      <c r="M700" s="120"/>
      <c r="N700" s="120"/>
      <c r="O700" s="124">
        <v>72843.0</v>
      </c>
      <c r="P700" s="124">
        <v>552.0</v>
      </c>
      <c r="Q700" s="111">
        <v>206.0</v>
      </c>
      <c r="R700" s="125">
        <v>430.0</v>
      </c>
      <c r="S700" s="126">
        <v>0.9656</v>
      </c>
      <c r="T700" s="127">
        <v>74834.0</v>
      </c>
      <c r="U700" s="128">
        <f t="shared" si="2"/>
        <v>0</v>
      </c>
      <c r="V700" s="79" t="s">
        <v>65</v>
      </c>
      <c r="W700" s="79" t="s">
        <v>64</v>
      </c>
      <c r="X700" s="79" t="s">
        <v>66</v>
      </c>
      <c r="Y700" s="130">
        <v>0.8</v>
      </c>
      <c r="Z700" s="111">
        <v>11.0</v>
      </c>
      <c r="AA700" s="133"/>
      <c r="AB700" s="133"/>
      <c r="AC700" s="133"/>
      <c r="AD700" s="133"/>
      <c r="AE700" s="133"/>
      <c r="AF700" s="111"/>
      <c r="AG700" s="147"/>
      <c r="AH700" s="73"/>
      <c r="AI700" s="135"/>
      <c r="AJ700" s="136"/>
      <c r="AK700" s="76"/>
      <c r="AL700" s="137"/>
      <c r="AM700" s="139" t="s">
        <v>71</v>
      </c>
      <c r="AN700" s="139">
        <v>552.0</v>
      </c>
      <c r="AO700" s="140">
        <v>197.03</v>
      </c>
      <c r="AP700" s="142">
        <v>72843.0</v>
      </c>
      <c r="AQ700" s="142">
        <v>206.0</v>
      </c>
      <c r="AR700" s="143"/>
      <c r="AS700" s="144">
        <v>0.9501316170625911</v>
      </c>
      <c r="AT700" s="144">
        <v>0.015468382937408931</v>
      </c>
      <c r="AU700" s="146" t="s">
        <v>2397</v>
      </c>
      <c r="AV700" s="146" t="s">
        <v>2397</v>
      </c>
      <c r="AW700" s="148" t="s">
        <v>2397</v>
      </c>
      <c r="AX700" s="151"/>
      <c r="AY700" s="105"/>
      <c r="AZ700" s="186"/>
      <c r="BA700" s="186"/>
      <c r="BB700" s="222"/>
      <c r="BC700" s="45"/>
      <c r="BD700" s="45"/>
      <c r="BE700" s="155"/>
      <c r="BF700" s="45"/>
    </row>
    <row r="701" ht="16.5" customHeight="1">
      <c r="A701" s="111">
        <v>698.0</v>
      </c>
      <c r="B701" s="112" t="s">
        <v>1741</v>
      </c>
      <c r="C701" s="115" t="s">
        <v>60</v>
      </c>
      <c r="D701" s="117">
        <v>42165.0</v>
      </c>
      <c r="E701" s="117">
        <v>42718.0</v>
      </c>
      <c r="F701" s="79" t="s">
        <v>86</v>
      </c>
      <c r="G701" s="118">
        <v>73770.0</v>
      </c>
      <c r="H701" s="114">
        <v>133.2</v>
      </c>
      <c r="I701" s="120">
        <v>408.0</v>
      </c>
      <c r="J701" s="111" t="s">
        <v>61</v>
      </c>
      <c r="K701" s="121">
        <v>413.16</v>
      </c>
      <c r="L701" s="120" t="s">
        <v>63</v>
      </c>
      <c r="M701" s="120"/>
      <c r="N701" s="120"/>
      <c r="O701" s="124">
        <v>73770.0</v>
      </c>
      <c r="P701" s="124">
        <v>554.0</v>
      </c>
      <c r="Q701" s="111">
        <v>206.0</v>
      </c>
      <c r="R701" s="125">
        <v>430.0</v>
      </c>
      <c r="S701" s="126">
        <v>0.9608</v>
      </c>
      <c r="T701" s="127">
        <v>74462.0</v>
      </c>
      <c r="U701" s="128">
        <f t="shared" si="2"/>
        <v>0</v>
      </c>
      <c r="V701" s="79" t="s">
        <v>65</v>
      </c>
      <c r="W701" s="79" t="s">
        <v>64</v>
      </c>
      <c r="X701" s="79" t="s">
        <v>66</v>
      </c>
      <c r="Y701" s="130">
        <v>0.8</v>
      </c>
      <c r="Z701" s="111">
        <v>11.0</v>
      </c>
      <c r="AA701" s="133"/>
      <c r="AB701" s="133"/>
      <c r="AC701" s="133"/>
      <c r="AD701" s="133"/>
      <c r="AE701" s="133"/>
      <c r="AF701" s="111"/>
      <c r="AG701" s="147"/>
      <c r="AH701" s="73"/>
      <c r="AI701" s="135"/>
      <c r="AJ701" s="136"/>
      <c r="AK701" s="76"/>
      <c r="AL701" s="137"/>
      <c r="AM701" s="139" t="s">
        <v>71</v>
      </c>
      <c r="AN701" s="139">
        <v>554.0</v>
      </c>
      <c r="AO701" s="140">
        <v>200.03</v>
      </c>
      <c r="AP701" s="142">
        <v>73770.0</v>
      </c>
      <c r="AQ701" s="142">
        <v>206.0</v>
      </c>
      <c r="AR701" s="143"/>
      <c r="AS701" s="144">
        <v>0.9499319450371079</v>
      </c>
      <c r="AT701" s="144">
        <v>0.010868054962892115</v>
      </c>
      <c r="AU701" s="146" t="s">
        <v>2414</v>
      </c>
      <c r="AV701" s="146" t="s">
        <v>2414</v>
      </c>
      <c r="AW701" s="148" t="s">
        <v>2414</v>
      </c>
      <c r="AX701" s="151"/>
      <c r="AY701" s="105"/>
      <c r="AZ701" s="186"/>
      <c r="BA701" s="186"/>
      <c r="BB701" s="222"/>
      <c r="BC701" s="45"/>
      <c r="BD701" s="45"/>
      <c r="BE701" s="155"/>
      <c r="BF701" s="45"/>
    </row>
    <row r="702" ht="16.5" customHeight="1">
      <c r="A702" s="111">
        <v>699.0</v>
      </c>
      <c r="B702" s="112" t="s">
        <v>1741</v>
      </c>
      <c r="C702" s="115" t="s">
        <v>60</v>
      </c>
      <c r="D702" s="117">
        <v>42165.0</v>
      </c>
      <c r="E702" s="117">
        <v>42731.0</v>
      </c>
      <c r="F702" s="79" t="s">
        <v>86</v>
      </c>
      <c r="G702" s="118">
        <v>74611.0</v>
      </c>
      <c r="H702" s="114">
        <v>131.6</v>
      </c>
      <c r="I702" s="120">
        <v>413.0</v>
      </c>
      <c r="J702" s="111" t="s">
        <v>61</v>
      </c>
      <c r="K702" s="121">
        <v>418.23</v>
      </c>
      <c r="L702" s="120" t="s">
        <v>63</v>
      </c>
      <c r="M702" s="120"/>
      <c r="N702" s="120"/>
      <c r="O702" s="124">
        <v>74611.0</v>
      </c>
      <c r="P702" s="124">
        <v>567.0</v>
      </c>
      <c r="Q702" s="111">
        <v>206.0</v>
      </c>
      <c r="R702" s="125">
        <v>430.0</v>
      </c>
      <c r="S702" s="126">
        <v>0.9726</v>
      </c>
      <c r="T702" s="127">
        <v>75376.5</v>
      </c>
      <c r="U702" s="128">
        <f t="shared" si="2"/>
        <v>0</v>
      </c>
      <c r="V702" s="79" t="s">
        <v>65</v>
      </c>
      <c r="W702" s="79" t="s">
        <v>64</v>
      </c>
      <c r="X702" s="79" t="s">
        <v>66</v>
      </c>
      <c r="Y702" s="130">
        <v>0.8</v>
      </c>
      <c r="Z702" s="111">
        <v>11.0</v>
      </c>
      <c r="AA702" s="133"/>
      <c r="AB702" s="133"/>
      <c r="AC702" s="133"/>
      <c r="AD702" s="133"/>
      <c r="AE702" s="133"/>
      <c r="AF702" s="111"/>
      <c r="AG702" s="147"/>
      <c r="AH702" s="73"/>
      <c r="AI702" s="135"/>
      <c r="AJ702" s="136"/>
      <c r="AK702" s="76"/>
      <c r="AL702" s="137"/>
      <c r="AM702" s="139" t="s">
        <v>71</v>
      </c>
      <c r="AN702" s="139">
        <v>567.0</v>
      </c>
      <c r="AO702" s="140">
        <v>201.1</v>
      </c>
      <c r="AP702" s="142">
        <v>74611.0</v>
      </c>
      <c r="AQ702" s="142">
        <v>206.0</v>
      </c>
      <c r="AR702" s="143"/>
      <c r="AS702" s="144">
        <v>0.9497528269505744</v>
      </c>
      <c r="AT702" s="144">
        <v>0.02284717304942563</v>
      </c>
      <c r="AU702" s="146" t="s">
        <v>2425</v>
      </c>
      <c r="AV702" s="146" t="s">
        <v>2425</v>
      </c>
      <c r="AW702" s="148" t="s">
        <v>2425</v>
      </c>
      <c r="AX702" s="151"/>
      <c r="AY702" s="105"/>
      <c r="AZ702" s="186"/>
      <c r="BA702" s="186"/>
      <c r="BB702" s="222"/>
      <c r="BC702" s="45"/>
      <c r="BD702" s="45"/>
      <c r="BE702" s="155"/>
      <c r="BF702" s="45"/>
    </row>
    <row r="703" ht="16.5" customHeight="1">
      <c r="A703" s="111">
        <v>700.0</v>
      </c>
      <c r="B703" s="112" t="s">
        <v>1741</v>
      </c>
      <c r="C703" s="115" t="s">
        <v>60</v>
      </c>
      <c r="D703" s="117">
        <v>42165.0</v>
      </c>
      <c r="E703" s="117">
        <v>42731.0</v>
      </c>
      <c r="F703" s="79" t="s">
        <v>86</v>
      </c>
      <c r="G703" s="118">
        <v>74973.0</v>
      </c>
      <c r="H703" s="114">
        <v>132.2</v>
      </c>
      <c r="I703" s="120">
        <v>417.0</v>
      </c>
      <c r="J703" s="111" t="s">
        <v>61</v>
      </c>
      <c r="K703" s="121">
        <v>422.28</v>
      </c>
      <c r="L703" s="120" t="s">
        <v>63</v>
      </c>
      <c r="M703" s="120"/>
      <c r="N703" s="120"/>
      <c r="O703" s="124">
        <v>74973.0</v>
      </c>
      <c r="P703" s="124">
        <v>567.0</v>
      </c>
      <c r="Q703" s="111">
        <v>206.0</v>
      </c>
      <c r="R703" s="125">
        <v>430.0</v>
      </c>
      <c r="S703" s="126">
        <v>0.982</v>
      </c>
      <c r="T703" s="127">
        <v>76105.0</v>
      </c>
      <c r="U703" s="128">
        <f t="shared" si="2"/>
        <v>0</v>
      </c>
      <c r="V703" s="79" t="s">
        <v>65</v>
      </c>
      <c r="W703" s="79" t="s">
        <v>64</v>
      </c>
      <c r="X703" s="79" t="s">
        <v>66</v>
      </c>
      <c r="Y703" s="130">
        <v>0.8</v>
      </c>
      <c r="Z703" s="111"/>
      <c r="AA703" s="133"/>
      <c r="AB703" s="133"/>
      <c r="AC703" s="133"/>
      <c r="AD703" s="133"/>
      <c r="AE703" s="133"/>
      <c r="AF703" s="111"/>
      <c r="AG703" s="147"/>
      <c r="AH703" s="73"/>
      <c r="AI703" s="135"/>
      <c r="AJ703" s="136"/>
      <c r="AK703" s="76"/>
      <c r="AL703" s="137"/>
      <c r="AM703" s="139" t="s">
        <v>71</v>
      </c>
      <c r="AN703" s="139">
        <v>567.0</v>
      </c>
      <c r="AO703" s="140">
        <v>201.12</v>
      </c>
      <c r="AP703" s="142">
        <v>74973.0</v>
      </c>
      <c r="AQ703" s="142">
        <v>206.0</v>
      </c>
      <c r="AR703" s="143"/>
      <c r="AS703" s="144">
        <v>0.9496763022684765</v>
      </c>
      <c r="AT703" s="144">
        <v>0.03232369773152344</v>
      </c>
      <c r="AU703" s="146" t="s">
        <v>2428</v>
      </c>
      <c r="AV703" s="146" t="s">
        <v>2428</v>
      </c>
      <c r="AW703" s="148" t="s">
        <v>2428</v>
      </c>
      <c r="AX703" s="151"/>
      <c r="AY703" s="105"/>
      <c r="AZ703" s="186"/>
      <c r="BA703" s="186"/>
      <c r="BB703" s="222"/>
      <c r="BC703" s="45"/>
      <c r="BD703" s="45"/>
      <c r="BE703" s="155"/>
      <c r="BF703" s="45"/>
    </row>
    <row r="704" ht="16.5" customHeight="1">
      <c r="A704" s="111">
        <v>701.0</v>
      </c>
      <c r="B704" s="112" t="s">
        <v>1618</v>
      </c>
      <c r="C704" s="115" t="s">
        <v>60</v>
      </c>
      <c r="D704" s="117">
        <v>42019.0</v>
      </c>
      <c r="E704" s="117">
        <v>42683.0</v>
      </c>
      <c r="F704" s="79" t="s">
        <v>90</v>
      </c>
      <c r="G704" s="118">
        <v>63000.0</v>
      </c>
      <c r="H704" s="114">
        <v>94.7</v>
      </c>
      <c r="I704" s="120">
        <v>379.0</v>
      </c>
      <c r="J704" s="111" t="s">
        <v>61</v>
      </c>
      <c r="K704" s="121">
        <v>383.8</v>
      </c>
      <c r="L704" s="120" t="s">
        <v>63</v>
      </c>
      <c r="M704" s="120"/>
      <c r="N704" s="120"/>
      <c r="O704" s="124">
        <v>63000.0</v>
      </c>
      <c r="P704" s="124">
        <v>665.0</v>
      </c>
      <c r="Q704" s="111">
        <v>220.0</v>
      </c>
      <c r="R704" s="125">
        <v>408.0</v>
      </c>
      <c r="S704" s="126">
        <v>0.9407</v>
      </c>
      <c r="T704" s="127">
        <v>72904.25</v>
      </c>
      <c r="U704" s="128">
        <f t="shared" si="2"/>
        <v>0</v>
      </c>
      <c r="V704" s="79" t="s">
        <v>67</v>
      </c>
      <c r="W704" s="79" t="s">
        <v>69</v>
      </c>
      <c r="X704" s="79" t="s">
        <v>69</v>
      </c>
      <c r="Y704" s="130">
        <v>0.9</v>
      </c>
      <c r="Z704" s="111">
        <v>22.0</v>
      </c>
      <c r="AA704" s="111">
        <v>411.0</v>
      </c>
      <c r="AB704" s="111" t="s">
        <v>62</v>
      </c>
      <c r="AC704" s="133"/>
      <c r="AD704" s="133"/>
      <c r="AE704" s="133"/>
      <c r="AF704" s="111"/>
      <c r="AG704" s="147"/>
      <c r="AH704" s="73"/>
      <c r="AI704" s="135"/>
      <c r="AJ704" s="136"/>
      <c r="AK704" s="76"/>
      <c r="AL704" s="137"/>
      <c r="AM704" s="139">
        <v>411.0</v>
      </c>
      <c r="AN704" s="139">
        <v>665.0</v>
      </c>
      <c r="AO704" s="140">
        <v>184.33</v>
      </c>
      <c r="AP704" s="142">
        <v>63000.0</v>
      </c>
      <c r="AQ704" s="142">
        <v>220.0</v>
      </c>
      <c r="AR704" s="143"/>
      <c r="AS704" s="144">
        <v>0.9524266178913147</v>
      </c>
      <c r="AT704" s="144">
        <v>-0.011726617891314683</v>
      </c>
      <c r="AU704" s="146" t="s">
        <v>2437</v>
      </c>
      <c r="AV704" s="146" t="s">
        <v>2437</v>
      </c>
      <c r="AW704" s="148" t="s">
        <v>2437</v>
      </c>
      <c r="AX704" s="151"/>
      <c r="AY704" s="105"/>
      <c r="AZ704" s="186"/>
      <c r="BA704" s="186"/>
      <c r="BB704" s="222"/>
      <c r="BC704" s="45"/>
      <c r="BD704" s="45"/>
      <c r="BE704" s="155"/>
      <c r="BF704" s="45"/>
    </row>
    <row r="705" ht="16.5" customHeight="1">
      <c r="A705" s="111">
        <v>702.0</v>
      </c>
      <c r="B705" s="112" t="s">
        <v>1726</v>
      </c>
      <c r="C705" s="115" t="s">
        <v>60</v>
      </c>
      <c r="D705" s="117">
        <v>42276.0</v>
      </c>
      <c r="E705" s="117">
        <v>42741.0</v>
      </c>
      <c r="F705" s="79" t="s">
        <v>305</v>
      </c>
      <c r="G705" s="118">
        <v>41845.0</v>
      </c>
      <c r="H705" s="114">
        <v>89.8</v>
      </c>
      <c r="I705" s="120">
        <v>430.0</v>
      </c>
      <c r="J705" s="111" t="s">
        <v>61</v>
      </c>
      <c r="K705" s="121">
        <v>435.44</v>
      </c>
      <c r="L705" s="120" t="s">
        <v>63</v>
      </c>
      <c r="M705" s="120"/>
      <c r="N705" s="120"/>
      <c r="O705" s="124">
        <v>41845.0</v>
      </c>
      <c r="P705" s="124">
        <v>466.0</v>
      </c>
      <c r="Q705" s="111">
        <v>231.0</v>
      </c>
      <c r="R705" s="125">
        <v>452.0</v>
      </c>
      <c r="S705" s="126">
        <v>0.9634</v>
      </c>
      <c r="T705" s="127">
        <v>78806.12000000001</v>
      </c>
      <c r="U705" s="128">
        <f t="shared" si="2"/>
        <v>0</v>
      </c>
      <c r="V705" s="79" t="s">
        <v>64</v>
      </c>
      <c r="W705" s="79" t="s">
        <v>64</v>
      </c>
      <c r="X705" s="79" t="s">
        <v>69</v>
      </c>
      <c r="Y705" s="130">
        <v>0.8</v>
      </c>
      <c r="Z705" s="111">
        <v>11.0</v>
      </c>
      <c r="AA705" s="133"/>
      <c r="AB705" s="133"/>
      <c r="AC705" s="133"/>
      <c r="AD705" s="133"/>
      <c r="AE705" s="133"/>
      <c r="AF705" s="111"/>
      <c r="AG705" s="147"/>
      <c r="AH705" s="73"/>
      <c r="AI705" s="135"/>
      <c r="AJ705" s="136"/>
      <c r="AK705" s="76"/>
      <c r="AL705" s="137"/>
      <c r="AM705" s="139" t="s">
        <v>71</v>
      </c>
      <c r="AN705" s="139">
        <v>466.0</v>
      </c>
      <c r="AO705" s="140">
        <v>120.39</v>
      </c>
      <c r="AP705" s="142">
        <v>41845.0</v>
      </c>
      <c r="AQ705" s="142">
        <v>231.0</v>
      </c>
      <c r="AR705" s="143"/>
      <c r="AS705" s="144">
        <v>0.959220954569597</v>
      </c>
      <c r="AT705" s="144">
        <v>0.004179045430403039</v>
      </c>
      <c r="AU705" s="146" t="s">
        <v>2441</v>
      </c>
      <c r="AV705" s="146" t="s">
        <v>2441</v>
      </c>
      <c r="AW705" s="148" t="s">
        <v>2441</v>
      </c>
      <c r="AX705" s="151"/>
      <c r="AY705" s="105"/>
      <c r="AZ705" s="186"/>
      <c r="BA705" s="186"/>
      <c r="BB705" s="222"/>
      <c r="BC705" s="45"/>
      <c r="BD705" s="45"/>
      <c r="BE705" s="155"/>
      <c r="BF705" s="45"/>
    </row>
    <row r="706" ht="16.5" customHeight="1">
      <c r="A706" s="111">
        <v>703.0</v>
      </c>
      <c r="B706" s="112" t="s">
        <v>1615</v>
      </c>
      <c r="C706" s="115" t="s">
        <v>60</v>
      </c>
      <c r="D706" s="117">
        <v>42545.0</v>
      </c>
      <c r="E706" s="117">
        <v>42735.0</v>
      </c>
      <c r="F706" s="79" t="s">
        <v>629</v>
      </c>
      <c r="G706" s="118">
        <v>10239.0</v>
      </c>
      <c r="H706" s="114">
        <v>53.6</v>
      </c>
      <c r="I706" s="120">
        <v>377.0</v>
      </c>
      <c r="J706" s="111" t="s">
        <v>61</v>
      </c>
      <c r="K706" s="121">
        <v>381.77</v>
      </c>
      <c r="L706" s="120" t="s">
        <v>63</v>
      </c>
      <c r="M706" s="120"/>
      <c r="N706" s="120"/>
      <c r="O706" s="124">
        <v>10239.0</v>
      </c>
      <c r="P706" s="124">
        <v>191.0</v>
      </c>
      <c r="Q706" s="111">
        <v>199.0</v>
      </c>
      <c r="R706" s="125">
        <v>386.0</v>
      </c>
      <c r="S706" s="126">
        <v>0.989</v>
      </c>
      <c r="T706" s="127">
        <v>71801.4</v>
      </c>
      <c r="U706" s="128">
        <f t="shared" si="2"/>
        <v>0</v>
      </c>
      <c r="V706" s="79" t="s">
        <v>67</v>
      </c>
      <c r="W706" s="79" t="s">
        <v>64</v>
      </c>
      <c r="X706" s="79" t="s">
        <v>65</v>
      </c>
      <c r="Y706" s="130">
        <v>0.9</v>
      </c>
      <c r="Z706" s="111">
        <v>11.0</v>
      </c>
      <c r="AA706" s="111">
        <v>384.0</v>
      </c>
      <c r="AB706" s="111" t="s">
        <v>61</v>
      </c>
      <c r="AC706" s="133"/>
      <c r="AD706" s="133"/>
      <c r="AE706" s="133"/>
      <c r="AF706" s="111"/>
      <c r="AG706" s="147"/>
      <c r="AH706" s="73"/>
      <c r="AI706" s="135"/>
      <c r="AJ706" s="136"/>
      <c r="AK706" s="76"/>
      <c r="AL706" s="137"/>
      <c r="AM706" s="139">
        <v>389.0</v>
      </c>
      <c r="AN706" s="139">
        <v>191.0</v>
      </c>
      <c r="AO706" s="140">
        <v>28.23</v>
      </c>
      <c r="AP706" s="142">
        <v>10239.0</v>
      </c>
      <c r="AQ706" s="142">
        <v>199.0</v>
      </c>
      <c r="AR706" s="143"/>
      <c r="AS706" s="144">
        <v>0.983168565800844</v>
      </c>
      <c r="AT706" s="144">
        <v>0.005831434199155994</v>
      </c>
      <c r="AU706" s="146" t="s">
        <v>2446</v>
      </c>
      <c r="AV706" s="146" t="s">
        <v>2446</v>
      </c>
      <c r="AW706" s="148" t="s">
        <v>2446</v>
      </c>
      <c r="AX706" s="151"/>
      <c r="AY706" s="105"/>
      <c r="AZ706" s="186"/>
      <c r="BA706" s="186"/>
      <c r="BB706" s="222"/>
      <c r="BC706" s="45"/>
      <c r="BD706" s="45"/>
      <c r="BE706" s="155"/>
      <c r="BF706" s="45"/>
    </row>
    <row r="707" ht="16.5" customHeight="1">
      <c r="A707" s="111">
        <v>704.0</v>
      </c>
      <c r="B707" s="112" t="s">
        <v>449</v>
      </c>
      <c r="C707" s="115" t="s">
        <v>60</v>
      </c>
      <c r="D707" s="117">
        <v>41598.0</v>
      </c>
      <c r="E707" s="117">
        <v>42745.0</v>
      </c>
      <c r="F707" s="79" t="s">
        <v>59</v>
      </c>
      <c r="G707" s="118">
        <v>171735.0</v>
      </c>
      <c r="H707" s="114">
        <v>149.6</v>
      </c>
      <c r="I707" s="120">
        <v>365.0</v>
      </c>
      <c r="J707" s="111" t="s">
        <v>62</v>
      </c>
      <c r="K707" s="121">
        <v>365.0</v>
      </c>
      <c r="L707" s="120" t="s">
        <v>63</v>
      </c>
      <c r="M707" s="120"/>
      <c r="N707" s="120"/>
      <c r="O707" s="124">
        <v>171735.0</v>
      </c>
      <c r="P707" s="124">
        <v>1148.0</v>
      </c>
      <c r="Q707" s="111">
        <v>185.0</v>
      </c>
      <c r="R707" s="125">
        <v>399.0</v>
      </c>
      <c r="S707" s="126">
        <v>0.9148</v>
      </c>
      <c r="T707" s="127">
        <v>70897.0</v>
      </c>
      <c r="U707" s="128">
        <f t="shared" si="2"/>
        <v>0</v>
      </c>
      <c r="V707" s="79" t="s">
        <v>67</v>
      </c>
      <c r="W707" s="79" t="s">
        <v>64</v>
      </c>
      <c r="X707" s="79" t="s">
        <v>68</v>
      </c>
      <c r="Y707" s="130">
        <v>0.7</v>
      </c>
      <c r="Z707" s="111">
        <v>11.0</v>
      </c>
      <c r="AA707" s="133"/>
      <c r="AB707" s="133"/>
      <c r="AC707" s="133"/>
      <c r="AD707" s="133"/>
      <c r="AE707" s="133"/>
      <c r="AF707" s="111"/>
      <c r="AG707" s="147"/>
      <c r="AH707" s="73"/>
      <c r="AI707" s="135"/>
      <c r="AJ707" s="136"/>
      <c r="AK707" s="76"/>
      <c r="AL707" s="137"/>
      <c r="AM707" s="139" t="s">
        <v>71</v>
      </c>
      <c r="AN707" s="139">
        <v>1148.0</v>
      </c>
      <c r="AO707" s="140">
        <v>428.24</v>
      </c>
      <c r="AP707" s="142">
        <v>171735.0</v>
      </c>
      <c r="AQ707" s="142">
        <v>185.0</v>
      </c>
      <c r="AR707" s="143"/>
      <c r="AS707" s="144">
        <v>0.9334051918522911</v>
      </c>
      <c r="AT707" s="144">
        <v>-0.018605191852291147</v>
      </c>
      <c r="AU707" s="146" t="s">
        <v>2447</v>
      </c>
      <c r="AV707" s="146" t="s">
        <v>2447</v>
      </c>
      <c r="AW707" s="148" t="s">
        <v>2447</v>
      </c>
      <c r="AX707" s="151"/>
      <c r="AY707" s="105"/>
      <c r="AZ707" s="186"/>
      <c r="BA707" s="186"/>
      <c r="BB707" s="222"/>
      <c r="BC707" s="45"/>
      <c r="BD707" s="45"/>
      <c r="BE707" s="155"/>
      <c r="BF707" s="45"/>
    </row>
    <row r="708" ht="16.5" customHeight="1">
      <c r="A708" s="111">
        <v>705.0</v>
      </c>
      <c r="B708" s="112" t="s">
        <v>361</v>
      </c>
      <c r="C708" s="115" t="s">
        <v>60</v>
      </c>
      <c r="D708" s="117">
        <v>41604.0</v>
      </c>
      <c r="E708" s="117">
        <v>42744.0</v>
      </c>
      <c r="F708" s="79" t="s">
        <v>59</v>
      </c>
      <c r="G708" s="118">
        <v>127174.0</v>
      </c>
      <c r="H708" s="114">
        <v>111.5</v>
      </c>
      <c r="I708" s="120">
        <v>374.0</v>
      </c>
      <c r="J708" s="111" t="s">
        <v>61</v>
      </c>
      <c r="K708" s="121">
        <v>378.73</v>
      </c>
      <c r="L708" s="120" t="s">
        <v>63</v>
      </c>
      <c r="M708" s="120"/>
      <c r="N708" s="120"/>
      <c r="O708" s="124">
        <v>127174.0</v>
      </c>
      <c r="P708" s="124">
        <v>1141.0</v>
      </c>
      <c r="Q708" s="111">
        <v>223.0</v>
      </c>
      <c r="R708" s="125">
        <v>399.0</v>
      </c>
      <c r="S708" s="126">
        <v>0.9492</v>
      </c>
      <c r="T708" s="127">
        <v>73563.0</v>
      </c>
      <c r="U708" s="128">
        <f t="shared" si="2"/>
        <v>0</v>
      </c>
      <c r="V708" s="79" t="s">
        <v>69</v>
      </c>
      <c r="W708" s="79" t="s">
        <v>69</v>
      </c>
      <c r="X708" s="79" t="s">
        <v>66</v>
      </c>
      <c r="Y708" s="130">
        <v>0.8</v>
      </c>
      <c r="Z708" s="111">
        <v>18.0</v>
      </c>
      <c r="AA708" s="111">
        <v>399.0</v>
      </c>
      <c r="AB708" s="111" t="s">
        <v>61</v>
      </c>
      <c r="AC708" s="133"/>
      <c r="AD708" s="133"/>
      <c r="AE708" s="133"/>
      <c r="AF708" s="111"/>
      <c r="AG708" s="147"/>
      <c r="AH708" s="73"/>
      <c r="AI708" s="135"/>
      <c r="AJ708" s="136"/>
      <c r="AK708" s="76"/>
      <c r="AL708" s="137"/>
      <c r="AM708" s="139">
        <v>404.0</v>
      </c>
      <c r="AN708" s="139">
        <v>1141.0</v>
      </c>
      <c r="AO708" s="140">
        <v>375.52</v>
      </c>
      <c r="AP708" s="142">
        <v>127174.0</v>
      </c>
      <c r="AQ708" s="142">
        <v>223.0</v>
      </c>
      <c r="AR708" s="143"/>
      <c r="AS708" s="144">
        <v>0.9404574130364575</v>
      </c>
      <c r="AT708" s="144">
        <v>0.008742586963542576</v>
      </c>
      <c r="AU708" s="146" t="s">
        <v>2453</v>
      </c>
      <c r="AV708" s="146" t="s">
        <v>2453</v>
      </c>
      <c r="AW708" s="148" t="s">
        <v>2453</v>
      </c>
      <c r="AX708" s="151"/>
      <c r="AY708" s="105"/>
      <c r="AZ708" s="186"/>
      <c r="BA708" s="186"/>
      <c r="BB708" s="222"/>
      <c r="BC708" s="45"/>
      <c r="BD708" s="45"/>
      <c r="BE708" s="155"/>
      <c r="BF708" s="45"/>
    </row>
    <row r="709" ht="16.5" customHeight="1">
      <c r="A709" s="111">
        <v>706.0</v>
      </c>
      <c r="B709" s="112" t="s">
        <v>640</v>
      </c>
      <c r="C709" s="115" t="s">
        <v>60</v>
      </c>
      <c r="D709" s="117">
        <v>41927.0</v>
      </c>
      <c r="E709" s="117">
        <v>42751.0</v>
      </c>
      <c r="F709" s="79" t="s">
        <v>59</v>
      </c>
      <c r="G709" s="118">
        <v>104958.0</v>
      </c>
      <c r="H709" s="114">
        <v>127.2</v>
      </c>
      <c r="I709" s="120">
        <v>372.0</v>
      </c>
      <c r="J709" s="111" t="s">
        <v>61</v>
      </c>
      <c r="K709" s="121">
        <v>376.71</v>
      </c>
      <c r="L709" s="120" t="s">
        <v>63</v>
      </c>
      <c r="M709" s="120"/>
      <c r="N709" s="120"/>
      <c r="O709" s="124">
        <v>104958.0</v>
      </c>
      <c r="P709" s="124">
        <v>825.0</v>
      </c>
      <c r="Q709" s="111">
        <v>217.0</v>
      </c>
      <c r="R709" s="125">
        <v>399.0</v>
      </c>
      <c r="S709" s="126">
        <v>0.9441</v>
      </c>
      <c r="T709" s="127">
        <v>73167.75</v>
      </c>
      <c r="U709" s="128">
        <f t="shared" si="2"/>
        <v>0</v>
      </c>
      <c r="V709" s="79" t="s">
        <v>80</v>
      </c>
      <c r="W709" s="79" t="s">
        <v>69</v>
      </c>
      <c r="X709" s="79" t="s">
        <v>66</v>
      </c>
      <c r="Y709" s="130">
        <v>0.9</v>
      </c>
      <c r="Z709" s="111"/>
      <c r="AA709" s="133"/>
      <c r="AB709" s="133"/>
      <c r="AC709" s="133"/>
      <c r="AD709" s="133"/>
      <c r="AE709" s="133"/>
      <c r="AF709" s="111"/>
      <c r="AG709" s="147"/>
      <c r="AH709" s="73"/>
      <c r="AI709" s="135"/>
      <c r="AJ709" s="136"/>
      <c r="AK709" s="76"/>
      <c r="AL709" s="137"/>
      <c r="AM709" s="139" t="s">
        <v>71</v>
      </c>
      <c r="AN709" s="139">
        <v>825.0</v>
      </c>
      <c r="AO709" s="140">
        <v>302.37</v>
      </c>
      <c r="AP709" s="142">
        <v>104958.0</v>
      </c>
      <c r="AQ709" s="142">
        <v>217.0</v>
      </c>
      <c r="AR709" s="143"/>
      <c r="AS709" s="144">
        <v>0.9441128612048048</v>
      </c>
      <c r="AT709" s="144">
        <v>-1.2861204804703874E-5</v>
      </c>
      <c r="AU709" s="146" t="s">
        <v>2454</v>
      </c>
      <c r="AV709" s="146" t="s">
        <v>2454</v>
      </c>
      <c r="AW709" s="148" t="s">
        <v>2454</v>
      </c>
      <c r="AX709" s="151"/>
      <c r="AY709" s="105"/>
      <c r="AZ709" s="186"/>
      <c r="BA709" s="186"/>
      <c r="BB709" s="222"/>
      <c r="BC709" s="45"/>
      <c r="BD709" s="45"/>
      <c r="BE709" s="155"/>
      <c r="BF709" s="45"/>
    </row>
    <row r="710" ht="16.5" customHeight="1">
      <c r="A710" s="111">
        <v>707.0</v>
      </c>
      <c r="B710" s="112" t="s">
        <v>126</v>
      </c>
      <c r="C710" s="115" t="s">
        <v>60</v>
      </c>
      <c r="D710" s="117">
        <v>41527.0</v>
      </c>
      <c r="E710" s="117">
        <v>42752.0</v>
      </c>
      <c r="F710" s="79" t="s">
        <v>79</v>
      </c>
      <c r="G710" s="118">
        <v>222000.0</v>
      </c>
      <c r="H710" s="114">
        <v>181.1</v>
      </c>
      <c r="I710" s="120">
        <v>361.0</v>
      </c>
      <c r="J710" s="111" t="s">
        <v>62</v>
      </c>
      <c r="K710" s="121">
        <v>361.0</v>
      </c>
      <c r="L710" s="120" t="s">
        <v>63</v>
      </c>
      <c r="M710" s="120"/>
      <c r="N710" s="120"/>
      <c r="O710" s="124">
        <v>222000.0</v>
      </c>
      <c r="P710" s="124">
        <v>1226.0</v>
      </c>
      <c r="Q710" s="111">
        <v>212.0</v>
      </c>
      <c r="R710" s="125">
        <v>399.0</v>
      </c>
      <c r="S710" s="126">
        <v>0.9048</v>
      </c>
      <c r="T710" s="127">
        <v>70122.0</v>
      </c>
      <c r="U710" s="128">
        <f t="shared" si="2"/>
        <v>0</v>
      </c>
      <c r="V710" s="79" t="s">
        <v>80</v>
      </c>
      <c r="W710" s="79" t="s">
        <v>127</v>
      </c>
      <c r="X710" s="79" t="s">
        <v>64</v>
      </c>
      <c r="Y710" s="130">
        <v>1.0</v>
      </c>
      <c r="Z710" s="111">
        <v>22.0</v>
      </c>
      <c r="AA710" s="111">
        <v>400.0</v>
      </c>
      <c r="AB710" s="111" t="s">
        <v>61</v>
      </c>
      <c r="AC710" s="111">
        <v>361.0</v>
      </c>
      <c r="AD710" s="111">
        <v>255.0</v>
      </c>
      <c r="AE710" s="111">
        <v>19.6</v>
      </c>
      <c r="AF710" s="111" t="s">
        <v>61</v>
      </c>
      <c r="AG710" s="134" t="s">
        <v>2457</v>
      </c>
      <c r="AH710" s="73">
        <v>106.0</v>
      </c>
      <c r="AI710" s="135">
        <v>107.34177215189874</v>
      </c>
      <c r="AJ710" s="136">
        <v>65.91655660377359</v>
      </c>
      <c r="AK710" s="76">
        <v>0.8505362142422398</v>
      </c>
      <c r="AL710" s="137" t="s">
        <v>2458</v>
      </c>
      <c r="AM710" s="139">
        <v>405.0</v>
      </c>
      <c r="AN710" s="139">
        <v>1226.0</v>
      </c>
      <c r="AO710" s="140">
        <v>637.68</v>
      </c>
      <c r="AP710" s="142">
        <v>222000.0</v>
      </c>
      <c r="AQ710" s="142">
        <v>212.0</v>
      </c>
      <c r="AR710" s="143"/>
      <c r="AS710" s="144">
        <v>0.9255370294374875</v>
      </c>
      <c r="AT710" s="144">
        <v>-0.020737029437487453</v>
      </c>
      <c r="AU710" s="146" t="s">
        <v>2459</v>
      </c>
      <c r="AV710" s="146" t="s">
        <v>2459</v>
      </c>
      <c r="AW710" s="148" t="s">
        <v>2459</v>
      </c>
      <c r="AX710" s="151"/>
      <c r="AY710" s="105"/>
      <c r="AZ710" s="186"/>
      <c r="BA710" s="186"/>
      <c r="BB710" s="222"/>
      <c r="BC710" s="45"/>
      <c r="BD710" s="45"/>
      <c r="BE710" s="155"/>
      <c r="BF710" s="45"/>
    </row>
    <row r="711" ht="16.5" customHeight="1">
      <c r="A711" s="111">
        <v>708.0</v>
      </c>
      <c r="B711" s="112" t="s">
        <v>1827</v>
      </c>
      <c r="C711" s="115" t="s">
        <v>60</v>
      </c>
      <c r="D711" s="117">
        <v>42480.0</v>
      </c>
      <c r="E711" s="117">
        <v>42754.0</v>
      </c>
      <c r="F711" s="79" t="s">
        <v>305</v>
      </c>
      <c r="G711" s="118">
        <v>26700.0</v>
      </c>
      <c r="H711" s="114">
        <v>97.1</v>
      </c>
      <c r="I711" s="120">
        <v>430.0</v>
      </c>
      <c r="J711" s="111" t="s">
        <v>61</v>
      </c>
      <c r="K711" s="121">
        <v>435.44</v>
      </c>
      <c r="L711" s="120" t="s">
        <v>63</v>
      </c>
      <c r="M711" s="120"/>
      <c r="N711" s="120"/>
      <c r="O711" s="124">
        <v>26700.0</v>
      </c>
      <c r="P711" s="124">
        <v>275.0</v>
      </c>
      <c r="Q711" s="111">
        <v>230.0</v>
      </c>
      <c r="R711" s="125">
        <v>452.0</v>
      </c>
      <c r="S711" s="126">
        <v>0.9634</v>
      </c>
      <c r="T711" s="127">
        <v>78806.12000000001</v>
      </c>
      <c r="U711" s="128">
        <f t="shared" si="2"/>
        <v>0</v>
      </c>
      <c r="V711" s="79" t="s">
        <v>65</v>
      </c>
      <c r="W711" s="79" t="s">
        <v>65</v>
      </c>
      <c r="X711" s="79" t="s">
        <v>64</v>
      </c>
      <c r="Y711" s="130">
        <v>0.9</v>
      </c>
      <c r="Z711" s="111">
        <v>11.0</v>
      </c>
      <c r="AA711" s="111">
        <v>455.0</v>
      </c>
      <c r="AB711" s="111" t="s">
        <v>61</v>
      </c>
      <c r="AC711" s="133"/>
      <c r="AD711" s="133"/>
      <c r="AE711" s="133"/>
      <c r="AF711" s="111"/>
      <c r="AG711" s="147"/>
      <c r="AH711" s="73"/>
      <c r="AI711" s="135"/>
      <c r="AJ711" s="136"/>
      <c r="AK711" s="76"/>
      <c r="AL711" s="137"/>
      <c r="AM711" s="139">
        <v>461.0</v>
      </c>
      <c r="AN711" s="139">
        <v>275.0</v>
      </c>
      <c r="AO711" s="140">
        <v>76.48</v>
      </c>
      <c r="AP711" s="142">
        <v>26700.0</v>
      </c>
      <c r="AQ711" s="142">
        <v>230.0</v>
      </c>
      <c r="AR711" s="143"/>
      <c r="AS711" s="144">
        <v>0.9673494507844494</v>
      </c>
      <c r="AT711" s="144">
        <v>-0.003949450784449415</v>
      </c>
      <c r="AU711" s="146" t="s">
        <v>2460</v>
      </c>
      <c r="AV711" s="146" t="s">
        <v>2460</v>
      </c>
      <c r="AW711" s="148" t="s">
        <v>2460</v>
      </c>
      <c r="AX711" s="151"/>
      <c r="AY711" s="105"/>
      <c r="AZ711" s="186"/>
      <c r="BA711" s="186"/>
      <c r="BB711" s="222"/>
      <c r="BC711" s="45"/>
      <c r="BD711" s="45"/>
      <c r="BE711" s="155"/>
      <c r="BF711" s="45"/>
    </row>
    <row r="712" ht="16.5" customHeight="1">
      <c r="A712" s="111">
        <v>709.0</v>
      </c>
      <c r="B712" s="112" t="s">
        <v>1784</v>
      </c>
      <c r="C712" s="115" t="s">
        <v>60</v>
      </c>
      <c r="D712" s="117">
        <v>41942.0</v>
      </c>
      <c r="E712" s="117">
        <v>42756.0</v>
      </c>
      <c r="F712" s="79" t="s">
        <v>59</v>
      </c>
      <c r="G712" s="118">
        <v>86130.0</v>
      </c>
      <c r="H712" s="114">
        <v>105.7</v>
      </c>
      <c r="I712" s="120">
        <v>378.0</v>
      </c>
      <c r="J712" s="111" t="s">
        <v>61</v>
      </c>
      <c r="K712" s="121">
        <v>382.78</v>
      </c>
      <c r="L712" s="120" t="s">
        <v>63</v>
      </c>
      <c r="M712" s="120"/>
      <c r="N712" s="120"/>
      <c r="O712" s="124">
        <v>86130.0</v>
      </c>
      <c r="P712" s="124">
        <v>815.0</v>
      </c>
      <c r="Q712" s="111">
        <v>208.0</v>
      </c>
      <c r="R712" s="125">
        <v>399.0</v>
      </c>
      <c r="S712" s="126">
        <v>0.9593</v>
      </c>
      <c r="T712" s="127">
        <v>74345.75</v>
      </c>
      <c r="U712" s="128">
        <f t="shared" si="2"/>
        <v>0</v>
      </c>
      <c r="V712" s="79"/>
      <c r="W712" s="79"/>
      <c r="X712" s="79"/>
      <c r="Y712" s="130"/>
      <c r="Z712" s="111"/>
      <c r="AA712" s="133"/>
      <c r="AB712" s="133"/>
      <c r="AC712" s="133"/>
      <c r="AD712" s="133"/>
      <c r="AE712" s="133"/>
      <c r="AF712" s="111"/>
      <c r="AG712" s="147"/>
      <c r="AH712" s="73"/>
      <c r="AI712" s="135"/>
      <c r="AJ712" s="136"/>
      <c r="AK712" s="76"/>
      <c r="AL712" s="137"/>
      <c r="AM712" s="139" t="s">
        <v>71</v>
      </c>
      <c r="AN712" s="139">
        <v>815.0</v>
      </c>
      <c r="AO712" s="140">
        <v>236.0</v>
      </c>
      <c r="AP712" s="142">
        <v>86130.0</v>
      </c>
      <c r="AQ712" s="142">
        <v>208.0</v>
      </c>
      <c r="AR712" s="143"/>
      <c r="AS712" s="144">
        <v>0.9474585498898676</v>
      </c>
      <c r="AT712" s="144">
        <v>0.01184145011013249</v>
      </c>
      <c r="AU712" s="146" t="s">
        <v>2462</v>
      </c>
      <c r="AV712" s="146" t="s">
        <v>2462</v>
      </c>
      <c r="AW712" s="148" t="s">
        <v>2462</v>
      </c>
      <c r="AX712" s="151"/>
      <c r="AY712" s="105"/>
      <c r="AZ712" s="186"/>
      <c r="BA712" s="186"/>
      <c r="BB712" s="222"/>
      <c r="BC712" s="45"/>
      <c r="BD712" s="45"/>
      <c r="BE712" s="155"/>
      <c r="BF712" s="45"/>
    </row>
    <row r="713" ht="16.5" customHeight="1">
      <c r="A713" s="111">
        <v>710.0</v>
      </c>
      <c r="B713" s="112" t="s">
        <v>1644</v>
      </c>
      <c r="C713" s="115" t="s">
        <v>60</v>
      </c>
      <c r="D713" s="117">
        <v>41772.0</v>
      </c>
      <c r="E713" s="117">
        <v>42452.0</v>
      </c>
      <c r="F713" s="79" t="s">
        <v>59</v>
      </c>
      <c r="G713" s="118">
        <v>38500.0</v>
      </c>
      <c r="H713" s="114">
        <v>56.5</v>
      </c>
      <c r="I713" s="120">
        <v>375.0</v>
      </c>
      <c r="J713" s="111" t="s">
        <v>61</v>
      </c>
      <c r="K713" s="121">
        <v>379.75</v>
      </c>
      <c r="L713" s="120" t="s">
        <v>63</v>
      </c>
      <c r="M713" s="120"/>
      <c r="N713" s="120"/>
      <c r="O713" s="124">
        <v>38500.0</v>
      </c>
      <c r="P713" s="124">
        <v>681.0</v>
      </c>
      <c r="Q713" s="111">
        <v>220.0</v>
      </c>
      <c r="R713" s="125">
        <v>399.0</v>
      </c>
      <c r="S713" s="126">
        <v>0.9518</v>
      </c>
      <c r="T713" s="127">
        <v>73764.5</v>
      </c>
      <c r="U713" s="128">
        <f t="shared" si="2"/>
        <v>0</v>
      </c>
      <c r="V713" s="79" t="s">
        <v>69</v>
      </c>
      <c r="W713" s="79" t="s">
        <v>69</v>
      </c>
      <c r="X713" s="79" t="s">
        <v>68</v>
      </c>
      <c r="Y713" s="130">
        <v>0.8</v>
      </c>
      <c r="Z713" s="111">
        <v>22.0</v>
      </c>
      <c r="AA713" s="111">
        <v>381.0</v>
      </c>
      <c r="AB713" s="111" t="s">
        <v>61</v>
      </c>
      <c r="AC713" s="133"/>
      <c r="AD713" s="133"/>
      <c r="AE713" s="133"/>
      <c r="AF713" s="111"/>
      <c r="AG713" s="147"/>
      <c r="AH713" s="73"/>
      <c r="AI713" s="135"/>
      <c r="AJ713" s="136"/>
      <c r="AK713" s="76"/>
      <c r="AL713" s="137"/>
      <c r="AM713" s="139">
        <v>386.0</v>
      </c>
      <c r="AN713" s="139">
        <v>681.0</v>
      </c>
      <c r="AO713" s="140">
        <v>112.02</v>
      </c>
      <c r="AP713" s="142">
        <v>38500.0</v>
      </c>
      <c r="AQ713" s="142">
        <v>220.0</v>
      </c>
      <c r="AR713" s="143"/>
      <c r="AS713" s="144">
        <v>0.9606879378902505</v>
      </c>
      <c r="AT713" s="144">
        <v>-0.008887937890250552</v>
      </c>
      <c r="AU713" s="146" t="s">
        <v>2464</v>
      </c>
      <c r="AV713" s="146" t="s">
        <v>2464</v>
      </c>
      <c r="AW713" s="148" t="s">
        <v>2464</v>
      </c>
      <c r="AX713" s="151"/>
      <c r="AY713" s="105"/>
      <c r="AZ713" s="186"/>
      <c r="BA713" s="186"/>
      <c r="BB713" s="222"/>
      <c r="BC713" s="45"/>
      <c r="BD713" s="45"/>
      <c r="BE713" s="155"/>
      <c r="BF713" s="45"/>
    </row>
    <row r="714" ht="16.5" customHeight="1">
      <c r="A714" s="111">
        <v>711.0</v>
      </c>
      <c r="B714" s="112" t="s">
        <v>1637</v>
      </c>
      <c r="C714" s="115" t="s">
        <v>60</v>
      </c>
      <c r="D714" s="117">
        <v>42235.0</v>
      </c>
      <c r="E714" s="117">
        <v>42761.0</v>
      </c>
      <c r="F714" s="79" t="s">
        <v>118</v>
      </c>
      <c r="G714" s="118">
        <v>73105.0</v>
      </c>
      <c r="H714" s="114">
        <v>138.7</v>
      </c>
      <c r="I714" s="120">
        <v>353.0</v>
      </c>
      <c r="J714" s="111" t="s">
        <v>61</v>
      </c>
      <c r="K714" s="121">
        <v>357.47</v>
      </c>
      <c r="L714" s="120" t="s">
        <v>63</v>
      </c>
      <c r="M714" s="120"/>
      <c r="N714" s="120"/>
      <c r="O714" s="124">
        <v>73105.0</v>
      </c>
      <c r="P714" s="124">
        <v>527.0</v>
      </c>
      <c r="Q714" s="111">
        <v>205.0</v>
      </c>
      <c r="R714" s="125">
        <v>365.0</v>
      </c>
      <c r="S714" s="126">
        <v>0.9794</v>
      </c>
      <c r="T714" s="127">
        <v>67382.72</v>
      </c>
      <c r="U714" s="128">
        <f t="shared" si="2"/>
        <v>0</v>
      </c>
      <c r="V714" s="79" t="s">
        <v>67</v>
      </c>
      <c r="W714" s="79" t="s">
        <v>64</v>
      </c>
      <c r="X714" s="79" t="s">
        <v>69</v>
      </c>
      <c r="Y714" s="130">
        <v>0.8</v>
      </c>
      <c r="Z714" s="111">
        <v>11.0</v>
      </c>
      <c r="AA714" s="111">
        <v>360.0</v>
      </c>
      <c r="AB714" s="111" t="s">
        <v>61</v>
      </c>
      <c r="AC714" s="133"/>
      <c r="AD714" s="133"/>
      <c r="AE714" s="133"/>
      <c r="AF714" s="111"/>
      <c r="AG714" s="147"/>
      <c r="AH714" s="73"/>
      <c r="AI714" s="135"/>
      <c r="AJ714" s="136"/>
      <c r="AK714" s="76"/>
      <c r="AL714" s="137"/>
      <c r="AM714" s="139">
        <v>365.0</v>
      </c>
      <c r="AN714" s="139">
        <v>527.0</v>
      </c>
      <c r="AO714" s="140">
        <v>220.12</v>
      </c>
      <c r="AP714" s="142">
        <v>73105.0</v>
      </c>
      <c r="AQ714" s="142">
        <v>205.0</v>
      </c>
      <c r="AR714" s="143"/>
      <c r="AS714" s="144">
        <v>0.950074939797334</v>
      </c>
      <c r="AT714" s="144">
        <v>0.02932506020266601</v>
      </c>
      <c r="AU714" s="146" t="s">
        <v>2467</v>
      </c>
      <c r="AV714" s="146" t="s">
        <v>2467</v>
      </c>
      <c r="AW714" s="148" t="s">
        <v>2467</v>
      </c>
      <c r="AX714" s="151"/>
      <c r="AY714" s="105"/>
      <c r="AZ714" s="186"/>
      <c r="BA714" s="186"/>
      <c r="BB714" s="222"/>
      <c r="BC714" s="45"/>
      <c r="BD714" s="45"/>
      <c r="BE714" s="155"/>
      <c r="BF714" s="45"/>
    </row>
    <row r="715" ht="16.5" customHeight="1">
      <c r="A715" s="111">
        <v>712.0</v>
      </c>
      <c r="B715" s="112" t="s">
        <v>1628</v>
      </c>
      <c r="C715" s="115" t="s">
        <v>60</v>
      </c>
      <c r="D715" s="117">
        <v>42437.0</v>
      </c>
      <c r="E715" s="117">
        <v>42766.0</v>
      </c>
      <c r="F715" s="79" t="s">
        <v>305</v>
      </c>
      <c r="G715" s="118">
        <v>25581.0</v>
      </c>
      <c r="H715" s="114">
        <v>77.5</v>
      </c>
      <c r="I715" s="120">
        <v>432.0</v>
      </c>
      <c r="J715" s="111" t="s">
        <v>61</v>
      </c>
      <c r="K715" s="121">
        <v>437.47</v>
      </c>
      <c r="L715" s="120" t="s">
        <v>63</v>
      </c>
      <c r="M715" s="120"/>
      <c r="N715" s="120"/>
      <c r="O715" s="124">
        <v>25581.0</v>
      </c>
      <c r="P715" s="124">
        <v>330.0</v>
      </c>
      <c r="Q715" s="111">
        <v>222.0</v>
      </c>
      <c r="R715" s="125">
        <v>452.0</v>
      </c>
      <c r="S715" s="126">
        <v>0.9679</v>
      </c>
      <c r="T715" s="127">
        <v>79174.22</v>
      </c>
      <c r="U715" s="128">
        <f t="shared" si="2"/>
        <v>0</v>
      </c>
      <c r="V715" s="79" t="s">
        <v>65</v>
      </c>
      <c r="W715" s="79" t="s">
        <v>64</v>
      </c>
      <c r="X715" s="79" t="s">
        <v>68</v>
      </c>
      <c r="Y715" s="130">
        <v>0.8</v>
      </c>
      <c r="Z715" s="111">
        <v>11.0</v>
      </c>
      <c r="AA715" s="111">
        <v>448.0</v>
      </c>
      <c r="AB715" s="111" t="s">
        <v>61</v>
      </c>
      <c r="AC715" s="133"/>
      <c r="AD715" s="133"/>
      <c r="AE715" s="133"/>
      <c r="AF715" s="111"/>
      <c r="AG715" s="147"/>
      <c r="AH715" s="73"/>
      <c r="AI715" s="135"/>
      <c r="AJ715" s="136"/>
      <c r="AK715" s="76"/>
      <c r="AL715" s="137"/>
      <c r="AM715" s="139">
        <v>454.0</v>
      </c>
      <c r="AN715" s="139">
        <v>330.0</v>
      </c>
      <c r="AO715" s="140">
        <v>70.57</v>
      </c>
      <c r="AP715" s="142">
        <v>25581.0</v>
      </c>
      <c r="AQ715" s="142">
        <v>222.0</v>
      </c>
      <c r="AR715" s="143"/>
      <c r="AS715" s="144">
        <v>0.9681360262864244</v>
      </c>
      <c r="AT715" s="144">
        <v>-2.360262864243845E-4</v>
      </c>
      <c r="AU715" s="146" t="s">
        <v>2470</v>
      </c>
      <c r="AV715" s="146" t="s">
        <v>2470</v>
      </c>
      <c r="AW715" s="148" t="s">
        <v>2470</v>
      </c>
      <c r="AX715" s="151"/>
      <c r="AY715" s="105"/>
      <c r="AZ715" s="186"/>
      <c r="BA715" s="186"/>
      <c r="BB715" s="222"/>
      <c r="BC715" s="45"/>
      <c r="BD715" s="45"/>
      <c r="BE715" s="155"/>
      <c r="BF715" s="45"/>
    </row>
    <row r="716" ht="16.5" customHeight="1">
      <c r="A716" s="111">
        <v>713.0</v>
      </c>
      <c r="B716" s="112" t="s">
        <v>1644</v>
      </c>
      <c r="C716" s="115" t="s">
        <v>60</v>
      </c>
      <c r="D716" s="117">
        <v>41772.0</v>
      </c>
      <c r="E716" s="117">
        <v>42767.0</v>
      </c>
      <c r="F716" s="79" t="s">
        <v>59</v>
      </c>
      <c r="G716" s="118">
        <v>56157.0</v>
      </c>
      <c r="H716" s="114">
        <v>56.4</v>
      </c>
      <c r="I716" s="120">
        <v>377.0</v>
      </c>
      <c r="J716" s="111" t="s">
        <v>61</v>
      </c>
      <c r="K716" s="121">
        <v>381.77</v>
      </c>
      <c r="L716" s="120" t="s">
        <v>63</v>
      </c>
      <c r="M716" s="120"/>
      <c r="N716" s="120"/>
      <c r="O716" s="124">
        <v>56157.0</v>
      </c>
      <c r="P716" s="124">
        <v>996.0</v>
      </c>
      <c r="Q716" s="111">
        <v>220.0</v>
      </c>
      <c r="R716" s="125">
        <v>399.0</v>
      </c>
      <c r="S716" s="126">
        <v>0.9568</v>
      </c>
      <c r="T716" s="127">
        <v>74152.0</v>
      </c>
      <c r="U716" s="128">
        <f t="shared" si="2"/>
        <v>0</v>
      </c>
      <c r="V716" s="79"/>
      <c r="W716" s="79"/>
      <c r="X716" s="79"/>
      <c r="Y716" s="130"/>
      <c r="Z716" s="111"/>
      <c r="AA716" s="133"/>
      <c r="AB716" s="133"/>
      <c r="AC716" s="133"/>
      <c r="AD716" s="133"/>
      <c r="AE716" s="133"/>
      <c r="AF716" s="111"/>
      <c r="AG716" s="147"/>
      <c r="AH716" s="73"/>
      <c r="AI716" s="135"/>
      <c r="AJ716" s="136"/>
      <c r="AK716" s="76"/>
      <c r="AL716" s="137"/>
      <c r="AM716" s="139" t="s">
        <v>71</v>
      </c>
      <c r="AN716" s="139">
        <v>996.0</v>
      </c>
      <c r="AO716" s="140">
        <v>162.97</v>
      </c>
      <c r="AP716" s="142">
        <v>56157.0</v>
      </c>
      <c r="AQ716" s="142">
        <v>220.0</v>
      </c>
      <c r="AR716" s="143"/>
      <c r="AS716" s="144">
        <v>0.9542721092110451</v>
      </c>
      <c r="AT716" s="144">
        <v>0.0025278907889548785</v>
      </c>
      <c r="AU716" s="146" t="s">
        <v>2475</v>
      </c>
      <c r="AV716" s="146" t="s">
        <v>2475</v>
      </c>
      <c r="AW716" s="148" t="s">
        <v>2475</v>
      </c>
      <c r="AX716" s="151"/>
      <c r="AY716" s="105"/>
      <c r="AZ716" s="186"/>
      <c r="BA716" s="186"/>
      <c r="BB716" s="222"/>
      <c r="BC716" s="45"/>
      <c r="BD716" s="45"/>
      <c r="BE716" s="155"/>
      <c r="BF716" s="45"/>
    </row>
    <row r="717" ht="16.5" customHeight="1">
      <c r="A717" s="111">
        <v>714.0</v>
      </c>
      <c r="B717" s="112" t="s">
        <v>1726</v>
      </c>
      <c r="C717" s="115" t="s">
        <v>60</v>
      </c>
      <c r="D717" s="117">
        <v>42276.0</v>
      </c>
      <c r="E717" s="117">
        <v>42769.0</v>
      </c>
      <c r="F717" s="79" t="s">
        <v>305</v>
      </c>
      <c r="G717" s="118">
        <v>43090.0</v>
      </c>
      <c r="H717" s="114">
        <v>87.2</v>
      </c>
      <c r="I717" s="120">
        <v>427.0</v>
      </c>
      <c r="J717" s="111" t="s">
        <v>61</v>
      </c>
      <c r="K717" s="121">
        <v>432.41</v>
      </c>
      <c r="L717" s="120" t="s">
        <v>63</v>
      </c>
      <c r="M717" s="120"/>
      <c r="N717" s="120"/>
      <c r="O717" s="124">
        <v>43090.0</v>
      </c>
      <c r="P717" s="124">
        <v>494.0</v>
      </c>
      <c r="Q717" s="111">
        <v>233.0</v>
      </c>
      <c r="R717" s="125">
        <v>452.0</v>
      </c>
      <c r="S717" s="126">
        <v>0.9567</v>
      </c>
      <c r="T717" s="127">
        <v>78258.06</v>
      </c>
      <c r="U717" s="128">
        <f t="shared" si="2"/>
        <v>0</v>
      </c>
      <c r="V717" s="79" t="s">
        <v>64</v>
      </c>
      <c r="W717" s="79" t="s">
        <v>64</v>
      </c>
      <c r="X717" s="79" t="s">
        <v>69</v>
      </c>
      <c r="Y717" s="130">
        <v>0.8</v>
      </c>
      <c r="Z717" s="111">
        <v>11.0</v>
      </c>
      <c r="AA717" s="111">
        <v>411.0</v>
      </c>
      <c r="AB717" s="111" t="s">
        <v>61</v>
      </c>
      <c r="AC717" s="133"/>
      <c r="AD717" s="133"/>
      <c r="AE717" s="133"/>
      <c r="AF717" s="111"/>
      <c r="AG717" s="147"/>
      <c r="AH717" s="73"/>
      <c r="AI717" s="135"/>
      <c r="AJ717" s="136"/>
      <c r="AK717" s="76"/>
      <c r="AL717" s="137"/>
      <c r="AM717" s="139">
        <v>416.0</v>
      </c>
      <c r="AN717" s="139">
        <v>494.0</v>
      </c>
      <c r="AO717" s="140">
        <v>125.47</v>
      </c>
      <c r="AP717" s="142">
        <v>43090.0</v>
      </c>
      <c r="AQ717" s="142">
        <v>233.0</v>
      </c>
      <c r="AR717" s="143"/>
      <c r="AS717" s="144">
        <v>0.9587112822767724</v>
      </c>
      <c r="AT717" s="144">
        <v>-0.002011282276772386</v>
      </c>
      <c r="AU717" s="146" t="s">
        <v>2476</v>
      </c>
      <c r="AV717" s="146" t="s">
        <v>2476</v>
      </c>
      <c r="AW717" s="148" t="s">
        <v>2476</v>
      </c>
      <c r="AX717" s="151"/>
      <c r="AY717" s="105"/>
      <c r="AZ717" s="186"/>
      <c r="BA717" s="186"/>
      <c r="BB717" s="222"/>
      <c r="BC717" s="45"/>
      <c r="BD717" s="45"/>
      <c r="BE717" s="155"/>
      <c r="BF717" s="45"/>
    </row>
    <row r="718" ht="16.5" customHeight="1">
      <c r="A718" s="111">
        <v>715.0</v>
      </c>
      <c r="B718" s="112" t="s">
        <v>1727</v>
      </c>
      <c r="C718" s="115" t="s">
        <v>60</v>
      </c>
      <c r="D718" s="117">
        <v>42547.0</v>
      </c>
      <c r="E718" s="117">
        <v>42771.0</v>
      </c>
      <c r="F718" s="79" t="s">
        <v>305</v>
      </c>
      <c r="G718" s="118">
        <v>15000.0</v>
      </c>
      <c r="H718" s="114">
        <v>66.7</v>
      </c>
      <c r="I718" s="120">
        <v>433.0</v>
      </c>
      <c r="J718" s="111" t="s">
        <v>62</v>
      </c>
      <c r="K718" s="121">
        <v>433.0</v>
      </c>
      <c r="L718" s="120" t="s">
        <v>63</v>
      </c>
      <c r="M718" s="120"/>
      <c r="N718" s="120"/>
      <c r="O718" s="124">
        <v>15000.0</v>
      </c>
      <c r="P718" s="124">
        <v>225.0</v>
      </c>
      <c r="Q718" s="111">
        <v>240.0</v>
      </c>
      <c r="R718" s="125">
        <v>452.0</v>
      </c>
      <c r="S718" s="126">
        <v>0.958</v>
      </c>
      <c r="T718" s="127">
        <v>78364.4</v>
      </c>
      <c r="U718" s="128">
        <f t="shared" si="2"/>
        <v>0</v>
      </c>
      <c r="V718" s="79" t="s">
        <v>67</v>
      </c>
      <c r="W718" s="79" t="s">
        <v>69</v>
      </c>
      <c r="X718" s="79" t="s">
        <v>64</v>
      </c>
      <c r="Y718" s="130">
        <v>0.9</v>
      </c>
      <c r="Z718" s="111">
        <v>11.0</v>
      </c>
      <c r="AA718" s="111">
        <v>457.0</v>
      </c>
      <c r="AB718" s="111" t="s">
        <v>62</v>
      </c>
      <c r="AC718" s="133"/>
      <c r="AD718" s="133"/>
      <c r="AE718" s="133"/>
      <c r="AF718" s="111"/>
      <c r="AG718" s="147"/>
      <c r="AH718" s="73"/>
      <c r="AI718" s="135"/>
      <c r="AJ718" s="136"/>
      <c r="AK718" s="76"/>
      <c r="AL718" s="137"/>
      <c r="AM718" s="139">
        <v>457.0</v>
      </c>
      <c r="AN718" s="139">
        <v>225.0</v>
      </c>
      <c r="AO718" s="140">
        <v>44.96</v>
      </c>
      <c r="AP718" s="142">
        <v>15000.0</v>
      </c>
      <c r="AQ718" s="142">
        <v>240.0</v>
      </c>
      <c r="AR718" s="143"/>
      <c r="AS718" s="144">
        <v>0.977490061398668</v>
      </c>
      <c r="AT718" s="144">
        <v>-0.019490061398668046</v>
      </c>
      <c r="AU718" s="146" t="s">
        <v>2489</v>
      </c>
      <c r="AV718" s="146" t="s">
        <v>2489</v>
      </c>
      <c r="AW718" s="148" t="s">
        <v>2489</v>
      </c>
      <c r="AX718" s="151"/>
      <c r="AY718" s="105"/>
      <c r="AZ718" s="186"/>
      <c r="BA718" s="186"/>
      <c r="BB718" s="222"/>
      <c r="BC718" s="45"/>
      <c r="BD718" s="45"/>
      <c r="BE718" s="155"/>
      <c r="BF718" s="45"/>
    </row>
    <row r="719" ht="16.5" customHeight="1">
      <c r="A719" s="111">
        <v>716.0</v>
      </c>
      <c r="B719" s="112" t="s">
        <v>548</v>
      </c>
      <c r="C719" s="115" t="s">
        <v>60</v>
      </c>
      <c r="D719" s="117">
        <v>41631.0</v>
      </c>
      <c r="E719" s="117">
        <v>42771.0</v>
      </c>
      <c r="F719" s="79" t="s">
        <v>79</v>
      </c>
      <c r="G719" s="118">
        <v>98000.0</v>
      </c>
      <c r="H719" s="114">
        <v>85.9</v>
      </c>
      <c r="I719" s="120">
        <v>374.0</v>
      </c>
      <c r="J719" s="111" t="s">
        <v>61</v>
      </c>
      <c r="K719" s="121">
        <v>378.73</v>
      </c>
      <c r="L719" s="120" t="s">
        <v>63</v>
      </c>
      <c r="M719" s="120"/>
      <c r="N719" s="120"/>
      <c r="O719" s="124">
        <v>98000.0</v>
      </c>
      <c r="P719" s="124">
        <v>1141.0</v>
      </c>
      <c r="Q719" s="111">
        <v>212.0</v>
      </c>
      <c r="R719" s="125">
        <v>399.0</v>
      </c>
      <c r="S719" s="126">
        <v>0.9492</v>
      </c>
      <c r="T719" s="127">
        <v>73563.0</v>
      </c>
      <c r="U719" s="128">
        <f t="shared" si="2"/>
        <v>0</v>
      </c>
      <c r="V719" s="79" t="s">
        <v>65</v>
      </c>
      <c r="W719" s="79" t="s">
        <v>64</v>
      </c>
      <c r="X719" s="79" t="s">
        <v>64</v>
      </c>
      <c r="Y719" s="130">
        <v>0.9</v>
      </c>
      <c r="Z719" s="111">
        <v>11.0</v>
      </c>
      <c r="AA719" s="111">
        <v>396.0</v>
      </c>
      <c r="AB719" s="111" t="s">
        <v>61</v>
      </c>
      <c r="AC719" s="133"/>
      <c r="AD719" s="133"/>
      <c r="AE719" s="133"/>
      <c r="AF719" s="111"/>
      <c r="AG719" s="147"/>
      <c r="AH719" s="73"/>
      <c r="AI719" s="135"/>
      <c r="AJ719" s="136"/>
      <c r="AK719" s="76"/>
      <c r="AL719" s="137"/>
      <c r="AM719" s="139">
        <v>401.0</v>
      </c>
      <c r="AN719" s="139">
        <v>1141.0</v>
      </c>
      <c r="AO719" s="140">
        <v>275.11</v>
      </c>
      <c r="AP719" s="142">
        <v>98000.0</v>
      </c>
      <c r="AQ719" s="142">
        <v>212.0</v>
      </c>
      <c r="AR719" s="143"/>
      <c r="AS719" s="144">
        <v>0.9453098302337257</v>
      </c>
      <c r="AT719" s="144">
        <v>0.0038901697662743207</v>
      </c>
      <c r="AU719" s="146" t="s">
        <v>2493</v>
      </c>
      <c r="AV719" s="146" t="s">
        <v>2493</v>
      </c>
      <c r="AW719" s="148" t="s">
        <v>2493</v>
      </c>
      <c r="AX719" s="151"/>
      <c r="AY719" s="105"/>
      <c r="AZ719" s="186"/>
      <c r="BA719" s="186"/>
      <c r="BB719" s="222"/>
      <c r="BC719" s="45"/>
      <c r="BD719" s="45"/>
      <c r="BE719" s="155"/>
      <c r="BF719" s="45"/>
    </row>
    <row r="720" ht="16.5" customHeight="1">
      <c r="A720" s="111">
        <v>717.0</v>
      </c>
      <c r="B720" s="112" t="s">
        <v>1683</v>
      </c>
      <c r="C720" s="115" t="s">
        <v>60</v>
      </c>
      <c r="D720" s="117">
        <v>42460.0</v>
      </c>
      <c r="E720" s="117">
        <v>42775.0</v>
      </c>
      <c r="F720" s="79" t="s">
        <v>118</v>
      </c>
      <c r="G720" s="118">
        <v>21000.0</v>
      </c>
      <c r="H720" s="114">
        <v>66.5</v>
      </c>
      <c r="I720" s="120">
        <v>358.0</v>
      </c>
      <c r="J720" s="111" t="s">
        <v>61</v>
      </c>
      <c r="K720" s="121">
        <v>362.53</v>
      </c>
      <c r="L720" s="120" t="s">
        <v>63</v>
      </c>
      <c r="M720" s="120"/>
      <c r="N720" s="120"/>
      <c r="O720" s="124">
        <v>21000.0</v>
      </c>
      <c r="P720" s="124">
        <v>316.0</v>
      </c>
      <c r="Q720" s="111">
        <v>232.0</v>
      </c>
      <c r="R720" s="125">
        <v>365.0</v>
      </c>
      <c r="S720" s="126">
        <v>0.9932</v>
      </c>
      <c r="T720" s="127">
        <v>68332.16</v>
      </c>
      <c r="U720" s="128">
        <f t="shared" si="2"/>
        <v>0</v>
      </c>
      <c r="V720" s="79" t="s">
        <v>69</v>
      </c>
      <c r="W720" s="79" t="s">
        <v>69</v>
      </c>
      <c r="X720" s="79" t="s">
        <v>66</v>
      </c>
      <c r="Y720" s="130">
        <v>0.9</v>
      </c>
      <c r="Z720" s="111">
        <v>11.0</v>
      </c>
      <c r="AA720" s="111">
        <v>361.0</v>
      </c>
      <c r="AB720" s="111" t="s">
        <v>61</v>
      </c>
      <c r="AC720" s="133"/>
      <c r="AD720" s="133"/>
      <c r="AE720" s="133"/>
      <c r="AF720" s="111"/>
      <c r="AG720" s="147"/>
      <c r="AH720" s="73"/>
      <c r="AI720" s="135"/>
      <c r="AJ720" s="136"/>
      <c r="AK720" s="76"/>
      <c r="AL720" s="137"/>
      <c r="AM720" s="139">
        <v>366.0</v>
      </c>
      <c r="AN720" s="139">
        <v>316.0</v>
      </c>
      <c r="AO720" s="140">
        <v>71.07</v>
      </c>
      <c r="AP720" s="142">
        <v>21000.0</v>
      </c>
      <c r="AQ720" s="142">
        <v>232.0</v>
      </c>
      <c r="AR720" s="143"/>
      <c r="AS720" s="144">
        <v>0.9717216804045397</v>
      </c>
      <c r="AT720" s="144">
        <v>0.021478319595460316</v>
      </c>
      <c r="AU720" s="146" t="s">
        <v>2498</v>
      </c>
      <c r="AV720" s="146" t="s">
        <v>2498</v>
      </c>
      <c r="AW720" s="148" t="s">
        <v>2498</v>
      </c>
      <c r="AX720" s="151"/>
      <c r="AY720" s="105"/>
      <c r="AZ720" s="186"/>
      <c r="BA720" s="186"/>
      <c r="BB720" s="222"/>
      <c r="BC720" s="45"/>
      <c r="BD720" s="45"/>
      <c r="BE720" s="155"/>
      <c r="BF720" s="45"/>
    </row>
    <row r="721" ht="16.5" customHeight="1">
      <c r="A721" s="111">
        <v>718.0</v>
      </c>
      <c r="B721" s="112" t="s">
        <v>1874</v>
      </c>
      <c r="C721" s="115" t="s">
        <v>60</v>
      </c>
      <c r="D721" s="117">
        <v>42444.0</v>
      </c>
      <c r="E721" s="117">
        <v>42779.0</v>
      </c>
      <c r="F721" s="79" t="s">
        <v>118</v>
      </c>
      <c r="G721" s="118">
        <v>37124.0</v>
      </c>
      <c r="H721" s="114">
        <v>110.5</v>
      </c>
      <c r="I721" s="120">
        <v>364.0</v>
      </c>
      <c r="J721" s="111" t="s">
        <v>62</v>
      </c>
      <c r="K721" s="121">
        <v>364.0</v>
      </c>
      <c r="L721" s="120" t="s">
        <v>63</v>
      </c>
      <c r="M721" s="120"/>
      <c r="N721" s="120"/>
      <c r="O721" s="124">
        <v>37124.0</v>
      </c>
      <c r="P721" s="124">
        <v>336.0</v>
      </c>
      <c r="Q721" s="111">
        <v>207.0</v>
      </c>
      <c r="R721" s="125">
        <v>365.0</v>
      </c>
      <c r="S721" s="126">
        <v>0.9973</v>
      </c>
      <c r="T721" s="127">
        <v>68614.23999999999</v>
      </c>
      <c r="U721" s="128">
        <f t="shared" si="2"/>
        <v>0</v>
      </c>
      <c r="V721" s="79" t="s">
        <v>69</v>
      </c>
      <c r="W721" s="79" t="s">
        <v>65</v>
      </c>
      <c r="X721" s="79" t="s">
        <v>66</v>
      </c>
      <c r="Y721" s="130">
        <v>0.9</v>
      </c>
      <c r="Z721" s="111">
        <v>11.0</v>
      </c>
      <c r="AA721" s="111">
        <v>360.0</v>
      </c>
      <c r="AB721" s="111" t="s">
        <v>61</v>
      </c>
      <c r="AC721" s="133"/>
      <c r="AD721" s="133"/>
      <c r="AE721" s="133"/>
      <c r="AF721" s="111"/>
      <c r="AG721" s="147"/>
      <c r="AH721" s="73"/>
      <c r="AI721" s="135"/>
      <c r="AJ721" s="136"/>
      <c r="AK721" s="76"/>
      <c r="AL721" s="137"/>
      <c r="AM721" s="139">
        <v>365.0</v>
      </c>
      <c r="AN721" s="139">
        <v>336.0</v>
      </c>
      <c r="AO721" s="140">
        <v>111.86</v>
      </c>
      <c r="AP721" s="142">
        <v>37124.0</v>
      </c>
      <c r="AQ721" s="142">
        <v>207.0</v>
      </c>
      <c r="AR721" s="143"/>
      <c r="AS721" s="144">
        <v>0.9613367644871674</v>
      </c>
      <c r="AT721" s="144">
        <v>0.035963235512832537</v>
      </c>
      <c r="AU721" s="146" t="s">
        <v>2501</v>
      </c>
      <c r="AV721" s="146" t="s">
        <v>2501</v>
      </c>
      <c r="AW721" s="148" t="s">
        <v>2501</v>
      </c>
      <c r="AX721" s="151"/>
      <c r="AY721" s="105"/>
      <c r="AZ721" s="186"/>
      <c r="BA721" s="186"/>
      <c r="BB721" s="222"/>
      <c r="BC721" s="45"/>
      <c r="BD721" s="45"/>
      <c r="BE721" s="155"/>
      <c r="BF721" s="45"/>
    </row>
    <row r="722" ht="16.5" customHeight="1">
      <c r="A722" s="111">
        <v>719.0</v>
      </c>
      <c r="B722" s="112" t="s">
        <v>1615</v>
      </c>
      <c r="C722" s="115" t="s">
        <v>60</v>
      </c>
      <c r="D722" s="117">
        <v>42545.0</v>
      </c>
      <c r="E722" s="117">
        <v>42780.0</v>
      </c>
      <c r="F722" s="79" t="s">
        <v>629</v>
      </c>
      <c r="G722" s="118">
        <v>14950.0</v>
      </c>
      <c r="H722" s="114">
        <v>63.3</v>
      </c>
      <c r="I722" s="120">
        <v>372.0</v>
      </c>
      <c r="J722" s="111" t="s">
        <v>62</v>
      </c>
      <c r="K722" s="121">
        <v>372.0</v>
      </c>
      <c r="L722" s="120" t="s">
        <v>63</v>
      </c>
      <c r="M722" s="120"/>
      <c r="N722" s="120"/>
      <c r="O722" s="124">
        <v>14950.0</v>
      </c>
      <c r="P722" s="124">
        <v>236.0</v>
      </c>
      <c r="Q722" s="111">
        <v>201.0</v>
      </c>
      <c r="R722" s="125">
        <v>386.0</v>
      </c>
      <c r="S722" s="126">
        <v>0.9637</v>
      </c>
      <c r="T722" s="127">
        <v>69964.62</v>
      </c>
      <c r="U722" s="128">
        <f t="shared" si="2"/>
        <v>0</v>
      </c>
      <c r="V722" s="79"/>
      <c r="W722" s="79"/>
      <c r="X722" s="79"/>
      <c r="Y722" s="130"/>
      <c r="Z722" s="111"/>
      <c r="AA722" s="133"/>
      <c r="AB722" s="133"/>
      <c r="AC722" s="133"/>
      <c r="AD722" s="133"/>
      <c r="AE722" s="133"/>
      <c r="AF722" s="111"/>
      <c r="AG722" s="147"/>
      <c r="AH722" s="73"/>
      <c r="AI722" s="135"/>
      <c r="AJ722" s="136"/>
      <c r="AK722" s="76"/>
      <c r="AL722" s="137"/>
      <c r="AM722" s="139" t="s">
        <v>71</v>
      </c>
      <c r="AN722" s="139">
        <v>236.0</v>
      </c>
      <c r="AO722" s="140">
        <v>42.17</v>
      </c>
      <c r="AP722" s="142">
        <v>14950.0</v>
      </c>
      <c r="AQ722" s="142">
        <v>201.0</v>
      </c>
      <c r="AR722" s="143"/>
      <c r="AS722" s="144">
        <v>0.9775441504489918</v>
      </c>
      <c r="AT722" s="144">
        <v>-0.013844150448991788</v>
      </c>
      <c r="AU722" s="146" t="s">
        <v>2504</v>
      </c>
      <c r="AV722" s="146" t="s">
        <v>2504</v>
      </c>
      <c r="AW722" s="148" t="s">
        <v>2504</v>
      </c>
      <c r="AX722" s="151"/>
      <c r="AY722" s="105"/>
      <c r="AZ722" s="186"/>
      <c r="BA722" s="186"/>
      <c r="BB722" s="222"/>
      <c r="BC722" s="45"/>
      <c r="BD722" s="45"/>
      <c r="BE722" s="155"/>
      <c r="BF722" s="45"/>
    </row>
    <row r="723" ht="16.5" customHeight="1">
      <c r="A723" s="111">
        <v>720.0</v>
      </c>
      <c r="B723" s="112" t="s">
        <v>449</v>
      </c>
      <c r="C723" s="115" t="s">
        <v>60</v>
      </c>
      <c r="D723" s="117">
        <v>41598.0</v>
      </c>
      <c r="E723" s="117">
        <v>42786.0</v>
      </c>
      <c r="F723" s="79" t="s">
        <v>59</v>
      </c>
      <c r="G723" s="118">
        <v>176157.0</v>
      </c>
      <c r="H723" s="114">
        <v>148.2</v>
      </c>
      <c r="I723" s="120">
        <v>368.0</v>
      </c>
      <c r="J723" s="111" t="s">
        <v>62</v>
      </c>
      <c r="K723" s="121">
        <v>368.0</v>
      </c>
      <c r="L723" s="120" t="s">
        <v>63</v>
      </c>
      <c r="M723" s="120"/>
      <c r="N723" s="120"/>
      <c r="O723" s="124">
        <v>176157.0</v>
      </c>
      <c r="P723" s="124">
        <v>1189.0</v>
      </c>
      <c r="Q723" s="111">
        <v>185.0</v>
      </c>
      <c r="R723" s="125">
        <v>399.0</v>
      </c>
      <c r="S723" s="126">
        <v>0.9223</v>
      </c>
      <c r="T723" s="127">
        <v>71478.25</v>
      </c>
      <c r="U723" s="128">
        <f t="shared" si="2"/>
        <v>0</v>
      </c>
      <c r="V723" s="79" t="s">
        <v>67</v>
      </c>
      <c r="W723" s="79" t="s">
        <v>65</v>
      </c>
      <c r="X723" s="79" t="s">
        <v>68</v>
      </c>
      <c r="Y723" s="130">
        <v>0.6</v>
      </c>
      <c r="Z723" s="111">
        <v>11.0</v>
      </c>
      <c r="AA723" s="133"/>
      <c r="AB723" s="133"/>
      <c r="AC723" s="133"/>
      <c r="AD723" s="133"/>
      <c r="AE723" s="133"/>
      <c r="AF723" s="111"/>
      <c r="AG723" s="147"/>
      <c r="AH723" s="73"/>
      <c r="AI723" s="135"/>
      <c r="AJ723" s="136"/>
      <c r="AK723" s="76"/>
      <c r="AL723" s="137"/>
      <c r="AM723" s="139" t="s">
        <v>71</v>
      </c>
      <c r="AN723" s="139">
        <v>1189.0</v>
      </c>
      <c r="AO723" s="140">
        <v>437.55</v>
      </c>
      <c r="AP723" s="142">
        <v>176157.0</v>
      </c>
      <c r="AQ723" s="142">
        <v>185.0</v>
      </c>
      <c r="AR723" s="143"/>
      <c r="AS723" s="144">
        <v>0.9327116914723729</v>
      </c>
      <c r="AT723" s="144">
        <v>-0.010411691472372864</v>
      </c>
      <c r="AU723" s="146" t="s">
        <v>2510</v>
      </c>
      <c r="AV723" s="146" t="s">
        <v>2510</v>
      </c>
      <c r="AW723" s="148" t="s">
        <v>2510</v>
      </c>
      <c r="AX723" s="151"/>
      <c r="AY723" s="105"/>
      <c r="AZ723" s="186"/>
      <c r="BA723" s="186"/>
      <c r="BB723" s="222"/>
      <c r="BC723" s="45"/>
      <c r="BD723" s="45"/>
      <c r="BE723" s="155"/>
      <c r="BF723" s="45"/>
    </row>
    <row r="724" ht="16.5" customHeight="1">
      <c r="A724" s="111">
        <v>721.0</v>
      </c>
      <c r="B724" s="112" t="s">
        <v>761</v>
      </c>
      <c r="C724" s="115" t="s">
        <v>60</v>
      </c>
      <c r="D724" s="582">
        <v>42097.0</v>
      </c>
      <c r="E724" s="117">
        <v>42784.0</v>
      </c>
      <c r="F724" s="79" t="s">
        <v>90</v>
      </c>
      <c r="G724" s="118">
        <v>39061.0</v>
      </c>
      <c r="H724" s="114">
        <v>56.8</v>
      </c>
      <c r="I724" s="120">
        <v>387.0</v>
      </c>
      <c r="J724" s="111" t="s">
        <v>62</v>
      </c>
      <c r="K724" s="121">
        <v>387.0</v>
      </c>
      <c r="L724" s="120" t="s">
        <v>63</v>
      </c>
      <c r="M724" s="120"/>
      <c r="N724" s="120"/>
      <c r="O724" s="124">
        <v>39061.0</v>
      </c>
      <c r="P724" s="124">
        <v>688.0</v>
      </c>
      <c r="Q724" s="111">
        <v>232.0</v>
      </c>
      <c r="R724" s="125">
        <v>408.0</v>
      </c>
      <c r="S724" s="126">
        <v>0.9485</v>
      </c>
      <c r="T724" s="127">
        <v>73508.75</v>
      </c>
      <c r="U724" s="128">
        <f t="shared" si="2"/>
        <v>0</v>
      </c>
      <c r="V724" s="636" t="s">
        <v>65</v>
      </c>
      <c r="W724" s="691" t="s">
        <v>64</v>
      </c>
      <c r="X724" s="691" t="s">
        <v>66</v>
      </c>
      <c r="Y724" s="130">
        <v>0.7</v>
      </c>
      <c r="Z724" s="693">
        <v>11.0</v>
      </c>
      <c r="AA724" s="202">
        <v>406.0</v>
      </c>
      <c r="AB724" s="202" t="s">
        <v>62</v>
      </c>
      <c r="AC724" s="133"/>
      <c r="AD724" s="133"/>
      <c r="AE724" s="133"/>
      <c r="AF724" s="111"/>
      <c r="AG724" s="134" t="s">
        <v>1899</v>
      </c>
      <c r="AH724" s="73"/>
      <c r="AI724" s="135"/>
      <c r="AJ724" s="136"/>
      <c r="AK724" s="76"/>
      <c r="AL724" s="137"/>
      <c r="AM724" s="139">
        <v>406.0</v>
      </c>
      <c r="AN724" s="139">
        <v>688.0</v>
      </c>
      <c r="AO724" s="140">
        <v>120.05</v>
      </c>
      <c r="AP724" s="142">
        <v>39061.0</v>
      </c>
      <c r="AQ724" s="142">
        <v>232.0</v>
      </c>
      <c r="AR724" s="143"/>
      <c r="AS724" s="144">
        <v>0.96043133054183</v>
      </c>
      <c r="AT724" s="144">
        <v>-0.011931330541830043</v>
      </c>
      <c r="AU724" s="146" t="s">
        <v>2513</v>
      </c>
      <c r="AV724" s="146" t="s">
        <v>2513</v>
      </c>
      <c r="AW724" s="148" t="s">
        <v>2513</v>
      </c>
      <c r="AX724" s="151"/>
      <c r="AY724" s="105"/>
      <c r="AZ724" s="186"/>
      <c r="BA724" s="186"/>
      <c r="BB724" s="222"/>
      <c r="BC724" s="45"/>
      <c r="BD724" s="45"/>
      <c r="BE724" s="155"/>
      <c r="BF724" s="45"/>
    </row>
    <row r="725" ht="16.5" customHeight="1">
      <c r="A725" s="111">
        <v>722.0</v>
      </c>
      <c r="B725" s="112" t="s">
        <v>1775</v>
      </c>
      <c r="C725" s="115" t="s">
        <v>60</v>
      </c>
      <c r="D725" s="117">
        <v>42614.0</v>
      </c>
      <c r="E725" s="117">
        <v>42680.0</v>
      </c>
      <c r="F725" s="79" t="s">
        <v>305</v>
      </c>
      <c r="G725" s="118">
        <v>800.0</v>
      </c>
      <c r="H725" s="114">
        <v>11.9</v>
      </c>
      <c r="I725" s="120">
        <v>441.0</v>
      </c>
      <c r="J725" s="111" t="s">
        <v>61</v>
      </c>
      <c r="K725" s="121">
        <v>446.58</v>
      </c>
      <c r="L725" s="120" t="s">
        <v>63</v>
      </c>
      <c r="M725" s="120"/>
      <c r="N725" s="120"/>
      <c r="O725" s="124">
        <v>800.0</v>
      </c>
      <c r="P725" s="124">
        <v>67.0</v>
      </c>
      <c r="Q725" s="111">
        <v>236.0</v>
      </c>
      <c r="R725" s="125">
        <v>452.0</v>
      </c>
      <c r="S725" s="126">
        <v>0.988</v>
      </c>
      <c r="T725" s="127">
        <v>80818.4</v>
      </c>
      <c r="U725" s="128">
        <f t="shared" si="2"/>
        <v>0</v>
      </c>
      <c r="V725" s="79" t="s">
        <v>64</v>
      </c>
      <c r="W725" s="79" t="s">
        <v>69</v>
      </c>
      <c r="X725" s="79" t="s">
        <v>68</v>
      </c>
      <c r="Y725" s="130">
        <v>0.9</v>
      </c>
      <c r="Z725" s="111">
        <v>3.0</v>
      </c>
      <c r="AA725" s="111">
        <v>441.0</v>
      </c>
      <c r="AB725" s="111" t="s">
        <v>61</v>
      </c>
      <c r="AC725" s="133"/>
      <c r="AD725" s="133"/>
      <c r="AE725" s="133"/>
      <c r="AF725" s="111"/>
      <c r="AG725" s="134" t="s">
        <v>2515</v>
      </c>
      <c r="AH725" s="73"/>
      <c r="AI725" s="135"/>
      <c r="AJ725" s="136"/>
      <c r="AK725" s="76"/>
      <c r="AL725" s="137"/>
      <c r="AM725" s="139">
        <v>447.0</v>
      </c>
      <c r="AN725" s="139">
        <v>67.0</v>
      </c>
      <c r="AO725" s="140">
        <v>2.32</v>
      </c>
      <c r="AP725" s="142">
        <v>800.0</v>
      </c>
      <c r="AQ725" s="142">
        <v>236.0</v>
      </c>
      <c r="AR725" s="143"/>
      <c r="AS725" s="144">
        <v>0.998402454695993</v>
      </c>
      <c r="AT725" s="144">
        <v>-0.010402454695992991</v>
      </c>
      <c r="AU725" s="146" t="s">
        <v>2516</v>
      </c>
      <c r="AV725" s="146" t="s">
        <v>2516</v>
      </c>
      <c r="AW725" s="148" t="s">
        <v>2516</v>
      </c>
      <c r="AX725" s="151"/>
      <c r="AY725" s="105"/>
      <c r="AZ725" s="186"/>
      <c r="BA725" s="186"/>
      <c r="BB725" s="222"/>
      <c r="BC725" s="45"/>
      <c r="BD725" s="45"/>
      <c r="BE725" s="155"/>
      <c r="BF725" s="45"/>
    </row>
    <row r="726" ht="16.5" customHeight="1">
      <c r="A726" s="111">
        <v>723.0</v>
      </c>
      <c r="B726" s="112" t="s">
        <v>1775</v>
      </c>
      <c r="C726" s="115" t="s">
        <v>60</v>
      </c>
      <c r="D726" s="117">
        <v>42614.0</v>
      </c>
      <c r="E726" s="117">
        <v>42728.0</v>
      </c>
      <c r="F726" s="79" t="s">
        <v>305</v>
      </c>
      <c r="G726" s="118">
        <v>2361.0</v>
      </c>
      <c r="H726" s="114">
        <v>20.5</v>
      </c>
      <c r="I726" s="120">
        <v>447.0</v>
      </c>
      <c r="J726" s="111" t="s">
        <v>61</v>
      </c>
      <c r="K726" s="121">
        <v>452.66</v>
      </c>
      <c r="L726" s="120" t="s">
        <v>63</v>
      </c>
      <c r="M726" s="120"/>
      <c r="N726" s="120"/>
      <c r="O726" s="124">
        <v>2361.0</v>
      </c>
      <c r="P726" s="124">
        <v>115.0</v>
      </c>
      <c r="Q726" s="111">
        <v>219.0</v>
      </c>
      <c r="R726" s="125">
        <v>452.0</v>
      </c>
      <c r="S726" s="126">
        <v>1.0015</v>
      </c>
      <c r="T726" s="127">
        <v>81922.70000000001</v>
      </c>
      <c r="U726" s="128">
        <f t="shared" si="2"/>
        <v>0</v>
      </c>
      <c r="V726" s="79" t="s">
        <v>64</v>
      </c>
      <c r="W726" s="79" t="s">
        <v>69</v>
      </c>
      <c r="X726" s="79" t="s">
        <v>68</v>
      </c>
      <c r="Y726" s="130">
        <v>0.9</v>
      </c>
      <c r="Z726" s="111">
        <v>3.0</v>
      </c>
      <c r="AA726" s="111">
        <v>441.0</v>
      </c>
      <c r="AB726" s="111" t="s">
        <v>61</v>
      </c>
      <c r="AC726" s="133"/>
      <c r="AD726" s="133"/>
      <c r="AE726" s="133"/>
      <c r="AF726" s="111"/>
      <c r="AG726" s="134" t="s">
        <v>2515</v>
      </c>
      <c r="AH726" s="73"/>
      <c r="AI726" s="135"/>
      <c r="AJ726" s="136"/>
      <c r="AK726" s="76"/>
      <c r="AL726" s="137"/>
      <c r="AM726" s="139">
        <v>447.0</v>
      </c>
      <c r="AN726" s="139">
        <v>115.0</v>
      </c>
      <c r="AO726" s="140">
        <v>6.32</v>
      </c>
      <c r="AP726" s="142">
        <v>2361.0</v>
      </c>
      <c r="AQ726" s="142">
        <v>219.0</v>
      </c>
      <c r="AR726" s="143"/>
      <c r="AS726" s="144">
        <v>0.9954404100200208</v>
      </c>
      <c r="AT726" s="144">
        <v>0.006059589979979241</v>
      </c>
      <c r="AU726" s="146" t="s">
        <v>2519</v>
      </c>
      <c r="AV726" s="146" t="s">
        <v>2519</v>
      </c>
      <c r="AW726" s="148" t="s">
        <v>2519</v>
      </c>
      <c r="AX726" s="151"/>
      <c r="AY726" s="105"/>
      <c r="AZ726" s="186"/>
      <c r="BA726" s="186"/>
      <c r="BB726" s="222"/>
      <c r="BC726" s="45"/>
      <c r="BD726" s="45"/>
      <c r="BE726" s="155"/>
      <c r="BF726" s="45"/>
    </row>
    <row r="727" ht="16.5" customHeight="1">
      <c r="A727" s="111">
        <v>724.0</v>
      </c>
      <c r="B727" s="112" t="s">
        <v>1775</v>
      </c>
      <c r="C727" s="115" t="s">
        <v>60</v>
      </c>
      <c r="D727" s="117">
        <v>42614.0</v>
      </c>
      <c r="E727" s="117">
        <v>42749.0</v>
      </c>
      <c r="F727" s="79" t="s">
        <v>305</v>
      </c>
      <c r="G727" s="118">
        <v>4362.0</v>
      </c>
      <c r="H727" s="114">
        <v>32.1</v>
      </c>
      <c r="I727" s="120">
        <v>447.0</v>
      </c>
      <c r="J727" s="111" t="s">
        <v>61</v>
      </c>
      <c r="K727" s="121">
        <v>452.66</v>
      </c>
      <c r="L727" s="120" t="s">
        <v>63</v>
      </c>
      <c r="M727" s="120"/>
      <c r="N727" s="120"/>
      <c r="O727" s="124">
        <v>4362.0</v>
      </c>
      <c r="P727" s="124">
        <v>136.0</v>
      </c>
      <c r="Q727" s="111">
        <v>219.0</v>
      </c>
      <c r="R727" s="125">
        <v>452.0</v>
      </c>
      <c r="S727" s="126">
        <v>1.0015</v>
      </c>
      <c r="T727" s="127">
        <v>81922.70000000001</v>
      </c>
      <c r="U727" s="128">
        <f t="shared" si="2"/>
        <v>0</v>
      </c>
      <c r="V727" s="79" t="s">
        <v>64</v>
      </c>
      <c r="W727" s="79" t="s">
        <v>69</v>
      </c>
      <c r="X727" s="79" t="s">
        <v>68</v>
      </c>
      <c r="Y727" s="130">
        <v>0.9</v>
      </c>
      <c r="Z727" s="111">
        <v>3.0</v>
      </c>
      <c r="AA727" s="111">
        <v>441.0</v>
      </c>
      <c r="AB727" s="111" t="s">
        <v>61</v>
      </c>
      <c r="AC727" s="133"/>
      <c r="AD727" s="133"/>
      <c r="AE727" s="133"/>
      <c r="AF727" s="111"/>
      <c r="AG727" s="134" t="s">
        <v>2515</v>
      </c>
      <c r="AH727" s="73"/>
      <c r="AI727" s="135"/>
      <c r="AJ727" s="136"/>
      <c r="AK727" s="76"/>
      <c r="AL727" s="137"/>
      <c r="AM727" s="139">
        <v>447.0</v>
      </c>
      <c r="AN727" s="139">
        <v>136.0</v>
      </c>
      <c r="AO727" s="140">
        <v>11.67</v>
      </c>
      <c r="AP727" s="142">
        <v>4362.0</v>
      </c>
      <c r="AQ727" s="142">
        <v>219.0</v>
      </c>
      <c r="AR727" s="143"/>
      <c r="AS727" s="144">
        <v>0.9919237319932724</v>
      </c>
      <c r="AT727" s="144">
        <v>0.009576268006727617</v>
      </c>
      <c r="AU727" s="146" t="s">
        <v>2520</v>
      </c>
      <c r="AV727" s="146" t="s">
        <v>2520</v>
      </c>
      <c r="AW727" s="148" t="s">
        <v>2520</v>
      </c>
      <c r="AX727" s="151"/>
      <c r="AY727" s="105"/>
      <c r="AZ727" s="186"/>
      <c r="BA727" s="186"/>
      <c r="BB727" s="222"/>
      <c r="BC727" s="45"/>
      <c r="BD727" s="45"/>
      <c r="BE727" s="155"/>
      <c r="BF727" s="45"/>
    </row>
    <row r="728" ht="16.5" customHeight="1">
      <c r="A728" s="111">
        <v>725.0</v>
      </c>
      <c r="B728" s="112" t="s">
        <v>1812</v>
      </c>
      <c r="C728" s="115" t="s">
        <v>60</v>
      </c>
      <c r="D728" s="117">
        <v>41814.0</v>
      </c>
      <c r="E728" s="117">
        <v>42794.0</v>
      </c>
      <c r="F728" s="79" t="s">
        <v>109</v>
      </c>
      <c r="G728" s="118">
        <v>49800.0</v>
      </c>
      <c r="H728" s="114">
        <v>50.8</v>
      </c>
      <c r="I728" s="120">
        <v>260.0</v>
      </c>
      <c r="J728" s="111" t="s">
        <v>62</v>
      </c>
      <c r="K728" s="121">
        <v>260.0</v>
      </c>
      <c r="L728" s="120" t="s">
        <v>63</v>
      </c>
      <c r="M728" s="120"/>
      <c r="N728" s="120"/>
      <c r="O728" s="124">
        <v>49800.0</v>
      </c>
      <c r="P728" s="124">
        <v>981.0</v>
      </c>
      <c r="Q728" s="111">
        <v>223.0</v>
      </c>
      <c r="R728" s="125">
        <v>289.0</v>
      </c>
      <c r="S728" s="126">
        <v>0.8997</v>
      </c>
      <c r="T728" s="127">
        <v>52632.450000000004</v>
      </c>
      <c r="U728" s="128">
        <f t="shared" si="2"/>
        <v>0</v>
      </c>
      <c r="V728" s="79" t="s">
        <v>69</v>
      </c>
      <c r="W728" s="79" t="s">
        <v>66</v>
      </c>
      <c r="X728" s="79" t="s">
        <v>68</v>
      </c>
      <c r="Y728" s="130">
        <v>0.9</v>
      </c>
      <c r="Z728" s="111">
        <v>11.0</v>
      </c>
      <c r="AA728" s="111">
        <v>280.0</v>
      </c>
      <c r="AB728" s="111" t="s">
        <v>62</v>
      </c>
      <c r="AC728" s="111">
        <v>220.0</v>
      </c>
      <c r="AD728" s="111">
        <v>140.0</v>
      </c>
      <c r="AE728" s="111">
        <v>19.3</v>
      </c>
      <c r="AF728" s="111" t="s">
        <v>62</v>
      </c>
      <c r="AG728" s="147"/>
      <c r="AH728" s="73">
        <v>80.0</v>
      </c>
      <c r="AI728" s="135">
        <v>80.0</v>
      </c>
      <c r="AJ728" s="136">
        <v>62.725</v>
      </c>
      <c r="AK728" s="76">
        <v>1.0722222222222222</v>
      </c>
      <c r="AL728" s="137" t="s">
        <v>2521</v>
      </c>
      <c r="AM728" s="139">
        <v>280.0</v>
      </c>
      <c r="AN728" s="139">
        <v>981.0</v>
      </c>
      <c r="AO728" s="140">
        <v>199.92</v>
      </c>
      <c r="AP728" s="142">
        <v>49800.0</v>
      </c>
      <c r="AQ728" s="142">
        <v>223.0</v>
      </c>
      <c r="AR728" s="143"/>
      <c r="AS728" s="144">
        <v>0.9562491735317091</v>
      </c>
      <c r="AT728" s="144">
        <v>-0.056549173531709074</v>
      </c>
      <c r="AU728" s="146" t="s">
        <v>2522</v>
      </c>
      <c r="AV728" s="146" t="s">
        <v>2522</v>
      </c>
      <c r="AW728" s="148" t="s">
        <v>2522</v>
      </c>
      <c r="AX728" s="151"/>
      <c r="AY728" s="105"/>
      <c r="AZ728" s="186"/>
      <c r="BA728" s="186"/>
      <c r="BB728" s="222"/>
      <c r="BC728" s="45"/>
      <c r="BD728" s="45"/>
      <c r="BE728" s="155"/>
      <c r="BF728" s="45"/>
    </row>
    <row r="729" ht="16.5" customHeight="1">
      <c r="A729" s="111">
        <v>726.0</v>
      </c>
      <c r="B729" s="112" t="s">
        <v>1611</v>
      </c>
      <c r="C729" s="115" t="s">
        <v>60</v>
      </c>
      <c r="D729" s="117">
        <v>41715.0</v>
      </c>
      <c r="E729" s="117">
        <v>42794.0</v>
      </c>
      <c r="F729" s="79" t="s">
        <v>79</v>
      </c>
      <c r="G729" s="118">
        <v>100000.0</v>
      </c>
      <c r="H729" s="114">
        <v>92.6</v>
      </c>
      <c r="I729" s="120">
        <v>376.0</v>
      </c>
      <c r="J729" s="111" t="s">
        <v>61</v>
      </c>
      <c r="K729" s="121">
        <v>380.76</v>
      </c>
      <c r="L729" s="120" t="s">
        <v>63</v>
      </c>
      <c r="M729" s="120"/>
      <c r="N729" s="120"/>
      <c r="O729" s="124">
        <v>100000.0</v>
      </c>
      <c r="P729" s="124">
        <v>1080.0</v>
      </c>
      <c r="Q729" s="111">
        <v>202.0</v>
      </c>
      <c r="R729" s="125">
        <v>399.0</v>
      </c>
      <c r="S729" s="126">
        <v>0.9543</v>
      </c>
      <c r="T729" s="127">
        <v>73958.25</v>
      </c>
      <c r="U729" s="128">
        <f t="shared" si="2"/>
        <v>0</v>
      </c>
      <c r="V729" s="79" t="s">
        <v>69</v>
      </c>
      <c r="W729" s="79" t="s">
        <v>69</v>
      </c>
      <c r="X729" s="79" t="s">
        <v>68</v>
      </c>
      <c r="Y729" s="130">
        <v>0.9</v>
      </c>
      <c r="Z729" s="111">
        <v>11.0</v>
      </c>
      <c r="AA729" s="111">
        <v>392.0</v>
      </c>
      <c r="AB729" s="111" t="s">
        <v>61</v>
      </c>
      <c r="AC729" s="133"/>
      <c r="AD729" s="133"/>
      <c r="AE729" s="133"/>
      <c r="AF729" s="111"/>
      <c r="AG729" s="134" t="s">
        <v>2523</v>
      </c>
      <c r="AH729" s="73"/>
      <c r="AI729" s="135"/>
      <c r="AJ729" s="136"/>
      <c r="AK729" s="76"/>
      <c r="AL729" s="137"/>
      <c r="AM729" s="139">
        <v>397.0</v>
      </c>
      <c r="AN729" s="139">
        <v>1080.0</v>
      </c>
      <c r="AO729" s="140">
        <v>266.79</v>
      </c>
      <c r="AP729" s="142">
        <v>100000.0</v>
      </c>
      <c r="AQ729" s="142">
        <v>202.0</v>
      </c>
      <c r="AR729" s="143"/>
      <c r="AS729" s="144">
        <v>0.9449620218343179</v>
      </c>
      <c r="AT729" s="144">
        <v>0.00933797816568216</v>
      </c>
      <c r="AU729" s="146" t="s">
        <v>2524</v>
      </c>
      <c r="AV729" s="146" t="s">
        <v>2524</v>
      </c>
      <c r="AW729" s="148" t="s">
        <v>2524</v>
      </c>
      <c r="AX729" s="151"/>
      <c r="AY729" s="105"/>
      <c r="AZ729" s="186"/>
      <c r="BA729" s="186"/>
      <c r="BB729" s="222"/>
      <c r="BC729" s="45"/>
      <c r="BD729" s="45"/>
      <c r="BE729" s="155"/>
      <c r="BF729" s="45"/>
    </row>
    <row r="730" ht="16.5" customHeight="1">
      <c r="A730" s="111">
        <v>727.0</v>
      </c>
      <c r="B730" s="112" t="s">
        <v>126</v>
      </c>
      <c r="C730" s="115" t="s">
        <v>60</v>
      </c>
      <c r="D730" s="117">
        <v>41527.0</v>
      </c>
      <c r="E730" s="117">
        <v>42795.0</v>
      </c>
      <c r="F730" s="79" t="s">
        <v>79</v>
      </c>
      <c r="G730" s="118">
        <v>230000.0</v>
      </c>
      <c r="H730" s="114">
        <v>181.2</v>
      </c>
      <c r="I730" s="120">
        <v>360.0</v>
      </c>
      <c r="J730" s="111" t="s">
        <v>61</v>
      </c>
      <c r="K730" s="121">
        <v>364.56</v>
      </c>
      <c r="L730" s="120" t="s">
        <v>63</v>
      </c>
      <c r="M730" s="120"/>
      <c r="N730" s="120"/>
      <c r="O730" s="124">
        <v>230000.0</v>
      </c>
      <c r="P730" s="124">
        <v>1269.0</v>
      </c>
      <c r="Q730" s="111">
        <v>212.0</v>
      </c>
      <c r="R730" s="125">
        <v>399.0</v>
      </c>
      <c r="S730" s="126">
        <v>0.9137</v>
      </c>
      <c r="T730" s="127">
        <v>70811.75</v>
      </c>
      <c r="U730" s="128">
        <f t="shared" si="2"/>
        <v>0</v>
      </c>
      <c r="V730" s="79" t="s">
        <v>65</v>
      </c>
      <c r="W730" s="79" t="s">
        <v>127</v>
      </c>
      <c r="X730" s="79" t="s">
        <v>69</v>
      </c>
      <c r="Y730" s="130">
        <v>1.0</v>
      </c>
      <c r="Z730" s="111">
        <v>22.0</v>
      </c>
      <c r="AA730" s="111">
        <v>400.0</v>
      </c>
      <c r="AB730" s="111" t="s">
        <v>61</v>
      </c>
      <c r="AC730" s="111">
        <v>361.0</v>
      </c>
      <c r="AD730" s="111">
        <v>250.0</v>
      </c>
      <c r="AE730" s="111">
        <v>20.0</v>
      </c>
      <c r="AF730" s="111" t="s">
        <v>61</v>
      </c>
      <c r="AG730" s="134" t="s">
        <v>2525</v>
      </c>
      <c r="AH730" s="73">
        <v>111.0</v>
      </c>
      <c r="AI730" s="135">
        <v>112.40506329113924</v>
      </c>
      <c r="AJ730" s="136">
        <v>64.8654054054054</v>
      </c>
      <c r="AK730" s="76">
        <v>0.8369729729729729</v>
      </c>
      <c r="AL730" s="137" t="s">
        <v>2526</v>
      </c>
      <c r="AM730" s="139">
        <v>405.0</v>
      </c>
      <c r="AN730" s="139">
        <v>1269.0</v>
      </c>
      <c r="AO730" s="140">
        <v>657.59</v>
      </c>
      <c r="AP730" s="142">
        <v>230000.0</v>
      </c>
      <c r="AQ730" s="142">
        <v>212.0</v>
      </c>
      <c r="AR730" s="143"/>
      <c r="AS730" s="144">
        <v>0.9242861467222165</v>
      </c>
      <c r="AT730" s="144">
        <v>-0.010586146722216583</v>
      </c>
      <c r="AU730" s="146" t="s">
        <v>2527</v>
      </c>
      <c r="AV730" s="146" t="s">
        <v>2527</v>
      </c>
      <c r="AW730" s="148" t="s">
        <v>2527</v>
      </c>
      <c r="AX730" s="151"/>
      <c r="AY730" s="105"/>
      <c r="AZ730" s="186"/>
      <c r="BA730" s="186"/>
      <c r="BB730" s="222"/>
      <c r="BC730" s="45"/>
      <c r="BD730" s="45"/>
      <c r="BE730" s="155"/>
      <c r="BF730" s="45"/>
    </row>
    <row r="731" ht="16.5" customHeight="1">
      <c r="A731" s="111">
        <v>728.0</v>
      </c>
      <c r="B731" s="112" t="s">
        <v>1668</v>
      </c>
      <c r="C731" s="115" t="s">
        <v>60</v>
      </c>
      <c r="D731" s="117">
        <v>42339.0</v>
      </c>
      <c r="E731" s="117">
        <v>42795.0</v>
      </c>
      <c r="F731" s="79" t="s">
        <v>870</v>
      </c>
      <c r="G731" s="118">
        <v>38020.0</v>
      </c>
      <c r="H731" s="114">
        <v>83.2</v>
      </c>
      <c r="I731" s="120">
        <v>359.0</v>
      </c>
      <c r="J731" s="111" t="s">
        <v>61</v>
      </c>
      <c r="K731" s="121">
        <v>363.54</v>
      </c>
      <c r="L731" s="120" t="s">
        <v>63</v>
      </c>
      <c r="M731" s="120"/>
      <c r="N731" s="120"/>
      <c r="O731" s="124">
        <v>38020.0</v>
      </c>
      <c r="P731" s="124">
        <v>457.0</v>
      </c>
      <c r="Q731" s="111">
        <v>210.0</v>
      </c>
      <c r="R731" s="125">
        <v>360.0</v>
      </c>
      <c r="S731" s="126">
        <v>1.0098</v>
      </c>
      <c r="T731" s="127">
        <v>69474.24</v>
      </c>
      <c r="U731" s="128">
        <f t="shared" si="2"/>
        <v>0</v>
      </c>
      <c r="V731" s="79" t="s">
        <v>64</v>
      </c>
      <c r="W731" s="79" t="s">
        <v>69</v>
      </c>
      <c r="X731" s="79" t="s">
        <v>69</v>
      </c>
      <c r="Y731" s="130">
        <v>0.9</v>
      </c>
      <c r="Z731" s="111">
        <v>22.0</v>
      </c>
      <c r="AA731" s="133"/>
      <c r="AB731" s="133"/>
      <c r="AC731" s="133"/>
      <c r="AD731" s="133"/>
      <c r="AE731" s="133"/>
      <c r="AF731" s="111"/>
      <c r="AG731" s="147"/>
      <c r="AH731" s="73"/>
      <c r="AI731" s="135"/>
      <c r="AJ731" s="136"/>
      <c r="AK731" s="76"/>
      <c r="AL731" s="137"/>
      <c r="AM731" s="139" t="s">
        <v>71</v>
      </c>
      <c r="AN731" s="139">
        <v>457.0</v>
      </c>
      <c r="AO731" s="140">
        <v>115.5</v>
      </c>
      <c r="AP731" s="142">
        <v>38020.0</v>
      </c>
      <c r="AQ731" s="142">
        <v>210.0</v>
      </c>
      <c r="AR731" s="143"/>
      <c r="AS731" s="144">
        <v>0.9609110861107385</v>
      </c>
      <c r="AT731" s="144">
        <v>0.04888891388926153</v>
      </c>
      <c r="AU731" s="146" t="s">
        <v>2528</v>
      </c>
      <c r="AV731" s="146" t="s">
        <v>2528</v>
      </c>
      <c r="AW731" s="148" t="s">
        <v>2528</v>
      </c>
      <c r="AX731" s="151"/>
      <c r="AY731" s="105"/>
      <c r="AZ731" s="186"/>
      <c r="BA731" s="186"/>
      <c r="BB731" s="222"/>
      <c r="BC731" s="45"/>
      <c r="BD731" s="45"/>
      <c r="BE731" s="155"/>
      <c r="BF731" s="45"/>
    </row>
    <row r="732" ht="16.5" customHeight="1">
      <c r="A732" s="111">
        <v>729.0</v>
      </c>
      <c r="B732" s="112" t="s">
        <v>328</v>
      </c>
      <c r="C732" s="115" t="s">
        <v>60</v>
      </c>
      <c r="D732" s="117">
        <v>41534.0</v>
      </c>
      <c r="E732" s="117">
        <v>42793.0</v>
      </c>
      <c r="F732" s="79" t="s">
        <v>59</v>
      </c>
      <c r="G732" s="118">
        <v>85000.0</v>
      </c>
      <c r="H732" s="114">
        <v>67.5</v>
      </c>
      <c r="I732" s="120">
        <v>369.0</v>
      </c>
      <c r="J732" s="111" t="s">
        <v>62</v>
      </c>
      <c r="K732" s="121">
        <v>369.0</v>
      </c>
      <c r="L732" s="120" t="s">
        <v>63</v>
      </c>
      <c r="M732" s="120"/>
      <c r="N732" s="120"/>
      <c r="O732" s="124">
        <v>85000.0</v>
      </c>
      <c r="P732" s="124">
        <v>1260.0</v>
      </c>
      <c r="Q732" s="111">
        <v>212.0</v>
      </c>
      <c r="R732" s="125">
        <v>399.0</v>
      </c>
      <c r="S732" s="126">
        <v>0.9248</v>
      </c>
      <c r="T732" s="127">
        <v>71672.0</v>
      </c>
      <c r="U732" s="128">
        <f t="shared" si="2"/>
        <v>0</v>
      </c>
      <c r="V732" s="79" t="s">
        <v>64</v>
      </c>
      <c r="W732" s="79" t="s">
        <v>69</v>
      </c>
      <c r="X732" s="79" t="s">
        <v>66</v>
      </c>
      <c r="Y732" s="130">
        <v>0.8</v>
      </c>
      <c r="Z732" s="111">
        <v>7.0</v>
      </c>
      <c r="AA732" s="111">
        <v>387.0</v>
      </c>
      <c r="AB732" s="111" t="s">
        <v>62</v>
      </c>
      <c r="AC732" s="133"/>
      <c r="AD732" s="133"/>
      <c r="AE732" s="133"/>
      <c r="AF732" s="111"/>
      <c r="AG732" s="147"/>
      <c r="AH732" s="73"/>
      <c r="AI732" s="135"/>
      <c r="AJ732" s="136"/>
      <c r="AK732" s="76"/>
      <c r="AL732" s="137"/>
      <c r="AM732" s="139">
        <v>387.0</v>
      </c>
      <c r="AN732" s="139">
        <v>1260.0</v>
      </c>
      <c r="AO732" s="140">
        <v>241.65</v>
      </c>
      <c r="AP732" s="142">
        <v>85000.0</v>
      </c>
      <c r="AQ732" s="142">
        <v>212.0</v>
      </c>
      <c r="AR732" s="143"/>
      <c r="AS732" s="144">
        <v>0.9476726336318354</v>
      </c>
      <c r="AT732" s="144">
        <v>-0.02287263363183545</v>
      </c>
      <c r="AU732" s="146" t="s">
        <v>2529</v>
      </c>
      <c r="AV732" s="146" t="s">
        <v>2529</v>
      </c>
      <c r="AW732" s="148" t="s">
        <v>2529</v>
      </c>
      <c r="AX732" s="151"/>
      <c r="AY732" s="105"/>
      <c r="AZ732" s="186"/>
      <c r="BA732" s="186"/>
      <c r="BB732" s="222"/>
      <c r="BC732" s="45"/>
      <c r="BD732" s="45"/>
      <c r="BE732" s="155"/>
      <c r="BF732" s="45"/>
    </row>
    <row r="733" ht="16.5" customHeight="1">
      <c r="A733" s="111">
        <v>730.0</v>
      </c>
      <c r="B733" s="112" t="s">
        <v>1637</v>
      </c>
      <c r="C733" s="115" t="s">
        <v>60</v>
      </c>
      <c r="D733" s="117">
        <v>42235.0</v>
      </c>
      <c r="E733" s="117">
        <v>42797.0</v>
      </c>
      <c r="F733" s="79" t="s">
        <v>118</v>
      </c>
      <c r="G733" s="118">
        <v>80104.0</v>
      </c>
      <c r="H733" s="114">
        <v>142.3</v>
      </c>
      <c r="I733" s="120">
        <v>350.0</v>
      </c>
      <c r="J733" s="111" t="s">
        <v>61</v>
      </c>
      <c r="K733" s="121">
        <v>354.43</v>
      </c>
      <c r="L733" s="120" t="s">
        <v>63</v>
      </c>
      <c r="M733" s="120"/>
      <c r="N733" s="120"/>
      <c r="O733" s="124">
        <v>80104.0</v>
      </c>
      <c r="P733" s="124">
        <v>563.0</v>
      </c>
      <c r="Q733" s="111">
        <v>207.0</v>
      </c>
      <c r="R733" s="125">
        <v>365.0</v>
      </c>
      <c r="S733" s="126">
        <v>0.971</v>
      </c>
      <c r="T733" s="127">
        <v>66804.8</v>
      </c>
      <c r="U733" s="128">
        <f t="shared" si="2"/>
        <v>0</v>
      </c>
      <c r="V733" s="79" t="s">
        <v>67</v>
      </c>
      <c r="W733" s="79" t="s">
        <v>64</v>
      </c>
      <c r="X733" s="79" t="s">
        <v>69</v>
      </c>
      <c r="Y733" s="130">
        <v>0.8</v>
      </c>
      <c r="Z733" s="111">
        <v>11.0</v>
      </c>
      <c r="AA733" s="111">
        <v>360.0</v>
      </c>
      <c r="AB733" s="111" t="s">
        <v>61</v>
      </c>
      <c r="AC733" s="133"/>
      <c r="AD733" s="133"/>
      <c r="AE733" s="133"/>
      <c r="AF733" s="111"/>
      <c r="AG733" s="147"/>
      <c r="AH733" s="73"/>
      <c r="AI733" s="135"/>
      <c r="AJ733" s="136"/>
      <c r="AK733" s="76"/>
      <c r="AL733" s="137"/>
      <c r="AM733" s="139">
        <v>365.0</v>
      </c>
      <c r="AN733" s="139">
        <v>563.0</v>
      </c>
      <c r="AO733" s="140">
        <v>244.58</v>
      </c>
      <c r="AP733" s="142">
        <v>80104.0</v>
      </c>
      <c r="AQ733" s="142">
        <v>207.0</v>
      </c>
      <c r="AR733" s="143"/>
      <c r="AS733" s="144">
        <v>0.9486253751972163</v>
      </c>
      <c r="AT733" s="144">
        <v>0.022374624802783627</v>
      </c>
      <c r="AU733" s="146" t="s">
        <v>2530</v>
      </c>
      <c r="AV733" s="146" t="s">
        <v>2530</v>
      </c>
      <c r="AW733" s="148" t="s">
        <v>2530</v>
      </c>
      <c r="AX733" s="151"/>
      <c r="AY733" s="105"/>
      <c r="AZ733" s="186"/>
      <c r="BA733" s="186"/>
      <c r="BB733" s="222"/>
      <c r="BC733" s="45"/>
      <c r="BD733" s="45"/>
      <c r="BE733" s="155"/>
      <c r="BF733" s="45"/>
    </row>
    <row r="734" ht="16.5" customHeight="1">
      <c r="A734" s="111">
        <v>731.0</v>
      </c>
      <c r="B734" s="112" t="s">
        <v>300</v>
      </c>
      <c r="C734" s="115" t="s">
        <v>60</v>
      </c>
      <c r="D734" s="117">
        <v>41593.0</v>
      </c>
      <c r="E734" s="117">
        <v>42797.0</v>
      </c>
      <c r="F734" s="79" t="s">
        <v>59</v>
      </c>
      <c r="G734" s="118">
        <v>144744.0</v>
      </c>
      <c r="H734" s="114">
        <v>120.1</v>
      </c>
      <c r="I734" s="120">
        <v>371.0</v>
      </c>
      <c r="J734" s="111" t="s">
        <v>61</v>
      </c>
      <c r="K734" s="121">
        <v>375.7</v>
      </c>
      <c r="L734" s="120" t="s">
        <v>195</v>
      </c>
      <c r="M734" s="120" t="s">
        <v>281</v>
      </c>
      <c r="N734" s="120">
        <v>28000.0</v>
      </c>
      <c r="O734" s="124">
        <v>119171.0</v>
      </c>
      <c r="P734" s="124">
        <v>992.0</v>
      </c>
      <c r="Q734" s="111">
        <v>226.0</v>
      </c>
      <c r="R734" s="125">
        <v>399.0</v>
      </c>
      <c r="S734" s="126">
        <v>0.9416</v>
      </c>
      <c r="T734" s="127">
        <v>72974.0</v>
      </c>
      <c r="U734" s="128">
        <f t="shared" si="2"/>
        <v>0</v>
      </c>
      <c r="V734" s="79" t="s">
        <v>69</v>
      </c>
      <c r="W734" s="79" t="s">
        <v>64</v>
      </c>
      <c r="X734" s="79" t="s">
        <v>69</v>
      </c>
      <c r="Y734" s="130">
        <v>0.9</v>
      </c>
      <c r="Z734" s="111">
        <v>11.0</v>
      </c>
      <c r="AA734" s="111">
        <v>400.0</v>
      </c>
      <c r="AB734" s="111" t="s">
        <v>61</v>
      </c>
      <c r="AC734" s="133"/>
      <c r="AD734" s="133"/>
      <c r="AE734" s="133"/>
      <c r="AF734" s="111"/>
      <c r="AG734" s="147"/>
      <c r="AH734" s="73"/>
      <c r="AI734" s="135"/>
      <c r="AJ734" s="136"/>
      <c r="AK734" s="76"/>
      <c r="AL734" s="137"/>
      <c r="AM734" s="139">
        <v>405.0</v>
      </c>
      <c r="AN734" s="139">
        <v>1205.0</v>
      </c>
      <c r="AO734" s="140">
        <v>358.01</v>
      </c>
      <c r="AP734" s="142">
        <v>119171.0</v>
      </c>
      <c r="AQ734" s="142">
        <v>226.0</v>
      </c>
      <c r="AR734" s="143"/>
      <c r="AS734" s="144">
        <v>0.9417536690259195</v>
      </c>
      <c r="AT734" s="144">
        <v>-1.536690259195117E-4</v>
      </c>
      <c r="AU734" s="146" t="s">
        <v>2532</v>
      </c>
      <c r="AV734" s="146" t="s">
        <v>2532</v>
      </c>
      <c r="AW734" s="148" t="s">
        <v>2532</v>
      </c>
      <c r="AX734" s="151"/>
      <c r="AY734" s="105"/>
      <c r="AZ734" s="186"/>
      <c r="BA734" s="186"/>
      <c r="BB734" s="222"/>
      <c r="BC734" s="45"/>
      <c r="BD734" s="45"/>
      <c r="BE734" s="155"/>
      <c r="BF734" s="45"/>
    </row>
    <row r="735" ht="16.5" customHeight="1">
      <c r="A735" s="111">
        <v>732.0</v>
      </c>
      <c r="B735" s="112" t="s">
        <v>1890</v>
      </c>
      <c r="C735" s="115" t="s">
        <v>60</v>
      </c>
      <c r="D735" s="117">
        <v>42477.0</v>
      </c>
      <c r="E735" s="117">
        <v>42797.0</v>
      </c>
      <c r="F735" s="79" t="s">
        <v>118</v>
      </c>
      <c r="G735" s="118">
        <v>20000.0</v>
      </c>
      <c r="H735" s="114">
        <v>62.3</v>
      </c>
      <c r="I735" s="120">
        <v>344.0</v>
      </c>
      <c r="J735" s="111" t="s">
        <v>61</v>
      </c>
      <c r="K735" s="121">
        <v>348.35</v>
      </c>
      <c r="L735" s="120" t="s">
        <v>63</v>
      </c>
      <c r="M735" s="120"/>
      <c r="N735" s="120"/>
      <c r="O735" s="124">
        <v>20000.0</v>
      </c>
      <c r="P735" s="124">
        <v>321.0</v>
      </c>
      <c r="Q735" s="111">
        <v>193.0</v>
      </c>
      <c r="R735" s="125">
        <v>365.0</v>
      </c>
      <c r="S735" s="126">
        <v>0.9544</v>
      </c>
      <c r="T735" s="127">
        <v>65662.72</v>
      </c>
      <c r="U735" s="128">
        <f t="shared" si="2"/>
        <v>0</v>
      </c>
      <c r="V735" s="79" t="s">
        <v>64</v>
      </c>
      <c r="W735" s="79" t="s">
        <v>64</v>
      </c>
      <c r="X735" s="79" t="s">
        <v>69</v>
      </c>
      <c r="Y735" s="130">
        <v>0.9</v>
      </c>
      <c r="Z735" s="111">
        <v>28.0</v>
      </c>
      <c r="AA735" s="111">
        <v>360.0</v>
      </c>
      <c r="AB735" s="111" t="s">
        <v>62</v>
      </c>
      <c r="AC735" s="133"/>
      <c r="AD735" s="133"/>
      <c r="AE735" s="133"/>
      <c r="AF735" s="111"/>
      <c r="AG735" s="147"/>
      <c r="AH735" s="73"/>
      <c r="AI735" s="135"/>
      <c r="AJ735" s="136"/>
      <c r="AK735" s="76"/>
      <c r="AL735" s="137"/>
      <c r="AM735" s="139">
        <v>360.0</v>
      </c>
      <c r="AN735" s="139">
        <v>321.0</v>
      </c>
      <c r="AO735" s="140">
        <v>57.43</v>
      </c>
      <c r="AP735" s="142">
        <v>20000.0</v>
      </c>
      <c r="AQ735" s="142">
        <v>193.0</v>
      </c>
      <c r="AR735" s="143"/>
      <c r="AS735" s="144">
        <v>0.9725912061961194</v>
      </c>
      <c r="AT735" s="144">
        <v>-0.01819120619611936</v>
      </c>
      <c r="AU735" s="146" t="s">
        <v>2533</v>
      </c>
      <c r="AV735" s="146" t="s">
        <v>2533</v>
      </c>
      <c r="AW735" s="148" t="s">
        <v>2533</v>
      </c>
      <c r="AX735" s="151"/>
      <c r="AY735" s="105"/>
      <c r="AZ735" s="186"/>
      <c r="BA735" s="186"/>
      <c r="BB735" s="222"/>
      <c r="BC735" s="45"/>
      <c r="BD735" s="45"/>
      <c r="BE735" s="155"/>
      <c r="BF735" s="45"/>
    </row>
    <row r="736" ht="16.5" customHeight="1">
      <c r="A736" s="111">
        <v>733.0</v>
      </c>
      <c r="B736" s="112" t="s">
        <v>1746</v>
      </c>
      <c r="C736" s="115" t="s">
        <v>60</v>
      </c>
      <c r="D736" s="117">
        <v>42628.0</v>
      </c>
      <c r="E736" s="117">
        <v>42797.0</v>
      </c>
      <c r="F736" s="79" t="s">
        <v>629</v>
      </c>
      <c r="G736" s="118">
        <v>28385.0</v>
      </c>
      <c r="H736" s="114">
        <v>167.0</v>
      </c>
      <c r="I736" s="120">
        <v>373.0</v>
      </c>
      <c r="J736" s="111" t="s">
        <v>61</v>
      </c>
      <c r="K736" s="121">
        <v>377.72</v>
      </c>
      <c r="L736" s="120" t="s">
        <v>63</v>
      </c>
      <c r="M736" s="120"/>
      <c r="N736" s="120"/>
      <c r="O736" s="124">
        <v>28385.0</v>
      </c>
      <c r="P736" s="124">
        <v>170.0</v>
      </c>
      <c r="Q736" s="111">
        <v>198.0</v>
      </c>
      <c r="R736" s="125">
        <v>386.0</v>
      </c>
      <c r="S736" s="126">
        <v>0.9785</v>
      </c>
      <c r="T736" s="127">
        <v>71039.1</v>
      </c>
      <c r="U736" s="128">
        <f t="shared" si="2"/>
        <v>0</v>
      </c>
      <c r="V736" s="79"/>
      <c r="W736" s="79"/>
      <c r="X736" s="79"/>
      <c r="Y736" s="130"/>
      <c r="Z736" s="111"/>
      <c r="AA736" s="133"/>
      <c r="AB736" s="133"/>
      <c r="AC736" s="133"/>
      <c r="AD736" s="133"/>
      <c r="AE736" s="133"/>
      <c r="AF736" s="111"/>
      <c r="AG736" s="147"/>
      <c r="AH736" s="73"/>
      <c r="AI736" s="135"/>
      <c r="AJ736" s="136"/>
      <c r="AK736" s="76"/>
      <c r="AL736" s="137"/>
      <c r="AM736" s="139" t="s">
        <v>71</v>
      </c>
      <c r="AN736" s="139">
        <v>170.0</v>
      </c>
      <c r="AO736" s="140">
        <v>78.26</v>
      </c>
      <c r="AP736" s="142">
        <v>28385.0</v>
      </c>
      <c r="AQ736" s="142">
        <v>198.0</v>
      </c>
      <c r="AR736" s="143"/>
      <c r="AS736" s="144">
        <v>0.9662238315393459</v>
      </c>
      <c r="AT736" s="144">
        <v>0.012276168460654158</v>
      </c>
      <c r="AU736" s="146" t="s">
        <v>2534</v>
      </c>
      <c r="AV736" s="146" t="s">
        <v>2534</v>
      </c>
      <c r="AW736" s="148" t="s">
        <v>2534</v>
      </c>
      <c r="AX736" s="151"/>
      <c r="AY736" s="105"/>
      <c r="AZ736" s="186"/>
      <c r="BA736" s="186"/>
      <c r="BB736" s="222"/>
      <c r="BC736" s="45"/>
      <c r="BD736" s="45"/>
      <c r="BE736" s="155"/>
      <c r="BF736" s="45"/>
    </row>
    <row r="737" ht="16.5" customHeight="1">
      <c r="A737" s="111">
        <v>734.0</v>
      </c>
      <c r="B737" s="112" t="s">
        <v>1810</v>
      </c>
      <c r="C737" s="115" t="s">
        <v>60</v>
      </c>
      <c r="D737" s="117">
        <v>42448.0</v>
      </c>
      <c r="E737" s="117">
        <v>42802.0</v>
      </c>
      <c r="F737" s="79" t="s">
        <v>86</v>
      </c>
      <c r="G737" s="118">
        <v>26663.0</v>
      </c>
      <c r="H737" s="114">
        <v>75.1</v>
      </c>
      <c r="I737" s="120">
        <v>430.0</v>
      </c>
      <c r="J737" s="111" t="s">
        <v>61</v>
      </c>
      <c r="K737" s="121">
        <v>435.44</v>
      </c>
      <c r="L737" s="120" t="s">
        <v>63</v>
      </c>
      <c r="M737" s="120"/>
      <c r="N737" s="120"/>
      <c r="O737" s="124">
        <v>26663.0</v>
      </c>
      <c r="P737" s="124">
        <v>355.0</v>
      </c>
      <c r="Q737" s="111">
        <v>211.0</v>
      </c>
      <c r="R737" s="125">
        <v>430.0</v>
      </c>
      <c r="S737" s="126">
        <v>1.0127</v>
      </c>
      <c r="T737" s="127">
        <v>78484.25</v>
      </c>
      <c r="U737" s="128">
        <f t="shared" si="2"/>
        <v>0</v>
      </c>
      <c r="V737" s="79" t="s">
        <v>67</v>
      </c>
      <c r="W737" s="79" t="s">
        <v>68</v>
      </c>
      <c r="X737" s="79" t="s">
        <v>69</v>
      </c>
      <c r="Y737" s="130">
        <v>0.5</v>
      </c>
      <c r="Z737" s="111">
        <v>11.0</v>
      </c>
      <c r="AA737" s="111">
        <v>430.0</v>
      </c>
      <c r="AB737" s="111" t="s">
        <v>61</v>
      </c>
      <c r="AC737" s="111">
        <v>292.0</v>
      </c>
      <c r="AD737" s="111">
        <v>82.7</v>
      </c>
      <c r="AE737" s="111">
        <v>46.7</v>
      </c>
      <c r="AF737" s="111" t="s">
        <v>61</v>
      </c>
      <c r="AG737" s="134" t="s">
        <v>2535</v>
      </c>
      <c r="AH737" s="73">
        <v>209.3</v>
      </c>
      <c r="AI737" s="135">
        <v>211.94936708860763</v>
      </c>
      <c r="AJ737" s="136">
        <v>95.94295222169134</v>
      </c>
      <c r="AK737" s="76">
        <v>1.2379735770540818</v>
      </c>
      <c r="AL737" s="137" t="s">
        <v>2536</v>
      </c>
      <c r="AM737" s="139">
        <v>435.0</v>
      </c>
      <c r="AN737" s="139">
        <v>355.0</v>
      </c>
      <c r="AO737" s="140">
        <v>72.15</v>
      </c>
      <c r="AP737" s="142">
        <v>26663.0</v>
      </c>
      <c r="AQ737" s="142">
        <v>211.0</v>
      </c>
      <c r="AR737" s="143"/>
      <c r="AS737" s="144">
        <v>0.9673749472242061</v>
      </c>
      <c r="AT737" s="144">
        <v>0.045325052775793795</v>
      </c>
      <c r="AU737" s="146" t="s">
        <v>2537</v>
      </c>
      <c r="AV737" s="146" t="s">
        <v>2537</v>
      </c>
      <c r="AW737" s="148" t="s">
        <v>2537</v>
      </c>
      <c r="AX737" s="151"/>
      <c r="AY737" s="105"/>
      <c r="AZ737" s="186"/>
      <c r="BA737" s="186"/>
      <c r="BB737" s="222"/>
      <c r="BC737" s="45"/>
      <c r="BD737" s="45"/>
      <c r="BE737" s="155"/>
      <c r="BF737" s="45"/>
    </row>
    <row r="738" ht="16.5" customHeight="1">
      <c r="A738" s="111">
        <v>735.0</v>
      </c>
      <c r="B738" s="112" t="s">
        <v>1692</v>
      </c>
      <c r="C738" s="115" t="s">
        <v>60</v>
      </c>
      <c r="D738" s="117">
        <v>41722.0</v>
      </c>
      <c r="E738" s="117">
        <v>42802.0</v>
      </c>
      <c r="F738" s="79" t="s">
        <v>59</v>
      </c>
      <c r="G738" s="118">
        <v>100000.0</v>
      </c>
      <c r="H738" s="114">
        <v>92.5</v>
      </c>
      <c r="I738" s="120">
        <v>359.0</v>
      </c>
      <c r="J738" s="111" t="s">
        <v>61</v>
      </c>
      <c r="K738" s="121">
        <v>363.54</v>
      </c>
      <c r="L738" s="120" t="s">
        <v>63</v>
      </c>
      <c r="M738" s="120"/>
      <c r="N738" s="120"/>
      <c r="O738" s="124">
        <v>100000.0</v>
      </c>
      <c r="P738" s="124">
        <v>1081.0</v>
      </c>
      <c r="Q738" s="111">
        <v>210.0</v>
      </c>
      <c r="R738" s="125">
        <v>399.0</v>
      </c>
      <c r="S738" s="126">
        <v>0.9111</v>
      </c>
      <c r="T738" s="127">
        <v>70610.25</v>
      </c>
      <c r="U738" s="128">
        <f t="shared" si="2"/>
        <v>0</v>
      </c>
      <c r="V738" s="79" t="s">
        <v>64</v>
      </c>
      <c r="W738" s="79" t="s">
        <v>69</v>
      </c>
      <c r="X738" s="79" t="s">
        <v>66</v>
      </c>
      <c r="Y738" s="130">
        <v>0.8</v>
      </c>
      <c r="Z738" s="111">
        <v>3.7</v>
      </c>
      <c r="AA738" s="133"/>
      <c r="AB738" s="111" t="s">
        <v>61</v>
      </c>
      <c r="AC738" s="133"/>
      <c r="AD738" s="133"/>
      <c r="AE738" s="133"/>
      <c r="AF738" s="111"/>
      <c r="AG738" s="147"/>
      <c r="AH738" s="73"/>
      <c r="AI738" s="135"/>
      <c r="AJ738" s="136"/>
      <c r="AK738" s="76"/>
      <c r="AL738" s="137"/>
      <c r="AM738" s="139" t="s">
        <v>71</v>
      </c>
      <c r="AN738" s="139">
        <v>1081.0</v>
      </c>
      <c r="AO738" s="140">
        <v>283.62</v>
      </c>
      <c r="AP738" s="142">
        <v>100000.0</v>
      </c>
      <c r="AQ738" s="142">
        <v>210.0</v>
      </c>
      <c r="AR738" s="143"/>
      <c r="AS738" s="144">
        <v>0.9449620218343179</v>
      </c>
      <c r="AT738" s="144">
        <v>-0.03386202183431786</v>
      </c>
      <c r="AU738" s="146" t="s">
        <v>2538</v>
      </c>
      <c r="AV738" s="146" t="s">
        <v>2538</v>
      </c>
      <c r="AW738" s="148" t="s">
        <v>2538</v>
      </c>
      <c r="AX738" s="151"/>
      <c r="AY738" s="105"/>
      <c r="AZ738" s="186"/>
      <c r="BA738" s="186"/>
      <c r="BB738" s="222"/>
      <c r="BC738" s="45"/>
      <c r="BD738" s="45"/>
      <c r="BE738" s="155"/>
      <c r="BF738" s="45"/>
    </row>
    <row r="739" ht="16.5" customHeight="1">
      <c r="A739" s="111">
        <v>736.0</v>
      </c>
      <c r="B739" s="112" t="s">
        <v>761</v>
      </c>
      <c r="C739" s="115" t="s">
        <v>60</v>
      </c>
      <c r="D739" s="582">
        <v>42097.0</v>
      </c>
      <c r="E739" s="117">
        <v>42805.0</v>
      </c>
      <c r="F739" s="79" t="s">
        <v>90</v>
      </c>
      <c r="G739" s="118">
        <v>40014.0</v>
      </c>
      <c r="H739" s="114">
        <v>56.4</v>
      </c>
      <c r="I739" s="120">
        <v>388.0</v>
      </c>
      <c r="J739" s="111" t="s">
        <v>62</v>
      </c>
      <c r="K739" s="121">
        <v>388.0</v>
      </c>
      <c r="L739" s="120" t="s">
        <v>63</v>
      </c>
      <c r="M739" s="120"/>
      <c r="N739" s="120"/>
      <c r="O739" s="124">
        <v>40014.0</v>
      </c>
      <c r="P739" s="124">
        <v>709.0</v>
      </c>
      <c r="Q739" s="111">
        <v>232.0</v>
      </c>
      <c r="R739" s="125">
        <v>408.0</v>
      </c>
      <c r="S739" s="126">
        <v>0.951</v>
      </c>
      <c r="T739" s="127">
        <v>73702.5</v>
      </c>
      <c r="U739" s="128">
        <f t="shared" si="2"/>
        <v>0</v>
      </c>
      <c r="V739" s="636" t="s">
        <v>65</v>
      </c>
      <c r="W739" s="691" t="s">
        <v>64</v>
      </c>
      <c r="X739" s="691" t="s">
        <v>66</v>
      </c>
      <c r="Y739" s="130">
        <v>0.7</v>
      </c>
      <c r="Z739" s="693">
        <v>11.0</v>
      </c>
      <c r="AA739" s="202">
        <v>406.0</v>
      </c>
      <c r="AB739" s="202" t="s">
        <v>62</v>
      </c>
      <c r="AC739" s="111">
        <v>386.0</v>
      </c>
      <c r="AD739" s="111">
        <v>21.0</v>
      </c>
      <c r="AE739" s="111" t="s">
        <v>2539</v>
      </c>
      <c r="AF739" s="111" t="s">
        <v>62</v>
      </c>
      <c r="AG739" s="134" t="s">
        <v>1899</v>
      </c>
      <c r="AH739" s="73">
        <v>365.0</v>
      </c>
      <c r="AI739" s="135">
        <v>365.0</v>
      </c>
      <c r="AJ739" s="136">
        <v>71.00931506849315</v>
      </c>
      <c r="AK739" s="76">
        <v>0.9162492266902341</v>
      </c>
      <c r="AL739" s="137" t="s">
        <v>2540</v>
      </c>
      <c r="AM739" s="139">
        <v>406.0</v>
      </c>
      <c r="AN739" s="139">
        <v>709.0</v>
      </c>
      <c r="AO739" s="140">
        <v>122.82</v>
      </c>
      <c r="AP739" s="142">
        <v>40014.0</v>
      </c>
      <c r="AQ739" s="142">
        <v>232.0</v>
      </c>
      <c r="AR739" s="143"/>
      <c r="AS739" s="144">
        <v>0.9600054682638607</v>
      </c>
      <c r="AT739" s="144">
        <v>-0.009005468263860728</v>
      </c>
      <c r="AU739" s="146" t="s">
        <v>2541</v>
      </c>
      <c r="AV739" s="146" t="s">
        <v>2541</v>
      </c>
      <c r="AW739" s="148" t="s">
        <v>2541</v>
      </c>
      <c r="AX739" s="151"/>
      <c r="AY739" s="105"/>
      <c r="AZ739" s="186"/>
      <c r="BA739" s="186"/>
      <c r="BB739" s="222"/>
      <c r="BC739" s="45"/>
      <c r="BD739" s="45"/>
      <c r="BE739" s="155"/>
      <c r="BF739" s="45"/>
    </row>
    <row r="740" ht="16.5" customHeight="1">
      <c r="A740" s="111">
        <v>737.0</v>
      </c>
      <c r="B740" s="112" t="s">
        <v>1784</v>
      </c>
      <c r="C740" s="115" t="s">
        <v>60</v>
      </c>
      <c r="D740" s="117">
        <v>41942.0</v>
      </c>
      <c r="E740" s="117">
        <v>42808.0</v>
      </c>
      <c r="F740" s="79" t="s">
        <v>59</v>
      </c>
      <c r="G740" s="118">
        <v>93406.0</v>
      </c>
      <c r="H740" s="114">
        <v>107.7</v>
      </c>
      <c r="I740" s="120">
        <v>380.0</v>
      </c>
      <c r="J740" s="111" t="s">
        <v>61</v>
      </c>
      <c r="K740" s="121">
        <v>384.81</v>
      </c>
      <c r="L740" s="120" t="s">
        <v>63</v>
      </c>
      <c r="M740" s="120"/>
      <c r="N740" s="120"/>
      <c r="O740" s="124">
        <v>93406.0</v>
      </c>
      <c r="P740" s="124">
        <v>867.0</v>
      </c>
      <c r="Q740" s="111">
        <v>206.0</v>
      </c>
      <c r="R740" s="125">
        <v>399.0</v>
      </c>
      <c r="S740" s="126">
        <v>0.9644</v>
      </c>
      <c r="T740" s="127">
        <v>74741.0</v>
      </c>
      <c r="U740" s="128">
        <f t="shared" si="2"/>
        <v>0</v>
      </c>
      <c r="V740" s="79" t="s">
        <v>80</v>
      </c>
      <c r="W740" s="79" t="s">
        <v>64</v>
      </c>
      <c r="X740" s="79" t="s">
        <v>68</v>
      </c>
      <c r="Y740" s="130">
        <v>0.9</v>
      </c>
      <c r="Z740" s="111">
        <v>3.7</v>
      </c>
      <c r="AA740" s="133"/>
      <c r="AB740" s="133"/>
      <c r="AC740" s="133"/>
      <c r="AD740" s="133"/>
      <c r="AE740" s="133"/>
      <c r="AF740" s="111"/>
      <c r="AG740" s="147"/>
      <c r="AH740" s="73"/>
      <c r="AI740" s="135"/>
      <c r="AJ740" s="136"/>
      <c r="AK740" s="76"/>
      <c r="AL740" s="137"/>
      <c r="AM740" s="139" t="s">
        <v>71</v>
      </c>
      <c r="AN740" s="139">
        <v>867.0</v>
      </c>
      <c r="AO740" s="140">
        <v>252.82</v>
      </c>
      <c r="AP740" s="142">
        <v>93406.0</v>
      </c>
      <c r="AQ740" s="142">
        <v>206.0</v>
      </c>
      <c r="AR740" s="143"/>
      <c r="AS740" s="144">
        <v>0.9461224915603513</v>
      </c>
      <c r="AT740" s="144">
        <v>0.018277508439648704</v>
      </c>
      <c r="AU740" s="146" t="s">
        <v>2542</v>
      </c>
      <c r="AV740" s="146" t="s">
        <v>2542</v>
      </c>
      <c r="AW740" s="148" t="s">
        <v>2542</v>
      </c>
      <c r="AX740" s="151"/>
      <c r="AY740" s="105"/>
      <c r="AZ740" s="186"/>
      <c r="BA740" s="186"/>
      <c r="BB740" s="222"/>
      <c r="BC740" s="45"/>
      <c r="BD740" s="45"/>
      <c r="BE740" s="155"/>
      <c r="BF740" s="45"/>
    </row>
    <row r="741" ht="16.5" customHeight="1">
      <c r="A741" s="111">
        <v>738.0</v>
      </c>
      <c r="B741" s="112" t="s">
        <v>1127</v>
      </c>
      <c r="C741" s="115" t="s">
        <v>60</v>
      </c>
      <c r="D741" s="117">
        <v>42160.0</v>
      </c>
      <c r="E741" s="117">
        <v>42796.0</v>
      </c>
      <c r="F741" s="79" t="s">
        <v>86</v>
      </c>
      <c r="G741" s="118">
        <v>78500.0</v>
      </c>
      <c r="H741" s="114">
        <v>123.2</v>
      </c>
      <c r="I741" s="120">
        <v>412.0</v>
      </c>
      <c r="J741" s="111" t="s">
        <v>61</v>
      </c>
      <c r="K741" s="121">
        <v>417.22</v>
      </c>
      <c r="L741" s="120" t="s">
        <v>63</v>
      </c>
      <c r="M741" s="120"/>
      <c r="N741" s="120"/>
      <c r="O741" s="124">
        <v>78500.0</v>
      </c>
      <c r="P741" s="124">
        <v>637.0</v>
      </c>
      <c r="Q741" s="111">
        <v>215.0</v>
      </c>
      <c r="R741" s="125">
        <v>430.0</v>
      </c>
      <c r="S741" s="126">
        <v>0.9703</v>
      </c>
      <c r="T741" s="127">
        <v>75198.25</v>
      </c>
      <c r="U741" s="128">
        <f t="shared" si="2"/>
        <v>0</v>
      </c>
      <c r="V741" s="79" t="s">
        <v>67</v>
      </c>
      <c r="W741" s="79"/>
      <c r="X741" s="79" t="s">
        <v>69</v>
      </c>
      <c r="Y741" s="130">
        <v>0.9</v>
      </c>
      <c r="Z741" s="111">
        <v>11.0</v>
      </c>
      <c r="AA741" s="133"/>
      <c r="AB741" s="133"/>
      <c r="AC741" s="133"/>
      <c r="AD741" s="133"/>
      <c r="AE741" s="133"/>
      <c r="AF741" s="111"/>
      <c r="AG741" s="147"/>
      <c r="AH741" s="73"/>
      <c r="AI741" s="135"/>
      <c r="AJ741" s="136"/>
      <c r="AK741" s="76"/>
      <c r="AL741" s="137"/>
      <c r="AM741" s="139" t="s">
        <v>71</v>
      </c>
      <c r="AN741" s="139">
        <v>637.0</v>
      </c>
      <c r="AO741" s="140">
        <v>221.08</v>
      </c>
      <c r="AP741" s="142">
        <v>78500.0</v>
      </c>
      <c r="AQ741" s="142">
        <v>215.0</v>
      </c>
      <c r="AR741" s="143"/>
      <c r="AS741" s="144">
        <v>0.948947537954861</v>
      </c>
      <c r="AT741" s="144">
        <v>0.021352462045139076</v>
      </c>
      <c r="AU741" s="146" t="s">
        <v>2543</v>
      </c>
      <c r="AV741" s="146" t="s">
        <v>2543</v>
      </c>
      <c r="AW741" s="148" t="s">
        <v>2543</v>
      </c>
      <c r="AX741" s="151"/>
      <c r="AY741" s="105"/>
      <c r="AZ741" s="186"/>
      <c r="BA741" s="186"/>
      <c r="BB741" s="222"/>
      <c r="BC741" s="45"/>
      <c r="BD741" s="45"/>
      <c r="BE741" s="155"/>
      <c r="BF741" s="45"/>
    </row>
    <row r="742" ht="16.5" customHeight="1">
      <c r="A742" s="111">
        <v>739.0</v>
      </c>
      <c r="B742" s="112" t="s">
        <v>449</v>
      </c>
      <c r="C742" s="115" t="s">
        <v>60</v>
      </c>
      <c r="D742" s="117">
        <v>41598.0</v>
      </c>
      <c r="E742" s="117">
        <v>42810.0</v>
      </c>
      <c r="F742" s="79" t="s">
        <v>59</v>
      </c>
      <c r="G742" s="118">
        <v>180600.0</v>
      </c>
      <c r="H742" s="114">
        <v>148.9</v>
      </c>
      <c r="I742" s="120">
        <v>365.0</v>
      </c>
      <c r="J742" s="111" t="s">
        <v>62</v>
      </c>
      <c r="K742" s="121">
        <v>365.0</v>
      </c>
      <c r="L742" s="120" t="s">
        <v>63</v>
      </c>
      <c r="M742" s="120"/>
      <c r="N742" s="120"/>
      <c r="O742" s="124">
        <v>180600.0</v>
      </c>
      <c r="P742" s="124">
        <v>1213.0</v>
      </c>
      <c r="Q742" s="111">
        <v>186.0</v>
      </c>
      <c r="R742" s="125">
        <v>399.0</v>
      </c>
      <c r="S742" s="126">
        <v>0.9148</v>
      </c>
      <c r="T742" s="127">
        <v>70897.0</v>
      </c>
      <c r="U742" s="128">
        <f t="shared" si="2"/>
        <v>0</v>
      </c>
      <c r="V742" s="79" t="s">
        <v>80</v>
      </c>
      <c r="W742" s="79" t="s">
        <v>64</v>
      </c>
      <c r="X742" s="79" t="s">
        <v>66</v>
      </c>
      <c r="Y742" s="130">
        <v>0.7</v>
      </c>
      <c r="Z742" s="111">
        <v>11.0</v>
      </c>
      <c r="AA742" s="133"/>
      <c r="AB742" s="133"/>
      <c r="AC742" s="133"/>
      <c r="AD742" s="133"/>
      <c r="AE742" s="133"/>
      <c r="AF742" s="111"/>
      <c r="AG742" s="134" t="s">
        <v>111</v>
      </c>
      <c r="AH742" s="73"/>
      <c r="AI742" s="135"/>
      <c r="AJ742" s="136"/>
      <c r="AK742" s="76"/>
      <c r="AL742" s="137"/>
      <c r="AM742" s="139" t="s">
        <v>71</v>
      </c>
      <c r="AN742" s="139">
        <v>1213.0</v>
      </c>
      <c r="AO742" s="140">
        <v>452.78</v>
      </c>
      <c r="AP742" s="142">
        <v>180600.0</v>
      </c>
      <c r="AQ742" s="142">
        <v>186.0</v>
      </c>
      <c r="AR742" s="143"/>
      <c r="AS742" s="144">
        <v>0.9320153280779554</v>
      </c>
      <c r="AT742" s="144">
        <v>-0.01721532807795545</v>
      </c>
      <c r="AU742" s="146" t="s">
        <v>2544</v>
      </c>
      <c r="AV742" s="146" t="s">
        <v>2544</v>
      </c>
      <c r="AW742" s="148" t="s">
        <v>2544</v>
      </c>
      <c r="AX742" s="151"/>
      <c r="AY742" s="105"/>
      <c r="AZ742" s="186"/>
      <c r="BA742" s="186"/>
      <c r="BB742" s="222"/>
      <c r="BC742" s="45"/>
      <c r="BD742" s="45"/>
      <c r="BE742" s="155"/>
      <c r="BF742" s="45"/>
    </row>
    <row r="743" ht="16.5" customHeight="1">
      <c r="A743" s="111">
        <v>740.0</v>
      </c>
      <c r="B743" s="112" t="s">
        <v>1336</v>
      </c>
      <c r="C743" s="115" t="s">
        <v>60</v>
      </c>
      <c r="D743" s="117">
        <v>42137.0</v>
      </c>
      <c r="E743" s="117">
        <v>42815.0</v>
      </c>
      <c r="F743" s="79" t="s">
        <v>59</v>
      </c>
      <c r="G743" s="118">
        <v>75443.0</v>
      </c>
      <c r="H743" s="114">
        <v>111.1</v>
      </c>
      <c r="I743" s="120">
        <v>381.0</v>
      </c>
      <c r="J743" s="111" t="s">
        <v>62</v>
      </c>
      <c r="K743" s="121">
        <v>381.0</v>
      </c>
      <c r="L743" s="120" t="s">
        <v>63</v>
      </c>
      <c r="M743" s="120"/>
      <c r="N743" s="120"/>
      <c r="O743" s="124">
        <v>75443.0</v>
      </c>
      <c r="P743" s="124">
        <v>679.0</v>
      </c>
      <c r="Q743" s="111">
        <v>205.0</v>
      </c>
      <c r="R743" s="125">
        <v>399.0</v>
      </c>
      <c r="S743" s="126">
        <v>0.9549</v>
      </c>
      <c r="T743" s="127">
        <v>74004.75</v>
      </c>
      <c r="U743" s="128">
        <f t="shared" si="2"/>
        <v>0</v>
      </c>
      <c r="V743" s="79" t="s">
        <v>69</v>
      </c>
      <c r="W743" s="79" t="s">
        <v>66</v>
      </c>
      <c r="X743" s="79" t="s">
        <v>66</v>
      </c>
      <c r="Y743" s="130">
        <v>0.8</v>
      </c>
      <c r="Z743" s="111">
        <v>11.0</v>
      </c>
      <c r="AA743" s="133"/>
      <c r="AB743" s="133"/>
      <c r="AC743" s="111">
        <v>381.0</v>
      </c>
      <c r="AD743" s="111">
        <v>194.0</v>
      </c>
      <c r="AE743" s="111">
        <v>35.4</v>
      </c>
      <c r="AF743" s="111" t="s">
        <v>62</v>
      </c>
      <c r="AG743" s="147"/>
      <c r="AH743" s="73">
        <v>187.0</v>
      </c>
      <c r="AI743" s="135">
        <v>187.0</v>
      </c>
      <c r="AJ743" s="136">
        <v>72.12513368983957</v>
      </c>
      <c r="AK743" s="76">
        <v>0.9306468863205105</v>
      </c>
      <c r="AL743" s="137" t="s">
        <v>2545</v>
      </c>
      <c r="AM743" s="139" t="s">
        <v>71</v>
      </c>
      <c r="AN743" s="139">
        <v>679.0</v>
      </c>
      <c r="AO743" s="140">
        <v>204.19</v>
      </c>
      <c r="AP743" s="142">
        <v>75443.0</v>
      </c>
      <c r="AQ743" s="142">
        <v>205.0</v>
      </c>
      <c r="AR743" s="143"/>
      <c r="AS743" s="144">
        <v>0.9495774498206622</v>
      </c>
      <c r="AT743" s="144">
        <v>0.005322550179337804</v>
      </c>
      <c r="AU743" s="146" t="s">
        <v>2546</v>
      </c>
      <c r="AV743" s="146" t="s">
        <v>2546</v>
      </c>
      <c r="AW743" s="148" t="s">
        <v>2546</v>
      </c>
      <c r="AX743" s="151"/>
      <c r="AY743" s="105"/>
      <c r="AZ743" s="186"/>
      <c r="BA743" s="186"/>
      <c r="BB743" s="222"/>
      <c r="BC743" s="45"/>
      <c r="BD743" s="45"/>
      <c r="BE743" s="155"/>
      <c r="BF743" s="45"/>
    </row>
    <row r="744" ht="16.5" customHeight="1">
      <c r="A744" s="111">
        <v>741.0</v>
      </c>
      <c r="B744" s="112" t="s">
        <v>126</v>
      </c>
      <c r="C744" s="115" t="s">
        <v>60</v>
      </c>
      <c r="D744" s="117">
        <v>41527.0</v>
      </c>
      <c r="E744" s="117">
        <v>42817.0</v>
      </c>
      <c r="F744" s="79" t="s">
        <v>79</v>
      </c>
      <c r="G744" s="118">
        <v>235000.0</v>
      </c>
      <c r="H744" s="114">
        <v>182.0</v>
      </c>
      <c r="I744" s="120">
        <v>362.0</v>
      </c>
      <c r="J744" s="111" t="s">
        <v>61</v>
      </c>
      <c r="K744" s="121">
        <v>366.58</v>
      </c>
      <c r="L744" s="120" t="s">
        <v>63</v>
      </c>
      <c r="M744" s="120"/>
      <c r="N744" s="120"/>
      <c r="O744" s="124">
        <v>235000.0</v>
      </c>
      <c r="P744" s="124">
        <v>1291.0</v>
      </c>
      <c r="Q744" s="111">
        <v>212.0</v>
      </c>
      <c r="R744" s="125">
        <v>399.0</v>
      </c>
      <c r="S744" s="126">
        <v>0.9187</v>
      </c>
      <c r="T744" s="127">
        <v>71199.25</v>
      </c>
      <c r="U744" s="128">
        <f t="shared" si="2"/>
        <v>0</v>
      </c>
      <c r="V744" s="79" t="s">
        <v>65</v>
      </c>
      <c r="W744" s="79" t="s">
        <v>127</v>
      </c>
      <c r="X744" s="79" t="s">
        <v>69</v>
      </c>
      <c r="Y744" s="130">
        <v>1.0</v>
      </c>
      <c r="Z744" s="111">
        <v>22.0</v>
      </c>
      <c r="AA744" s="111">
        <v>400.0</v>
      </c>
      <c r="AB744" s="111" t="s">
        <v>61</v>
      </c>
      <c r="AC744" s="111">
        <v>362.0</v>
      </c>
      <c r="AD744" s="111">
        <v>242.0</v>
      </c>
      <c r="AE744" s="111">
        <v>22.4</v>
      </c>
      <c r="AF744" s="111" t="s">
        <v>61</v>
      </c>
      <c r="AG744" s="134" t="s">
        <v>2547</v>
      </c>
      <c r="AH744" s="73">
        <v>120.0</v>
      </c>
      <c r="AI744" s="135">
        <v>121.51898734177216</v>
      </c>
      <c r="AJ744" s="136">
        <v>67.57291333333333</v>
      </c>
      <c r="AK744" s="76">
        <v>0.8719085591397849</v>
      </c>
      <c r="AL744" s="137" t="s">
        <v>2548</v>
      </c>
      <c r="AM744" s="139">
        <v>405.0</v>
      </c>
      <c r="AN744" s="139">
        <v>1291.0</v>
      </c>
      <c r="AO744" s="140">
        <v>670.13</v>
      </c>
      <c r="AP744" s="142">
        <v>235000.0</v>
      </c>
      <c r="AQ744" s="142">
        <v>212.0</v>
      </c>
      <c r="AR744" s="143"/>
      <c r="AS744" s="144">
        <v>0.9235044040413183</v>
      </c>
      <c r="AT744" s="144">
        <v>-0.004804404041318322</v>
      </c>
      <c r="AU744" s="146" t="s">
        <v>2549</v>
      </c>
      <c r="AV744" s="146" t="s">
        <v>2549</v>
      </c>
      <c r="AW744" s="148" t="s">
        <v>2549</v>
      </c>
      <c r="AX744" s="151"/>
      <c r="AY744" s="105"/>
      <c r="AZ744" s="186"/>
      <c r="BA744" s="186"/>
      <c r="BB744" s="222"/>
      <c r="BC744" s="45"/>
      <c r="BD744" s="45"/>
      <c r="BE744" s="155"/>
      <c r="BF744" s="45"/>
    </row>
    <row r="745" ht="16.5" customHeight="1">
      <c r="A745" s="111">
        <v>742.0</v>
      </c>
      <c r="B745" s="112" t="s">
        <v>1784</v>
      </c>
      <c r="C745" s="115" t="s">
        <v>60</v>
      </c>
      <c r="D745" s="117">
        <v>41942.0</v>
      </c>
      <c r="E745" s="117">
        <v>42821.0</v>
      </c>
      <c r="F745" s="79" t="s">
        <v>59</v>
      </c>
      <c r="G745" s="118">
        <v>95393.0</v>
      </c>
      <c r="H745" s="114">
        <v>108.4</v>
      </c>
      <c r="I745" s="120">
        <v>380.0</v>
      </c>
      <c r="J745" s="111" t="s">
        <v>61</v>
      </c>
      <c r="K745" s="121">
        <v>384.81</v>
      </c>
      <c r="L745" s="120" t="s">
        <v>63</v>
      </c>
      <c r="M745" s="120"/>
      <c r="N745" s="120"/>
      <c r="O745" s="124">
        <v>95393.0</v>
      </c>
      <c r="P745" s="124">
        <v>880.0</v>
      </c>
      <c r="Q745" s="111">
        <v>205.0</v>
      </c>
      <c r="R745" s="125">
        <v>399.0</v>
      </c>
      <c r="S745" s="126">
        <v>0.9644</v>
      </c>
      <c r="T745" s="127">
        <v>74741.0</v>
      </c>
      <c r="U745" s="128">
        <f t="shared" si="2"/>
        <v>0</v>
      </c>
      <c r="V745" s="79"/>
      <c r="W745" s="79"/>
      <c r="X745" s="79"/>
      <c r="Y745" s="130"/>
      <c r="Z745" s="111"/>
      <c r="AA745" s="133"/>
      <c r="AB745" s="133"/>
      <c r="AC745" s="133"/>
      <c r="AD745" s="133"/>
      <c r="AE745" s="133"/>
      <c r="AF745" s="111"/>
      <c r="AG745" s="147"/>
      <c r="AH745" s="73"/>
      <c r="AI745" s="135"/>
      <c r="AJ745" s="136"/>
      <c r="AK745" s="76"/>
      <c r="AL745" s="137"/>
      <c r="AM745" s="139" t="s">
        <v>71</v>
      </c>
      <c r="AN745" s="139">
        <v>880.0</v>
      </c>
      <c r="AO745" s="140">
        <v>256.94</v>
      </c>
      <c r="AP745" s="142">
        <v>95393.0</v>
      </c>
      <c r="AQ745" s="142">
        <v>205.0</v>
      </c>
      <c r="AR745" s="143"/>
      <c r="AS745" s="144">
        <v>0.9457684745782109</v>
      </c>
      <c r="AT745" s="144">
        <v>0.01863152542178914</v>
      </c>
      <c r="AU745" s="146" t="s">
        <v>2550</v>
      </c>
      <c r="AV745" s="146" t="s">
        <v>2550</v>
      </c>
      <c r="AW745" s="148" t="s">
        <v>2550</v>
      </c>
      <c r="AX745" s="151"/>
      <c r="AY745" s="105"/>
      <c r="AZ745" s="186"/>
      <c r="BA745" s="186"/>
      <c r="BB745" s="222"/>
      <c r="BC745" s="45"/>
      <c r="BD745" s="45"/>
      <c r="BE745" s="155"/>
      <c r="BF745" s="45"/>
    </row>
    <row r="746" ht="16.5" customHeight="1">
      <c r="A746" s="111">
        <v>743.0</v>
      </c>
      <c r="B746" s="112" t="s">
        <v>1832</v>
      </c>
      <c r="C746" s="115" t="s">
        <v>60</v>
      </c>
      <c r="D746" s="117">
        <v>42139.0</v>
      </c>
      <c r="E746" s="117">
        <v>42825.0</v>
      </c>
      <c r="F746" s="79" t="s">
        <v>90</v>
      </c>
      <c r="G746" s="118">
        <v>51605.0</v>
      </c>
      <c r="H746" s="114">
        <v>75.1</v>
      </c>
      <c r="I746" s="120">
        <v>388.0</v>
      </c>
      <c r="J746" s="111" t="s">
        <v>62</v>
      </c>
      <c r="K746" s="121">
        <v>388.0</v>
      </c>
      <c r="L746" s="120" t="s">
        <v>63</v>
      </c>
      <c r="M746" s="120"/>
      <c r="N746" s="120"/>
      <c r="O746" s="124">
        <v>51605.0</v>
      </c>
      <c r="P746" s="124">
        <v>687.0</v>
      </c>
      <c r="Q746" s="111">
        <v>212.0</v>
      </c>
      <c r="R746" s="125">
        <v>408.0</v>
      </c>
      <c r="S746" s="126">
        <v>0.951</v>
      </c>
      <c r="T746" s="127">
        <v>73702.5</v>
      </c>
      <c r="U746" s="128">
        <f t="shared" si="2"/>
        <v>0</v>
      </c>
      <c r="V746" s="79" t="s">
        <v>64</v>
      </c>
      <c r="W746" s="79" t="s">
        <v>65</v>
      </c>
      <c r="X746" s="79" t="s">
        <v>66</v>
      </c>
      <c r="Y746" s="130">
        <v>0.9</v>
      </c>
      <c r="Z746" s="111">
        <v>11.0</v>
      </c>
      <c r="AA746" s="111">
        <v>403.0</v>
      </c>
      <c r="AB746" s="133"/>
      <c r="AC746" s="133"/>
      <c r="AD746" s="133"/>
      <c r="AE746" s="133"/>
      <c r="AF746" s="111"/>
      <c r="AG746" s="147"/>
      <c r="AH746" s="73"/>
      <c r="AI746" s="135"/>
      <c r="AJ746" s="136"/>
      <c r="AK746" s="76"/>
      <c r="AL746" s="137"/>
      <c r="AM746" s="139">
        <v>403.0</v>
      </c>
      <c r="AN746" s="139">
        <v>687.0</v>
      </c>
      <c r="AO746" s="140">
        <v>144.74</v>
      </c>
      <c r="AP746" s="142">
        <v>51605.0</v>
      </c>
      <c r="AQ746" s="142">
        <v>212.0</v>
      </c>
      <c r="AR746" s="143"/>
      <c r="AS746" s="144">
        <v>0.95565723159481</v>
      </c>
      <c r="AT746" s="144">
        <v>-0.0046572315948100185</v>
      </c>
      <c r="AU746" s="146" t="s">
        <v>2551</v>
      </c>
      <c r="AV746" s="146" t="s">
        <v>2551</v>
      </c>
      <c r="AW746" s="148" t="s">
        <v>2551</v>
      </c>
      <c r="AX746" s="151"/>
      <c r="AY746" s="105"/>
      <c r="AZ746" s="186"/>
      <c r="BA746" s="186"/>
      <c r="BB746" s="222"/>
      <c r="BC746" s="45"/>
      <c r="BD746" s="45"/>
      <c r="BE746" s="155"/>
      <c r="BF746" s="45"/>
    </row>
    <row r="747" ht="16.5" customHeight="1">
      <c r="A747" s="111">
        <v>744.0</v>
      </c>
      <c r="B747" s="112" t="s">
        <v>1628</v>
      </c>
      <c r="C747" s="115" t="s">
        <v>60</v>
      </c>
      <c r="D747" s="117">
        <v>42437.0</v>
      </c>
      <c r="E747" s="117">
        <v>42823.0</v>
      </c>
      <c r="F747" s="79" t="s">
        <v>305</v>
      </c>
      <c r="G747" s="118">
        <v>30786.0</v>
      </c>
      <c r="H747" s="114">
        <v>79.6</v>
      </c>
      <c r="I747" s="120">
        <v>431.0</v>
      </c>
      <c r="J747" s="111" t="s">
        <v>61</v>
      </c>
      <c r="K747" s="121">
        <v>436.46</v>
      </c>
      <c r="L747" s="120" t="s">
        <v>63</v>
      </c>
      <c r="M747" s="120"/>
      <c r="N747" s="120"/>
      <c r="O747" s="124">
        <v>30786.0</v>
      </c>
      <c r="P747" s="124">
        <v>387.0</v>
      </c>
      <c r="Q747" s="111">
        <v>222.0</v>
      </c>
      <c r="R747" s="125">
        <v>452.0</v>
      </c>
      <c r="S747" s="126">
        <v>0.9656</v>
      </c>
      <c r="T747" s="127">
        <v>78986.08</v>
      </c>
      <c r="U747" s="128">
        <f t="shared" si="2"/>
        <v>0</v>
      </c>
      <c r="V747" s="79" t="s">
        <v>64</v>
      </c>
      <c r="W747" s="79" t="s">
        <v>65</v>
      </c>
      <c r="X747" s="79" t="s">
        <v>68</v>
      </c>
      <c r="Y747" s="130">
        <v>0.9</v>
      </c>
      <c r="Z747" s="111">
        <v>11.0</v>
      </c>
      <c r="AA747" s="111">
        <v>448.0</v>
      </c>
      <c r="AB747" s="111" t="s">
        <v>61</v>
      </c>
      <c r="AC747" s="111"/>
      <c r="AD747" s="111"/>
      <c r="AE747" s="111"/>
      <c r="AF747" s="111"/>
      <c r="AG747" s="134" t="s">
        <v>2552</v>
      </c>
      <c r="AH747" s="73"/>
      <c r="AI747" s="135"/>
      <c r="AJ747" s="136"/>
      <c r="AK747" s="76"/>
      <c r="AL747" s="137"/>
      <c r="AM747" s="139">
        <v>454.0</v>
      </c>
      <c r="AN747" s="139">
        <v>387.0</v>
      </c>
      <c r="AO747" s="140">
        <v>85.03</v>
      </c>
      <c r="AP747" s="142">
        <v>30786.0</v>
      </c>
      <c r="AQ747" s="142">
        <v>222.0</v>
      </c>
      <c r="AR747" s="143"/>
      <c r="AS747" s="144">
        <v>0.9647324775267702</v>
      </c>
      <c r="AT747" s="144">
        <v>8.675224732298537E-4</v>
      </c>
      <c r="AU747" s="146" t="s">
        <v>2553</v>
      </c>
      <c r="AV747" s="146" t="s">
        <v>2553</v>
      </c>
      <c r="AW747" s="148" t="s">
        <v>2553</v>
      </c>
      <c r="AX747" s="151"/>
      <c r="AY747" s="105"/>
      <c r="AZ747" s="186"/>
      <c r="BA747" s="186"/>
      <c r="BB747" s="222"/>
      <c r="BC747" s="45"/>
      <c r="BD747" s="45"/>
      <c r="BE747" s="155"/>
      <c r="BF747" s="45"/>
    </row>
    <row r="748" ht="16.5" customHeight="1">
      <c r="A748" s="111">
        <v>745.0</v>
      </c>
      <c r="B748" s="112" t="s">
        <v>1615</v>
      </c>
      <c r="C748" s="115" t="s">
        <v>60</v>
      </c>
      <c r="D748" s="956">
        <v>42545.0</v>
      </c>
      <c r="E748" s="117">
        <v>42828.0</v>
      </c>
      <c r="F748" s="79" t="s">
        <v>629</v>
      </c>
      <c r="G748" s="118">
        <v>21634.0</v>
      </c>
      <c r="H748" s="114">
        <v>76.2</v>
      </c>
      <c r="I748" s="120">
        <v>375.0</v>
      </c>
      <c r="J748" s="111" t="s">
        <v>62</v>
      </c>
      <c r="K748" s="121">
        <v>375.0</v>
      </c>
      <c r="L748" s="120" t="s">
        <v>63</v>
      </c>
      <c r="M748" s="120"/>
      <c r="N748" s="120"/>
      <c r="O748" s="124">
        <v>21634.0</v>
      </c>
      <c r="P748" s="124">
        <v>284.0</v>
      </c>
      <c r="Q748" s="111">
        <v>200.0</v>
      </c>
      <c r="R748" s="125">
        <v>386.0</v>
      </c>
      <c r="S748" s="126">
        <v>0.9715</v>
      </c>
      <c r="T748" s="127">
        <v>70530.90000000001</v>
      </c>
      <c r="U748" s="128">
        <f t="shared" si="2"/>
        <v>0</v>
      </c>
      <c r="V748" s="79" t="s">
        <v>80</v>
      </c>
      <c r="W748" s="79" t="s">
        <v>64</v>
      </c>
      <c r="X748" s="79" t="s">
        <v>64</v>
      </c>
      <c r="Y748" s="130">
        <v>0.7</v>
      </c>
      <c r="Z748" s="111">
        <v>11.0</v>
      </c>
      <c r="AA748" s="111">
        <v>384.0</v>
      </c>
      <c r="AB748" s="111" t="s">
        <v>62</v>
      </c>
      <c r="AC748" s="133"/>
      <c r="AD748" s="133"/>
      <c r="AE748" s="133"/>
      <c r="AF748" s="111"/>
      <c r="AG748" s="147"/>
      <c r="AH748" s="73"/>
      <c r="AI748" s="135"/>
      <c r="AJ748" s="136"/>
      <c r="AK748" s="76"/>
      <c r="AL748" s="137"/>
      <c r="AM748" s="139">
        <v>384.0</v>
      </c>
      <c r="AN748" s="139">
        <v>284.0</v>
      </c>
      <c r="AO748" s="140">
        <v>60.47</v>
      </c>
      <c r="AP748" s="142">
        <v>21634.0</v>
      </c>
      <c r="AQ748" s="142">
        <v>200.0</v>
      </c>
      <c r="AR748" s="143"/>
      <c r="AS748" s="144">
        <v>0.9711875194693838</v>
      </c>
      <c r="AT748" s="144">
        <v>3.12480530616277E-4</v>
      </c>
      <c r="AU748" s="146" t="s">
        <v>2554</v>
      </c>
      <c r="AV748" s="146" t="s">
        <v>2554</v>
      </c>
      <c r="AW748" s="148" t="s">
        <v>2554</v>
      </c>
      <c r="AX748" s="151"/>
      <c r="AY748" s="105"/>
      <c r="AZ748" s="186"/>
      <c r="BA748" s="186"/>
      <c r="BB748" s="222"/>
      <c r="BC748" s="45"/>
      <c r="BD748" s="45"/>
      <c r="BE748" s="155"/>
      <c r="BF748" s="45"/>
    </row>
    <row r="749" ht="16.5" customHeight="1">
      <c r="A749" s="111">
        <v>746.0</v>
      </c>
      <c r="B749" s="112" t="s">
        <v>1637</v>
      </c>
      <c r="C749" s="115" t="s">
        <v>60</v>
      </c>
      <c r="D749" s="117">
        <v>42235.0</v>
      </c>
      <c r="E749" s="117">
        <v>42831.0</v>
      </c>
      <c r="F749" s="79" t="s">
        <v>118</v>
      </c>
      <c r="G749" s="118">
        <v>84753.0</v>
      </c>
      <c r="H749" s="114">
        <v>142.0</v>
      </c>
      <c r="I749" s="120">
        <v>350.0</v>
      </c>
      <c r="J749" s="111" t="s">
        <v>61</v>
      </c>
      <c r="K749" s="121">
        <v>354.43</v>
      </c>
      <c r="L749" s="120" t="s">
        <v>63</v>
      </c>
      <c r="M749" s="120"/>
      <c r="N749" s="120"/>
      <c r="O749" s="124">
        <v>84753.0</v>
      </c>
      <c r="P749" s="124">
        <v>597.0</v>
      </c>
      <c r="Q749" s="111">
        <v>207.0</v>
      </c>
      <c r="R749" s="125">
        <v>365.0</v>
      </c>
      <c r="S749" s="126">
        <v>0.971</v>
      </c>
      <c r="T749" s="127">
        <v>66804.8</v>
      </c>
      <c r="U749" s="128">
        <f t="shared" si="2"/>
        <v>0</v>
      </c>
      <c r="V749" s="79" t="s">
        <v>67</v>
      </c>
      <c r="W749" s="79" t="s">
        <v>64</v>
      </c>
      <c r="X749" s="79" t="s">
        <v>69</v>
      </c>
      <c r="Y749" s="130">
        <v>0.8</v>
      </c>
      <c r="Z749" s="111">
        <v>11.0</v>
      </c>
      <c r="AA749" s="111">
        <v>360.0</v>
      </c>
      <c r="AB749" s="111" t="s">
        <v>61</v>
      </c>
      <c r="AC749" s="133"/>
      <c r="AD749" s="133"/>
      <c r="AE749" s="133"/>
      <c r="AF749" s="111"/>
      <c r="AG749" s="147"/>
      <c r="AH749" s="73"/>
      <c r="AI749" s="135"/>
      <c r="AJ749" s="136"/>
      <c r="AK749" s="76"/>
      <c r="AL749" s="137"/>
      <c r="AM749" s="139">
        <v>365.0</v>
      </c>
      <c r="AN749" s="139">
        <v>597.0</v>
      </c>
      <c r="AO749" s="140">
        <v>258.78</v>
      </c>
      <c r="AP749" s="142">
        <v>84753.0</v>
      </c>
      <c r="AQ749" s="142">
        <v>207.0</v>
      </c>
      <c r="AR749" s="143"/>
      <c r="AS749" s="144">
        <v>0.9477196981649638</v>
      </c>
      <c r="AT749" s="144">
        <v>0.023280301835036155</v>
      </c>
      <c r="AU749" s="146" t="s">
        <v>2555</v>
      </c>
      <c r="AV749" s="146" t="s">
        <v>2555</v>
      </c>
      <c r="AW749" s="148" t="s">
        <v>2555</v>
      </c>
      <c r="AX749" s="151"/>
      <c r="AY749" s="105"/>
      <c r="AZ749" s="186"/>
      <c r="BA749" s="186"/>
      <c r="BB749" s="222"/>
      <c r="BC749" s="45"/>
      <c r="BD749" s="45"/>
      <c r="BE749" s="155"/>
      <c r="BF749" s="45"/>
    </row>
    <row r="750" ht="16.5" customHeight="1">
      <c r="A750" s="111">
        <v>747.0</v>
      </c>
      <c r="B750" s="112" t="s">
        <v>1833</v>
      </c>
      <c r="C750" s="115" t="s">
        <v>60</v>
      </c>
      <c r="D750" s="117">
        <v>41729.0</v>
      </c>
      <c r="E750" s="117">
        <v>42766.0</v>
      </c>
      <c r="F750" s="79" t="s">
        <v>59</v>
      </c>
      <c r="G750" s="118">
        <v>65500.0</v>
      </c>
      <c r="H750" s="114">
        <v>63.1</v>
      </c>
      <c r="I750" s="120">
        <v>382.0</v>
      </c>
      <c r="J750" s="111" t="s">
        <v>61</v>
      </c>
      <c r="K750" s="121">
        <v>386.84</v>
      </c>
      <c r="L750" s="120" t="s">
        <v>63</v>
      </c>
      <c r="M750" s="120"/>
      <c r="N750" s="120"/>
      <c r="O750" s="124">
        <v>65500.0</v>
      </c>
      <c r="P750" s="124">
        <v>1038.0</v>
      </c>
      <c r="Q750" s="111">
        <v>216.0</v>
      </c>
      <c r="R750" s="125">
        <v>399.0</v>
      </c>
      <c r="S750" s="126">
        <v>0.9695</v>
      </c>
      <c r="T750" s="127">
        <v>75136.25</v>
      </c>
      <c r="U750" s="128">
        <f t="shared" si="2"/>
        <v>0</v>
      </c>
      <c r="V750" s="79" t="s">
        <v>69</v>
      </c>
      <c r="W750" s="79" t="s">
        <v>66</v>
      </c>
      <c r="X750" s="79" t="s">
        <v>68</v>
      </c>
      <c r="Y750" s="130">
        <v>0.6</v>
      </c>
      <c r="Z750" s="111">
        <v>11.0</v>
      </c>
      <c r="AA750" s="133"/>
      <c r="AB750" s="133"/>
      <c r="AC750" s="133"/>
      <c r="AD750" s="133"/>
      <c r="AE750" s="133"/>
      <c r="AF750" s="111"/>
      <c r="AG750" s="147"/>
      <c r="AH750" s="73"/>
      <c r="AI750" s="135"/>
      <c r="AJ750" s="136"/>
      <c r="AK750" s="76"/>
      <c r="AL750" s="137"/>
      <c r="AM750" s="139" t="s">
        <v>71</v>
      </c>
      <c r="AN750" s="139">
        <v>1038.0</v>
      </c>
      <c r="AO750" s="140">
        <v>185.43</v>
      </c>
      <c r="AP750" s="142">
        <v>65500.0</v>
      </c>
      <c r="AQ750" s="142">
        <v>216.0</v>
      </c>
      <c r="AR750" s="143"/>
      <c r="AS750" s="144">
        <v>0.9518092985301814</v>
      </c>
      <c r="AT750" s="144">
        <v>0.01769070146981866</v>
      </c>
      <c r="AU750" s="146" t="s">
        <v>2556</v>
      </c>
      <c r="AV750" s="146" t="s">
        <v>2556</v>
      </c>
      <c r="AW750" s="148" t="s">
        <v>2556</v>
      </c>
      <c r="AX750" s="151"/>
      <c r="AY750" s="105"/>
      <c r="AZ750" s="186"/>
      <c r="BA750" s="186"/>
      <c r="BB750" s="222"/>
      <c r="BC750" s="45"/>
      <c r="BD750" s="45"/>
      <c r="BE750" s="155"/>
      <c r="BF750" s="45"/>
    </row>
    <row r="751" ht="16.5" customHeight="1">
      <c r="A751" s="111">
        <v>748.0</v>
      </c>
      <c r="B751" s="112" t="s">
        <v>1652</v>
      </c>
      <c r="C751" s="115" t="s">
        <v>60</v>
      </c>
      <c r="D751" s="117">
        <v>41635.0</v>
      </c>
      <c r="E751" s="117">
        <v>42836.0</v>
      </c>
      <c r="F751" s="79" t="s">
        <v>79</v>
      </c>
      <c r="G751" s="118">
        <v>201000.0</v>
      </c>
      <c r="H751" s="114">
        <v>167.2</v>
      </c>
      <c r="I751" s="120">
        <v>367.0</v>
      </c>
      <c r="J751" s="111" t="s">
        <v>61</v>
      </c>
      <c r="K751" s="121">
        <v>371.65</v>
      </c>
      <c r="L751" s="120" t="s">
        <v>63</v>
      </c>
      <c r="M751" s="120"/>
      <c r="N751" s="120"/>
      <c r="O751" s="124">
        <v>201000.0</v>
      </c>
      <c r="P751" s="124">
        <v>1202.0</v>
      </c>
      <c r="Q751" s="111">
        <v>217.0</v>
      </c>
      <c r="R751" s="125">
        <v>399.0</v>
      </c>
      <c r="S751" s="126">
        <v>0.9315</v>
      </c>
      <c r="T751" s="127">
        <v>72191.25</v>
      </c>
      <c r="U751" s="128">
        <f t="shared" si="2"/>
        <v>0</v>
      </c>
      <c r="V751" s="79" t="s">
        <v>65</v>
      </c>
      <c r="W751" s="79" t="s">
        <v>67</v>
      </c>
      <c r="X751" s="79" t="s">
        <v>66</v>
      </c>
      <c r="Y751" s="130">
        <v>0.9</v>
      </c>
      <c r="Z751" s="111">
        <v>9.0</v>
      </c>
      <c r="AA751" s="111">
        <v>392.0</v>
      </c>
      <c r="AB751" s="111" t="s">
        <v>61</v>
      </c>
      <c r="AC751" s="133"/>
      <c r="AD751" s="133"/>
      <c r="AE751" s="133"/>
      <c r="AF751" s="111"/>
      <c r="AG751" s="147"/>
      <c r="AH751" s="73"/>
      <c r="AI751" s="135"/>
      <c r="AJ751" s="136"/>
      <c r="AK751" s="76"/>
      <c r="AL751" s="137"/>
      <c r="AM751" s="139">
        <v>397.0</v>
      </c>
      <c r="AN751" s="139">
        <v>1202.0</v>
      </c>
      <c r="AO751" s="140">
        <v>582.81</v>
      </c>
      <c r="AP751" s="142">
        <v>201000.0</v>
      </c>
      <c r="AQ751" s="142">
        <v>217.0</v>
      </c>
      <c r="AR751" s="143"/>
      <c r="AS751" s="144">
        <v>0.9288215738193177</v>
      </c>
      <c r="AT751" s="144">
        <v>0.0026784261806822585</v>
      </c>
      <c r="AU751" s="146" t="s">
        <v>2557</v>
      </c>
      <c r="AV751" s="146" t="s">
        <v>2557</v>
      </c>
      <c r="AW751" s="148" t="s">
        <v>2557</v>
      </c>
      <c r="AX751" s="151"/>
      <c r="AY751" s="105"/>
      <c r="AZ751" s="186"/>
      <c r="BA751" s="186"/>
      <c r="BB751" s="222"/>
      <c r="BC751" s="45"/>
      <c r="BD751" s="45"/>
      <c r="BE751" s="155"/>
      <c r="BF751" s="45"/>
    </row>
    <row r="752" ht="16.5" customHeight="1">
      <c r="A752" s="111">
        <v>749.0</v>
      </c>
      <c r="B752" s="112" t="s">
        <v>1726</v>
      </c>
      <c r="C752" s="115" t="s">
        <v>60</v>
      </c>
      <c r="D752" s="117">
        <v>42276.0</v>
      </c>
      <c r="E752" s="117">
        <v>42838.0</v>
      </c>
      <c r="F752" s="79" t="s">
        <v>305</v>
      </c>
      <c r="G752" s="118">
        <v>47860.0</v>
      </c>
      <c r="H752" s="114">
        <v>85.0</v>
      </c>
      <c r="I752" s="120">
        <v>425.0</v>
      </c>
      <c r="J752" s="111" t="s">
        <v>61</v>
      </c>
      <c r="K752" s="121">
        <v>430.38</v>
      </c>
      <c r="L752" s="120" t="s">
        <v>63</v>
      </c>
      <c r="M752" s="120"/>
      <c r="N752" s="120"/>
      <c r="O752" s="124">
        <v>47860.0</v>
      </c>
      <c r="P752" s="124">
        <v>563.0</v>
      </c>
      <c r="Q752" s="111">
        <v>234.0</v>
      </c>
      <c r="R752" s="125">
        <v>452.0</v>
      </c>
      <c r="S752" s="126">
        <v>0.9522</v>
      </c>
      <c r="T752" s="127">
        <v>77889.96</v>
      </c>
      <c r="U752" s="128">
        <f t="shared" si="2"/>
        <v>0</v>
      </c>
      <c r="V752" s="79" t="s">
        <v>66</v>
      </c>
      <c r="W752" s="79" t="s">
        <v>69</v>
      </c>
      <c r="X752" s="79" t="s">
        <v>64</v>
      </c>
      <c r="Y752" s="130">
        <v>0.8</v>
      </c>
      <c r="Z752" s="111">
        <v>11.0</v>
      </c>
      <c r="AA752" s="133"/>
      <c r="AB752" s="133"/>
      <c r="AC752" s="133"/>
      <c r="AD752" s="133"/>
      <c r="AE752" s="133"/>
      <c r="AF752" s="111"/>
      <c r="AG752" s="147"/>
      <c r="AH752" s="73"/>
      <c r="AI752" s="135"/>
      <c r="AJ752" s="136"/>
      <c r="AK752" s="76"/>
      <c r="AL752" s="137"/>
      <c r="AM752" s="139" t="s">
        <v>71</v>
      </c>
      <c r="AN752" s="139">
        <v>563.0</v>
      </c>
      <c r="AO752" s="140">
        <v>140.28</v>
      </c>
      <c r="AP752" s="142">
        <v>47860.0</v>
      </c>
      <c r="AQ752" s="142">
        <v>234.0</v>
      </c>
      <c r="AR752" s="143"/>
      <c r="AS752" s="144">
        <v>0.9569161520309962</v>
      </c>
      <c r="AT752" s="144">
        <v>-0.004716152030996179</v>
      </c>
      <c r="AU752" s="146" t="s">
        <v>2558</v>
      </c>
      <c r="AV752" s="146" t="s">
        <v>2558</v>
      </c>
      <c r="AW752" s="148" t="s">
        <v>2558</v>
      </c>
      <c r="AX752" s="151"/>
      <c r="AY752" s="105"/>
      <c r="AZ752" s="186"/>
      <c r="BA752" s="186"/>
      <c r="BB752" s="222"/>
      <c r="BC752" s="45"/>
      <c r="BD752" s="45"/>
      <c r="BE752" s="155"/>
      <c r="BF752" s="45"/>
    </row>
    <row r="753" ht="16.5" customHeight="1">
      <c r="A753" s="111">
        <v>750.0</v>
      </c>
      <c r="B753" s="112" t="s">
        <v>1873</v>
      </c>
      <c r="C753" s="115" t="s">
        <v>60</v>
      </c>
      <c r="D753" s="117">
        <v>41783.0</v>
      </c>
      <c r="E753" s="117">
        <v>42840.0</v>
      </c>
      <c r="F753" s="79" t="s">
        <v>109</v>
      </c>
      <c r="G753" s="118">
        <v>54100.0</v>
      </c>
      <c r="H753" s="114">
        <v>51.1</v>
      </c>
      <c r="I753" s="120">
        <v>255.0</v>
      </c>
      <c r="J753" s="111" t="s">
        <v>62</v>
      </c>
      <c r="K753" s="121">
        <v>255.0</v>
      </c>
      <c r="L753" s="120" t="s">
        <v>63</v>
      </c>
      <c r="M753" s="120"/>
      <c r="N753" s="120"/>
      <c r="O753" s="124">
        <v>54100.0</v>
      </c>
      <c r="P753" s="124">
        <v>1058.0</v>
      </c>
      <c r="Q753" s="111">
        <v>199.0</v>
      </c>
      <c r="R753" s="125">
        <v>289.0</v>
      </c>
      <c r="S753" s="126">
        <v>0.8824</v>
      </c>
      <c r="T753" s="127">
        <v>51620.399999999994</v>
      </c>
      <c r="U753" s="128">
        <f t="shared" si="2"/>
        <v>0</v>
      </c>
      <c r="V753" s="79" t="s">
        <v>64</v>
      </c>
      <c r="W753" s="79" t="s">
        <v>68</v>
      </c>
      <c r="X753" s="79" t="s">
        <v>69</v>
      </c>
      <c r="Y753" s="130">
        <v>0.9</v>
      </c>
      <c r="Z753" s="111">
        <v>3.0</v>
      </c>
      <c r="AA753" s="133"/>
      <c r="AB753" s="133"/>
      <c r="AC753" s="133"/>
      <c r="AD753" s="133"/>
      <c r="AE753" s="133"/>
      <c r="AF753" s="111"/>
      <c r="AG753" s="147"/>
      <c r="AH753" s="73"/>
      <c r="AI753" s="135"/>
      <c r="AJ753" s="136"/>
      <c r="AK753" s="76"/>
      <c r="AL753" s="137"/>
      <c r="AM753" s="139" t="s">
        <v>71</v>
      </c>
      <c r="AN753" s="139">
        <v>1058.0</v>
      </c>
      <c r="AO753" s="140">
        <v>195.59</v>
      </c>
      <c r="AP753" s="142">
        <v>54100.0</v>
      </c>
      <c r="AQ753" s="142">
        <v>199.0</v>
      </c>
      <c r="AR753" s="143"/>
      <c r="AS753" s="144">
        <v>0.9548801987571295</v>
      </c>
      <c r="AT753" s="144">
        <v>-0.07248019875712952</v>
      </c>
      <c r="AU753" s="146" t="s">
        <v>2559</v>
      </c>
      <c r="AV753" s="146" t="s">
        <v>2559</v>
      </c>
      <c r="AW753" s="148" t="s">
        <v>2559</v>
      </c>
      <c r="AX753" s="151"/>
      <c r="AY753" s="105"/>
      <c r="AZ753" s="186"/>
      <c r="BA753" s="186"/>
      <c r="BB753" s="222"/>
      <c r="BC753" s="45"/>
      <c r="BD753" s="45"/>
      <c r="BE753" s="155"/>
      <c r="BF753" s="45"/>
    </row>
    <row r="754" ht="16.5" customHeight="1">
      <c r="A754" s="111">
        <v>751.0</v>
      </c>
      <c r="B754" s="112" t="s">
        <v>1454</v>
      </c>
      <c r="C754" s="115" t="s">
        <v>60</v>
      </c>
      <c r="D754" s="117">
        <v>42266.0</v>
      </c>
      <c r="E754" s="117">
        <v>42840.0</v>
      </c>
      <c r="F754" s="79" t="s">
        <v>118</v>
      </c>
      <c r="G754" s="118">
        <v>31913.0</v>
      </c>
      <c r="H754" s="114">
        <v>55.5</v>
      </c>
      <c r="I754" s="120">
        <v>348.0</v>
      </c>
      <c r="J754" s="111" t="s">
        <v>61</v>
      </c>
      <c r="K754" s="121">
        <v>352.41</v>
      </c>
      <c r="L754" s="120" t="s">
        <v>63</v>
      </c>
      <c r="M754" s="120"/>
      <c r="N754" s="120"/>
      <c r="O754" s="124">
        <v>31913.0</v>
      </c>
      <c r="P754" s="124">
        <v>575.0</v>
      </c>
      <c r="Q754" s="111">
        <v>219.0</v>
      </c>
      <c r="R754" s="125">
        <v>365.0</v>
      </c>
      <c r="S754" s="126">
        <v>0.9655</v>
      </c>
      <c r="T754" s="127">
        <v>66426.40000000001</v>
      </c>
      <c r="U754" s="128">
        <f t="shared" si="2"/>
        <v>0</v>
      </c>
      <c r="V754" s="79" t="s">
        <v>64</v>
      </c>
      <c r="W754" s="79" t="s">
        <v>69</v>
      </c>
      <c r="X754" s="79" t="s">
        <v>68</v>
      </c>
      <c r="Y754" s="130">
        <v>0.9</v>
      </c>
      <c r="Z754" s="111">
        <v>11.0</v>
      </c>
      <c r="AA754" s="111">
        <v>358.0</v>
      </c>
      <c r="AB754" s="111" t="s">
        <v>61</v>
      </c>
      <c r="AC754" s="133"/>
      <c r="AD754" s="133"/>
      <c r="AE754" s="133"/>
      <c r="AF754" s="111"/>
      <c r="AG754" s="147"/>
      <c r="AH754" s="73"/>
      <c r="AI754" s="135"/>
      <c r="AJ754" s="136"/>
      <c r="AK754" s="76"/>
      <c r="AL754" s="137"/>
      <c r="AM754" s="139">
        <v>363.0</v>
      </c>
      <c r="AN754" s="139">
        <v>575.0</v>
      </c>
      <c r="AO754" s="140">
        <v>103.39</v>
      </c>
      <c r="AP754" s="142">
        <v>31913.0</v>
      </c>
      <c r="AQ754" s="142">
        <v>219.0</v>
      </c>
      <c r="AR754" s="143"/>
      <c r="AS754" s="144">
        <v>0.9640744795159449</v>
      </c>
      <c r="AT754" s="144">
        <v>0.0014255204840550872</v>
      </c>
      <c r="AU754" s="146" t="s">
        <v>2560</v>
      </c>
      <c r="AV754" s="146" t="s">
        <v>2560</v>
      </c>
      <c r="AW754" s="148" t="s">
        <v>2560</v>
      </c>
      <c r="AX754" s="151"/>
      <c r="AY754" s="105"/>
      <c r="AZ754" s="186"/>
      <c r="BA754" s="186"/>
      <c r="BB754" s="222"/>
      <c r="BC754" s="45"/>
      <c r="BD754" s="45"/>
      <c r="BE754" s="155"/>
      <c r="BF754" s="45"/>
    </row>
    <row r="755" ht="16.5" customHeight="1">
      <c r="A755" s="111">
        <v>752.0</v>
      </c>
      <c r="B755" s="112" t="s">
        <v>1275</v>
      </c>
      <c r="C755" s="115" t="s">
        <v>60</v>
      </c>
      <c r="D755" s="117">
        <v>42641.0</v>
      </c>
      <c r="E755" s="117">
        <v>42842.0</v>
      </c>
      <c r="F755" s="79" t="s">
        <v>683</v>
      </c>
      <c r="G755" s="118">
        <v>24980.0</v>
      </c>
      <c r="H755" s="114">
        <v>123.7</v>
      </c>
      <c r="I755" s="120">
        <v>398.0</v>
      </c>
      <c r="J755" s="111" t="s">
        <v>62</v>
      </c>
      <c r="K755" s="121">
        <v>398.0</v>
      </c>
      <c r="L755" s="120" t="s">
        <v>63</v>
      </c>
      <c r="M755" s="120"/>
      <c r="N755" s="120"/>
      <c r="O755" s="124">
        <v>24980.0</v>
      </c>
      <c r="P755" s="124">
        <v>202.0</v>
      </c>
      <c r="Q755" s="111">
        <v>302.0</v>
      </c>
      <c r="R755" s="125">
        <v>405.0</v>
      </c>
      <c r="S755" s="126">
        <v>0.9827</v>
      </c>
      <c r="T755" s="127">
        <v>80384.86</v>
      </c>
      <c r="U755" s="128">
        <f t="shared" si="2"/>
        <v>0</v>
      </c>
      <c r="V755" s="79" t="s">
        <v>65</v>
      </c>
      <c r="W755" s="79" t="s">
        <v>69</v>
      </c>
      <c r="X755" s="79" t="s">
        <v>69</v>
      </c>
      <c r="Y755" s="130">
        <v>0.9</v>
      </c>
      <c r="Z755" s="111">
        <v>11.0</v>
      </c>
      <c r="AA755" s="111">
        <v>402.0</v>
      </c>
      <c r="AB755" s="111" t="s">
        <v>61</v>
      </c>
      <c r="AC755" s="133"/>
      <c r="AD755" s="133"/>
      <c r="AE755" s="133"/>
      <c r="AF755" s="111"/>
      <c r="AG755" s="134"/>
      <c r="AH755" s="73"/>
      <c r="AI755" s="135"/>
      <c r="AJ755" s="136"/>
      <c r="AK755" s="76"/>
      <c r="AL755" s="137"/>
      <c r="AM755" s="139">
        <v>407.0</v>
      </c>
      <c r="AN755" s="139">
        <v>202.0</v>
      </c>
      <c r="AO755" s="140">
        <v>93.04</v>
      </c>
      <c r="AP755" s="142">
        <v>24980.0</v>
      </c>
      <c r="AQ755" s="142">
        <v>302.0</v>
      </c>
      <c r="AR755" s="143"/>
      <c r="AS755" s="144">
        <v>0.9685720577336842</v>
      </c>
      <c r="AT755" s="144">
        <v>0.014127942266315863</v>
      </c>
      <c r="AU755" s="146" t="s">
        <v>2561</v>
      </c>
      <c r="AV755" s="146" t="s">
        <v>2561</v>
      </c>
      <c r="AW755" s="148" t="s">
        <v>2561</v>
      </c>
      <c r="AX755" s="151"/>
      <c r="AY755" s="105"/>
      <c r="AZ755" s="186"/>
      <c r="BA755" s="186"/>
      <c r="BB755" s="222"/>
      <c r="BC755" s="45"/>
      <c r="BD755" s="45"/>
      <c r="BE755" s="155"/>
      <c r="BF755" s="45"/>
    </row>
    <row r="756" ht="16.5" customHeight="1">
      <c r="A756" s="111">
        <v>753.0</v>
      </c>
      <c r="B756" s="112" t="s">
        <v>1740</v>
      </c>
      <c r="C756" s="115" t="s">
        <v>60</v>
      </c>
      <c r="D756" s="117">
        <v>42323.0</v>
      </c>
      <c r="E756" s="117">
        <v>42842.0</v>
      </c>
      <c r="F756" s="79" t="s">
        <v>305</v>
      </c>
      <c r="G756" s="118">
        <v>51342.0</v>
      </c>
      <c r="H756" s="114">
        <v>98.7</v>
      </c>
      <c r="I756" s="120">
        <v>431.0</v>
      </c>
      <c r="J756" s="111" t="s">
        <v>61</v>
      </c>
      <c r="K756" s="121">
        <v>436.46</v>
      </c>
      <c r="L756" s="120" t="s">
        <v>63</v>
      </c>
      <c r="M756" s="120"/>
      <c r="N756" s="120"/>
      <c r="O756" s="124">
        <v>51342.0</v>
      </c>
      <c r="P756" s="124">
        <v>520.0</v>
      </c>
      <c r="Q756" s="111">
        <v>218.0</v>
      </c>
      <c r="R756" s="125">
        <v>452.0</v>
      </c>
      <c r="S756" s="126">
        <v>0.9656</v>
      </c>
      <c r="T756" s="127">
        <v>78986.08</v>
      </c>
      <c r="U756" s="128">
        <f t="shared" si="2"/>
        <v>0</v>
      </c>
      <c r="V756" s="79" t="s">
        <v>65</v>
      </c>
      <c r="W756" s="79" t="s">
        <v>64</v>
      </c>
      <c r="X756" s="79" t="s">
        <v>64</v>
      </c>
      <c r="Y756" s="130">
        <v>0.8</v>
      </c>
      <c r="Z756" s="111">
        <v>11.0</v>
      </c>
      <c r="AA756" s="111">
        <v>446.0</v>
      </c>
      <c r="AB756" s="111" t="s">
        <v>61</v>
      </c>
      <c r="AC756" s="133"/>
      <c r="AD756" s="133"/>
      <c r="AE756" s="133"/>
      <c r="AF756" s="111"/>
      <c r="AG756" s="147"/>
      <c r="AH756" s="73"/>
      <c r="AI756" s="135"/>
      <c r="AJ756" s="136"/>
      <c r="AK756" s="76"/>
      <c r="AL756" s="137"/>
      <c r="AM756" s="139">
        <v>452.0</v>
      </c>
      <c r="AN756" s="139">
        <v>520.0</v>
      </c>
      <c r="AO756" s="140">
        <v>139.24</v>
      </c>
      <c r="AP756" s="142">
        <v>51342.0</v>
      </c>
      <c r="AQ756" s="142">
        <v>218.0</v>
      </c>
      <c r="AR756" s="143"/>
      <c r="AS756" s="144">
        <v>0.9557418563368574</v>
      </c>
      <c r="AT756" s="144">
        <v>0.009858143663142638</v>
      </c>
      <c r="AU756" s="146" t="s">
        <v>2562</v>
      </c>
      <c r="AV756" s="146" t="s">
        <v>2562</v>
      </c>
      <c r="AW756" s="148" t="s">
        <v>2562</v>
      </c>
      <c r="AX756" s="151"/>
      <c r="AY756" s="105"/>
      <c r="AZ756" s="186"/>
      <c r="BA756" s="186"/>
      <c r="BB756" s="222"/>
      <c r="BC756" s="45"/>
      <c r="BD756" s="45"/>
      <c r="BE756" s="155"/>
      <c r="BF756" s="45"/>
    </row>
    <row r="757" ht="16.5" customHeight="1">
      <c r="A757" s="111">
        <v>754.0</v>
      </c>
      <c r="B757" s="957" t="s">
        <v>279</v>
      </c>
      <c r="C757" s="115" t="s">
        <v>60</v>
      </c>
      <c r="D757" s="117">
        <v>41591.0</v>
      </c>
      <c r="E757" s="117">
        <v>42843.0</v>
      </c>
      <c r="F757" s="79" t="s">
        <v>59</v>
      </c>
      <c r="G757" s="118">
        <v>106530.0</v>
      </c>
      <c r="H757" s="114">
        <v>85.0</v>
      </c>
      <c r="I757" s="120">
        <v>371.0</v>
      </c>
      <c r="J757" s="111" t="s">
        <v>61</v>
      </c>
      <c r="K757" s="121">
        <v>375.7</v>
      </c>
      <c r="L757" s="120" t="s">
        <v>195</v>
      </c>
      <c r="M757" s="120" t="s">
        <v>281</v>
      </c>
      <c r="N757" s="120">
        <v>12000.0</v>
      </c>
      <c r="O757" s="124">
        <v>94530.0</v>
      </c>
      <c r="P757" s="124">
        <v>1112.0</v>
      </c>
      <c r="Q757" s="111">
        <v>234.0</v>
      </c>
      <c r="R757" s="125">
        <v>399.0</v>
      </c>
      <c r="S757" s="126">
        <v>0.9416</v>
      </c>
      <c r="T757" s="127">
        <v>72974.0</v>
      </c>
      <c r="U757" s="128">
        <f t="shared" si="2"/>
        <v>0</v>
      </c>
      <c r="V757" s="79" t="s">
        <v>64</v>
      </c>
      <c r="W757" s="79" t="s">
        <v>69</v>
      </c>
      <c r="X757" s="79" t="s">
        <v>66</v>
      </c>
      <c r="Y757" s="130">
        <v>0.9</v>
      </c>
      <c r="Z757" s="111">
        <v>11.0</v>
      </c>
      <c r="AA757" s="111">
        <v>400.0</v>
      </c>
      <c r="AB757" s="111" t="s">
        <v>61</v>
      </c>
      <c r="AC757" s="133"/>
      <c r="AD757" s="133"/>
      <c r="AE757" s="133"/>
      <c r="AF757" s="111"/>
      <c r="AG757" s="134"/>
      <c r="AH757" s="73"/>
      <c r="AI757" s="135"/>
      <c r="AJ757" s="136"/>
      <c r="AK757" s="76"/>
      <c r="AL757" s="137"/>
      <c r="AM757" s="139">
        <v>405.0</v>
      </c>
      <c r="AN757" s="139">
        <v>1253.0</v>
      </c>
      <c r="AO757" s="140">
        <v>294.05</v>
      </c>
      <c r="AP757" s="142">
        <v>94530.0</v>
      </c>
      <c r="AQ757" s="142">
        <v>234.0</v>
      </c>
      <c r="AR757" s="143"/>
      <c r="AS757" s="144">
        <v>0.9459217335590775</v>
      </c>
      <c r="AT757" s="144">
        <v>-0.004321733559077501</v>
      </c>
      <c r="AU757" s="146" t="s">
        <v>2563</v>
      </c>
      <c r="AV757" s="234" t="s">
        <v>2563</v>
      </c>
      <c r="AW757" s="148" t="s">
        <v>2563</v>
      </c>
      <c r="AX757" s="151"/>
      <c r="AY757" s="105"/>
      <c r="AZ757" s="186"/>
      <c r="BA757" s="186"/>
      <c r="BB757" s="222"/>
      <c r="BC757" s="45"/>
      <c r="BD757" s="45"/>
      <c r="BE757" s="155"/>
      <c r="BF757" s="45"/>
    </row>
    <row r="758" ht="16.5" customHeight="1">
      <c r="A758" s="111">
        <v>755.0</v>
      </c>
      <c r="B758" s="112" t="s">
        <v>1654</v>
      </c>
      <c r="C758" s="115" t="s">
        <v>60</v>
      </c>
      <c r="D758" s="117">
        <v>41920.0</v>
      </c>
      <c r="E758" s="117">
        <v>42841.0</v>
      </c>
      <c r="F758" s="79" t="s">
        <v>59</v>
      </c>
      <c r="G758" s="118">
        <v>117145.0</v>
      </c>
      <c r="H758" s="114">
        <v>127.1</v>
      </c>
      <c r="I758" s="120">
        <v>381.0</v>
      </c>
      <c r="J758" s="111" t="s">
        <v>62</v>
      </c>
      <c r="K758" s="121">
        <v>381.0</v>
      </c>
      <c r="L758" s="120" t="s">
        <v>63</v>
      </c>
      <c r="M758" s="120"/>
      <c r="N758" s="120"/>
      <c r="O758" s="124">
        <v>117145.0</v>
      </c>
      <c r="P758" s="124">
        <v>922.0</v>
      </c>
      <c r="Q758" s="111">
        <v>224.0</v>
      </c>
      <c r="R758" s="125">
        <v>399.0</v>
      </c>
      <c r="S758" s="126">
        <v>0.9549</v>
      </c>
      <c r="T758" s="127">
        <v>74004.75</v>
      </c>
      <c r="U758" s="128">
        <f t="shared" si="2"/>
        <v>0</v>
      </c>
      <c r="V758" s="79" t="s">
        <v>65</v>
      </c>
      <c r="W758" s="79" t="s">
        <v>65</v>
      </c>
      <c r="X758" s="79" t="s">
        <v>69</v>
      </c>
      <c r="Y758" s="130"/>
      <c r="Z758" s="111"/>
      <c r="AA758" s="133"/>
      <c r="AB758" s="133"/>
      <c r="AC758" s="133"/>
      <c r="AD758" s="133"/>
      <c r="AE758" s="133"/>
      <c r="AF758" s="111"/>
      <c r="AG758" s="134"/>
      <c r="AH758" s="73"/>
      <c r="AI758" s="135"/>
      <c r="AJ758" s="136"/>
      <c r="AK758" s="76"/>
      <c r="AL758" s="137"/>
      <c r="AM758" s="139" t="s">
        <v>71</v>
      </c>
      <c r="AN758" s="139">
        <v>922.0</v>
      </c>
      <c r="AO758" s="140">
        <v>346.44</v>
      </c>
      <c r="AP758" s="142">
        <v>117145.0</v>
      </c>
      <c r="AQ758" s="142">
        <v>224.0</v>
      </c>
      <c r="AR758" s="143"/>
      <c r="AS758" s="144">
        <v>0.9420847998565851</v>
      </c>
      <c r="AT758" s="144">
        <v>0.012815200143414862</v>
      </c>
      <c r="AU758" s="146" t="s">
        <v>2564</v>
      </c>
      <c r="AV758" s="146" t="s">
        <v>2564</v>
      </c>
      <c r="AW758" s="148" t="s">
        <v>2564</v>
      </c>
      <c r="AX758" s="151"/>
      <c r="AY758" s="105"/>
      <c r="AZ758" s="186"/>
      <c r="BA758" s="186"/>
      <c r="BB758" s="222"/>
      <c r="BC758" s="45"/>
      <c r="BD758" s="45"/>
      <c r="BE758" s="155"/>
      <c r="BF758" s="45"/>
    </row>
    <row r="759" ht="16.5" customHeight="1">
      <c r="A759" s="111">
        <v>756.0</v>
      </c>
      <c r="B759" s="112" t="s">
        <v>1863</v>
      </c>
      <c r="C759" s="115" t="s">
        <v>60</v>
      </c>
      <c r="D759" s="117">
        <v>41974.0</v>
      </c>
      <c r="E759" s="117">
        <v>42844.0</v>
      </c>
      <c r="F759" s="79" t="s">
        <v>59</v>
      </c>
      <c r="G759" s="118">
        <v>106000.0</v>
      </c>
      <c r="H759" s="114">
        <v>121.7</v>
      </c>
      <c r="I759" s="120">
        <v>369.0</v>
      </c>
      <c r="J759" s="111" t="s">
        <v>61</v>
      </c>
      <c r="K759" s="121">
        <v>373.67</v>
      </c>
      <c r="L759" s="120" t="s">
        <v>63</v>
      </c>
      <c r="M759" s="120"/>
      <c r="N759" s="120"/>
      <c r="O759" s="124">
        <v>106000.0</v>
      </c>
      <c r="P759" s="124">
        <v>871.0</v>
      </c>
      <c r="Q759" s="111">
        <v>250.0</v>
      </c>
      <c r="R759" s="125">
        <v>399.0</v>
      </c>
      <c r="S759" s="126">
        <v>0.9365</v>
      </c>
      <c r="T759" s="127">
        <v>72578.75</v>
      </c>
      <c r="U759" s="128">
        <f t="shared" si="2"/>
        <v>0</v>
      </c>
      <c r="V759" s="79" t="s">
        <v>80</v>
      </c>
      <c r="W759" s="79" t="s">
        <v>64</v>
      </c>
      <c r="X759" s="79" t="s">
        <v>65</v>
      </c>
      <c r="Y759" s="130">
        <v>0.9</v>
      </c>
      <c r="Z759" s="111"/>
      <c r="AA759" s="111">
        <v>396.0</v>
      </c>
      <c r="AB759" s="133"/>
      <c r="AC759" s="133"/>
      <c r="AD759" s="133"/>
      <c r="AE759" s="133"/>
      <c r="AF759" s="111"/>
      <c r="AG759" s="147"/>
      <c r="AH759" s="73"/>
      <c r="AI759" s="135"/>
      <c r="AJ759" s="136"/>
      <c r="AK759" s="76"/>
      <c r="AL759" s="137"/>
      <c r="AM759" s="139">
        <v>396.0</v>
      </c>
      <c r="AN759" s="139">
        <v>871.0</v>
      </c>
      <c r="AO759" s="140">
        <v>353.19</v>
      </c>
      <c r="AP759" s="142">
        <v>106000.0</v>
      </c>
      <c r="AQ759" s="142">
        <v>250.0</v>
      </c>
      <c r="AR759" s="143"/>
      <c r="AS759" s="144">
        <v>0.9439364826483777</v>
      </c>
      <c r="AT759" s="144">
        <v>-0.007436482648377707</v>
      </c>
      <c r="AU759" s="146" t="s">
        <v>2565</v>
      </c>
      <c r="AV759" s="234" t="s">
        <v>2565</v>
      </c>
      <c r="AW759" s="148" t="s">
        <v>2565</v>
      </c>
      <c r="AX759" s="151"/>
      <c r="AY759" s="105"/>
      <c r="AZ759" s="186"/>
      <c r="BA759" s="186"/>
      <c r="BB759" s="222"/>
      <c r="BC759" s="45"/>
      <c r="BD759" s="45"/>
      <c r="BE759" s="155"/>
      <c r="BF759" s="45"/>
    </row>
    <row r="760" ht="16.5" customHeight="1">
      <c r="A760" s="111">
        <v>757.0</v>
      </c>
      <c r="B760" s="112" t="s">
        <v>1762</v>
      </c>
      <c r="C760" s="115" t="s">
        <v>60</v>
      </c>
      <c r="D760" s="117">
        <v>41800.0</v>
      </c>
      <c r="E760" s="117">
        <v>42846.0</v>
      </c>
      <c r="F760" s="79" t="s">
        <v>59</v>
      </c>
      <c r="G760" s="118">
        <v>84877.0</v>
      </c>
      <c r="H760" s="114">
        <v>81.1</v>
      </c>
      <c r="I760" s="120">
        <v>383.0</v>
      </c>
      <c r="J760" s="111" t="s">
        <v>62</v>
      </c>
      <c r="K760" s="121">
        <v>383.0</v>
      </c>
      <c r="L760" s="120" t="s">
        <v>63</v>
      </c>
      <c r="M760" s="120"/>
      <c r="N760" s="120"/>
      <c r="O760" s="124">
        <v>84877.0</v>
      </c>
      <c r="P760" s="124">
        <v>1047.0</v>
      </c>
      <c r="Q760" s="111">
        <v>218.0</v>
      </c>
      <c r="R760" s="125">
        <v>399.0</v>
      </c>
      <c r="S760" s="126">
        <v>0.9599</v>
      </c>
      <c r="T760" s="127">
        <v>74392.25</v>
      </c>
      <c r="U760" s="128">
        <f t="shared" si="2"/>
        <v>0</v>
      </c>
      <c r="V760" s="79" t="s">
        <v>67</v>
      </c>
      <c r="W760" s="79" t="s">
        <v>69</v>
      </c>
      <c r="X760" s="79" t="s">
        <v>68</v>
      </c>
      <c r="Y760" s="130">
        <v>0.6</v>
      </c>
      <c r="Z760" s="111">
        <v>5.0</v>
      </c>
      <c r="AA760" s="133"/>
      <c r="AB760" s="133"/>
      <c r="AC760" s="133"/>
      <c r="AD760" s="133"/>
      <c r="AE760" s="133"/>
      <c r="AF760" s="111"/>
      <c r="AG760" s="147"/>
      <c r="AH760" s="73"/>
      <c r="AI760" s="135"/>
      <c r="AJ760" s="136"/>
      <c r="AK760" s="76"/>
      <c r="AL760" s="137"/>
      <c r="AM760" s="139" t="s">
        <v>71</v>
      </c>
      <c r="AN760" s="139">
        <v>1047.0</v>
      </c>
      <c r="AO760" s="140">
        <v>243.68</v>
      </c>
      <c r="AP760" s="142">
        <v>84877.0</v>
      </c>
      <c r="AQ760" s="142">
        <v>218.0</v>
      </c>
      <c r="AR760" s="143"/>
      <c r="AS760" s="144">
        <v>0.947696058313594</v>
      </c>
      <c r="AT760" s="144">
        <v>0.012203941686405928</v>
      </c>
      <c r="AU760" s="146" t="s">
        <v>2566</v>
      </c>
      <c r="AV760" s="234" t="s">
        <v>2566</v>
      </c>
      <c r="AW760" s="148" t="s">
        <v>2566</v>
      </c>
      <c r="AX760" s="151"/>
      <c r="AY760" s="105"/>
      <c r="AZ760" s="186"/>
      <c r="BA760" s="186"/>
      <c r="BB760" s="222"/>
      <c r="BC760" s="45"/>
      <c r="BD760" s="45"/>
      <c r="BE760" s="155"/>
      <c r="BF760" s="45"/>
    </row>
    <row r="761" ht="16.5" customHeight="1">
      <c r="A761" s="111">
        <v>758.0</v>
      </c>
      <c r="B761" s="112" t="s">
        <v>1454</v>
      </c>
      <c r="C761" s="115" t="s">
        <v>60</v>
      </c>
      <c r="D761" s="117">
        <v>42266.0</v>
      </c>
      <c r="E761" s="117">
        <v>42847.0</v>
      </c>
      <c r="F761" s="79" t="s">
        <v>118</v>
      </c>
      <c r="G761" s="118">
        <v>32373.0</v>
      </c>
      <c r="H761" s="114">
        <v>55.6</v>
      </c>
      <c r="I761" s="120">
        <v>352.0</v>
      </c>
      <c r="J761" s="111" t="s">
        <v>61</v>
      </c>
      <c r="K761" s="121">
        <v>356.46</v>
      </c>
      <c r="L761" s="120" t="s">
        <v>63</v>
      </c>
      <c r="M761" s="120"/>
      <c r="N761" s="120"/>
      <c r="O761" s="124">
        <v>32373.0</v>
      </c>
      <c r="P761" s="124">
        <v>582.0</v>
      </c>
      <c r="Q761" s="111">
        <v>212.0</v>
      </c>
      <c r="R761" s="125">
        <v>365.0</v>
      </c>
      <c r="S761" s="126">
        <v>0.9766</v>
      </c>
      <c r="T761" s="127">
        <v>67190.08</v>
      </c>
      <c r="U761" s="128">
        <f t="shared" si="2"/>
        <v>0</v>
      </c>
      <c r="V761" s="79" t="s">
        <v>64</v>
      </c>
      <c r="W761" s="79" t="s">
        <v>69</v>
      </c>
      <c r="X761" s="79" t="s">
        <v>66</v>
      </c>
      <c r="Y761" s="130">
        <v>0.9</v>
      </c>
      <c r="Z761" s="111">
        <v>11.0</v>
      </c>
      <c r="AA761" s="133"/>
      <c r="AB761" s="111" t="s">
        <v>61</v>
      </c>
      <c r="AC761" s="133"/>
      <c r="AD761" s="133"/>
      <c r="AE761" s="133"/>
      <c r="AF761" s="111"/>
      <c r="AG761" s="147"/>
      <c r="AH761" s="73"/>
      <c r="AI761" s="135"/>
      <c r="AJ761" s="136"/>
      <c r="AK761" s="76"/>
      <c r="AL761" s="137"/>
      <c r="AM761" s="139" t="s">
        <v>71</v>
      </c>
      <c r="AN761" s="139">
        <v>582.0</v>
      </c>
      <c r="AO761" s="140">
        <v>100.96</v>
      </c>
      <c r="AP761" s="142">
        <v>32373.0</v>
      </c>
      <c r="AQ761" s="142">
        <v>212.0</v>
      </c>
      <c r="AR761" s="143"/>
      <c r="AS761" s="144">
        <v>0.96381315246294</v>
      </c>
      <c r="AT761" s="144">
        <v>0.012786847537060053</v>
      </c>
      <c r="AU761" s="146" t="s">
        <v>2567</v>
      </c>
      <c r="AV761" s="234" t="s">
        <v>2567</v>
      </c>
      <c r="AW761" s="148" t="s">
        <v>2567</v>
      </c>
      <c r="AX761" s="151"/>
      <c r="AY761" s="105"/>
      <c r="AZ761" s="186"/>
      <c r="BA761" s="186"/>
      <c r="BB761" s="222"/>
      <c r="BC761" s="45"/>
      <c r="BD761" s="45"/>
      <c r="BE761" s="155"/>
      <c r="BF761" s="45"/>
    </row>
    <row r="762" ht="16.5" customHeight="1">
      <c r="A762" s="111">
        <v>759.0</v>
      </c>
      <c r="B762" s="112" t="s">
        <v>1734</v>
      </c>
      <c r="C762" s="115" t="s">
        <v>60</v>
      </c>
      <c r="D762" s="117">
        <v>41977.0</v>
      </c>
      <c r="E762" s="117">
        <v>42853.0</v>
      </c>
      <c r="F762" s="79" t="s">
        <v>59</v>
      </c>
      <c r="G762" s="118">
        <v>34485.0</v>
      </c>
      <c r="H762" s="114">
        <v>39.3</v>
      </c>
      <c r="I762" s="120">
        <v>384.0</v>
      </c>
      <c r="J762" s="111" t="s">
        <v>61</v>
      </c>
      <c r="K762" s="121">
        <v>388.86</v>
      </c>
      <c r="L762" s="120" t="s">
        <v>63</v>
      </c>
      <c r="M762" s="120"/>
      <c r="N762" s="120"/>
      <c r="O762" s="124">
        <v>34485.0</v>
      </c>
      <c r="P762" s="124">
        <v>877.0</v>
      </c>
      <c r="Q762" s="111"/>
      <c r="R762" s="125">
        <v>399.0</v>
      </c>
      <c r="S762" s="126">
        <v>0.9746</v>
      </c>
      <c r="T762" s="127">
        <v>75531.5</v>
      </c>
      <c r="U762" s="128">
        <f t="shared" si="2"/>
        <v>1</v>
      </c>
      <c r="V762" s="79" t="s">
        <v>69</v>
      </c>
      <c r="W762" s="79" t="s">
        <v>69</v>
      </c>
      <c r="X762" s="79" t="s">
        <v>66</v>
      </c>
      <c r="Y762" s="130">
        <v>0.8</v>
      </c>
      <c r="Z762" s="111">
        <v>22.0</v>
      </c>
      <c r="AA762" s="133"/>
      <c r="AB762" s="133"/>
      <c r="AC762" s="133"/>
      <c r="AD762" s="133"/>
      <c r="AE762" s="133"/>
      <c r="AF762" s="111"/>
      <c r="AG762" s="147"/>
      <c r="AH762" s="73"/>
      <c r="AI762" s="135"/>
      <c r="AJ762" s="136"/>
      <c r="AK762" s="76"/>
      <c r="AL762" s="137"/>
      <c r="AM762" s="139" t="s">
        <v>71</v>
      </c>
      <c r="AN762" s="139">
        <v>877.0</v>
      </c>
      <c r="AO762" s="140"/>
      <c r="AP762" s="142">
        <v>34485.0</v>
      </c>
      <c r="AQ762" s="142"/>
      <c r="AR762" s="143"/>
      <c r="AS762" s="144">
        <v>0.9626641856215618</v>
      </c>
      <c r="AT762" s="144">
        <v>0.01193581437843827</v>
      </c>
      <c r="AU762" s="146" t="s">
        <v>2568</v>
      </c>
      <c r="AV762" s="146" t="s">
        <v>2568</v>
      </c>
      <c r="AW762" s="148" t="s">
        <v>2568</v>
      </c>
      <c r="AX762" s="151"/>
      <c r="AY762" s="105"/>
      <c r="AZ762" s="186"/>
      <c r="BA762" s="186"/>
      <c r="BB762" s="222"/>
      <c r="BC762" s="45"/>
      <c r="BD762" s="45"/>
      <c r="BE762" s="155"/>
      <c r="BF762" s="45"/>
    </row>
    <row r="763" ht="16.5" customHeight="1">
      <c r="A763" s="111">
        <v>760.0</v>
      </c>
      <c r="B763" s="112" t="s">
        <v>1454</v>
      </c>
      <c r="C763" s="115" t="s">
        <v>60</v>
      </c>
      <c r="D763" s="117">
        <v>42266.0</v>
      </c>
      <c r="E763" s="117">
        <v>42854.0</v>
      </c>
      <c r="F763" s="79" t="s">
        <v>118</v>
      </c>
      <c r="G763" s="118">
        <v>32788.0</v>
      </c>
      <c r="H763" s="114">
        <v>55.7</v>
      </c>
      <c r="I763" s="120">
        <v>345.0</v>
      </c>
      <c r="J763" s="111" t="s">
        <v>61</v>
      </c>
      <c r="K763" s="121">
        <v>349.37</v>
      </c>
      <c r="L763" s="120" t="s">
        <v>63</v>
      </c>
      <c r="M763" s="120"/>
      <c r="N763" s="120"/>
      <c r="O763" s="124">
        <v>32788.0</v>
      </c>
      <c r="P763" s="124">
        <v>589.0</v>
      </c>
      <c r="Q763" s="111"/>
      <c r="R763" s="125">
        <v>365.0</v>
      </c>
      <c r="S763" s="126">
        <v>0.9572</v>
      </c>
      <c r="T763" s="127">
        <v>65855.36</v>
      </c>
      <c r="U763" s="128">
        <f t="shared" si="2"/>
        <v>1</v>
      </c>
      <c r="V763" s="79" t="s">
        <v>69</v>
      </c>
      <c r="W763" s="79" t="s">
        <v>69</v>
      </c>
      <c r="X763" s="79" t="s">
        <v>68</v>
      </c>
      <c r="Y763" s="130">
        <v>0.9</v>
      </c>
      <c r="Z763" s="111">
        <v>16.0</v>
      </c>
      <c r="AA763" s="111">
        <v>352.0</v>
      </c>
      <c r="AB763" s="111" t="s">
        <v>61</v>
      </c>
      <c r="AC763" s="133"/>
      <c r="AD763" s="133"/>
      <c r="AE763" s="133"/>
      <c r="AF763" s="111"/>
      <c r="AG763" s="134" t="s">
        <v>2569</v>
      </c>
      <c r="AH763" s="73"/>
      <c r="AI763" s="135"/>
      <c r="AJ763" s="136"/>
      <c r="AK763" s="76"/>
      <c r="AL763" s="137"/>
      <c r="AM763" s="139">
        <v>356.0</v>
      </c>
      <c r="AN763" s="139">
        <v>589.0</v>
      </c>
      <c r="AO763" s="140"/>
      <c r="AP763" s="142">
        <v>32788.0</v>
      </c>
      <c r="AQ763" s="142"/>
      <c r="AR763" s="143"/>
      <c r="AS763" s="144">
        <v>0.9635808811314747</v>
      </c>
      <c r="AT763" s="144">
        <v>-0.006380881131474614</v>
      </c>
      <c r="AU763" s="146" t="s">
        <v>2570</v>
      </c>
      <c r="AV763" s="146" t="s">
        <v>2570</v>
      </c>
      <c r="AW763" s="148" t="s">
        <v>2570</v>
      </c>
      <c r="AX763" s="151"/>
      <c r="AY763" s="105"/>
      <c r="AZ763" s="186"/>
      <c r="BA763" s="186"/>
      <c r="BB763" s="222"/>
      <c r="BC763" s="45"/>
      <c r="BD763" s="45"/>
      <c r="BE763" s="155"/>
      <c r="BF763" s="45"/>
    </row>
    <row r="764" ht="16.5" customHeight="1">
      <c r="A764" s="111">
        <v>761.0</v>
      </c>
      <c r="B764" s="112" t="s">
        <v>1615</v>
      </c>
      <c r="C764" s="115" t="s">
        <v>60</v>
      </c>
      <c r="D764" s="117">
        <v>42545.0</v>
      </c>
      <c r="E764" s="117">
        <v>42914.0</v>
      </c>
      <c r="F764" s="79" t="s">
        <v>629</v>
      </c>
      <c r="G764" s="118">
        <v>24000.0</v>
      </c>
      <c r="H764" s="114">
        <v>64.9</v>
      </c>
      <c r="I764" s="120">
        <v>367.0</v>
      </c>
      <c r="J764" s="111" t="s">
        <v>62</v>
      </c>
      <c r="K764" s="121">
        <v>367.0</v>
      </c>
      <c r="L764" s="120" t="s">
        <v>63</v>
      </c>
      <c r="M764" s="120"/>
      <c r="N764" s="120"/>
      <c r="O764" s="124">
        <v>24000.0</v>
      </c>
      <c r="P764" s="124">
        <v>370.0</v>
      </c>
      <c r="Q764" s="111">
        <v>196.0</v>
      </c>
      <c r="R764" s="125">
        <v>386.0</v>
      </c>
      <c r="S764" s="126">
        <v>0.9508</v>
      </c>
      <c r="T764" s="127">
        <v>69028.08</v>
      </c>
      <c r="U764" s="128">
        <f t="shared" si="2"/>
        <v>0</v>
      </c>
      <c r="V764" s="79" t="s">
        <v>67</v>
      </c>
      <c r="W764" s="79" t="s">
        <v>65</v>
      </c>
      <c r="X764" s="79" t="s">
        <v>64</v>
      </c>
      <c r="Y764" s="130">
        <v>0.9</v>
      </c>
      <c r="Z764" s="111">
        <v>11.0</v>
      </c>
      <c r="AA764" s="111">
        <v>384.0</v>
      </c>
      <c r="AB764" s="111" t="s">
        <v>62</v>
      </c>
      <c r="AC764" s="133"/>
      <c r="AD764" s="133"/>
      <c r="AE764" s="133"/>
      <c r="AF764" s="111"/>
      <c r="AG764" s="147"/>
      <c r="AH764" s="73"/>
      <c r="AI764" s="135"/>
      <c r="AJ764" s="136"/>
      <c r="AK764" s="76"/>
      <c r="AL764" s="137"/>
      <c r="AM764" s="139">
        <v>384.0</v>
      </c>
      <c r="AN764" s="139">
        <v>370.0</v>
      </c>
      <c r="AO764" s="140">
        <v>66.44</v>
      </c>
      <c r="AP764" s="142">
        <v>24000.0</v>
      </c>
      <c r="AQ764" s="142">
        <v>196.0</v>
      </c>
      <c r="AR764" s="143"/>
      <c r="AS764" s="144">
        <v>0.9693042817125319</v>
      </c>
      <c r="AT764" s="144">
        <v>-0.018504281712531934</v>
      </c>
      <c r="AU764" s="146" t="s">
        <v>2571</v>
      </c>
      <c r="AV764" s="234" t="s">
        <v>2571</v>
      </c>
      <c r="AW764" s="148" t="s">
        <v>2571</v>
      </c>
      <c r="AX764" s="151"/>
      <c r="AY764" s="105"/>
      <c r="AZ764" s="186"/>
      <c r="BA764" s="186"/>
      <c r="BB764" s="222"/>
      <c r="BC764" s="45"/>
      <c r="BD764" s="45"/>
      <c r="BE764" s="155"/>
      <c r="BF764" s="45"/>
    </row>
    <row r="765" ht="16.5" customHeight="1">
      <c r="A765" s="111">
        <v>762.0</v>
      </c>
      <c r="B765" s="112" t="s">
        <v>1784</v>
      </c>
      <c r="C765" s="115" t="s">
        <v>60</v>
      </c>
      <c r="D765" s="117">
        <v>41942.0</v>
      </c>
      <c r="E765" s="117">
        <v>42858.0</v>
      </c>
      <c r="F765" s="79" t="s">
        <v>59</v>
      </c>
      <c r="G765" s="118">
        <v>97893.0</v>
      </c>
      <c r="H765" s="114">
        <v>106.8</v>
      </c>
      <c r="I765" s="120">
        <v>378.5</v>
      </c>
      <c r="J765" s="111" t="s">
        <v>61</v>
      </c>
      <c r="K765" s="121">
        <v>383.29</v>
      </c>
      <c r="L765" s="120" t="s">
        <v>63</v>
      </c>
      <c r="M765" s="120"/>
      <c r="N765" s="120"/>
      <c r="O765" s="124">
        <v>97893.0</v>
      </c>
      <c r="P765" s="124">
        <v>917.0</v>
      </c>
      <c r="Q765" s="111">
        <v>204.0</v>
      </c>
      <c r="R765" s="125">
        <v>399.0</v>
      </c>
      <c r="S765" s="126">
        <v>0.9606</v>
      </c>
      <c r="T765" s="127">
        <v>74446.5</v>
      </c>
      <c r="U765" s="128">
        <f t="shared" si="2"/>
        <v>0</v>
      </c>
      <c r="V765" s="79"/>
      <c r="W765" s="79"/>
      <c r="X765" s="79"/>
      <c r="Y765" s="130"/>
      <c r="Z765" s="111"/>
      <c r="AA765" s="133"/>
      <c r="AB765" s="133"/>
      <c r="AC765" s="133"/>
      <c r="AD765" s="133"/>
      <c r="AE765" s="133"/>
      <c r="AF765" s="111"/>
      <c r="AG765" s="147"/>
      <c r="AH765" s="73"/>
      <c r="AI765" s="135"/>
      <c r="AJ765" s="136"/>
      <c r="AK765" s="76"/>
      <c r="AL765" s="137"/>
      <c r="AM765" s="139" t="s">
        <v>71</v>
      </c>
      <c r="AN765" s="139">
        <v>917.0</v>
      </c>
      <c r="AO765" s="140">
        <v>262.9</v>
      </c>
      <c r="AP765" s="142">
        <v>97893.0</v>
      </c>
      <c r="AQ765" s="142">
        <v>204.0</v>
      </c>
      <c r="AR765" s="143"/>
      <c r="AS765" s="144">
        <v>0.9453285331339798</v>
      </c>
      <c r="AT765" s="144">
        <v>0.015271466866020211</v>
      </c>
      <c r="AU765" s="146" t="s">
        <v>2572</v>
      </c>
      <c r="AV765" s="234" t="s">
        <v>2572</v>
      </c>
      <c r="AW765" s="148" t="s">
        <v>2572</v>
      </c>
      <c r="AX765" s="151"/>
      <c r="AY765" s="105"/>
      <c r="AZ765" s="186"/>
      <c r="BA765" s="186"/>
      <c r="BB765" s="222"/>
      <c r="BC765" s="45"/>
      <c r="BD765" s="45"/>
      <c r="BE765" s="155"/>
      <c r="BF765" s="45"/>
    </row>
    <row r="766" ht="16.5" customHeight="1">
      <c r="A766" s="111">
        <v>763.0</v>
      </c>
      <c r="B766" s="112" t="s">
        <v>1726</v>
      </c>
      <c r="C766" s="115" t="s">
        <v>60</v>
      </c>
      <c r="D766" s="117">
        <v>42276.0</v>
      </c>
      <c r="E766" s="117">
        <v>42858.0</v>
      </c>
      <c r="F766" s="79" t="s">
        <v>305</v>
      </c>
      <c r="G766" s="118">
        <v>51222.0</v>
      </c>
      <c r="H766" s="114">
        <v>87.9</v>
      </c>
      <c r="I766" s="120">
        <v>428.0</v>
      </c>
      <c r="J766" s="111" t="s">
        <v>61</v>
      </c>
      <c r="K766" s="121">
        <v>433.42</v>
      </c>
      <c r="L766" s="120" t="s">
        <v>63</v>
      </c>
      <c r="M766" s="120"/>
      <c r="N766" s="120"/>
      <c r="O766" s="124">
        <v>51222.0</v>
      </c>
      <c r="P766" s="124">
        <v>583.0</v>
      </c>
      <c r="Q766" s="111">
        <v>234.0</v>
      </c>
      <c r="R766" s="125">
        <v>452.0</v>
      </c>
      <c r="S766" s="126">
        <v>0.9589</v>
      </c>
      <c r="T766" s="127">
        <v>78438.02</v>
      </c>
      <c r="U766" s="128">
        <f t="shared" si="2"/>
        <v>0</v>
      </c>
      <c r="V766" s="79" t="s">
        <v>65</v>
      </c>
      <c r="W766" s="79" t="s">
        <v>69</v>
      </c>
      <c r="X766" s="79" t="s">
        <v>64</v>
      </c>
      <c r="Y766" s="130">
        <v>0.8</v>
      </c>
      <c r="Z766" s="111">
        <v>11.0</v>
      </c>
      <c r="AA766" s="111">
        <v>432.0</v>
      </c>
      <c r="AB766" s="111" t="s">
        <v>61</v>
      </c>
      <c r="AC766" s="133"/>
      <c r="AD766" s="133"/>
      <c r="AE766" s="133"/>
      <c r="AF766" s="111"/>
      <c r="AG766" s="134"/>
      <c r="AH766" s="73"/>
      <c r="AI766" s="135"/>
      <c r="AJ766" s="136"/>
      <c r="AK766" s="76"/>
      <c r="AL766" s="137"/>
      <c r="AM766" s="139">
        <v>437.0</v>
      </c>
      <c r="AN766" s="139">
        <v>583.0</v>
      </c>
      <c r="AO766" s="140">
        <v>149.63</v>
      </c>
      <c r="AP766" s="142">
        <v>51222.0</v>
      </c>
      <c r="AQ766" s="142">
        <v>234.0</v>
      </c>
      <c r="AR766" s="143"/>
      <c r="AS766" s="144">
        <v>0.9557806484398196</v>
      </c>
      <c r="AT766" s="144">
        <v>0.0031193515601803945</v>
      </c>
      <c r="AU766" s="146" t="s">
        <v>2573</v>
      </c>
      <c r="AV766" s="146" t="s">
        <v>2573</v>
      </c>
      <c r="AW766" s="148" t="s">
        <v>2573</v>
      </c>
      <c r="AX766" s="151"/>
      <c r="AY766" s="105"/>
      <c r="AZ766" s="186"/>
      <c r="BA766" s="186"/>
      <c r="BB766" s="222"/>
      <c r="BC766" s="45"/>
      <c r="BD766" s="45"/>
      <c r="BE766" s="155"/>
      <c r="BF766" s="45"/>
    </row>
    <row r="767" ht="16.5" customHeight="1">
      <c r="A767" s="111">
        <v>764.0</v>
      </c>
      <c r="B767" s="112" t="s">
        <v>1774</v>
      </c>
      <c r="C767" s="115" t="s">
        <v>60</v>
      </c>
      <c r="D767" s="117">
        <v>41537.0</v>
      </c>
      <c r="E767" s="117">
        <v>42861.0</v>
      </c>
      <c r="F767" s="79" t="s">
        <v>79</v>
      </c>
      <c r="G767" s="118">
        <v>140000.0</v>
      </c>
      <c r="H767" s="114">
        <v>105.7</v>
      </c>
      <c r="I767" s="120">
        <v>371.0</v>
      </c>
      <c r="J767" s="111" t="s">
        <v>62</v>
      </c>
      <c r="K767" s="121">
        <v>371.0</v>
      </c>
      <c r="L767" s="120" t="s">
        <v>63</v>
      </c>
      <c r="M767" s="120"/>
      <c r="N767" s="120"/>
      <c r="O767" s="124">
        <v>140000.0</v>
      </c>
      <c r="P767" s="124">
        <v>1325.0</v>
      </c>
      <c r="Q767" s="111">
        <v>209.0</v>
      </c>
      <c r="R767" s="125">
        <v>399.0</v>
      </c>
      <c r="S767" s="126">
        <v>0.9298</v>
      </c>
      <c r="T767" s="127">
        <v>72059.5</v>
      </c>
      <c r="U767" s="128">
        <f t="shared" si="2"/>
        <v>0</v>
      </c>
      <c r="V767" s="79" t="s">
        <v>65</v>
      </c>
      <c r="W767" s="79" t="s">
        <v>65</v>
      </c>
      <c r="X767" s="79" t="s">
        <v>64</v>
      </c>
      <c r="Y767" s="130">
        <v>0.7</v>
      </c>
      <c r="Z767" s="111" t="s">
        <v>2308</v>
      </c>
      <c r="AA767" s="111">
        <v>402.0</v>
      </c>
      <c r="AB767" s="111"/>
      <c r="AC767" s="133"/>
      <c r="AD767" s="133"/>
      <c r="AE767" s="133"/>
      <c r="AF767" s="111"/>
      <c r="AG767" s="147"/>
      <c r="AH767" s="73"/>
      <c r="AI767" s="135"/>
      <c r="AJ767" s="136"/>
      <c r="AK767" s="76"/>
      <c r="AL767" s="137"/>
      <c r="AM767" s="139">
        <v>402.0</v>
      </c>
      <c r="AN767" s="139">
        <v>1325.0</v>
      </c>
      <c r="AO767" s="140">
        <v>391.34</v>
      </c>
      <c r="AP767" s="142">
        <v>140000.0</v>
      </c>
      <c r="AQ767" s="142">
        <v>209.0</v>
      </c>
      <c r="AR767" s="143"/>
      <c r="AS767" s="144">
        <v>0.9384077091487832</v>
      </c>
      <c r="AT767" s="144">
        <v>-0.008607709148783282</v>
      </c>
      <c r="AU767" s="146" t="s">
        <v>2574</v>
      </c>
      <c r="AV767" s="234" t="s">
        <v>2574</v>
      </c>
      <c r="AW767" s="148" t="s">
        <v>2574</v>
      </c>
      <c r="AX767" s="151"/>
      <c r="AY767" s="105"/>
      <c r="AZ767" s="186"/>
      <c r="BA767" s="186"/>
      <c r="BB767" s="222"/>
      <c r="BC767" s="45"/>
      <c r="BD767" s="45"/>
      <c r="BE767" s="155"/>
      <c r="BF767" s="45"/>
    </row>
    <row r="768" ht="16.5" customHeight="1">
      <c r="A768" s="111">
        <v>765.0</v>
      </c>
      <c r="B768" s="112" t="s">
        <v>126</v>
      </c>
      <c r="C768" s="115" t="s">
        <v>60</v>
      </c>
      <c r="D768" s="117">
        <v>41527.0</v>
      </c>
      <c r="E768" s="117">
        <v>42864.0</v>
      </c>
      <c r="F768" s="79" t="s">
        <v>79</v>
      </c>
      <c r="G768" s="118">
        <v>240000.0</v>
      </c>
      <c r="H768" s="114">
        <v>179.4</v>
      </c>
      <c r="I768" s="120">
        <v>366.0</v>
      </c>
      <c r="J768" s="111" t="s">
        <v>61</v>
      </c>
      <c r="K768" s="121">
        <v>370.63</v>
      </c>
      <c r="L768" s="120" t="s">
        <v>63</v>
      </c>
      <c r="M768" s="120"/>
      <c r="N768" s="120"/>
      <c r="O768" s="124">
        <v>240000.0</v>
      </c>
      <c r="P768" s="124">
        <v>1338.0</v>
      </c>
      <c r="Q768" s="111">
        <v>212.0</v>
      </c>
      <c r="R768" s="125">
        <v>399.0</v>
      </c>
      <c r="S768" s="126">
        <v>0.9289</v>
      </c>
      <c r="T768" s="127">
        <v>71989.75</v>
      </c>
      <c r="U768" s="128">
        <f t="shared" si="2"/>
        <v>0</v>
      </c>
      <c r="V768" s="79" t="s">
        <v>65</v>
      </c>
      <c r="W768" s="79" t="s">
        <v>127</v>
      </c>
      <c r="X768" s="79" t="s">
        <v>69</v>
      </c>
      <c r="Y768" s="130">
        <v>1.0</v>
      </c>
      <c r="Z768" s="111">
        <v>22.0</v>
      </c>
      <c r="AA768" s="111">
        <v>400.0</v>
      </c>
      <c r="AB768" s="111" t="s">
        <v>61</v>
      </c>
      <c r="AC768" s="111">
        <v>366.0</v>
      </c>
      <c r="AD768" s="111">
        <v>263.0</v>
      </c>
      <c r="AE768" s="111">
        <v>18.3</v>
      </c>
      <c r="AF768" s="111" t="s">
        <v>61</v>
      </c>
      <c r="AG768" s="134" t="s">
        <v>2547</v>
      </c>
      <c r="AH768" s="73">
        <v>103.0</v>
      </c>
      <c r="AI768" s="135">
        <v>104.30379746835443</v>
      </c>
      <c r="AJ768" s="136">
        <v>65.02667366504855</v>
      </c>
      <c r="AK768" s="76">
        <v>0.8390538537425619</v>
      </c>
      <c r="AL768" s="137" t="s">
        <v>2575</v>
      </c>
      <c r="AM768" s="139">
        <v>405.0</v>
      </c>
      <c r="AN768" s="139">
        <v>1338.0</v>
      </c>
      <c r="AO768" s="140">
        <v>680.77</v>
      </c>
      <c r="AP768" s="142">
        <v>240000.0</v>
      </c>
      <c r="AQ768" s="142">
        <v>212.0</v>
      </c>
      <c r="AR768" s="143"/>
      <c r="AS768" s="144">
        <v>0.9227226954510114</v>
      </c>
      <c r="AT768" s="144">
        <v>0.006177304548988571</v>
      </c>
      <c r="AU768" s="146" t="s">
        <v>2576</v>
      </c>
      <c r="AV768" s="234" t="s">
        <v>2576</v>
      </c>
      <c r="AW768" s="148" t="s">
        <v>2576</v>
      </c>
      <c r="AX768" s="151"/>
      <c r="AY768" s="105"/>
      <c r="AZ768" s="186"/>
      <c r="BA768" s="186"/>
      <c r="BB768" s="222"/>
      <c r="BC768" s="45"/>
      <c r="BD768" s="45"/>
      <c r="BE768" s="155"/>
      <c r="BF768" s="45"/>
    </row>
    <row r="769" ht="16.5" customHeight="1">
      <c r="A769" s="111">
        <v>766.0</v>
      </c>
      <c r="B769" s="112" t="s">
        <v>1637</v>
      </c>
      <c r="C769" s="115" t="s">
        <v>60</v>
      </c>
      <c r="D769" s="117">
        <v>42235.0</v>
      </c>
      <c r="E769" s="117">
        <v>42867.0</v>
      </c>
      <c r="F769" s="79" t="s">
        <v>118</v>
      </c>
      <c r="G769" s="118">
        <v>91273.0</v>
      </c>
      <c r="H769" s="114">
        <v>144.2</v>
      </c>
      <c r="I769" s="120">
        <v>349.0</v>
      </c>
      <c r="J769" s="111" t="s">
        <v>61</v>
      </c>
      <c r="K769" s="121">
        <v>353.42</v>
      </c>
      <c r="L769" s="120" t="s">
        <v>63</v>
      </c>
      <c r="M769" s="120"/>
      <c r="N769" s="120"/>
      <c r="O769" s="124">
        <v>91273.0</v>
      </c>
      <c r="P769" s="124">
        <v>633.0</v>
      </c>
      <c r="Q769" s="111">
        <v>207.0</v>
      </c>
      <c r="R769" s="125">
        <v>365.0</v>
      </c>
      <c r="S769" s="126">
        <v>0.9683</v>
      </c>
      <c r="T769" s="127">
        <v>66619.04000000001</v>
      </c>
      <c r="U769" s="128">
        <f t="shared" si="2"/>
        <v>0</v>
      </c>
      <c r="V769" s="79" t="s">
        <v>67</v>
      </c>
      <c r="W769" s="79" t="s">
        <v>64</v>
      </c>
      <c r="X769" s="79" t="s">
        <v>69</v>
      </c>
      <c r="Y769" s="130">
        <v>0.8</v>
      </c>
      <c r="Z769" s="111">
        <v>11.0</v>
      </c>
      <c r="AA769" s="111">
        <v>360.0</v>
      </c>
      <c r="AB769" s="111" t="s">
        <v>61</v>
      </c>
      <c r="AC769" s="133"/>
      <c r="AD769" s="133"/>
      <c r="AE769" s="133"/>
      <c r="AF769" s="111"/>
      <c r="AG769" s="147"/>
      <c r="AH769" s="73"/>
      <c r="AI769" s="135"/>
      <c r="AJ769" s="136"/>
      <c r="AK769" s="76"/>
      <c r="AL769" s="137"/>
      <c r="AM769" s="139">
        <v>365.0</v>
      </c>
      <c r="AN769" s="139">
        <v>633.0</v>
      </c>
      <c r="AO769" s="140">
        <v>279.07</v>
      </c>
      <c r="AP769" s="142">
        <v>91273.0</v>
      </c>
      <c r="AQ769" s="142">
        <v>207.0</v>
      </c>
      <c r="AR769" s="143"/>
      <c r="AS769" s="144">
        <v>0.9465072798635119</v>
      </c>
      <c r="AT769" s="144">
        <v>0.021792720136488142</v>
      </c>
      <c r="AU769" s="146" t="s">
        <v>2577</v>
      </c>
      <c r="AV769" s="234" t="s">
        <v>2577</v>
      </c>
      <c r="AW769" s="148" t="s">
        <v>2577</v>
      </c>
      <c r="AX769" s="151"/>
      <c r="AY769" s="105"/>
      <c r="AZ769" s="186"/>
      <c r="BA769" s="186"/>
      <c r="BB769" s="222"/>
      <c r="BC769" s="45"/>
      <c r="BD769" s="45"/>
      <c r="BE769" s="155"/>
      <c r="BF769" s="45"/>
    </row>
    <row r="770" ht="16.5" customHeight="1">
      <c r="A770" s="111">
        <v>767.0</v>
      </c>
      <c r="B770" s="112" t="s">
        <v>1683</v>
      </c>
      <c r="C770" s="115" t="s">
        <v>60</v>
      </c>
      <c r="D770" s="117">
        <v>42460.0</v>
      </c>
      <c r="E770" s="117">
        <v>42867.0</v>
      </c>
      <c r="F770" s="79" t="s">
        <v>118</v>
      </c>
      <c r="G770" s="118">
        <v>27991.0</v>
      </c>
      <c r="H770" s="114">
        <v>68.6</v>
      </c>
      <c r="I770" s="120">
        <v>359.0</v>
      </c>
      <c r="J770" s="111" t="s">
        <v>61</v>
      </c>
      <c r="K770" s="121">
        <v>363.54</v>
      </c>
      <c r="L770" s="120" t="s">
        <v>63</v>
      </c>
      <c r="M770" s="120"/>
      <c r="N770" s="120"/>
      <c r="O770" s="124">
        <v>27991.0</v>
      </c>
      <c r="P770" s="124">
        <v>408.0</v>
      </c>
      <c r="Q770" s="111">
        <v>234.0</v>
      </c>
      <c r="R770" s="125">
        <v>365.0</v>
      </c>
      <c r="S770" s="126">
        <v>0.996</v>
      </c>
      <c r="T770" s="127">
        <v>68524.8</v>
      </c>
      <c r="U770" s="128">
        <f t="shared" si="2"/>
        <v>0</v>
      </c>
      <c r="V770" s="79" t="s">
        <v>69</v>
      </c>
      <c r="W770" s="79" t="s">
        <v>69</v>
      </c>
      <c r="X770" s="79" t="s">
        <v>66</v>
      </c>
      <c r="Y770" s="130">
        <v>0.9</v>
      </c>
      <c r="Z770" s="111" t="s">
        <v>2340</v>
      </c>
      <c r="AA770" s="111">
        <v>361.0</v>
      </c>
      <c r="AB770" s="111" t="s">
        <v>61</v>
      </c>
      <c r="AC770" s="133"/>
      <c r="AD770" s="133"/>
      <c r="AE770" s="133"/>
      <c r="AF770" s="111"/>
      <c r="AG770" s="147"/>
      <c r="AH770" s="73"/>
      <c r="AI770" s="135"/>
      <c r="AJ770" s="136"/>
      <c r="AK770" s="76"/>
      <c r="AL770" s="137"/>
      <c r="AM770" s="139">
        <v>366.0</v>
      </c>
      <c r="AN770" s="139">
        <v>408.0</v>
      </c>
      <c r="AO770" s="140">
        <v>95.41</v>
      </c>
      <c r="AP770" s="142">
        <v>27991.0</v>
      </c>
      <c r="AQ770" s="142">
        <v>234.0</v>
      </c>
      <c r="AR770" s="143"/>
      <c r="AS770" s="144">
        <v>0.9664809378529386</v>
      </c>
      <c r="AT770" s="144">
        <v>0.029519062147061348</v>
      </c>
      <c r="AU770" s="146" t="s">
        <v>2578</v>
      </c>
      <c r="AV770" s="234" t="s">
        <v>2578</v>
      </c>
      <c r="AW770" s="148" t="s">
        <v>2578</v>
      </c>
      <c r="AX770" s="151"/>
      <c r="AY770" s="105"/>
      <c r="AZ770" s="186"/>
      <c r="BA770" s="186"/>
      <c r="BB770" s="222"/>
      <c r="BC770" s="45"/>
      <c r="BD770" s="45"/>
      <c r="BE770" s="155"/>
      <c r="BF770" s="45"/>
    </row>
    <row r="771" ht="16.5" customHeight="1">
      <c r="A771" s="111">
        <v>768.0</v>
      </c>
      <c r="B771" s="112" t="s">
        <v>1804</v>
      </c>
      <c r="C771" s="115" t="s">
        <v>60</v>
      </c>
      <c r="D771" s="117">
        <v>41699.0</v>
      </c>
      <c r="E771" s="117">
        <v>42869.0</v>
      </c>
      <c r="F771" s="79" t="s">
        <v>79</v>
      </c>
      <c r="G771" s="118">
        <v>90375.0</v>
      </c>
      <c r="H771" s="114">
        <v>77.2</v>
      </c>
      <c r="I771" s="120">
        <v>366.0</v>
      </c>
      <c r="J771" s="111" t="s">
        <v>61</v>
      </c>
      <c r="K771" s="121">
        <v>370.63</v>
      </c>
      <c r="L771" s="120" t="s">
        <v>63</v>
      </c>
      <c r="M771" s="120"/>
      <c r="N771" s="120"/>
      <c r="O771" s="124">
        <v>90375.0</v>
      </c>
      <c r="P771" s="124">
        <v>1171.0</v>
      </c>
      <c r="Q771" s="111">
        <v>220.0</v>
      </c>
      <c r="R771" s="125">
        <v>399.0</v>
      </c>
      <c r="S771" s="126">
        <v>0.9289</v>
      </c>
      <c r="T771" s="127">
        <v>71989.75</v>
      </c>
      <c r="U771" s="128">
        <f t="shared" si="2"/>
        <v>0</v>
      </c>
      <c r="V771" s="79" t="s">
        <v>67</v>
      </c>
      <c r="W771" s="79" t="s">
        <v>64</v>
      </c>
      <c r="X771" s="79" t="s">
        <v>69</v>
      </c>
      <c r="Y771" s="130">
        <v>0.6</v>
      </c>
      <c r="Z771" s="111"/>
      <c r="AA771" s="111">
        <v>404.0</v>
      </c>
      <c r="AB771" s="111" t="s">
        <v>61</v>
      </c>
      <c r="AC771" s="133"/>
      <c r="AD771" s="133"/>
      <c r="AE771" s="133"/>
      <c r="AF771" s="111"/>
      <c r="AG771" s="147"/>
      <c r="AH771" s="73"/>
      <c r="AI771" s="135"/>
      <c r="AJ771" s="136"/>
      <c r="AK771" s="76"/>
      <c r="AL771" s="137"/>
      <c r="AM771" s="139">
        <v>409.0</v>
      </c>
      <c r="AN771" s="139">
        <v>1171.0</v>
      </c>
      <c r="AO771" s="140">
        <v>266.05</v>
      </c>
      <c r="AP771" s="142">
        <v>90375.0</v>
      </c>
      <c r="AQ771" s="142">
        <v>220.0</v>
      </c>
      <c r="AR771" s="143"/>
      <c r="AS771" s="144">
        <v>0.9466708714414772</v>
      </c>
      <c r="AT771" s="144">
        <v>-0.017770871441477265</v>
      </c>
      <c r="AU771" s="146" t="s">
        <v>2579</v>
      </c>
      <c r="AV771" s="234" t="s">
        <v>2579</v>
      </c>
      <c r="AW771" s="148" t="s">
        <v>2579</v>
      </c>
      <c r="AX771" s="151"/>
      <c r="AY771" s="105"/>
      <c r="AZ771" s="186"/>
      <c r="BA771" s="186"/>
      <c r="BB771" s="222"/>
      <c r="BC771" s="45"/>
      <c r="BD771" s="45"/>
      <c r="BE771" s="155"/>
      <c r="BF771" s="45"/>
    </row>
    <row r="772" ht="16.5" customHeight="1">
      <c r="A772" s="111">
        <v>769.0</v>
      </c>
      <c r="B772" s="112" t="s">
        <v>1874</v>
      </c>
      <c r="C772" s="115" t="s">
        <v>60</v>
      </c>
      <c r="D772" s="117">
        <v>42444.0</v>
      </c>
      <c r="E772" s="117">
        <v>42838.0</v>
      </c>
      <c r="F772" s="79" t="s">
        <v>118</v>
      </c>
      <c r="G772" s="118">
        <v>43082.0</v>
      </c>
      <c r="H772" s="114">
        <v>109.1</v>
      </c>
      <c r="I772" s="120">
        <v>365.0</v>
      </c>
      <c r="J772" s="111" t="s">
        <v>62</v>
      </c>
      <c r="K772" s="121">
        <v>365.0</v>
      </c>
      <c r="L772" s="120" t="s">
        <v>63</v>
      </c>
      <c r="M772" s="120"/>
      <c r="N772" s="120"/>
      <c r="O772" s="124">
        <v>43082.0</v>
      </c>
      <c r="P772" s="124">
        <v>395.0</v>
      </c>
      <c r="Q772" s="111">
        <v>209.0</v>
      </c>
      <c r="R772" s="125">
        <v>365.0</v>
      </c>
      <c r="S772" s="126">
        <v>1.0</v>
      </c>
      <c r="T772" s="127">
        <v>68800.0</v>
      </c>
      <c r="U772" s="128">
        <f t="shared" si="2"/>
        <v>0</v>
      </c>
      <c r="V772" s="79" t="s">
        <v>64</v>
      </c>
      <c r="W772" s="79" t="s">
        <v>65</v>
      </c>
      <c r="X772" s="79" t="s">
        <v>66</v>
      </c>
      <c r="Y772" s="130">
        <v>0.9</v>
      </c>
      <c r="Z772" s="111">
        <v>11.0</v>
      </c>
      <c r="AA772" s="111">
        <v>360.0</v>
      </c>
      <c r="AB772" s="111" t="s">
        <v>61</v>
      </c>
      <c r="AC772" s="133"/>
      <c r="AD772" s="133"/>
      <c r="AE772" s="133"/>
      <c r="AF772" s="111"/>
      <c r="AG772" s="147"/>
      <c r="AH772" s="73"/>
      <c r="AI772" s="135"/>
      <c r="AJ772" s="136"/>
      <c r="AK772" s="76"/>
      <c r="AL772" s="137"/>
      <c r="AM772" s="139">
        <v>365.0</v>
      </c>
      <c r="AN772" s="139">
        <v>395.0</v>
      </c>
      <c r="AO772" s="140">
        <v>130.89</v>
      </c>
      <c r="AP772" s="142">
        <v>43082.0</v>
      </c>
      <c r="AQ772" s="142">
        <v>209.0</v>
      </c>
      <c r="AR772" s="143"/>
      <c r="AS772" s="144">
        <v>0.9587144987871223</v>
      </c>
      <c r="AT772" s="144">
        <v>0.04128550121287766</v>
      </c>
      <c r="AU772" s="146" t="s">
        <v>2580</v>
      </c>
      <c r="AV772" s="146" t="s">
        <v>2580</v>
      </c>
      <c r="AW772" s="148" t="s">
        <v>2580</v>
      </c>
      <c r="AX772" s="151"/>
      <c r="AY772" s="105"/>
      <c r="AZ772" s="186"/>
      <c r="BA772" s="186"/>
      <c r="BB772" s="222"/>
      <c r="BC772" s="45"/>
      <c r="BD772" s="45"/>
      <c r="BE772" s="155"/>
      <c r="BF772" s="45"/>
    </row>
    <row r="773" ht="16.5" customHeight="1">
      <c r="A773" s="111">
        <v>770.0</v>
      </c>
      <c r="B773" s="112" t="s">
        <v>623</v>
      </c>
      <c r="C773" s="115" t="s">
        <v>60</v>
      </c>
      <c r="D773" s="117">
        <v>41794.0</v>
      </c>
      <c r="E773" s="117">
        <v>42857.0</v>
      </c>
      <c r="F773" s="79" t="s">
        <v>59</v>
      </c>
      <c r="G773" s="118">
        <v>172871.0</v>
      </c>
      <c r="H773" s="114">
        <v>162.5</v>
      </c>
      <c r="I773" s="120">
        <v>380.0</v>
      </c>
      <c r="J773" s="111" t="s">
        <v>62</v>
      </c>
      <c r="K773" s="121">
        <v>380.0</v>
      </c>
      <c r="L773" s="120" t="s">
        <v>63</v>
      </c>
      <c r="M773" s="120"/>
      <c r="N773" s="120"/>
      <c r="O773" s="124">
        <v>172871.0</v>
      </c>
      <c r="P773" s="124">
        <v>1064.0</v>
      </c>
      <c r="Q773" s="111">
        <v>182.0</v>
      </c>
      <c r="R773" s="125">
        <v>399.0</v>
      </c>
      <c r="S773" s="126">
        <v>0.9524</v>
      </c>
      <c r="T773" s="127">
        <v>73811.0</v>
      </c>
      <c r="U773" s="128">
        <f t="shared" si="2"/>
        <v>0</v>
      </c>
      <c r="V773" s="79" t="s">
        <v>65</v>
      </c>
      <c r="W773" s="79" t="s">
        <v>69</v>
      </c>
      <c r="X773" s="79" t="s">
        <v>69</v>
      </c>
      <c r="Y773" s="130">
        <v>0.9</v>
      </c>
      <c r="Z773" s="111">
        <v>9.0</v>
      </c>
      <c r="AA773" s="111">
        <v>398.0</v>
      </c>
      <c r="AB773" s="111" t="s">
        <v>61</v>
      </c>
      <c r="AC773" s="133"/>
      <c r="AD773" s="133"/>
      <c r="AE773" s="133"/>
      <c r="AF773" s="111"/>
      <c r="AG773" s="134" t="s">
        <v>2019</v>
      </c>
      <c r="AH773" s="73"/>
      <c r="AI773" s="135"/>
      <c r="AJ773" s="136"/>
      <c r="AK773" s="76"/>
      <c r="AL773" s="137"/>
      <c r="AM773" s="139">
        <v>403.0</v>
      </c>
      <c r="AN773" s="139">
        <v>1064.0</v>
      </c>
      <c r="AO773" s="140">
        <v>415.91</v>
      </c>
      <c r="AP773" s="142">
        <v>172871.0</v>
      </c>
      <c r="AQ773" s="142">
        <v>182.0</v>
      </c>
      <c r="AR773" s="143"/>
      <c r="AS773" s="144">
        <v>0.9332269875155883</v>
      </c>
      <c r="AT773" s="144">
        <v>0.019173012484411722</v>
      </c>
      <c r="AU773" s="146" t="s">
        <v>2581</v>
      </c>
      <c r="AV773" s="146" t="s">
        <v>2581</v>
      </c>
      <c r="AW773" s="148" t="s">
        <v>2581</v>
      </c>
      <c r="AX773" s="151"/>
      <c r="AY773" s="105"/>
      <c r="AZ773" s="186"/>
      <c r="BA773" s="186"/>
      <c r="BB773" s="222"/>
      <c r="BC773" s="45"/>
      <c r="BD773" s="45"/>
      <c r="BE773" s="155"/>
      <c r="BF773" s="45"/>
    </row>
    <row r="774" ht="16.5" customHeight="1">
      <c r="A774" s="111">
        <v>771.0</v>
      </c>
      <c r="B774" s="112" t="s">
        <v>1784</v>
      </c>
      <c r="C774" s="115" t="s">
        <v>60</v>
      </c>
      <c r="D774" s="117">
        <v>41942.0</v>
      </c>
      <c r="E774" s="117">
        <v>42871.0</v>
      </c>
      <c r="F774" s="79" t="s">
        <v>59</v>
      </c>
      <c r="G774" s="118">
        <v>99100.0</v>
      </c>
      <c r="H774" s="114">
        <v>106.6</v>
      </c>
      <c r="I774" s="120">
        <v>379.0</v>
      </c>
      <c r="J774" s="111" t="s">
        <v>61</v>
      </c>
      <c r="K774" s="121">
        <v>383.8</v>
      </c>
      <c r="L774" s="120" t="s">
        <v>63</v>
      </c>
      <c r="M774" s="120"/>
      <c r="N774" s="120"/>
      <c r="O774" s="124">
        <v>99100.0</v>
      </c>
      <c r="P774" s="124">
        <v>930.0</v>
      </c>
      <c r="Q774" s="111">
        <v>206.0</v>
      </c>
      <c r="R774" s="125">
        <v>399.0</v>
      </c>
      <c r="S774" s="126">
        <v>0.9619</v>
      </c>
      <c r="T774" s="127">
        <v>74547.25</v>
      </c>
      <c r="U774" s="128">
        <f t="shared" si="2"/>
        <v>0</v>
      </c>
      <c r="V774" s="79"/>
      <c r="W774" s="79"/>
      <c r="X774" s="79"/>
      <c r="Y774" s="130"/>
      <c r="Z774" s="111"/>
      <c r="AA774" s="133"/>
      <c r="AB774" s="133"/>
      <c r="AC774" s="133"/>
      <c r="AD774" s="133"/>
      <c r="AE774" s="133"/>
      <c r="AF774" s="111"/>
      <c r="AG774" s="147"/>
      <c r="AH774" s="73"/>
      <c r="AI774" s="135"/>
      <c r="AJ774" s="136"/>
      <c r="AK774" s="76"/>
      <c r="AL774" s="137"/>
      <c r="AM774" s="139" t="s">
        <v>71</v>
      </c>
      <c r="AN774" s="139">
        <v>930.0</v>
      </c>
      <c r="AO774" s="140">
        <v>268.57</v>
      </c>
      <c r="AP774" s="142">
        <v>99100.0</v>
      </c>
      <c r="AQ774" s="142">
        <v>206.0</v>
      </c>
      <c r="AR774" s="143"/>
      <c r="AS774" s="144">
        <v>0.9451181256690522</v>
      </c>
      <c r="AT774" s="144">
        <v>0.0167818743309478</v>
      </c>
      <c r="AU774" s="146" t="s">
        <v>2582</v>
      </c>
      <c r="AV774" s="146" t="s">
        <v>2582</v>
      </c>
      <c r="AW774" s="148" t="s">
        <v>2582</v>
      </c>
      <c r="AX774" s="151"/>
      <c r="AY774" s="105"/>
      <c r="AZ774" s="186"/>
      <c r="BA774" s="186"/>
      <c r="BB774" s="222"/>
      <c r="BC774" s="45"/>
      <c r="BD774" s="45"/>
      <c r="BE774" s="155"/>
      <c r="BF774" s="45"/>
    </row>
    <row r="775" ht="16.5" customHeight="1">
      <c r="A775" s="111">
        <v>772.0</v>
      </c>
      <c r="B775" s="112" t="s">
        <v>1898</v>
      </c>
      <c r="C775" s="115" t="s">
        <v>60</v>
      </c>
      <c r="D775" s="117">
        <v>42864.0</v>
      </c>
      <c r="E775" s="117">
        <v>42871.0</v>
      </c>
      <c r="F775" s="79" t="s">
        <v>921</v>
      </c>
      <c r="G775" s="118">
        <v>1364.0</v>
      </c>
      <c r="H775" s="114">
        <v>170.5</v>
      </c>
      <c r="I775" s="120">
        <v>488.0</v>
      </c>
      <c r="J775" s="111" t="s">
        <v>62</v>
      </c>
      <c r="K775" s="121">
        <v>488.0</v>
      </c>
      <c r="L775" s="120" t="s">
        <v>63</v>
      </c>
      <c r="M775" s="120"/>
      <c r="N775" s="120"/>
      <c r="O775" s="124">
        <v>1364.0</v>
      </c>
      <c r="P775" s="124">
        <v>8.0</v>
      </c>
      <c r="Q775" s="111">
        <v>188.0</v>
      </c>
      <c r="R775" s="125">
        <v>488.0</v>
      </c>
      <c r="S775" s="126">
        <v>1.0</v>
      </c>
      <c r="T775" s="127">
        <v>98400.0</v>
      </c>
      <c r="U775" s="128">
        <f t="shared" si="2"/>
        <v>0</v>
      </c>
      <c r="V775" s="79" t="s">
        <v>67</v>
      </c>
      <c r="W775" s="79" t="s">
        <v>69</v>
      </c>
      <c r="X775" s="79" t="s">
        <v>68</v>
      </c>
      <c r="Y775" s="130">
        <v>0.8</v>
      </c>
      <c r="Z775" s="111"/>
      <c r="AA775" s="111">
        <v>488.0</v>
      </c>
      <c r="AB775" s="111" t="s">
        <v>62</v>
      </c>
      <c r="AC775" s="133"/>
      <c r="AD775" s="133"/>
      <c r="AE775" s="133"/>
      <c r="AF775" s="111"/>
      <c r="AG775" s="147"/>
      <c r="AH775" s="73"/>
      <c r="AI775" s="135"/>
      <c r="AJ775" s="136"/>
      <c r="AK775" s="76"/>
      <c r="AL775" s="137"/>
      <c r="AM775" s="139">
        <v>488.0</v>
      </c>
      <c r="AN775" s="139">
        <v>8.0</v>
      </c>
      <c r="AO775" s="140">
        <v>2.61</v>
      </c>
      <c r="AP775" s="142">
        <v>1364.0</v>
      </c>
      <c r="AQ775" s="142">
        <v>188.0</v>
      </c>
      <c r="AR775" s="143"/>
      <c r="AS775" s="144">
        <v>0.9973090795142157</v>
      </c>
      <c r="AT775" s="144">
        <v>0.0026909204857843427</v>
      </c>
      <c r="AU775" s="146" t="s">
        <v>2583</v>
      </c>
      <c r="AV775" s="146" t="s">
        <v>2583</v>
      </c>
      <c r="AW775" s="148" t="s">
        <v>2583</v>
      </c>
      <c r="AX775" s="151"/>
      <c r="AY775" s="105"/>
      <c r="AZ775" s="186"/>
      <c r="BA775" s="186"/>
      <c r="BB775" s="222"/>
      <c r="BC775" s="45"/>
      <c r="BD775" s="45"/>
      <c r="BE775" s="155"/>
      <c r="BF775" s="45"/>
    </row>
    <row r="776" ht="16.5" customHeight="1">
      <c r="A776" s="111">
        <v>773.0</v>
      </c>
      <c r="B776" s="112" t="s">
        <v>1742</v>
      </c>
      <c r="C776" s="115" t="s">
        <v>60</v>
      </c>
      <c r="D776" s="117">
        <v>42297.0</v>
      </c>
      <c r="E776" s="117">
        <v>42872.0</v>
      </c>
      <c r="F776" s="79" t="s">
        <v>86</v>
      </c>
      <c r="G776" s="118">
        <v>47834.0</v>
      </c>
      <c r="H776" s="114">
        <v>83.0</v>
      </c>
      <c r="I776" s="120">
        <v>420.0</v>
      </c>
      <c r="J776" s="111" t="s">
        <v>61</v>
      </c>
      <c r="K776" s="121">
        <v>425.32</v>
      </c>
      <c r="L776" s="120" t="s">
        <v>63</v>
      </c>
      <c r="M776" s="120"/>
      <c r="N776" s="120"/>
      <c r="O776" s="124">
        <v>47834.0</v>
      </c>
      <c r="P776" s="124">
        <v>576.0</v>
      </c>
      <c r="Q776" s="111">
        <v>218.0</v>
      </c>
      <c r="R776" s="125">
        <v>430.0</v>
      </c>
      <c r="S776" s="126">
        <v>0.9891</v>
      </c>
      <c r="T776" s="127">
        <v>76655.25</v>
      </c>
      <c r="U776" s="128">
        <f t="shared" si="2"/>
        <v>0</v>
      </c>
      <c r="V776" s="79" t="s">
        <v>65</v>
      </c>
      <c r="W776" s="79" t="s">
        <v>69</v>
      </c>
      <c r="X776" s="79" t="s">
        <v>66</v>
      </c>
      <c r="Y776" s="130">
        <v>0.7</v>
      </c>
      <c r="Z776" s="111">
        <v>22.0</v>
      </c>
      <c r="AA776" s="133"/>
      <c r="AB776" s="133"/>
      <c r="AC776" s="133"/>
      <c r="AD776" s="133"/>
      <c r="AE776" s="133"/>
      <c r="AF776" s="111"/>
      <c r="AG776" s="134" t="s">
        <v>111</v>
      </c>
      <c r="AH776" s="73"/>
      <c r="AI776" s="135"/>
      <c r="AJ776" s="136"/>
      <c r="AK776" s="76"/>
      <c r="AL776" s="137"/>
      <c r="AM776" s="139" t="s">
        <v>71</v>
      </c>
      <c r="AN776" s="139">
        <v>576.0</v>
      </c>
      <c r="AO776" s="140">
        <v>135.31</v>
      </c>
      <c r="AP776" s="142">
        <v>47834.0</v>
      </c>
      <c r="AQ776" s="142">
        <v>218.0</v>
      </c>
      <c r="AR776" s="143"/>
      <c r="AS776" s="144">
        <v>0.9569253204877364</v>
      </c>
      <c r="AT776" s="144">
        <v>0.032174679512263604</v>
      </c>
      <c r="AU776" s="146" t="s">
        <v>2584</v>
      </c>
      <c r="AV776" s="146" t="s">
        <v>2584</v>
      </c>
      <c r="AW776" s="148" t="s">
        <v>2584</v>
      </c>
      <c r="AX776" s="151"/>
      <c r="AY776" s="105"/>
      <c r="AZ776" s="186"/>
      <c r="BA776" s="186"/>
      <c r="BB776" s="222"/>
      <c r="BC776" s="45"/>
      <c r="BD776" s="45"/>
      <c r="BE776" s="155"/>
      <c r="BF776" s="45"/>
    </row>
    <row r="777" ht="16.5" customHeight="1">
      <c r="A777" s="111">
        <v>774.0</v>
      </c>
      <c r="B777" s="112" t="s">
        <v>457</v>
      </c>
      <c r="C777" s="115" t="s">
        <v>60</v>
      </c>
      <c r="D777" s="117">
        <v>41986.0</v>
      </c>
      <c r="E777" s="117">
        <v>42874.0</v>
      </c>
      <c r="F777" s="79" t="s">
        <v>59</v>
      </c>
      <c r="G777" s="118">
        <v>62000.0</v>
      </c>
      <c r="H777" s="114">
        <v>69.7</v>
      </c>
      <c r="I777" s="120">
        <v>380.0</v>
      </c>
      <c r="J777" s="111" t="s">
        <v>61</v>
      </c>
      <c r="K777" s="121">
        <v>384.81</v>
      </c>
      <c r="L777" s="120" t="s">
        <v>63</v>
      </c>
      <c r="M777" s="120"/>
      <c r="N777" s="120"/>
      <c r="O777" s="124">
        <v>62000.0</v>
      </c>
      <c r="P777" s="124">
        <v>889.0</v>
      </c>
      <c r="Q777" s="111">
        <v>240.0</v>
      </c>
      <c r="R777" s="125">
        <v>399.0</v>
      </c>
      <c r="S777" s="126">
        <v>0.9644</v>
      </c>
      <c r="T777" s="127">
        <v>74741.0</v>
      </c>
      <c r="U777" s="128">
        <f t="shared" si="2"/>
        <v>0</v>
      </c>
      <c r="V777" s="79" t="s">
        <v>69</v>
      </c>
      <c r="W777" s="79" t="s">
        <v>69</v>
      </c>
      <c r="X777" s="79" t="s">
        <v>69</v>
      </c>
      <c r="Y777" s="130"/>
      <c r="Z777" s="111">
        <v>11.0</v>
      </c>
      <c r="AA777" s="133"/>
      <c r="AB777" s="133"/>
      <c r="AC777" s="133"/>
      <c r="AD777" s="133"/>
      <c r="AE777" s="133"/>
      <c r="AF777" s="111"/>
      <c r="AG777" s="147"/>
      <c r="AH777" s="73"/>
      <c r="AI777" s="135"/>
      <c r="AJ777" s="136"/>
      <c r="AK777" s="76"/>
      <c r="AL777" s="137"/>
      <c r="AM777" s="139" t="s">
        <v>71</v>
      </c>
      <c r="AN777" s="139">
        <v>889.0</v>
      </c>
      <c r="AO777" s="140">
        <v>195.52</v>
      </c>
      <c r="AP777" s="142">
        <v>62000.0</v>
      </c>
      <c r="AQ777" s="142">
        <v>240.0</v>
      </c>
      <c r="AR777" s="143"/>
      <c r="AS777" s="144">
        <v>0.9526812948810227</v>
      </c>
      <c r="AT777" s="144">
        <v>0.011718705118977324</v>
      </c>
      <c r="AU777" s="146" t="s">
        <v>2585</v>
      </c>
      <c r="AV777" s="146" t="s">
        <v>2585</v>
      </c>
      <c r="AW777" s="148" t="s">
        <v>2585</v>
      </c>
      <c r="AX777" s="151"/>
      <c r="AY777" s="105"/>
      <c r="AZ777" s="186"/>
      <c r="BA777" s="186"/>
      <c r="BB777" s="222"/>
      <c r="BC777" s="45"/>
      <c r="BD777" s="45"/>
      <c r="BE777" s="155"/>
      <c r="BF777" s="45"/>
    </row>
    <row r="778" ht="16.5" customHeight="1">
      <c r="A778" s="111">
        <v>775.0</v>
      </c>
      <c r="B778" s="112" t="s">
        <v>761</v>
      </c>
      <c r="C778" s="115" t="s">
        <v>60</v>
      </c>
      <c r="D778" s="582">
        <v>42097.0</v>
      </c>
      <c r="E778" s="117">
        <v>42874.0</v>
      </c>
      <c r="F778" s="79" t="s">
        <v>90</v>
      </c>
      <c r="G778" s="118">
        <v>43470.0</v>
      </c>
      <c r="H778" s="114">
        <v>55.9</v>
      </c>
      <c r="I778" s="120">
        <v>389.0</v>
      </c>
      <c r="J778" s="111" t="s">
        <v>62</v>
      </c>
      <c r="K778" s="121">
        <v>389.0</v>
      </c>
      <c r="L778" s="120" t="s">
        <v>63</v>
      </c>
      <c r="M778" s="120"/>
      <c r="N778" s="120"/>
      <c r="O778" s="124">
        <v>43470.0</v>
      </c>
      <c r="P778" s="124">
        <v>778.0</v>
      </c>
      <c r="Q778" s="111">
        <v>232.0</v>
      </c>
      <c r="R778" s="125">
        <v>408.0</v>
      </c>
      <c r="S778" s="126">
        <v>0.9534</v>
      </c>
      <c r="T778" s="127">
        <v>73888.5</v>
      </c>
      <c r="U778" s="128">
        <f t="shared" si="2"/>
        <v>0</v>
      </c>
      <c r="V778" s="636" t="s">
        <v>65</v>
      </c>
      <c r="W778" s="691" t="s">
        <v>64</v>
      </c>
      <c r="X778" s="691" t="s">
        <v>66</v>
      </c>
      <c r="Y778" s="130">
        <v>0.7</v>
      </c>
      <c r="Z778" s="693">
        <v>11.0</v>
      </c>
      <c r="AA778" s="202">
        <v>406.0</v>
      </c>
      <c r="AB778" s="202" t="s">
        <v>62</v>
      </c>
      <c r="AC778" s="111"/>
      <c r="AD778" s="111"/>
      <c r="AE778" s="111"/>
      <c r="AF778" s="111"/>
      <c r="AG778" s="134" t="s">
        <v>1899</v>
      </c>
      <c r="AH778" s="73"/>
      <c r="AI778" s="135"/>
      <c r="AJ778" s="136"/>
      <c r="AK778" s="76"/>
      <c r="AL778" s="137"/>
      <c r="AM778" s="139">
        <v>406.0</v>
      </c>
      <c r="AN778" s="139">
        <v>778.0</v>
      </c>
      <c r="AO778" s="140">
        <v>133.27</v>
      </c>
      <c r="AP778" s="142">
        <v>43470.0</v>
      </c>
      <c r="AQ778" s="142">
        <v>232.0</v>
      </c>
      <c r="AR778" s="143"/>
      <c r="AS778" s="144">
        <v>0.9585593474517472</v>
      </c>
      <c r="AT778" s="144">
        <v>-0.005159347451747176</v>
      </c>
      <c r="AU778" s="146" t="s">
        <v>2586</v>
      </c>
      <c r="AV778" s="146" t="s">
        <v>2586</v>
      </c>
      <c r="AW778" s="148" t="s">
        <v>2586</v>
      </c>
      <c r="AX778" s="151"/>
      <c r="AY778" s="105"/>
      <c r="AZ778" s="186"/>
      <c r="BA778" s="186"/>
      <c r="BB778" s="222"/>
      <c r="BC778" s="45"/>
      <c r="BD778" s="45"/>
      <c r="BE778" s="155"/>
      <c r="BF778" s="45"/>
    </row>
    <row r="779" ht="16.5" customHeight="1">
      <c r="A779" s="111">
        <v>776.0</v>
      </c>
      <c r="B779" s="112" t="s">
        <v>1615</v>
      </c>
      <c r="C779" s="115" t="s">
        <v>60</v>
      </c>
      <c r="D779" s="956">
        <v>42545.0</v>
      </c>
      <c r="E779" s="968">
        <v>42874.0</v>
      </c>
      <c r="F779" s="79" t="s">
        <v>629</v>
      </c>
      <c r="G779" s="118">
        <v>27000.0</v>
      </c>
      <c r="H779" s="114">
        <v>81.8</v>
      </c>
      <c r="I779" s="120">
        <v>370.0</v>
      </c>
      <c r="J779" s="111" t="s">
        <v>62</v>
      </c>
      <c r="K779" s="121">
        <v>370.0</v>
      </c>
      <c r="L779" s="120" t="s">
        <v>63</v>
      </c>
      <c r="M779" s="120"/>
      <c r="N779" s="120"/>
      <c r="O779" s="124">
        <v>27000.0</v>
      </c>
      <c r="P779" s="124">
        <v>330.0</v>
      </c>
      <c r="Q779" s="111">
        <v>194.0</v>
      </c>
      <c r="R779" s="125">
        <v>386.0</v>
      </c>
      <c r="S779" s="126">
        <v>0.9585</v>
      </c>
      <c r="T779" s="127">
        <v>69587.1</v>
      </c>
      <c r="U779" s="128">
        <f t="shared" si="2"/>
        <v>0</v>
      </c>
      <c r="V779" s="79" t="s">
        <v>67</v>
      </c>
      <c r="W779" s="79" t="s">
        <v>64</v>
      </c>
      <c r="X779" s="79" t="s">
        <v>69</v>
      </c>
      <c r="Y779" s="130">
        <v>0.9</v>
      </c>
      <c r="Z779" s="111">
        <v>11.0</v>
      </c>
      <c r="AA779" s="111">
        <v>384.0</v>
      </c>
      <c r="AB779" s="111" t="s">
        <v>62</v>
      </c>
      <c r="AC779" s="133"/>
      <c r="AD779" s="133"/>
      <c r="AE779" s="133"/>
      <c r="AF779" s="111"/>
      <c r="AG779" s="147"/>
      <c r="AH779" s="73"/>
      <c r="AI779" s="135"/>
      <c r="AJ779" s="136"/>
      <c r="AK779" s="76"/>
      <c r="AL779" s="137"/>
      <c r="AM779" s="139">
        <v>384.0</v>
      </c>
      <c r="AN779" s="139">
        <v>330.0</v>
      </c>
      <c r="AO779" s="140">
        <v>73.69</v>
      </c>
      <c r="AP779" s="142">
        <v>27000.0</v>
      </c>
      <c r="AQ779" s="142">
        <v>194.0</v>
      </c>
      <c r="AR779" s="143"/>
      <c r="AS779" s="144">
        <v>0.9671439869277211</v>
      </c>
      <c r="AT779" s="144">
        <v>-0.008643986927721059</v>
      </c>
      <c r="AU779" s="146" t="s">
        <v>2587</v>
      </c>
      <c r="AV779" s="146" t="s">
        <v>2587</v>
      </c>
      <c r="AW779" s="148" t="s">
        <v>2587</v>
      </c>
      <c r="AX779" s="151"/>
      <c r="AY779" s="105"/>
      <c r="AZ779" s="186"/>
      <c r="BA779" s="186"/>
      <c r="BB779" s="222"/>
      <c r="BC779" s="45"/>
      <c r="BD779" s="45"/>
      <c r="BE779" s="155"/>
      <c r="BF779" s="45"/>
    </row>
    <row r="780" ht="16.5" customHeight="1">
      <c r="A780" s="111">
        <v>777.0</v>
      </c>
      <c r="B780" s="112" t="s">
        <v>1837</v>
      </c>
      <c r="C780" s="115" t="s">
        <v>60</v>
      </c>
      <c r="D780" s="117">
        <v>42789.0</v>
      </c>
      <c r="E780" s="117">
        <v>42875.0</v>
      </c>
      <c r="F780" s="79" t="s">
        <v>305</v>
      </c>
      <c r="G780" s="118">
        <v>8600.0</v>
      </c>
      <c r="H780" s="114">
        <v>98.9</v>
      </c>
      <c r="I780" s="120">
        <v>455.0</v>
      </c>
      <c r="J780" s="111" t="s">
        <v>61</v>
      </c>
      <c r="K780" s="121">
        <v>460.76</v>
      </c>
      <c r="L780" s="120" t="s">
        <v>63</v>
      </c>
      <c r="M780" s="120"/>
      <c r="N780" s="120"/>
      <c r="O780" s="124">
        <v>8600.0</v>
      </c>
      <c r="P780" s="124">
        <v>87.0</v>
      </c>
      <c r="Q780" s="111">
        <v>214.0</v>
      </c>
      <c r="R780" s="125">
        <v>452.0</v>
      </c>
      <c r="S780" s="126">
        <v>1.0194</v>
      </c>
      <c r="T780" s="127">
        <v>83386.92000000001</v>
      </c>
      <c r="U780" s="128">
        <f t="shared" si="2"/>
        <v>0</v>
      </c>
      <c r="V780" s="79" t="s">
        <v>65</v>
      </c>
      <c r="W780" s="79" t="s">
        <v>65</v>
      </c>
      <c r="X780" s="79" t="s">
        <v>66</v>
      </c>
      <c r="Y780" s="130">
        <v>0.9</v>
      </c>
      <c r="Z780" s="111">
        <v>11.0</v>
      </c>
      <c r="AA780" s="111">
        <v>460.0</v>
      </c>
      <c r="AB780" s="111" t="s">
        <v>61</v>
      </c>
      <c r="AC780" s="133"/>
      <c r="AD780" s="133"/>
      <c r="AE780" s="133"/>
      <c r="AF780" s="111"/>
      <c r="AG780" s="147"/>
      <c r="AH780" s="73"/>
      <c r="AI780" s="135"/>
      <c r="AJ780" s="136"/>
      <c r="AK780" s="76"/>
      <c r="AL780" s="137"/>
      <c r="AM780" s="139">
        <v>466.0</v>
      </c>
      <c r="AN780" s="139">
        <v>87.0</v>
      </c>
      <c r="AO780" s="140">
        <v>22.29</v>
      </c>
      <c r="AP780" s="142">
        <v>8600.0</v>
      </c>
      <c r="AQ780" s="142">
        <v>214.0</v>
      </c>
      <c r="AR780" s="143"/>
      <c r="AS780" s="144">
        <v>0.9853965306069292</v>
      </c>
      <c r="AT780" s="144">
        <v>0.03400346939307086</v>
      </c>
      <c r="AU780" s="146" t="s">
        <v>2588</v>
      </c>
      <c r="AV780" s="146" t="s">
        <v>2588</v>
      </c>
      <c r="AW780" s="148" t="s">
        <v>2588</v>
      </c>
      <c r="AX780" s="151"/>
      <c r="AY780" s="105"/>
      <c r="AZ780" s="186"/>
      <c r="BA780" s="186"/>
      <c r="BB780" s="222"/>
      <c r="BC780" s="45"/>
      <c r="BD780" s="45"/>
      <c r="BE780" s="155"/>
      <c r="BF780" s="45"/>
    </row>
    <row r="781" ht="16.5" customHeight="1">
      <c r="A781" s="111">
        <v>778.0</v>
      </c>
      <c r="B781" s="112" t="s">
        <v>541</v>
      </c>
      <c r="C781" s="115" t="s">
        <v>60</v>
      </c>
      <c r="D781" s="117">
        <v>41603.0</v>
      </c>
      <c r="E781" s="117">
        <v>42728.0</v>
      </c>
      <c r="F781" s="79" t="s">
        <v>57</v>
      </c>
      <c r="G781" s="118">
        <v>147768.0</v>
      </c>
      <c r="H781" s="114">
        <v>131.2</v>
      </c>
      <c r="I781" s="120">
        <v>373.0</v>
      </c>
      <c r="J781" s="111" t="s">
        <v>61</v>
      </c>
      <c r="K781" s="121">
        <v>377.72</v>
      </c>
      <c r="L781" s="120" t="s">
        <v>63</v>
      </c>
      <c r="M781" s="120"/>
      <c r="N781" s="120"/>
      <c r="O781" s="124">
        <v>147768.0</v>
      </c>
      <c r="P781" s="124">
        <v>1126.0</v>
      </c>
      <c r="Q781" s="111">
        <v>226.0</v>
      </c>
      <c r="R781" s="125">
        <v>399.0</v>
      </c>
      <c r="S781" s="126">
        <v>0.9467</v>
      </c>
      <c r="T781" s="127">
        <v>73369.25</v>
      </c>
      <c r="U781" s="128">
        <f t="shared" si="2"/>
        <v>0</v>
      </c>
      <c r="V781" s="79" t="s">
        <v>67</v>
      </c>
      <c r="W781" s="79" t="s">
        <v>67</v>
      </c>
      <c r="X781" s="79" t="s">
        <v>69</v>
      </c>
      <c r="Y781" s="130">
        <v>0.9</v>
      </c>
      <c r="Z781" s="111">
        <v>11.0</v>
      </c>
      <c r="AA781" s="111">
        <v>400.0</v>
      </c>
      <c r="AB781" s="111" t="s">
        <v>61</v>
      </c>
      <c r="AC781" s="133"/>
      <c r="AD781" s="133"/>
      <c r="AE781" s="133"/>
      <c r="AF781" s="111"/>
      <c r="AG781" s="134" t="s">
        <v>2589</v>
      </c>
      <c r="AH781" s="73"/>
      <c r="AI781" s="135"/>
      <c r="AJ781" s="136"/>
      <c r="AK781" s="76"/>
      <c r="AL781" s="137"/>
      <c r="AM781" s="139">
        <v>405.0</v>
      </c>
      <c r="AN781" s="139">
        <v>1126.0</v>
      </c>
      <c r="AO781" s="140">
        <v>442.76</v>
      </c>
      <c r="AP781" s="142">
        <v>147768.0</v>
      </c>
      <c r="AQ781" s="142">
        <v>226.0</v>
      </c>
      <c r="AR781" s="143"/>
      <c r="AS781" s="144">
        <v>0.9371769140439569</v>
      </c>
      <c r="AT781" s="144">
        <v>0.00952308595604312</v>
      </c>
      <c r="AU781" s="146" t="s">
        <v>2590</v>
      </c>
      <c r="AV781" s="146" t="s">
        <v>2590</v>
      </c>
      <c r="AW781" s="148" t="s">
        <v>2590</v>
      </c>
      <c r="AX781" s="151"/>
      <c r="AY781" s="105"/>
      <c r="AZ781" s="186"/>
      <c r="BA781" s="186"/>
      <c r="BB781" s="222"/>
      <c r="BC781" s="45"/>
      <c r="BD781" s="45"/>
      <c r="BE781" s="155"/>
      <c r="BF781" s="45"/>
    </row>
    <row r="782" ht="16.5" customHeight="1">
      <c r="A782" s="111">
        <v>779.0</v>
      </c>
      <c r="B782" s="112" t="s">
        <v>1642</v>
      </c>
      <c r="C782" s="115" t="s">
        <v>60</v>
      </c>
      <c r="D782" s="117">
        <v>42486.0</v>
      </c>
      <c r="E782" s="117">
        <v>42883.0</v>
      </c>
      <c r="F782" s="79" t="s">
        <v>118</v>
      </c>
      <c r="G782" s="118">
        <v>23635.0</v>
      </c>
      <c r="H782" s="114">
        <v>59.4</v>
      </c>
      <c r="I782" s="120">
        <v>362.0</v>
      </c>
      <c r="J782" s="111" t="s">
        <v>61</v>
      </c>
      <c r="K782" s="121">
        <v>366.58</v>
      </c>
      <c r="L782" s="120" t="s">
        <v>63</v>
      </c>
      <c r="M782" s="120"/>
      <c r="N782" s="120"/>
      <c r="O782" s="124">
        <v>23635.0</v>
      </c>
      <c r="P782" s="124">
        <v>398.0</v>
      </c>
      <c r="Q782" s="111">
        <v>218.0</v>
      </c>
      <c r="R782" s="125">
        <v>365.0</v>
      </c>
      <c r="S782" s="126">
        <v>1.0043</v>
      </c>
      <c r="T782" s="127">
        <v>69095.84</v>
      </c>
      <c r="U782" s="128">
        <f t="shared" si="2"/>
        <v>0</v>
      </c>
      <c r="V782" s="79" t="s">
        <v>65</v>
      </c>
      <c r="W782" s="79" t="s">
        <v>66</v>
      </c>
      <c r="X782" s="79" t="s">
        <v>64</v>
      </c>
      <c r="Y782" s="130">
        <v>0.9</v>
      </c>
      <c r="Z782" s="111">
        <v>11.0</v>
      </c>
      <c r="AA782" s="111">
        <v>362.0</v>
      </c>
      <c r="AB782" s="111" t="s">
        <v>61</v>
      </c>
      <c r="AC782" s="133"/>
      <c r="AD782" s="133"/>
      <c r="AE782" s="133"/>
      <c r="AF782" s="111"/>
      <c r="AG782" s="147"/>
      <c r="AH782" s="73"/>
      <c r="AI782" s="135"/>
      <c r="AJ782" s="136"/>
      <c r="AK782" s="76"/>
      <c r="AL782" s="137"/>
      <c r="AM782" s="139">
        <v>367.0</v>
      </c>
      <c r="AN782" s="139">
        <v>398.0</v>
      </c>
      <c r="AO782" s="140">
        <v>74.75</v>
      </c>
      <c r="AP782" s="142">
        <v>23635.0</v>
      </c>
      <c r="AQ782" s="142">
        <v>218.0</v>
      </c>
      <c r="AR782" s="143"/>
      <c r="AS782" s="144">
        <v>0.9695839315024</v>
      </c>
      <c r="AT782" s="144">
        <v>0.034716068497600006</v>
      </c>
      <c r="AU782" s="146" t="s">
        <v>2591</v>
      </c>
      <c r="AV782" s="146" t="s">
        <v>2591</v>
      </c>
      <c r="AW782" s="148" t="s">
        <v>2591</v>
      </c>
      <c r="AX782" s="151"/>
      <c r="AY782" s="105"/>
      <c r="AZ782" s="186"/>
      <c r="BA782" s="186"/>
      <c r="BB782" s="222"/>
      <c r="BC782" s="45"/>
      <c r="BD782" s="45"/>
      <c r="BE782" s="155"/>
      <c r="BF782" s="45"/>
    </row>
    <row r="783" ht="16.5" customHeight="1">
      <c r="A783" s="111">
        <v>780.0</v>
      </c>
      <c r="B783" s="112" t="s">
        <v>1761</v>
      </c>
      <c r="C783" s="115" t="s">
        <v>60</v>
      </c>
      <c r="D783" s="117">
        <v>42853.0</v>
      </c>
      <c r="E783" s="117">
        <v>42887.0</v>
      </c>
      <c r="F783" s="79" t="s">
        <v>675</v>
      </c>
      <c r="G783" s="118">
        <v>3272.0</v>
      </c>
      <c r="H783" s="114">
        <v>93.5</v>
      </c>
      <c r="I783" s="120">
        <v>388.0</v>
      </c>
      <c r="J783" s="111" t="s">
        <v>62</v>
      </c>
      <c r="K783" s="121">
        <v>388.0</v>
      </c>
      <c r="L783" s="120" t="s">
        <v>63</v>
      </c>
      <c r="M783" s="120"/>
      <c r="N783" s="120"/>
      <c r="O783" s="124">
        <v>3272.0</v>
      </c>
      <c r="P783" s="124">
        <v>35.0</v>
      </c>
      <c r="Q783" s="111">
        <v>190.0</v>
      </c>
      <c r="R783" s="125">
        <v>388.0</v>
      </c>
      <c r="S783" s="126">
        <v>1.0</v>
      </c>
      <c r="T783" s="127">
        <v>72600.0</v>
      </c>
      <c r="U783" s="128">
        <f t="shared" si="2"/>
        <v>0</v>
      </c>
      <c r="V783" s="79" t="s">
        <v>67</v>
      </c>
      <c r="W783" s="79" t="s">
        <v>64</v>
      </c>
      <c r="X783" s="79" t="s">
        <v>69</v>
      </c>
      <c r="Y783" s="130">
        <v>0.9</v>
      </c>
      <c r="Z783" s="111">
        <v>11.0</v>
      </c>
      <c r="AA783" s="111">
        <v>384.0</v>
      </c>
      <c r="AB783" s="111" t="s">
        <v>61</v>
      </c>
      <c r="AC783" s="133"/>
      <c r="AD783" s="133"/>
      <c r="AE783" s="133"/>
      <c r="AF783" s="111"/>
      <c r="AG783" s="147"/>
      <c r="AH783" s="73"/>
      <c r="AI783" s="135"/>
      <c r="AJ783" s="136"/>
      <c r="AK783" s="76"/>
      <c r="AL783" s="137"/>
      <c r="AM783" s="139">
        <v>389.0</v>
      </c>
      <c r="AN783" s="139">
        <v>35.0</v>
      </c>
      <c r="AO783" s="140">
        <v>8.56</v>
      </c>
      <c r="AP783" s="142">
        <v>3272.0</v>
      </c>
      <c r="AQ783" s="142">
        <v>190.0</v>
      </c>
      <c r="AR783" s="143"/>
      <c r="AS783" s="144">
        <v>0.993801819732151</v>
      </c>
      <c r="AT783" s="144">
        <v>0.006198180267849018</v>
      </c>
      <c r="AU783" s="146" t="s">
        <v>2592</v>
      </c>
      <c r="AV783" s="146" t="s">
        <v>2592</v>
      </c>
      <c r="AW783" s="148" t="s">
        <v>2592</v>
      </c>
      <c r="AX783" s="151"/>
      <c r="AY783" s="105"/>
      <c r="AZ783" s="186"/>
      <c r="BA783" s="186"/>
      <c r="BB783" s="222"/>
      <c r="BC783" s="45"/>
      <c r="BD783" s="45"/>
      <c r="BE783" s="155"/>
      <c r="BF783" s="45"/>
    </row>
    <row r="784" ht="16.5" customHeight="1">
      <c r="A784" s="111">
        <v>781.0</v>
      </c>
      <c r="B784" s="112" t="s">
        <v>1628</v>
      </c>
      <c r="C784" s="115" t="s">
        <v>60</v>
      </c>
      <c r="D784" s="117">
        <v>42437.0</v>
      </c>
      <c r="E784" s="117">
        <v>42892.0</v>
      </c>
      <c r="F784" s="79" t="s">
        <v>305</v>
      </c>
      <c r="G784" s="118">
        <v>35581.0</v>
      </c>
      <c r="H784" s="114">
        <v>78.0</v>
      </c>
      <c r="I784" s="120">
        <v>429.0</v>
      </c>
      <c r="J784" s="111" t="s">
        <v>61</v>
      </c>
      <c r="K784" s="121">
        <v>434.43</v>
      </c>
      <c r="L784" s="120" t="s">
        <v>63</v>
      </c>
      <c r="M784" s="120"/>
      <c r="N784" s="120"/>
      <c r="O784" s="124">
        <v>35581.0</v>
      </c>
      <c r="P784" s="124">
        <v>456.0</v>
      </c>
      <c r="Q784" s="111">
        <v>219.0</v>
      </c>
      <c r="R784" s="125">
        <v>452.0</v>
      </c>
      <c r="S784" s="126">
        <v>0.9611</v>
      </c>
      <c r="T784" s="127">
        <v>78617.98</v>
      </c>
      <c r="U784" s="128">
        <f t="shared" si="2"/>
        <v>0</v>
      </c>
      <c r="V784" s="79" t="s">
        <v>65</v>
      </c>
      <c r="W784" s="79" t="s">
        <v>65</v>
      </c>
      <c r="X784" s="79" t="s">
        <v>66</v>
      </c>
      <c r="Y784" s="130">
        <v>0.9</v>
      </c>
      <c r="Z784" s="111">
        <v>11.0</v>
      </c>
      <c r="AA784" s="111">
        <v>448.0</v>
      </c>
      <c r="AB784" s="111" t="s">
        <v>61</v>
      </c>
      <c r="AC784" s="133"/>
      <c r="AD784" s="133"/>
      <c r="AE784" s="133"/>
      <c r="AF784" s="111"/>
      <c r="AG784" s="147"/>
      <c r="AH784" s="73"/>
      <c r="AI784" s="135"/>
      <c r="AJ784" s="136"/>
      <c r="AK784" s="76"/>
      <c r="AL784" s="137"/>
      <c r="AM784" s="139">
        <v>454.0</v>
      </c>
      <c r="AN784" s="139">
        <v>456.0</v>
      </c>
      <c r="AO784" s="140">
        <v>97.17</v>
      </c>
      <c r="AP784" s="142">
        <v>35581.0</v>
      </c>
      <c r="AQ784" s="142">
        <v>219.0</v>
      </c>
      <c r="AR784" s="143"/>
      <c r="AS784" s="144">
        <v>0.962099024084957</v>
      </c>
      <c r="AT784" s="144">
        <v>-9.99024084957001E-4</v>
      </c>
      <c r="AU784" s="146" t="s">
        <v>2593</v>
      </c>
      <c r="AV784" s="146" t="s">
        <v>2593</v>
      </c>
      <c r="AW784" s="148" t="s">
        <v>2593</v>
      </c>
      <c r="AX784" s="151"/>
      <c r="AY784" s="105"/>
      <c r="AZ784" s="186"/>
      <c r="BA784" s="186"/>
      <c r="BB784" s="222"/>
      <c r="BC784" s="45"/>
      <c r="BD784" s="45"/>
      <c r="BE784" s="155"/>
      <c r="BF784" s="45"/>
    </row>
    <row r="785" ht="16.5" customHeight="1">
      <c r="A785" s="111">
        <v>782.0</v>
      </c>
      <c r="B785" s="112" t="s">
        <v>1819</v>
      </c>
      <c r="C785" s="115" t="s">
        <v>60</v>
      </c>
      <c r="D785" s="117">
        <v>41871.0</v>
      </c>
      <c r="E785" s="117">
        <v>42832.0</v>
      </c>
      <c r="F785" s="79" t="s">
        <v>59</v>
      </c>
      <c r="G785" s="118">
        <v>14857.0</v>
      </c>
      <c r="H785" s="114">
        <v>15.4</v>
      </c>
      <c r="I785" s="120">
        <v>389.0</v>
      </c>
      <c r="J785" s="111" t="s">
        <v>61</v>
      </c>
      <c r="K785" s="121">
        <v>393.92</v>
      </c>
      <c r="L785" s="120" t="s">
        <v>63</v>
      </c>
      <c r="M785" s="120"/>
      <c r="N785" s="120"/>
      <c r="O785" s="124">
        <v>14857.0</v>
      </c>
      <c r="P785" s="124">
        <v>962.0</v>
      </c>
      <c r="Q785" s="111">
        <v>210.0</v>
      </c>
      <c r="R785" s="125">
        <v>399.0</v>
      </c>
      <c r="S785" s="126">
        <v>0.9873</v>
      </c>
      <c r="T785" s="127">
        <v>76515.75</v>
      </c>
      <c r="U785" s="128">
        <f t="shared" si="2"/>
        <v>0</v>
      </c>
      <c r="V785" s="79" t="s">
        <v>64</v>
      </c>
      <c r="W785" s="79" t="s">
        <v>66</v>
      </c>
      <c r="X785" s="79" t="s">
        <v>68</v>
      </c>
      <c r="Y785" s="130">
        <v>0.8</v>
      </c>
      <c r="Z785" s="111">
        <v>11.0</v>
      </c>
      <c r="AA785" s="133"/>
      <c r="AB785" s="133"/>
      <c r="AC785" s="133"/>
      <c r="AD785" s="133"/>
      <c r="AE785" s="133"/>
      <c r="AF785" s="111"/>
      <c r="AG785" s="134" t="s">
        <v>2594</v>
      </c>
      <c r="AH785" s="73"/>
      <c r="AI785" s="135"/>
      <c r="AJ785" s="136"/>
      <c r="AK785" s="76"/>
      <c r="AL785" s="137"/>
      <c r="AM785" s="139" t="s">
        <v>71</v>
      </c>
      <c r="AN785" s="139">
        <v>962.0</v>
      </c>
      <c r="AO785" s="140">
        <v>40.55</v>
      </c>
      <c r="AP785" s="142">
        <v>14857.0</v>
      </c>
      <c r="AQ785" s="142">
        <v>210.0</v>
      </c>
      <c r="AR785" s="143"/>
      <c r="AS785" s="144">
        <v>0.9776450468991869</v>
      </c>
      <c r="AT785" s="144">
        <v>0.009654953100813102</v>
      </c>
      <c r="AU785" s="146" t="s">
        <v>2595</v>
      </c>
      <c r="AV785" s="146" t="s">
        <v>2595</v>
      </c>
      <c r="AW785" s="148" t="s">
        <v>2595</v>
      </c>
      <c r="AX785" s="151"/>
      <c r="AY785" s="105"/>
      <c r="AZ785" s="186"/>
      <c r="BA785" s="186"/>
      <c r="BB785" s="222"/>
      <c r="BC785" s="45"/>
      <c r="BD785" s="45"/>
      <c r="BE785" s="155"/>
      <c r="BF785" s="45"/>
    </row>
    <row r="786" ht="16.5" customHeight="1">
      <c r="A786" s="111">
        <v>783.0</v>
      </c>
      <c r="B786" s="112" t="s">
        <v>1820</v>
      </c>
      <c r="C786" s="115" t="s">
        <v>60</v>
      </c>
      <c r="D786" s="117">
        <v>42802.0</v>
      </c>
      <c r="E786" s="117">
        <v>42826.0</v>
      </c>
      <c r="F786" s="79" t="s">
        <v>683</v>
      </c>
      <c r="G786" s="118">
        <v>100.0</v>
      </c>
      <c r="H786" s="114">
        <v>4.0</v>
      </c>
      <c r="I786" s="120">
        <v>395.0</v>
      </c>
      <c r="J786" s="111" t="s">
        <v>61</v>
      </c>
      <c r="K786" s="121">
        <v>400.0</v>
      </c>
      <c r="L786" s="120" t="s">
        <v>63</v>
      </c>
      <c r="M786" s="120"/>
      <c r="N786" s="120"/>
      <c r="O786" s="124">
        <v>100.0</v>
      </c>
      <c r="P786" s="124">
        <v>25.0</v>
      </c>
      <c r="Q786" s="111">
        <v>225.0</v>
      </c>
      <c r="R786" s="125">
        <v>405.0</v>
      </c>
      <c r="S786" s="126">
        <v>0.9877</v>
      </c>
      <c r="T786" s="127">
        <v>80793.86</v>
      </c>
      <c r="U786" s="128">
        <f t="shared" si="2"/>
        <v>0</v>
      </c>
      <c r="V786" s="79" t="s">
        <v>64</v>
      </c>
      <c r="W786" s="79" t="s">
        <v>66</v>
      </c>
      <c r="X786" s="79" t="s">
        <v>68</v>
      </c>
      <c r="Y786" s="130">
        <v>0.8</v>
      </c>
      <c r="Z786" s="111">
        <v>16.0</v>
      </c>
      <c r="AA786" s="111">
        <v>395.0</v>
      </c>
      <c r="AB786" s="111" t="s">
        <v>61</v>
      </c>
      <c r="AC786" s="133"/>
      <c r="AD786" s="133"/>
      <c r="AE786" s="133"/>
      <c r="AF786" s="111"/>
      <c r="AG786" s="134" t="s">
        <v>2596</v>
      </c>
      <c r="AH786" s="73"/>
      <c r="AI786" s="135"/>
      <c r="AJ786" s="136"/>
      <c r="AK786" s="76"/>
      <c r="AL786" s="137"/>
      <c r="AM786" s="139">
        <v>400.0</v>
      </c>
      <c r="AN786" s="139">
        <v>25.0</v>
      </c>
      <c r="AO786" s="140">
        <v>0.28</v>
      </c>
      <c r="AP786" s="142">
        <v>100.0</v>
      </c>
      <c r="AQ786" s="142">
        <v>225.0</v>
      </c>
      <c r="AR786" s="143"/>
      <c r="AS786" s="144">
        <v>0.9997972537910739</v>
      </c>
      <c r="AT786" s="144">
        <v>-0.012097253791073848</v>
      </c>
      <c r="AU786" s="146" t="s">
        <v>2597</v>
      </c>
      <c r="AV786" s="146" t="s">
        <v>2597</v>
      </c>
      <c r="AW786" s="148" t="s">
        <v>2597</v>
      </c>
      <c r="AX786" s="151"/>
      <c r="AY786" s="105"/>
      <c r="AZ786" s="186"/>
      <c r="BA786" s="186"/>
      <c r="BB786" s="222"/>
      <c r="BC786" s="45"/>
      <c r="BD786" s="45"/>
      <c r="BE786" s="155"/>
      <c r="BF786" s="45"/>
    </row>
    <row r="787" ht="16.5" customHeight="1">
      <c r="A787" s="111">
        <v>784.0</v>
      </c>
      <c r="B787" s="112" t="s">
        <v>126</v>
      </c>
      <c r="C787" s="115" t="s">
        <v>60</v>
      </c>
      <c r="D787" s="117">
        <v>41527.0</v>
      </c>
      <c r="E787" s="117">
        <v>42895.0</v>
      </c>
      <c r="F787" s="79" t="s">
        <v>79</v>
      </c>
      <c r="G787" s="118">
        <v>246000.0</v>
      </c>
      <c r="H787" s="114">
        <v>179.7</v>
      </c>
      <c r="I787" s="120">
        <v>367.0</v>
      </c>
      <c r="J787" s="111" t="s">
        <v>61</v>
      </c>
      <c r="K787" s="121">
        <v>371.65</v>
      </c>
      <c r="L787" s="120" t="s">
        <v>63</v>
      </c>
      <c r="M787" s="120"/>
      <c r="N787" s="120"/>
      <c r="O787" s="124">
        <v>246000.0</v>
      </c>
      <c r="P787" s="124">
        <v>1369.0</v>
      </c>
      <c r="Q787" s="111">
        <v>212.0</v>
      </c>
      <c r="R787" s="125">
        <v>399.0</v>
      </c>
      <c r="S787" s="126">
        <v>0.9315</v>
      </c>
      <c r="T787" s="127">
        <v>72191.25</v>
      </c>
      <c r="U787" s="128">
        <f t="shared" si="2"/>
        <v>0</v>
      </c>
      <c r="V787" s="79" t="s">
        <v>65</v>
      </c>
      <c r="W787" s="79" t="s">
        <v>127</v>
      </c>
      <c r="X787" s="79" t="s">
        <v>69</v>
      </c>
      <c r="Y787" s="130">
        <v>1.0</v>
      </c>
      <c r="Z787" s="111">
        <v>22.0</v>
      </c>
      <c r="AA787" s="111">
        <v>400.0</v>
      </c>
      <c r="AB787" s="111" t="s">
        <v>61</v>
      </c>
      <c r="AC787" s="111">
        <v>365.0</v>
      </c>
      <c r="AD787" s="111">
        <v>265.0</v>
      </c>
      <c r="AE787" s="111">
        <v>18.8</v>
      </c>
      <c r="AF787" s="111" t="s">
        <v>61</v>
      </c>
      <c r="AG787" s="134" t="s">
        <v>2598</v>
      </c>
      <c r="AH787" s="73">
        <v>100.0</v>
      </c>
      <c r="AI787" s="135">
        <v>101.26582278481013</v>
      </c>
      <c r="AJ787" s="136">
        <v>68.9968225</v>
      </c>
      <c r="AK787" s="76">
        <v>0.8902815806451613</v>
      </c>
      <c r="AL787" s="137" t="s">
        <v>2599</v>
      </c>
      <c r="AM787" s="139">
        <v>405.0</v>
      </c>
      <c r="AN787" s="139">
        <v>1369.0</v>
      </c>
      <c r="AO787" s="140">
        <v>696.85</v>
      </c>
      <c r="AP787" s="142">
        <v>246000.0</v>
      </c>
      <c r="AQ787" s="142">
        <v>212.0</v>
      </c>
      <c r="AR787" s="143"/>
      <c r="AS787" s="144">
        <v>0.9217846801672595</v>
      </c>
      <c r="AT787" s="144">
        <v>0.009715319832740543</v>
      </c>
      <c r="AU787" s="146" t="s">
        <v>2600</v>
      </c>
      <c r="AV787" s="146" t="s">
        <v>2600</v>
      </c>
      <c r="AW787" s="148" t="s">
        <v>2600</v>
      </c>
      <c r="AX787" s="151"/>
      <c r="AY787" s="105"/>
      <c r="AZ787" s="186"/>
      <c r="BA787" s="186"/>
      <c r="BB787" s="222"/>
      <c r="BC787" s="45"/>
      <c r="BD787" s="45"/>
      <c r="BE787" s="155"/>
      <c r="BF787" s="45"/>
    </row>
    <row r="788" ht="16.5" customHeight="1">
      <c r="A788" s="111">
        <v>785.0</v>
      </c>
      <c r="B788" s="112" t="s">
        <v>300</v>
      </c>
      <c r="C788" s="115" t="s">
        <v>60</v>
      </c>
      <c r="D788" s="117">
        <v>41593.0</v>
      </c>
      <c r="E788" s="117">
        <v>42897.0</v>
      </c>
      <c r="F788" s="79" t="s">
        <v>59</v>
      </c>
      <c r="G788" s="118">
        <v>154801.0</v>
      </c>
      <c r="H788" s="114">
        <v>118.6</v>
      </c>
      <c r="I788" s="120">
        <v>373.0</v>
      </c>
      <c r="J788" s="111" t="s">
        <v>61</v>
      </c>
      <c r="K788" s="121">
        <v>377.72</v>
      </c>
      <c r="L788" s="120" t="s">
        <v>195</v>
      </c>
      <c r="M788" s="120" t="s">
        <v>281</v>
      </c>
      <c r="N788" s="120">
        <v>28000.0</v>
      </c>
      <c r="O788" s="124">
        <v>126801.0</v>
      </c>
      <c r="P788" s="124">
        <v>1069.0</v>
      </c>
      <c r="Q788" s="111">
        <v>226.0</v>
      </c>
      <c r="R788" s="125">
        <v>399.0</v>
      </c>
      <c r="S788" s="126">
        <v>0.9467</v>
      </c>
      <c r="T788" s="127">
        <v>73369.25</v>
      </c>
      <c r="U788" s="128">
        <f t="shared" si="2"/>
        <v>0</v>
      </c>
      <c r="V788" s="79"/>
      <c r="W788" s="79"/>
      <c r="X788" s="79"/>
      <c r="Y788" s="130"/>
      <c r="Z788" s="111"/>
      <c r="AA788" s="133"/>
      <c r="AB788" s="133"/>
      <c r="AC788" s="133"/>
      <c r="AD788" s="133"/>
      <c r="AE788" s="133"/>
      <c r="AF788" s="111"/>
      <c r="AG788" s="147"/>
      <c r="AH788" s="73"/>
      <c r="AI788" s="135"/>
      <c r="AJ788" s="136"/>
      <c r="AK788" s="76"/>
      <c r="AL788" s="137"/>
      <c r="AM788" s="139" t="s">
        <v>71</v>
      </c>
      <c r="AN788" s="139">
        <v>1305.0</v>
      </c>
      <c r="AO788" s="140">
        <v>379.94</v>
      </c>
      <c r="AP788" s="142">
        <v>126801.0</v>
      </c>
      <c r="AQ788" s="142">
        <v>226.0</v>
      </c>
      <c r="AR788" s="143"/>
      <c r="AS788" s="144">
        <v>0.9405174705252443</v>
      </c>
      <c r="AT788" s="144">
        <v>0.006182529474755727</v>
      </c>
      <c r="AU788" s="146" t="s">
        <v>2601</v>
      </c>
      <c r="AV788" s="146" t="s">
        <v>2601</v>
      </c>
      <c r="AW788" s="148" t="s">
        <v>2601</v>
      </c>
      <c r="AX788" s="151"/>
      <c r="AY788" s="105"/>
      <c r="AZ788" s="186"/>
      <c r="BA788" s="186"/>
      <c r="BB788" s="222"/>
      <c r="BC788" s="45"/>
      <c r="BD788" s="45"/>
      <c r="BE788" s="155"/>
      <c r="BF788" s="45"/>
    </row>
    <row r="789" ht="16.5" customHeight="1">
      <c r="A789" s="111">
        <v>786.0</v>
      </c>
      <c r="B789" s="112" t="s">
        <v>1784</v>
      </c>
      <c r="C789" s="115" t="s">
        <v>60</v>
      </c>
      <c r="D789" s="117">
        <v>41942.0</v>
      </c>
      <c r="E789" s="117">
        <v>42897.0</v>
      </c>
      <c r="F789" s="79" t="s">
        <v>59</v>
      </c>
      <c r="G789" s="118">
        <v>100315.0</v>
      </c>
      <c r="H789" s="114">
        <v>104.9</v>
      </c>
      <c r="I789" s="120">
        <v>380.0</v>
      </c>
      <c r="J789" s="111" t="s">
        <v>61</v>
      </c>
      <c r="K789" s="121">
        <v>384.81</v>
      </c>
      <c r="L789" s="120" t="s">
        <v>63</v>
      </c>
      <c r="M789" s="120"/>
      <c r="N789" s="120"/>
      <c r="O789" s="124">
        <v>100315.0</v>
      </c>
      <c r="P789" s="124">
        <v>956.0</v>
      </c>
      <c r="Q789" s="111">
        <v>206.0</v>
      </c>
      <c r="R789" s="125">
        <v>399.0</v>
      </c>
      <c r="S789" s="126">
        <v>0.9644</v>
      </c>
      <c r="T789" s="127">
        <v>74741.0</v>
      </c>
      <c r="U789" s="128">
        <f t="shared" si="2"/>
        <v>0</v>
      </c>
      <c r="V789" s="79"/>
      <c r="W789" s="79"/>
      <c r="X789" s="79"/>
      <c r="Y789" s="130"/>
      <c r="Z789" s="111"/>
      <c r="AA789" s="133"/>
      <c r="AB789" s="133"/>
      <c r="AC789" s="133"/>
      <c r="AD789" s="133"/>
      <c r="AE789" s="133"/>
      <c r="AF789" s="111"/>
      <c r="AG789" s="147"/>
      <c r="AH789" s="73"/>
      <c r="AI789" s="135"/>
      <c r="AJ789" s="136"/>
      <c r="AK789" s="76"/>
      <c r="AL789" s="137"/>
      <c r="AM789" s="139" t="s">
        <v>71</v>
      </c>
      <c r="AN789" s="139">
        <v>956.0</v>
      </c>
      <c r="AO789" s="140">
        <v>271.52</v>
      </c>
      <c r="AP789" s="142">
        <v>100315.0</v>
      </c>
      <c r="AQ789" s="142">
        <v>206.0</v>
      </c>
      <c r="AR789" s="143"/>
      <c r="AS789" s="144">
        <v>0.9449075382911248</v>
      </c>
      <c r="AT789" s="144">
        <v>0.019492461708875197</v>
      </c>
      <c r="AU789" s="146" t="s">
        <v>2602</v>
      </c>
      <c r="AV789" s="146" t="s">
        <v>2602</v>
      </c>
      <c r="AW789" s="148" t="s">
        <v>2602</v>
      </c>
      <c r="AX789" s="151"/>
      <c r="AY789" s="105"/>
      <c r="AZ789" s="186"/>
      <c r="BA789" s="186"/>
      <c r="BB789" s="222"/>
      <c r="BC789" s="45"/>
      <c r="BD789" s="45"/>
      <c r="BE789" s="155"/>
      <c r="BF789" s="45"/>
    </row>
    <row r="790" ht="16.5" customHeight="1">
      <c r="A790" s="111">
        <v>787.0</v>
      </c>
      <c r="B790" s="112" t="s">
        <v>1447</v>
      </c>
      <c r="C790" s="115" t="s">
        <v>60</v>
      </c>
      <c r="D790" s="117">
        <v>41986.0</v>
      </c>
      <c r="E790" s="117">
        <v>42899.0</v>
      </c>
      <c r="F790" s="79" t="s">
        <v>59</v>
      </c>
      <c r="G790" s="118">
        <v>30287.0</v>
      </c>
      <c r="H790" s="114">
        <v>33.1</v>
      </c>
      <c r="I790" s="120">
        <v>378.0</v>
      </c>
      <c r="J790" s="111" t="s">
        <v>61</v>
      </c>
      <c r="K790" s="121">
        <v>382.78</v>
      </c>
      <c r="L790" s="120" t="s">
        <v>63</v>
      </c>
      <c r="M790" s="120"/>
      <c r="N790" s="120"/>
      <c r="O790" s="124">
        <v>30287.0</v>
      </c>
      <c r="P790" s="124">
        <v>914.0</v>
      </c>
      <c r="Q790" s="111">
        <v>224.0</v>
      </c>
      <c r="R790" s="125">
        <v>399.0</v>
      </c>
      <c r="S790" s="126">
        <v>0.9593</v>
      </c>
      <c r="T790" s="127">
        <v>74345.75</v>
      </c>
      <c r="U790" s="128">
        <f t="shared" si="2"/>
        <v>0</v>
      </c>
      <c r="V790" s="79" t="s">
        <v>69</v>
      </c>
      <c r="W790" s="79" t="s">
        <v>66</v>
      </c>
      <c r="X790" s="79" t="s">
        <v>69</v>
      </c>
      <c r="Y790" s="130">
        <v>0.8</v>
      </c>
      <c r="Z790" s="111"/>
      <c r="AA790" s="133"/>
      <c r="AB790" s="133"/>
      <c r="AC790" s="133"/>
      <c r="AD790" s="133"/>
      <c r="AE790" s="133"/>
      <c r="AF790" s="111"/>
      <c r="AG790" s="147"/>
      <c r="AH790" s="73"/>
      <c r="AI790" s="135"/>
      <c r="AJ790" s="136"/>
      <c r="AK790" s="76"/>
      <c r="AL790" s="137"/>
      <c r="AM790" s="139" t="s">
        <v>71</v>
      </c>
      <c r="AN790" s="139">
        <v>914.0</v>
      </c>
      <c r="AO790" s="140">
        <v>89.4</v>
      </c>
      <c r="AP790" s="142">
        <v>30287.0</v>
      </c>
      <c r="AQ790" s="142">
        <v>224.0</v>
      </c>
      <c r="AR790" s="143"/>
      <c r="AS790" s="144">
        <v>0.9650321375247821</v>
      </c>
      <c r="AT790" s="144">
        <v>-0.005732137524782077</v>
      </c>
      <c r="AU790" s="146" t="s">
        <v>2603</v>
      </c>
      <c r="AV790" s="146" t="s">
        <v>2603</v>
      </c>
      <c r="AW790" s="148" t="s">
        <v>2603</v>
      </c>
      <c r="AX790" s="151"/>
      <c r="AY790" s="105"/>
      <c r="AZ790" s="186"/>
      <c r="BA790" s="186"/>
      <c r="BB790" s="222"/>
      <c r="BC790" s="45"/>
      <c r="BD790" s="45"/>
      <c r="BE790" s="155"/>
      <c r="BF790" s="45"/>
    </row>
    <row r="791" ht="16.5" customHeight="1">
      <c r="A791" s="111">
        <v>788.0</v>
      </c>
      <c r="B791" s="112" t="s">
        <v>1884</v>
      </c>
      <c r="C791" s="115" t="s">
        <v>60</v>
      </c>
      <c r="D791" s="117">
        <v>42899.0</v>
      </c>
      <c r="E791" s="117">
        <v>42903.0</v>
      </c>
      <c r="F791" s="79" t="s">
        <v>629</v>
      </c>
      <c r="G791" s="118">
        <v>350.0</v>
      </c>
      <c r="H791" s="114">
        <v>70.0</v>
      </c>
      <c r="I791" s="120">
        <v>373.0</v>
      </c>
      <c r="J791" s="111" t="s">
        <v>61</v>
      </c>
      <c r="K791" s="121">
        <v>377.72</v>
      </c>
      <c r="L791" s="120" t="s">
        <v>63</v>
      </c>
      <c r="M791" s="120"/>
      <c r="N791" s="120"/>
      <c r="O791" s="124">
        <v>350.0</v>
      </c>
      <c r="P791" s="124">
        <v>5.0</v>
      </c>
      <c r="Q791" s="111">
        <v>194.0</v>
      </c>
      <c r="R791" s="125">
        <v>386.0</v>
      </c>
      <c r="S791" s="126">
        <v>0.9785</v>
      </c>
      <c r="T791" s="127">
        <v>71039.1</v>
      </c>
      <c r="U791" s="128">
        <f t="shared" si="2"/>
        <v>0</v>
      </c>
      <c r="V791" s="79" t="s">
        <v>69</v>
      </c>
      <c r="W791" s="79" t="s">
        <v>64</v>
      </c>
      <c r="X791" s="79" t="s">
        <v>68</v>
      </c>
      <c r="Y791" s="130">
        <v>0.9</v>
      </c>
      <c r="Z791" s="111">
        <v>11.0</v>
      </c>
      <c r="AA791" s="111">
        <v>373.0</v>
      </c>
      <c r="AB791" s="111" t="s">
        <v>61</v>
      </c>
      <c r="AC791" s="111"/>
      <c r="AD791" s="133"/>
      <c r="AE791" s="111"/>
      <c r="AF791" s="111" t="s">
        <v>61</v>
      </c>
      <c r="AG791" s="147"/>
      <c r="AH791" s="73" t="s">
        <v>74</v>
      </c>
      <c r="AI791" s="135"/>
      <c r="AJ791" s="136"/>
      <c r="AK791" s="76"/>
      <c r="AL791" s="137"/>
      <c r="AM791" s="139">
        <v>378.0</v>
      </c>
      <c r="AN791" s="139">
        <v>5.0</v>
      </c>
      <c r="AO791" s="140">
        <v>0.95</v>
      </c>
      <c r="AP791" s="142">
        <v>350.0</v>
      </c>
      <c r="AQ791" s="142">
        <v>194.0</v>
      </c>
      <c r="AR791" s="143"/>
      <c r="AS791" s="144">
        <v>0.9992942315620472</v>
      </c>
      <c r="AT791" s="144">
        <v>-0.020794231562047183</v>
      </c>
      <c r="AU791" s="146" t="s">
        <v>2604</v>
      </c>
      <c r="AV791" s="146" t="s">
        <v>2604</v>
      </c>
      <c r="AW791" s="148" t="s">
        <v>2604</v>
      </c>
      <c r="AX791" s="151"/>
      <c r="AY791" s="105"/>
      <c r="AZ791" s="186"/>
      <c r="BA791" s="186"/>
      <c r="BB791" s="222"/>
      <c r="BC791" s="45"/>
      <c r="BD791" s="45"/>
      <c r="BE791" s="155"/>
      <c r="BF791" s="45"/>
    </row>
    <row r="792" ht="16.5" customHeight="1">
      <c r="A792" s="111">
        <v>789.0</v>
      </c>
      <c r="B792" s="112" t="s">
        <v>1757</v>
      </c>
      <c r="C792" s="115" t="s">
        <v>60</v>
      </c>
      <c r="D792" s="117">
        <v>42621.0</v>
      </c>
      <c r="E792" s="117">
        <v>42907.0</v>
      </c>
      <c r="F792" s="79" t="s">
        <v>118</v>
      </c>
      <c r="G792" s="118">
        <v>38000.0</v>
      </c>
      <c r="H792" s="114">
        <v>132.4</v>
      </c>
      <c r="I792" s="120">
        <v>343.0</v>
      </c>
      <c r="J792" s="111" t="s">
        <v>61</v>
      </c>
      <c r="K792" s="121">
        <v>347.34</v>
      </c>
      <c r="L792" s="120" t="s">
        <v>63</v>
      </c>
      <c r="M792" s="120"/>
      <c r="N792" s="120"/>
      <c r="O792" s="124">
        <v>38000.0</v>
      </c>
      <c r="P792" s="124">
        <v>287.0</v>
      </c>
      <c r="Q792" s="111">
        <v>210.0</v>
      </c>
      <c r="R792" s="125">
        <v>365.0</v>
      </c>
      <c r="S792" s="126">
        <v>0.9516</v>
      </c>
      <c r="T792" s="127">
        <v>65470.08</v>
      </c>
      <c r="U792" s="128">
        <f t="shared" si="2"/>
        <v>0</v>
      </c>
      <c r="V792" s="79" t="s">
        <v>127</v>
      </c>
      <c r="W792" s="79" t="s">
        <v>69</v>
      </c>
      <c r="X792" s="79" t="s">
        <v>68</v>
      </c>
      <c r="Y792" s="130">
        <v>0.9</v>
      </c>
      <c r="Z792" s="111">
        <v>36.0</v>
      </c>
      <c r="AA792" s="111">
        <v>360.0</v>
      </c>
      <c r="AB792" s="111" t="s">
        <v>61</v>
      </c>
      <c r="AC792" s="133"/>
      <c r="AD792" s="133"/>
      <c r="AE792" s="133"/>
      <c r="AF792" s="111"/>
      <c r="AG792" s="147"/>
      <c r="AH792" s="73"/>
      <c r="AI792" s="135"/>
      <c r="AJ792" s="136"/>
      <c r="AK792" s="76"/>
      <c r="AL792" s="137"/>
      <c r="AM792" s="139">
        <v>365.0</v>
      </c>
      <c r="AN792" s="139">
        <v>287.0</v>
      </c>
      <c r="AO792" s="140">
        <v>118.88</v>
      </c>
      <c r="AP792" s="142">
        <v>38000.0</v>
      </c>
      <c r="AQ792" s="142">
        <v>210.0</v>
      </c>
      <c r="AR792" s="143"/>
      <c r="AS792" s="144">
        <v>0.9609204570282773</v>
      </c>
      <c r="AT792" s="144">
        <v>-0.00932045702827733</v>
      </c>
      <c r="AU792" s="146" t="s">
        <v>2605</v>
      </c>
      <c r="AV792" s="146" t="s">
        <v>2605</v>
      </c>
      <c r="AW792" s="148" t="s">
        <v>2605</v>
      </c>
      <c r="AX792" s="151"/>
      <c r="AY792" s="105"/>
      <c r="AZ792" s="186"/>
      <c r="BA792" s="186"/>
      <c r="BB792" s="222"/>
      <c r="BC792" s="45"/>
      <c r="BD792" s="45"/>
      <c r="BE792" s="155"/>
      <c r="BF792" s="45"/>
    </row>
    <row r="793" ht="16.5" customHeight="1">
      <c r="A793" s="111">
        <v>790.0</v>
      </c>
      <c r="B793" s="112" t="s">
        <v>1611</v>
      </c>
      <c r="C793" s="115" t="s">
        <v>60</v>
      </c>
      <c r="D793" s="117">
        <v>41715.0</v>
      </c>
      <c r="E793" s="117">
        <v>42908.0</v>
      </c>
      <c r="F793" s="79" t="s">
        <v>79</v>
      </c>
      <c r="G793" s="118">
        <v>110000.0</v>
      </c>
      <c r="H793" s="114">
        <v>92.1</v>
      </c>
      <c r="I793" s="120">
        <v>382.0</v>
      </c>
      <c r="J793" s="111" t="s">
        <v>61</v>
      </c>
      <c r="K793" s="121">
        <v>386.84</v>
      </c>
      <c r="L793" s="120" t="s">
        <v>63</v>
      </c>
      <c r="M793" s="120"/>
      <c r="N793" s="120"/>
      <c r="O793" s="124">
        <v>110000.0</v>
      </c>
      <c r="P793" s="124">
        <v>1194.0</v>
      </c>
      <c r="Q793" s="111">
        <v>201.0</v>
      </c>
      <c r="R793" s="125">
        <v>399.0</v>
      </c>
      <c r="S793" s="126">
        <v>0.9695</v>
      </c>
      <c r="T793" s="127">
        <v>75136.25</v>
      </c>
      <c r="U793" s="128">
        <f t="shared" si="2"/>
        <v>0</v>
      </c>
      <c r="V793" s="79" t="s">
        <v>69</v>
      </c>
      <c r="W793" s="79" t="s">
        <v>69</v>
      </c>
      <c r="X793" s="79" t="s">
        <v>68</v>
      </c>
      <c r="Y793" s="130">
        <v>0.9</v>
      </c>
      <c r="Z793" s="111">
        <v>11.0</v>
      </c>
      <c r="AA793" s="111">
        <v>392.0</v>
      </c>
      <c r="AB793" s="111" t="s">
        <v>61</v>
      </c>
      <c r="AC793" s="133"/>
      <c r="AD793" s="133"/>
      <c r="AE793" s="133"/>
      <c r="AF793" s="111"/>
      <c r="AG793" s="134" t="s">
        <v>2606</v>
      </c>
      <c r="AH793" s="73"/>
      <c r="AI793" s="135"/>
      <c r="AJ793" s="136"/>
      <c r="AK793" s="76"/>
      <c r="AL793" s="137"/>
      <c r="AM793" s="139">
        <v>397.0</v>
      </c>
      <c r="AN793" s="139">
        <v>1194.0</v>
      </c>
      <c r="AO793" s="140">
        <v>289.76</v>
      </c>
      <c r="AP793" s="142">
        <v>110000.0</v>
      </c>
      <c r="AQ793" s="142">
        <v>201.0</v>
      </c>
      <c r="AR793" s="143"/>
      <c r="AS793" s="144">
        <v>0.943265151094647</v>
      </c>
      <c r="AT793" s="144">
        <v>0.026234848905352992</v>
      </c>
      <c r="AU793" s="146" t="s">
        <v>2607</v>
      </c>
      <c r="AV793" s="146" t="s">
        <v>2607</v>
      </c>
      <c r="AW793" s="148" t="s">
        <v>2607</v>
      </c>
      <c r="AX793" s="151"/>
      <c r="AY793" s="105"/>
      <c r="AZ793" s="186"/>
      <c r="BA793" s="186"/>
      <c r="BB793" s="222"/>
      <c r="BC793" s="45"/>
      <c r="BD793" s="45"/>
      <c r="BE793" s="155"/>
      <c r="BF793" s="45"/>
    </row>
    <row r="794" ht="16.5" customHeight="1">
      <c r="A794" s="111">
        <v>791.0</v>
      </c>
      <c r="B794" s="112" t="s">
        <v>1726</v>
      </c>
      <c r="C794" s="115" t="s">
        <v>60</v>
      </c>
      <c r="D794" s="117">
        <v>42276.0</v>
      </c>
      <c r="E794" s="117">
        <v>42907.0</v>
      </c>
      <c r="F794" s="79" t="s">
        <v>305</v>
      </c>
      <c r="G794" s="118">
        <v>53328.0</v>
      </c>
      <c r="H794" s="114">
        <v>84.4</v>
      </c>
      <c r="I794" s="120">
        <v>427.0</v>
      </c>
      <c r="J794" s="111" t="s">
        <v>61</v>
      </c>
      <c r="K794" s="121">
        <v>432.41</v>
      </c>
      <c r="L794" s="120" t="s">
        <v>63</v>
      </c>
      <c r="M794" s="120"/>
      <c r="N794" s="120"/>
      <c r="O794" s="124">
        <v>53328.0</v>
      </c>
      <c r="P794" s="124">
        <v>632.0</v>
      </c>
      <c r="Q794" s="111">
        <v>234.0</v>
      </c>
      <c r="R794" s="125">
        <v>452.0</v>
      </c>
      <c r="S794" s="126">
        <v>0.9567</v>
      </c>
      <c r="T794" s="127">
        <v>78258.06</v>
      </c>
      <c r="U794" s="128">
        <f t="shared" si="2"/>
        <v>0</v>
      </c>
      <c r="V794" s="79" t="s">
        <v>64</v>
      </c>
      <c r="W794" s="79" t="s">
        <v>64</v>
      </c>
      <c r="X794" s="79" t="s">
        <v>69</v>
      </c>
      <c r="Y794" s="130">
        <v>0.8</v>
      </c>
      <c r="Z794" s="111">
        <v>11.0</v>
      </c>
      <c r="AA794" s="111">
        <v>432.0</v>
      </c>
      <c r="AB794" s="111" t="s">
        <v>61</v>
      </c>
      <c r="AC794" s="133"/>
      <c r="AD794" s="133"/>
      <c r="AE794" s="133"/>
      <c r="AF794" s="111"/>
      <c r="AG794" s="147"/>
      <c r="AH794" s="73"/>
      <c r="AI794" s="135"/>
      <c r="AJ794" s="136"/>
      <c r="AK794" s="76"/>
      <c r="AL794" s="137"/>
      <c r="AM794" s="139">
        <v>437.0</v>
      </c>
      <c r="AN794" s="139">
        <v>632.0</v>
      </c>
      <c r="AO794" s="140">
        <v>155.95</v>
      </c>
      <c r="AP794" s="142">
        <v>53328.0</v>
      </c>
      <c r="AQ794" s="142">
        <v>234.0</v>
      </c>
      <c r="AR794" s="143"/>
      <c r="AS794" s="144">
        <v>0.9551157985628096</v>
      </c>
      <c r="AT794" s="144">
        <v>0.0015842014371904023</v>
      </c>
      <c r="AU794" s="146" t="s">
        <v>2608</v>
      </c>
      <c r="AV794" s="146" t="s">
        <v>2608</v>
      </c>
      <c r="AW794" s="148" t="s">
        <v>2608</v>
      </c>
      <c r="AX794" s="151"/>
      <c r="AY794" s="105"/>
      <c r="AZ794" s="186"/>
      <c r="BA794" s="186"/>
      <c r="BB794" s="222"/>
      <c r="BC794" s="45"/>
      <c r="BD794" s="45"/>
      <c r="BE794" s="155"/>
      <c r="BF794" s="45"/>
    </row>
    <row r="795" ht="16.5" customHeight="1">
      <c r="A795" s="111">
        <v>792.0</v>
      </c>
      <c r="B795" s="112" t="s">
        <v>1884</v>
      </c>
      <c r="C795" s="115" t="s">
        <v>60</v>
      </c>
      <c r="D795" s="117">
        <v>42899.0</v>
      </c>
      <c r="E795" s="117">
        <v>42910.0</v>
      </c>
      <c r="F795" s="79" t="s">
        <v>629</v>
      </c>
      <c r="G795" s="118">
        <v>736.0</v>
      </c>
      <c r="H795" s="114">
        <v>61.3</v>
      </c>
      <c r="I795" s="120">
        <v>373.0</v>
      </c>
      <c r="J795" s="111" t="s">
        <v>61</v>
      </c>
      <c r="K795" s="121">
        <v>377.72</v>
      </c>
      <c r="L795" s="120" t="s">
        <v>63</v>
      </c>
      <c r="M795" s="120"/>
      <c r="N795" s="120"/>
      <c r="O795" s="124">
        <v>736.0</v>
      </c>
      <c r="P795" s="124">
        <v>12.0</v>
      </c>
      <c r="Q795" s="111">
        <v>196.0</v>
      </c>
      <c r="R795" s="125">
        <v>386.0</v>
      </c>
      <c r="S795" s="126">
        <v>0.9785</v>
      </c>
      <c r="T795" s="127">
        <v>71039.1</v>
      </c>
      <c r="U795" s="128">
        <f t="shared" si="2"/>
        <v>0</v>
      </c>
      <c r="V795" s="79" t="s">
        <v>64</v>
      </c>
      <c r="W795" s="79" t="s">
        <v>64</v>
      </c>
      <c r="X795" s="79" t="s">
        <v>68</v>
      </c>
      <c r="Y795" s="130">
        <v>0.9</v>
      </c>
      <c r="Z795" s="111">
        <v>11.0</v>
      </c>
      <c r="AA795" s="111">
        <v>373.0</v>
      </c>
      <c r="AB795" s="111" t="s">
        <v>61</v>
      </c>
      <c r="AC795" s="133"/>
      <c r="AD795" s="133"/>
      <c r="AE795" s="133"/>
      <c r="AF795" s="111"/>
      <c r="AG795" s="147"/>
      <c r="AH795" s="73"/>
      <c r="AI795" s="135"/>
      <c r="AJ795" s="136"/>
      <c r="AK795" s="76"/>
      <c r="AL795" s="137"/>
      <c r="AM795" s="139">
        <v>378.0</v>
      </c>
      <c r="AN795" s="139">
        <v>12.0</v>
      </c>
      <c r="AO795" s="140">
        <v>2.01</v>
      </c>
      <c r="AP795" s="142">
        <v>736.0</v>
      </c>
      <c r="AQ795" s="142">
        <v>196.0</v>
      </c>
      <c r="AR795" s="143"/>
      <c r="AS795" s="144">
        <v>0.9985282243209948</v>
      </c>
      <c r="AT795" s="144">
        <v>-0.020028224320994714</v>
      </c>
      <c r="AU795" s="146" t="s">
        <v>2609</v>
      </c>
      <c r="AV795" s="146" t="s">
        <v>2609</v>
      </c>
      <c r="AW795" s="148" t="s">
        <v>2609</v>
      </c>
      <c r="AX795" s="151"/>
      <c r="AY795" s="105"/>
      <c r="AZ795" s="186"/>
      <c r="BA795" s="186"/>
      <c r="BB795" s="222"/>
      <c r="BC795" s="45"/>
      <c r="BD795" s="45"/>
      <c r="BE795" s="155"/>
      <c r="BF795" s="45"/>
    </row>
    <row r="796" ht="16.5" customHeight="1">
      <c r="A796" s="111">
        <v>793.0</v>
      </c>
      <c r="B796" s="112" t="s">
        <v>1454</v>
      </c>
      <c r="C796" s="115" t="s">
        <v>60</v>
      </c>
      <c r="D796" s="117">
        <v>42266.0</v>
      </c>
      <c r="E796" s="117">
        <v>42909.0</v>
      </c>
      <c r="F796" s="79" t="s">
        <v>118</v>
      </c>
      <c r="G796" s="118">
        <v>37050.0</v>
      </c>
      <c r="H796" s="114">
        <v>57.5</v>
      </c>
      <c r="I796" s="120">
        <v>355.0</v>
      </c>
      <c r="J796" s="111" t="s">
        <v>61</v>
      </c>
      <c r="K796" s="121">
        <v>359.49</v>
      </c>
      <c r="L796" s="120" t="s">
        <v>63</v>
      </c>
      <c r="M796" s="120"/>
      <c r="N796" s="120"/>
      <c r="O796" s="124">
        <v>37050.0</v>
      </c>
      <c r="P796" s="124">
        <v>644.0</v>
      </c>
      <c r="Q796" s="111">
        <v>200.0</v>
      </c>
      <c r="R796" s="125">
        <v>365.0</v>
      </c>
      <c r="S796" s="126">
        <v>0.9849</v>
      </c>
      <c r="T796" s="127">
        <v>67761.12</v>
      </c>
      <c r="U796" s="128">
        <f t="shared" si="2"/>
        <v>0</v>
      </c>
      <c r="V796" s="79" t="s">
        <v>64</v>
      </c>
      <c r="W796" s="79" t="s">
        <v>64</v>
      </c>
      <c r="X796" s="79" t="s">
        <v>68</v>
      </c>
      <c r="Y796" s="130">
        <v>0.9</v>
      </c>
      <c r="Z796" s="111">
        <v>16.0</v>
      </c>
      <c r="AA796" s="111">
        <v>352.0</v>
      </c>
      <c r="AB796" s="111" t="s">
        <v>61</v>
      </c>
      <c r="AC796" s="133"/>
      <c r="AD796" s="133"/>
      <c r="AE796" s="133"/>
      <c r="AF796" s="111"/>
      <c r="AG796" s="147"/>
      <c r="AH796" s="73"/>
      <c r="AI796" s="135"/>
      <c r="AJ796" s="136"/>
      <c r="AK796" s="76"/>
      <c r="AL796" s="137"/>
      <c r="AM796" s="139">
        <v>356.0</v>
      </c>
      <c r="AN796" s="139">
        <v>644.0</v>
      </c>
      <c r="AO796" s="140">
        <v>108.55</v>
      </c>
      <c r="AP796" s="142">
        <v>37050.0</v>
      </c>
      <c r="AQ796" s="142">
        <v>200.0</v>
      </c>
      <c r="AR796" s="143"/>
      <c r="AS796" s="144">
        <v>0.9613724650524615</v>
      </c>
      <c r="AT796" s="144">
        <v>0.023527534947538453</v>
      </c>
      <c r="AU796" s="146" t="s">
        <v>2610</v>
      </c>
      <c r="AV796" s="146" t="s">
        <v>2610</v>
      </c>
      <c r="AW796" s="148" t="s">
        <v>2610</v>
      </c>
      <c r="AX796" s="151"/>
      <c r="AY796" s="105"/>
      <c r="AZ796" s="186"/>
      <c r="BA796" s="186"/>
      <c r="BB796" s="222"/>
      <c r="BC796" s="45"/>
      <c r="BD796" s="45"/>
      <c r="BE796" s="155"/>
      <c r="BF796" s="45"/>
    </row>
    <row r="797" ht="16.5" customHeight="1">
      <c r="A797" s="111">
        <v>794.0</v>
      </c>
      <c r="B797" s="112" t="s">
        <v>1493</v>
      </c>
      <c r="C797" s="115" t="s">
        <v>60</v>
      </c>
      <c r="D797" s="117">
        <v>41629.0</v>
      </c>
      <c r="E797" s="117">
        <v>42910.0</v>
      </c>
      <c r="F797" s="79" t="s">
        <v>59</v>
      </c>
      <c r="G797" s="118">
        <v>116500.0</v>
      </c>
      <c r="H797" s="114">
        <v>90.9</v>
      </c>
      <c r="I797" s="120">
        <v>375.0</v>
      </c>
      <c r="J797" s="111" t="s">
        <v>62</v>
      </c>
      <c r="K797" s="121">
        <v>375.0</v>
      </c>
      <c r="L797" s="120" t="s">
        <v>63</v>
      </c>
      <c r="M797" s="120"/>
      <c r="N797" s="120"/>
      <c r="O797" s="124">
        <v>116500.0</v>
      </c>
      <c r="P797" s="124">
        <v>1282.0</v>
      </c>
      <c r="Q797" s="111">
        <v>206.0</v>
      </c>
      <c r="R797" s="125">
        <v>399.0</v>
      </c>
      <c r="S797" s="126">
        <v>0.9398</v>
      </c>
      <c r="T797" s="127">
        <v>72834.5</v>
      </c>
      <c r="U797" s="128">
        <f t="shared" si="2"/>
        <v>0</v>
      </c>
      <c r="V797" s="79" t="s">
        <v>65</v>
      </c>
      <c r="W797" s="79" t="s">
        <v>69</v>
      </c>
      <c r="X797" s="79" t="s">
        <v>66</v>
      </c>
      <c r="Y797" s="130">
        <v>0.9</v>
      </c>
      <c r="Z797" s="111">
        <v>11.0</v>
      </c>
      <c r="AA797" s="133"/>
      <c r="AB797" s="133"/>
      <c r="AC797" s="133"/>
      <c r="AD797" s="133"/>
      <c r="AE797" s="133"/>
      <c r="AF797" s="111"/>
      <c r="AG797" s="147"/>
      <c r="AH797" s="73"/>
      <c r="AI797" s="135"/>
      <c r="AJ797" s="136"/>
      <c r="AK797" s="76"/>
      <c r="AL797" s="137"/>
      <c r="AM797" s="139" t="s">
        <v>71</v>
      </c>
      <c r="AN797" s="139">
        <v>1282.0</v>
      </c>
      <c r="AO797" s="140">
        <v>319.33</v>
      </c>
      <c r="AP797" s="142">
        <v>116500.0</v>
      </c>
      <c r="AQ797" s="142">
        <v>206.0</v>
      </c>
      <c r="AR797" s="143"/>
      <c r="AS797" s="144">
        <v>0.9421905162252892</v>
      </c>
      <c r="AT797" s="144">
        <v>-0.0023905162252891854</v>
      </c>
      <c r="AU797" s="146" t="s">
        <v>2611</v>
      </c>
      <c r="AV797" s="146" t="s">
        <v>2611</v>
      </c>
      <c r="AW797" s="148" t="s">
        <v>2611</v>
      </c>
      <c r="AX797" s="151"/>
      <c r="AY797" s="105"/>
      <c r="AZ797" s="186"/>
      <c r="BA797" s="186"/>
      <c r="BB797" s="222"/>
      <c r="BC797" s="45"/>
      <c r="BD797" s="45"/>
      <c r="BE797" s="155"/>
      <c r="BF797" s="45"/>
    </row>
    <row r="798" ht="16.5" customHeight="1">
      <c r="A798" s="111">
        <v>795.0</v>
      </c>
      <c r="B798" s="112" t="s">
        <v>1672</v>
      </c>
      <c r="C798" s="115" t="s">
        <v>60</v>
      </c>
      <c r="D798" s="117">
        <v>42146.0</v>
      </c>
      <c r="E798" s="117">
        <v>42874.0</v>
      </c>
      <c r="F798" s="79" t="s">
        <v>683</v>
      </c>
      <c r="G798" s="118">
        <v>120728.0</v>
      </c>
      <c r="H798" s="114">
        <v>165.6</v>
      </c>
      <c r="I798" s="120">
        <v>400.0</v>
      </c>
      <c r="J798" s="111" t="s">
        <v>62</v>
      </c>
      <c r="K798" s="121">
        <v>400.0</v>
      </c>
      <c r="L798" s="120" t="s">
        <v>63</v>
      </c>
      <c r="M798" s="120"/>
      <c r="N798" s="120"/>
      <c r="O798" s="124">
        <v>120728.0</v>
      </c>
      <c r="P798" s="124">
        <v>729.0</v>
      </c>
      <c r="Q798" s="111">
        <v>230.0</v>
      </c>
      <c r="R798" s="125">
        <v>405.0</v>
      </c>
      <c r="S798" s="126">
        <v>0.9877</v>
      </c>
      <c r="T798" s="127">
        <v>80793.86</v>
      </c>
      <c r="U798" s="128">
        <f t="shared" si="2"/>
        <v>0</v>
      </c>
      <c r="V798" s="79"/>
      <c r="W798" s="79"/>
      <c r="X798" s="79"/>
      <c r="Y798" s="130"/>
      <c r="Z798" s="111"/>
      <c r="AA798" s="133"/>
      <c r="AB798" s="133"/>
      <c r="AC798" s="133"/>
      <c r="AD798" s="133"/>
      <c r="AE798" s="133"/>
      <c r="AF798" s="111"/>
      <c r="AG798" s="147"/>
      <c r="AH798" s="73"/>
      <c r="AI798" s="135"/>
      <c r="AJ798" s="136"/>
      <c r="AK798" s="76"/>
      <c r="AL798" s="137"/>
      <c r="AM798" s="139" t="s">
        <v>71</v>
      </c>
      <c r="AN798" s="139">
        <v>729.0</v>
      </c>
      <c r="AO798" s="140">
        <v>341.58</v>
      </c>
      <c r="AP798" s="142">
        <v>120728.0</v>
      </c>
      <c r="AQ798" s="142">
        <v>230.0</v>
      </c>
      <c r="AR798" s="143"/>
      <c r="AS798" s="144">
        <v>0.9415000923609355</v>
      </c>
      <c r="AT798" s="144">
        <v>0.046199907639064564</v>
      </c>
      <c r="AU798" s="146" t="s">
        <v>2612</v>
      </c>
      <c r="AV798" s="146" t="s">
        <v>2612</v>
      </c>
      <c r="AW798" s="148" t="s">
        <v>2612</v>
      </c>
      <c r="AX798" s="151"/>
      <c r="AY798" s="105"/>
      <c r="AZ798" s="186"/>
      <c r="BA798" s="186"/>
      <c r="BB798" s="222"/>
      <c r="BC798" s="45"/>
      <c r="BD798" s="45"/>
      <c r="BE798" s="155"/>
      <c r="BF798" s="45"/>
    </row>
    <row r="799" ht="16.5" customHeight="1">
      <c r="A799" s="111">
        <v>796.0</v>
      </c>
      <c r="B799" s="112" t="s">
        <v>1454</v>
      </c>
      <c r="C799" s="115" t="s">
        <v>60</v>
      </c>
      <c r="D799" s="117">
        <v>42266.0</v>
      </c>
      <c r="E799" s="117">
        <v>42917.0</v>
      </c>
      <c r="F799" s="79" t="s">
        <v>118</v>
      </c>
      <c r="G799" s="118">
        <v>37891.0</v>
      </c>
      <c r="H799" s="114">
        <v>58.1</v>
      </c>
      <c r="I799" s="120">
        <v>355.0</v>
      </c>
      <c r="J799" s="111" t="s">
        <v>61</v>
      </c>
      <c r="K799" s="121">
        <v>359.49</v>
      </c>
      <c r="L799" s="120" t="s">
        <v>63</v>
      </c>
      <c r="M799" s="120"/>
      <c r="N799" s="120"/>
      <c r="O799" s="124">
        <v>37891.0</v>
      </c>
      <c r="P799" s="124">
        <v>652.0</v>
      </c>
      <c r="Q799" s="111">
        <v>203.0</v>
      </c>
      <c r="R799" s="125">
        <v>365.0</v>
      </c>
      <c r="S799" s="126">
        <v>0.9849</v>
      </c>
      <c r="T799" s="127">
        <v>67761.12</v>
      </c>
      <c r="U799" s="128">
        <f t="shared" si="2"/>
        <v>0</v>
      </c>
      <c r="V799" s="79" t="s">
        <v>64</v>
      </c>
      <c r="W799" s="79" t="s">
        <v>65</v>
      </c>
      <c r="X799" s="79" t="s">
        <v>68</v>
      </c>
      <c r="Y799" s="130">
        <v>0.9</v>
      </c>
      <c r="Z799" s="111">
        <v>16.0</v>
      </c>
      <c r="AA799" s="111">
        <v>352.0</v>
      </c>
      <c r="AB799" s="111" t="s">
        <v>61</v>
      </c>
      <c r="AC799" s="133"/>
      <c r="AD799" s="133"/>
      <c r="AE799" s="133"/>
      <c r="AF799" s="111"/>
      <c r="AG799" s="147"/>
      <c r="AH799" s="73"/>
      <c r="AI799" s="135"/>
      <c r="AJ799" s="136"/>
      <c r="AK799" s="76"/>
      <c r="AL799" s="137"/>
      <c r="AM799" s="139">
        <v>356.0</v>
      </c>
      <c r="AN799" s="139">
        <v>652.0</v>
      </c>
      <c r="AO799" s="140">
        <v>112.68</v>
      </c>
      <c r="AP799" s="142">
        <v>37891.0</v>
      </c>
      <c r="AQ799" s="142">
        <v>203.0</v>
      </c>
      <c r="AR799" s="143"/>
      <c r="AS799" s="144">
        <v>0.9609716322668138</v>
      </c>
      <c r="AT799" s="144">
        <v>0.023928367733186184</v>
      </c>
      <c r="AU799" s="146" t="s">
        <v>2613</v>
      </c>
      <c r="AV799" s="146" t="s">
        <v>2613</v>
      </c>
      <c r="AW799" s="148" t="s">
        <v>2613</v>
      </c>
      <c r="AX799" s="151"/>
      <c r="AY799" s="105"/>
      <c r="AZ799" s="186"/>
      <c r="BA799" s="186"/>
      <c r="BB799" s="222"/>
      <c r="BC799" s="45"/>
      <c r="BD799" s="45"/>
      <c r="BE799" s="155"/>
      <c r="BF799" s="45"/>
    </row>
    <row r="800" ht="16.5" customHeight="1">
      <c r="A800" s="111">
        <v>797.0</v>
      </c>
      <c r="B800" s="112" t="s">
        <v>1783</v>
      </c>
      <c r="C800" s="115" t="s">
        <v>60</v>
      </c>
      <c r="D800" s="117">
        <v>42180.0</v>
      </c>
      <c r="E800" s="117">
        <v>42776.0</v>
      </c>
      <c r="F800" s="79" t="s">
        <v>59</v>
      </c>
      <c r="G800" s="118">
        <v>66387.0</v>
      </c>
      <c r="H800" s="114">
        <v>111.2</v>
      </c>
      <c r="I800" s="120">
        <v>382.0</v>
      </c>
      <c r="J800" s="111" t="s">
        <v>61</v>
      </c>
      <c r="K800" s="121">
        <v>386.84</v>
      </c>
      <c r="L800" s="120" t="s">
        <v>63</v>
      </c>
      <c r="M800" s="120"/>
      <c r="N800" s="120"/>
      <c r="O800" s="124">
        <v>66387.0</v>
      </c>
      <c r="P800" s="124">
        <v>597.0</v>
      </c>
      <c r="Q800" s="111">
        <v>222.0</v>
      </c>
      <c r="R800" s="125">
        <v>399.0</v>
      </c>
      <c r="S800" s="126">
        <v>0.9695</v>
      </c>
      <c r="T800" s="127">
        <v>75136.25</v>
      </c>
      <c r="U800" s="128">
        <f t="shared" si="2"/>
        <v>0</v>
      </c>
      <c r="V800" s="79" t="s">
        <v>69</v>
      </c>
      <c r="W800" s="79" t="s">
        <v>69</v>
      </c>
      <c r="X800" s="79" t="s">
        <v>69</v>
      </c>
      <c r="Y800" s="130">
        <v>0.9</v>
      </c>
      <c r="Z800" s="111">
        <v>11.0</v>
      </c>
      <c r="AA800" s="133"/>
      <c r="AB800" s="133"/>
      <c r="AC800" s="133"/>
      <c r="AD800" s="133"/>
      <c r="AE800" s="133"/>
      <c r="AF800" s="111"/>
      <c r="AG800" s="147"/>
      <c r="AH800" s="73"/>
      <c r="AI800" s="135"/>
      <c r="AJ800" s="136"/>
      <c r="AK800" s="76"/>
      <c r="AL800" s="137"/>
      <c r="AM800" s="139" t="s">
        <v>71</v>
      </c>
      <c r="AN800" s="139">
        <v>597.0</v>
      </c>
      <c r="AO800" s="140">
        <v>193.14</v>
      </c>
      <c r="AP800" s="142">
        <v>66387.0</v>
      </c>
      <c r="AQ800" s="142">
        <v>222.0</v>
      </c>
      <c r="AR800" s="143"/>
      <c r="AS800" s="144">
        <v>0.9515964817736141</v>
      </c>
      <c r="AT800" s="144">
        <v>0.017903518226385917</v>
      </c>
      <c r="AU800" s="146" t="s">
        <v>2614</v>
      </c>
      <c r="AV800" s="146" t="s">
        <v>2614</v>
      </c>
      <c r="AW800" s="148" t="s">
        <v>2614</v>
      </c>
      <c r="AX800" s="151"/>
      <c r="AY800" s="105"/>
      <c r="AZ800" s="186"/>
      <c r="BA800" s="186"/>
      <c r="BB800" s="222"/>
      <c r="BC800" s="45"/>
      <c r="BD800" s="45"/>
      <c r="BE800" s="155"/>
      <c r="BF800" s="45"/>
    </row>
    <row r="801" ht="16.5" customHeight="1">
      <c r="A801" s="111">
        <v>798.0</v>
      </c>
      <c r="B801" s="112" t="s">
        <v>1783</v>
      </c>
      <c r="C801" s="115" t="s">
        <v>60</v>
      </c>
      <c r="D801" s="117">
        <v>42180.0</v>
      </c>
      <c r="E801" s="117">
        <v>42826.0</v>
      </c>
      <c r="F801" s="79" t="s">
        <v>59</v>
      </c>
      <c r="G801" s="118">
        <v>72626.0</v>
      </c>
      <c r="H801" s="114">
        <v>112.3</v>
      </c>
      <c r="I801" s="120">
        <v>382.0</v>
      </c>
      <c r="J801" s="111" t="s">
        <v>61</v>
      </c>
      <c r="K801" s="121">
        <v>386.84</v>
      </c>
      <c r="L801" s="120" t="s">
        <v>63</v>
      </c>
      <c r="M801" s="120"/>
      <c r="N801" s="120"/>
      <c r="O801" s="124">
        <v>72626.0</v>
      </c>
      <c r="P801" s="124">
        <v>647.0</v>
      </c>
      <c r="Q801" s="111">
        <v>222.0</v>
      </c>
      <c r="R801" s="125">
        <v>399.0</v>
      </c>
      <c r="S801" s="126">
        <v>0.9695</v>
      </c>
      <c r="T801" s="127">
        <v>75136.25</v>
      </c>
      <c r="U801" s="128">
        <f t="shared" si="2"/>
        <v>0</v>
      </c>
      <c r="V801" s="79" t="s">
        <v>69</v>
      </c>
      <c r="W801" s="79" t="s">
        <v>69</v>
      </c>
      <c r="X801" s="79" t="s">
        <v>69</v>
      </c>
      <c r="Y801" s="130"/>
      <c r="Z801" s="111"/>
      <c r="AA801" s="133"/>
      <c r="AB801" s="133"/>
      <c r="AC801" s="133"/>
      <c r="AD801" s="133"/>
      <c r="AE801" s="133"/>
      <c r="AF801" s="111"/>
      <c r="AG801" s="147"/>
      <c r="AH801" s="73"/>
      <c r="AI801" s="135"/>
      <c r="AJ801" s="136"/>
      <c r="AK801" s="76"/>
      <c r="AL801" s="137"/>
      <c r="AM801" s="139" t="s">
        <v>71</v>
      </c>
      <c r="AN801" s="139">
        <v>647.0</v>
      </c>
      <c r="AO801" s="140">
        <v>211.29</v>
      </c>
      <c r="AP801" s="142">
        <v>72626.0</v>
      </c>
      <c r="AQ801" s="142">
        <v>222.0</v>
      </c>
      <c r="AR801" s="143"/>
      <c r="AS801" s="144">
        <v>0.9501787076029333</v>
      </c>
      <c r="AT801" s="144">
        <v>0.019321292397066703</v>
      </c>
      <c r="AU801" s="146" t="s">
        <v>2615</v>
      </c>
      <c r="AV801" s="146" t="s">
        <v>2615</v>
      </c>
      <c r="AW801" s="148" t="s">
        <v>2615</v>
      </c>
      <c r="AX801" s="151"/>
      <c r="AY801" s="105"/>
      <c r="AZ801" s="186"/>
      <c r="BA801" s="186"/>
      <c r="BB801" s="222"/>
      <c r="BC801" s="45"/>
      <c r="BD801" s="45"/>
      <c r="BE801" s="155"/>
      <c r="BF801" s="45"/>
    </row>
    <row r="802" ht="16.5" customHeight="1">
      <c r="A802" s="111">
        <v>799.0</v>
      </c>
      <c r="B802" s="112" t="s">
        <v>1825</v>
      </c>
      <c r="C802" s="115" t="s">
        <v>60</v>
      </c>
      <c r="D802" s="117">
        <v>42341.0</v>
      </c>
      <c r="E802" s="117">
        <v>42891.0</v>
      </c>
      <c r="F802" s="79" t="s">
        <v>86</v>
      </c>
      <c r="G802" s="118">
        <v>50000.0</v>
      </c>
      <c r="H802" s="114">
        <v>90.7</v>
      </c>
      <c r="I802" s="120">
        <v>421.0</v>
      </c>
      <c r="J802" s="111" t="s">
        <v>61</v>
      </c>
      <c r="K802" s="121">
        <v>426.33</v>
      </c>
      <c r="L802" s="120" t="s">
        <v>63</v>
      </c>
      <c r="M802" s="120"/>
      <c r="N802" s="120"/>
      <c r="O802" s="124">
        <v>50000.0</v>
      </c>
      <c r="P802" s="124">
        <v>551.0</v>
      </c>
      <c r="Q802" s="111">
        <v>208.0</v>
      </c>
      <c r="R802" s="125">
        <v>430.0</v>
      </c>
      <c r="S802" s="126">
        <v>0.9915</v>
      </c>
      <c r="T802" s="127">
        <v>76841.25</v>
      </c>
      <c r="U802" s="128">
        <f t="shared" si="2"/>
        <v>0</v>
      </c>
      <c r="V802" s="79" t="s">
        <v>69</v>
      </c>
      <c r="W802" s="79" t="s">
        <v>66</v>
      </c>
      <c r="X802" s="79" t="s">
        <v>68</v>
      </c>
      <c r="Y802" s="130">
        <v>0.8</v>
      </c>
      <c r="Z802" s="111">
        <v>11.0</v>
      </c>
      <c r="AA802" s="133"/>
      <c r="AB802" s="133"/>
      <c r="AC802" s="133"/>
      <c r="AD802" s="133"/>
      <c r="AE802" s="133"/>
      <c r="AF802" s="111"/>
      <c r="AG802" s="147"/>
      <c r="AH802" s="73"/>
      <c r="AI802" s="135"/>
      <c r="AJ802" s="136"/>
      <c r="AK802" s="76"/>
      <c r="AL802" s="137"/>
      <c r="AM802" s="139" t="s">
        <v>71</v>
      </c>
      <c r="AN802" s="139">
        <v>551.0</v>
      </c>
      <c r="AO802" s="140">
        <v>134.79</v>
      </c>
      <c r="AP802" s="142">
        <v>50000.0</v>
      </c>
      <c r="AQ802" s="142">
        <v>208.0</v>
      </c>
      <c r="AR802" s="143"/>
      <c r="AS802" s="144">
        <v>0.9561822707592242</v>
      </c>
      <c r="AT802" s="144">
        <v>0.03531772924077581</v>
      </c>
      <c r="AU802" s="146" t="s">
        <v>2616</v>
      </c>
      <c r="AV802" s="146" t="s">
        <v>2616</v>
      </c>
      <c r="AW802" s="148" t="s">
        <v>2616</v>
      </c>
      <c r="AX802" s="151"/>
      <c r="AY802" s="105"/>
      <c r="AZ802" s="186"/>
      <c r="BA802" s="186"/>
      <c r="BB802" s="222"/>
      <c r="BC802" s="45"/>
      <c r="BD802" s="45"/>
      <c r="BE802" s="155"/>
      <c r="BF802" s="45"/>
    </row>
    <row r="803" ht="16.5" customHeight="1">
      <c r="A803" s="111">
        <v>800.0</v>
      </c>
      <c r="B803" s="112" t="s">
        <v>1729</v>
      </c>
      <c r="C803" s="115" t="s">
        <v>60</v>
      </c>
      <c r="D803" s="117">
        <v>41527.0</v>
      </c>
      <c r="E803" s="117">
        <v>42919.0</v>
      </c>
      <c r="F803" s="79" t="s">
        <v>79</v>
      </c>
      <c r="G803" s="118">
        <v>206254.0</v>
      </c>
      <c r="H803" s="114">
        <v>148.1</v>
      </c>
      <c r="I803" s="120">
        <v>367.0</v>
      </c>
      <c r="J803" s="111" t="s">
        <v>61</v>
      </c>
      <c r="K803" s="121">
        <v>371.65</v>
      </c>
      <c r="L803" s="120" t="s">
        <v>195</v>
      </c>
      <c r="M803" s="120" t="s">
        <v>281</v>
      </c>
      <c r="N803" s="120">
        <v>20000.0</v>
      </c>
      <c r="O803" s="124">
        <v>186254.0</v>
      </c>
      <c r="P803" s="124">
        <v>1258.0</v>
      </c>
      <c r="Q803" s="111">
        <v>223.0</v>
      </c>
      <c r="R803" s="125">
        <v>399.0</v>
      </c>
      <c r="S803" s="126">
        <v>0.9315</v>
      </c>
      <c r="T803" s="127">
        <v>72191.25</v>
      </c>
      <c r="U803" s="128">
        <f t="shared" si="2"/>
        <v>0</v>
      </c>
      <c r="V803" s="79" t="s">
        <v>65</v>
      </c>
      <c r="W803" s="79" t="s">
        <v>80</v>
      </c>
      <c r="X803" s="79" t="s">
        <v>65</v>
      </c>
      <c r="Y803" s="130">
        <v>0.9</v>
      </c>
      <c r="Z803" s="111">
        <v>11.0</v>
      </c>
      <c r="AA803" s="111">
        <v>395.0</v>
      </c>
      <c r="AB803" s="111" t="s">
        <v>61</v>
      </c>
      <c r="AC803" s="133"/>
      <c r="AD803" s="133"/>
      <c r="AE803" s="133"/>
      <c r="AF803" s="111"/>
      <c r="AG803" s="147"/>
      <c r="AH803" s="73"/>
      <c r="AI803" s="135"/>
      <c r="AJ803" s="136"/>
      <c r="AK803" s="76"/>
      <c r="AL803" s="137"/>
      <c r="AM803" s="139">
        <v>400.0</v>
      </c>
      <c r="AN803" s="139">
        <v>1393.0</v>
      </c>
      <c r="AO803" s="140">
        <v>554.99</v>
      </c>
      <c r="AP803" s="142">
        <v>186254.0</v>
      </c>
      <c r="AQ803" s="142">
        <v>223.0</v>
      </c>
      <c r="AR803" s="143"/>
      <c r="AS803" s="144">
        <v>0.9311296584321948</v>
      </c>
      <c r="AT803" s="144">
        <v>3.703415678052435E-4</v>
      </c>
      <c r="AU803" s="146" t="s">
        <v>2617</v>
      </c>
      <c r="AV803" s="146" t="s">
        <v>2617</v>
      </c>
      <c r="AW803" s="148" t="s">
        <v>2617</v>
      </c>
      <c r="AX803" s="151"/>
      <c r="AY803" s="105"/>
      <c r="AZ803" s="186"/>
      <c r="BA803" s="186"/>
      <c r="BB803" s="222"/>
      <c r="BC803" s="45"/>
      <c r="BD803" s="45"/>
      <c r="BE803" s="155"/>
      <c r="BF803" s="45"/>
    </row>
    <row r="804" ht="16.5" customHeight="1">
      <c r="A804" s="111">
        <v>801.0</v>
      </c>
      <c r="B804" s="112" t="s">
        <v>1811</v>
      </c>
      <c r="C804" s="115" t="s">
        <v>60</v>
      </c>
      <c r="D804" s="117">
        <v>41927.0</v>
      </c>
      <c r="E804" s="117">
        <v>42921.0</v>
      </c>
      <c r="F804" s="79" t="s">
        <v>59</v>
      </c>
      <c r="G804" s="118">
        <v>26726.0</v>
      </c>
      <c r="H804" s="114">
        <v>26.9</v>
      </c>
      <c r="I804" s="120">
        <v>378.0</v>
      </c>
      <c r="J804" s="111" t="s">
        <v>61</v>
      </c>
      <c r="K804" s="121">
        <v>382.78</v>
      </c>
      <c r="L804" s="120" t="s">
        <v>63</v>
      </c>
      <c r="M804" s="120"/>
      <c r="N804" s="120"/>
      <c r="O804" s="124">
        <v>26726.0</v>
      </c>
      <c r="P804" s="124">
        <v>995.0</v>
      </c>
      <c r="Q804" s="111">
        <v>218.0</v>
      </c>
      <c r="R804" s="125">
        <v>399.0</v>
      </c>
      <c r="S804" s="126">
        <v>0.9593</v>
      </c>
      <c r="T804" s="127">
        <v>74345.75</v>
      </c>
      <c r="U804" s="128">
        <f t="shared" si="2"/>
        <v>0</v>
      </c>
      <c r="V804" s="79" t="s">
        <v>69</v>
      </c>
      <c r="W804" s="79" t="s">
        <v>69</v>
      </c>
      <c r="X804" s="79" t="s">
        <v>66</v>
      </c>
      <c r="Y804" s="130">
        <v>0.8</v>
      </c>
      <c r="Z804" s="111">
        <v>5.0</v>
      </c>
      <c r="AA804" s="133"/>
      <c r="AB804" s="133"/>
      <c r="AC804" s="133"/>
      <c r="AD804" s="133"/>
      <c r="AE804" s="133"/>
      <c r="AF804" s="111"/>
      <c r="AG804" s="147"/>
      <c r="AH804" s="73"/>
      <c r="AI804" s="135"/>
      <c r="AJ804" s="136"/>
      <c r="AK804" s="76"/>
      <c r="AL804" s="137"/>
      <c r="AM804" s="139" t="s">
        <v>71</v>
      </c>
      <c r="AN804" s="139">
        <v>995.0</v>
      </c>
      <c r="AO804" s="140">
        <v>76.78</v>
      </c>
      <c r="AP804" s="142">
        <v>26726.0</v>
      </c>
      <c r="AQ804" s="142">
        <v>218.0</v>
      </c>
      <c r="AR804" s="143"/>
      <c r="AS804" s="144">
        <v>0.967331554935205</v>
      </c>
      <c r="AT804" s="144">
        <v>-0.00803155493520491</v>
      </c>
      <c r="AU804" s="146" t="s">
        <v>2618</v>
      </c>
      <c r="AV804" s="146" t="s">
        <v>2618</v>
      </c>
      <c r="AW804" s="148" t="s">
        <v>2618</v>
      </c>
      <c r="AX804" s="151"/>
      <c r="AY804" s="105"/>
      <c r="AZ804" s="186"/>
      <c r="BA804" s="186"/>
      <c r="BB804" s="222"/>
      <c r="BC804" s="45"/>
      <c r="BD804" s="45"/>
      <c r="BE804" s="155"/>
      <c r="BF804" s="45"/>
    </row>
    <row r="805" ht="16.5" customHeight="1">
      <c r="A805" s="111">
        <v>802.0</v>
      </c>
      <c r="B805" s="112" t="s">
        <v>126</v>
      </c>
      <c r="C805" s="115" t="s">
        <v>60</v>
      </c>
      <c r="D805" s="117">
        <v>41527.0</v>
      </c>
      <c r="E805" s="117">
        <v>42928.0</v>
      </c>
      <c r="F805" s="79" t="s">
        <v>79</v>
      </c>
      <c r="G805" s="118">
        <v>251000.0</v>
      </c>
      <c r="H805" s="114">
        <v>179.0</v>
      </c>
      <c r="I805" s="120">
        <v>369.0</v>
      </c>
      <c r="J805" s="111" t="s">
        <v>61</v>
      </c>
      <c r="K805" s="121">
        <v>373.67</v>
      </c>
      <c r="L805" s="120" t="s">
        <v>63</v>
      </c>
      <c r="M805" s="120"/>
      <c r="N805" s="120"/>
      <c r="O805" s="124">
        <v>251000.0</v>
      </c>
      <c r="P805" s="124">
        <v>1402.0</v>
      </c>
      <c r="Q805" s="111">
        <v>212.0</v>
      </c>
      <c r="R805" s="125">
        <v>399.0</v>
      </c>
      <c r="S805" s="126">
        <v>0.9365</v>
      </c>
      <c r="T805" s="127">
        <v>72578.75</v>
      </c>
      <c r="U805" s="128">
        <f t="shared" si="2"/>
        <v>0</v>
      </c>
      <c r="V805" s="79" t="s">
        <v>65</v>
      </c>
      <c r="W805" s="79" t="s">
        <v>127</v>
      </c>
      <c r="X805" s="79" t="s">
        <v>69</v>
      </c>
      <c r="Y805" s="130">
        <v>1.0</v>
      </c>
      <c r="Z805" s="111">
        <v>22.0</v>
      </c>
      <c r="AA805" s="111">
        <v>400.0</v>
      </c>
      <c r="AB805" s="111" t="s">
        <v>61</v>
      </c>
      <c r="AC805" s="111">
        <v>369.0</v>
      </c>
      <c r="AD805" s="111">
        <v>269.0</v>
      </c>
      <c r="AE805" s="111">
        <v>18.1</v>
      </c>
      <c r="AF805" s="111" t="s">
        <v>61</v>
      </c>
      <c r="AG805" s="134" t="s">
        <v>2619</v>
      </c>
      <c r="AH805" s="73">
        <v>100.0</v>
      </c>
      <c r="AI805" s="135">
        <v>101.26582278481013</v>
      </c>
      <c r="AJ805" s="136">
        <v>66.788841625</v>
      </c>
      <c r="AK805" s="76">
        <v>0.8617915048387097</v>
      </c>
      <c r="AL805" s="137" t="s">
        <v>2620</v>
      </c>
      <c r="AM805" s="139">
        <v>405.0</v>
      </c>
      <c r="AN805" s="139">
        <v>1402.0</v>
      </c>
      <c r="AO805" s="140">
        <v>709.18</v>
      </c>
      <c r="AP805" s="142">
        <v>251000.0</v>
      </c>
      <c r="AQ805" s="142">
        <v>212.0</v>
      </c>
      <c r="AR805" s="143"/>
      <c r="AS805" s="144">
        <v>0.9210030234602172</v>
      </c>
      <c r="AT805" s="144">
        <v>0.01549697653978277</v>
      </c>
      <c r="AU805" s="146" t="s">
        <v>2621</v>
      </c>
      <c r="AV805" s="146" t="s">
        <v>2621</v>
      </c>
      <c r="AW805" s="148" t="s">
        <v>2621</v>
      </c>
      <c r="AX805" s="151"/>
      <c r="AY805" s="105"/>
      <c r="AZ805" s="186"/>
      <c r="BA805" s="186"/>
      <c r="BB805" s="222"/>
      <c r="BC805" s="45"/>
      <c r="BD805" s="45"/>
      <c r="BE805" s="155"/>
      <c r="BF805" s="45"/>
    </row>
    <row r="806" ht="16.5" customHeight="1">
      <c r="A806" s="111">
        <v>803.0</v>
      </c>
      <c r="B806" s="112" t="s">
        <v>126</v>
      </c>
      <c r="C806" s="115" t="s">
        <v>60</v>
      </c>
      <c r="D806" s="117">
        <v>41527.0</v>
      </c>
      <c r="E806" s="117">
        <v>42929.0</v>
      </c>
      <c r="F806" s="79" t="s">
        <v>79</v>
      </c>
      <c r="G806" s="118">
        <v>251200.0</v>
      </c>
      <c r="H806" s="114">
        <v>179.0</v>
      </c>
      <c r="I806" s="120">
        <v>369.0</v>
      </c>
      <c r="J806" s="111" t="s">
        <v>61</v>
      </c>
      <c r="K806" s="121">
        <v>373.67</v>
      </c>
      <c r="L806" s="120" t="s">
        <v>63</v>
      </c>
      <c r="M806" s="120"/>
      <c r="N806" s="120"/>
      <c r="O806" s="124">
        <v>251200.0</v>
      </c>
      <c r="P806" s="124">
        <v>1403.0</v>
      </c>
      <c r="Q806" s="111">
        <v>212.0</v>
      </c>
      <c r="R806" s="125">
        <v>399.0</v>
      </c>
      <c r="S806" s="126">
        <v>0.9365</v>
      </c>
      <c r="T806" s="127">
        <v>72578.75</v>
      </c>
      <c r="U806" s="128">
        <f t="shared" si="2"/>
        <v>0</v>
      </c>
      <c r="V806" s="79" t="s">
        <v>65</v>
      </c>
      <c r="W806" s="79" t="s">
        <v>127</v>
      </c>
      <c r="X806" s="79" t="s">
        <v>69</v>
      </c>
      <c r="Y806" s="130">
        <v>1.0</v>
      </c>
      <c r="Z806" s="111">
        <v>22.0</v>
      </c>
      <c r="AA806" s="111">
        <v>400.0</v>
      </c>
      <c r="AB806" s="111" t="s">
        <v>61</v>
      </c>
      <c r="AC806" s="111">
        <v>364.0</v>
      </c>
      <c r="AD806" s="111">
        <v>269.0</v>
      </c>
      <c r="AE806" s="111">
        <v>18.1</v>
      </c>
      <c r="AF806" s="111" t="s">
        <v>61</v>
      </c>
      <c r="AG806" s="134" t="s">
        <v>2622</v>
      </c>
      <c r="AH806" s="73">
        <v>95.0</v>
      </c>
      <c r="AI806" s="135">
        <v>96.20253164556962</v>
      </c>
      <c r="AJ806" s="136">
        <v>70.30404381578948</v>
      </c>
      <c r="AK806" s="76">
        <v>0.9071489524617997</v>
      </c>
      <c r="AL806" s="137" t="s">
        <v>2623</v>
      </c>
      <c r="AM806" s="139">
        <v>405.0</v>
      </c>
      <c r="AN806" s="139">
        <v>1403.0</v>
      </c>
      <c r="AO806" s="140">
        <v>709.75</v>
      </c>
      <c r="AP806" s="142">
        <v>251200.0</v>
      </c>
      <c r="AQ806" s="142">
        <v>212.0</v>
      </c>
      <c r="AR806" s="143"/>
      <c r="AS806" s="144">
        <v>0.9209717575503614</v>
      </c>
      <c r="AT806" s="144">
        <v>0.015528242449638574</v>
      </c>
      <c r="AU806" s="146" t="s">
        <v>2624</v>
      </c>
      <c r="AV806" s="146" t="s">
        <v>2624</v>
      </c>
      <c r="AW806" s="148" t="s">
        <v>2624</v>
      </c>
      <c r="AX806" s="151"/>
      <c r="AY806" s="105"/>
      <c r="AZ806" s="186"/>
      <c r="BA806" s="186"/>
      <c r="BB806" s="222"/>
      <c r="BC806" s="45"/>
      <c r="BD806" s="45"/>
      <c r="BE806" s="155"/>
      <c r="BF806" s="45"/>
    </row>
    <row r="807" ht="16.5" customHeight="1">
      <c r="A807" s="111">
        <v>804.0</v>
      </c>
      <c r="B807" s="112" t="s">
        <v>1795</v>
      </c>
      <c r="C807" s="115" t="s">
        <v>60</v>
      </c>
      <c r="D807" s="117">
        <v>42170.0</v>
      </c>
      <c r="E807" s="117">
        <v>42925.0</v>
      </c>
      <c r="F807" s="79" t="s">
        <v>59</v>
      </c>
      <c r="G807" s="118">
        <v>113000.0</v>
      </c>
      <c r="H807" s="114">
        <v>149.5</v>
      </c>
      <c r="I807" s="120">
        <v>381.0</v>
      </c>
      <c r="J807" s="111" t="s">
        <v>62</v>
      </c>
      <c r="K807" s="121">
        <v>381.0</v>
      </c>
      <c r="L807" s="120" t="s">
        <v>63</v>
      </c>
      <c r="M807" s="120"/>
      <c r="N807" s="120"/>
      <c r="O807" s="124">
        <v>113000.0</v>
      </c>
      <c r="P807" s="124">
        <v>756.0</v>
      </c>
      <c r="Q807" s="111">
        <v>212.0</v>
      </c>
      <c r="R807" s="125">
        <v>399.0</v>
      </c>
      <c r="S807" s="126">
        <v>0.9549</v>
      </c>
      <c r="T807" s="127">
        <v>74004.75</v>
      </c>
      <c r="U807" s="128">
        <f t="shared" si="2"/>
        <v>0</v>
      </c>
      <c r="V807" s="79" t="s">
        <v>67</v>
      </c>
      <c r="W807" s="79" t="s">
        <v>69</v>
      </c>
      <c r="X807" s="79" t="s">
        <v>64</v>
      </c>
      <c r="Y807" s="130">
        <v>0.9</v>
      </c>
      <c r="Z807" s="111"/>
      <c r="AA807" s="133"/>
      <c r="AB807" s="133"/>
      <c r="AC807" s="133"/>
      <c r="AD807" s="133"/>
      <c r="AE807" s="133"/>
      <c r="AF807" s="111"/>
      <c r="AG807" s="147"/>
      <c r="AH807" s="73"/>
      <c r="AI807" s="135"/>
      <c r="AJ807" s="136"/>
      <c r="AK807" s="76"/>
      <c r="AL807" s="137"/>
      <c r="AM807" s="139" t="s">
        <v>71</v>
      </c>
      <c r="AN807" s="139">
        <v>756.0</v>
      </c>
      <c r="AO807" s="140">
        <v>316.27</v>
      </c>
      <c r="AP807" s="142">
        <v>113000.0</v>
      </c>
      <c r="AQ807" s="142">
        <v>212.0</v>
      </c>
      <c r="AR807" s="143"/>
      <c r="AS807" s="144">
        <v>0.942766929522551</v>
      </c>
      <c r="AT807" s="144">
        <v>0.012133070477448937</v>
      </c>
      <c r="AU807" s="146" t="s">
        <v>2625</v>
      </c>
      <c r="AV807" s="146" t="s">
        <v>2625</v>
      </c>
      <c r="AW807" s="148" t="s">
        <v>2625</v>
      </c>
      <c r="AX807" s="151"/>
      <c r="AY807" s="105"/>
      <c r="AZ807" s="186"/>
      <c r="BA807" s="186"/>
      <c r="BB807" s="222"/>
      <c r="BC807" s="45"/>
      <c r="BD807" s="45"/>
      <c r="BE807" s="155"/>
      <c r="BF807" s="45"/>
    </row>
    <row r="808" ht="16.5" customHeight="1">
      <c r="A808" s="111">
        <v>805.0</v>
      </c>
      <c r="B808" s="112" t="s">
        <v>1795</v>
      </c>
      <c r="C808" s="115" t="s">
        <v>60</v>
      </c>
      <c r="D808" s="117">
        <v>42170.0</v>
      </c>
      <c r="E808" s="117">
        <v>42714.0</v>
      </c>
      <c r="F808" s="79" t="s">
        <v>59</v>
      </c>
      <c r="G808" s="118">
        <v>70518.0</v>
      </c>
      <c r="H808" s="114">
        <v>129.4</v>
      </c>
      <c r="I808" s="120">
        <v>388.0</v>
      </c>
      <c r="J808" s="111" t="s">
        <v>62</v>
      </c>
      <c r="K808" s="121">
        <v>388.0</v>
      </c>
      <c r="L808" s="120" t="s">
        <v>63</v>
      </c>
      <c r="M808" s="120"/>
      <c r="N808" s="120"/>
      <c r="O808" s="124">
        <v>70518.0</v>
      </c>
      <c r="P808" s="124">
        <v>545.0</v>
      </c>
      <c r="Q808" s="111">
        <v>214.0</v>
      </c>
      <c r="R808" s="125">
        <v>399.0</v>
      </c>
      <c r="S808" s="126">
        <v>0.9724</v>
      </c>
      <c r="T808" s="127">
        <v>75361.0</v>
      </c>
      <c r="U808" s="128">
        <f t="shared" si="2"/>
        <v>0</v>
      </c>
      <c r="V808" s="79"/>
      <c r="W808" s="79"/>
      <c r="X808" s="79"/>
      <c r="Y808" s="130"/>
      <c r="Z808" s="111"/>
      <c r="AA808" s="133"/>
      <c r="AB808" s="133"/>
      <c r="AC808" s="133"/>
      <c r="AD808" s="133"/>
      <c r="AE808" s="133"/>
      <c r="AF808" s="111"/>
      <c r="AG808" s="147"/>
      <c r="AH808" s="73"/>
      <c r="AI808" s="135"/>
      <c r="AJ808" s="136"/>
      <c r="AK808" s="76"/>
      <c r="AL808" s="137"/>
      <c r="AM808" s="139" t="s">
        <v>71</v>
      </c>
      <c r="AN808" s="139">
        <v>545.0</v>
      </c>
      <c r="AO808" s="140">
        <v>197.47</v>
      </c>
      <c r="AP808" s="142">
        <v>70518.0</v>
      </c>
      <c r="AQ808" s="142">
        <v>214.0</v>
      </c>
      <c r="AR808" s="143"/>
      <c r="AS808" s="144">
        <v>0.9506434249621126</v>
      </c>
      <c r="AT808" s="144">
        <v>0.021756575037887416</v>
      </c>
      <c r="AU808" s="146" t="s">
        <v>2626</v>
      </c>
      <c r="AV808" s="146" t="s">
        <v>2626</v>
      </c>
      <c r="AW808" s="148" t="s">
        <v>2626</v>
      </c>
      <c r="AX808" s="151"/>
      <c r="AY808" s="105"/>
      <c r="AZ808" s="186"/>
      <c r="BA808" s="186"/>
      <c r="BB808" s="222"/>
      <c r="BC808" s="45"/>
      <c r="BD808" s="45"/>
      <c r="BE808" s="155"/>
      <c r="BF808" s="45"/>
    </row>
    <row r="809" ht="16.5" customHeight="1">
      <c r="A809" s="111">
        <v>806.0</v>
      </c>
      <c r="B809" s="112" t="s">
        <v>1726</v>
      </c>
      <c r="C809" s="115" t="s">
        <v>60</v>
      </c>
      <c r="D809" s="117">
        <v>42276.0</v>
      </c>
      <c r="E809" s="117">
        <v>42929.0</v>
      </c>
      <c r="F809" s="79" t="s">
        <v>305</v>
      </c>
      <c r="G809" s="118">
        <v>55201.0</v>
      </c>
      <c r="H809" s="114">
        <v>84.4</v>
      </c>
      <c r="I809" s="120">
        <v>425.0</v>
      </c>
      <c r="J809" s="111" t="s">
        <v>61</v>
      </c>
      <c r="K809" s="121">
        <v>430.38</v>
      </c>
      <c r="L809" s="120" t="s">
        <v>63</v>
      </c>
      <c r="M809" s="120"/>
      <c r="N809" s="120"/>
      <c r="O809" s="124">
        <v>55201.0</v>
      </c>
      <c r="P809" s="124">
        <v>654.0</v>
      </c>
      <c r="Q809" s="111">
        <v>233.0</v>
      </c>
      <c r="R809" s="125">
        <v>452.0</v>
      </c>
      <c r="S809" s="126">
        <v>0.9522</v>
      </c>
      <c r="T809" s="127">
        <v>77889.96</v>
      </c>
      <c r="U809" s="128">
        <f t="shared" si="2"/>
        <v>0</v>
      </c>
      <c r="V809" s="79" t="s">
        <v>64</v>
      </c>
      <c r="W809" s="79" t="s">
        <v>64</v>
      </c>
      <c r="X809" s="79" t="s">
        <v>69</v>
      </c>
      <c r="Y809" s="130">
        <v>0.8</v>
      </c>
      <c r="Z809" s="111">
        <v>11.0</v>
      </c>
      <c r="AA809" s="111">
        <v>432.0</v>
      </c>
      <c r="AB809" s="111" t="s">
        <v>61</v>
      </c>
      <c r="AC809" s="133"/>
      <c r="AD809" s="133"/>
      <c r="AE809" s="133"/>
      <c r="AF809" s="111"/>
      <c r="AG809" s="147"/>
      <c r="AH809" s="73"/>
      <c r="AI809" s="135"/>
      <c r="AJ809" s="136"/>
      <c r="AK809" s="76"/>
      <c r="AL809" s="137"/>
      <c r="AM809" s="139">
        <v>437.0</v>
      </c>
      <c r="AN809" s="139">
        <v>654.0</v>
      </c>
      <c r="AO809" s="140">
        <v>161.11</v>
      </c>
      <c r="AP809" s="142">
        <v>55201.0</v>
      </c>
      <c r="AQ809" s="142">
        <v>233.0</v>
      </c>
      <c r="AR809" s="143"/>
      <c r="AS809" s="144">
        <v>0.9545512680465024</v>
      </c>
      <c r="AT809" s="144">
        <v>-0.0023512680465023195</v>
      </c>
      <c r="AU809" s="146" t="s">
        <v>2627</v>
      </c>
      <c r="AV809" s="146" t="s">
        <v>2627</v>
      </c>
      <c r="AW809" s="148" t="s">
        <v>2627</v>
      </c>
      <c r="AX809" s="151"/>
      <c r="AY809" s="105"/>
      <c r="AZ809" s="186"/>
      <c r="BA809" s="186"/>
      <c r="BB809" s="222"/>
      <c r="BC809" s="45"/>
      <c r="BD809" s="45"/>
      <c r="BE809" s="155"/>
      <c r="BF809" s="45"/>
    </row>
    <row r="810" ht="16.5" customHeight="1">
      <c r="A810" s="111">
        <v>807.0</v>
      </c>
      <c r="B810" s="112" t="s">
        <v>1322</v>
      </c>
      <c r="C810" s="115" t="s">
        <v>60</v>
      </c>
      <c r="D810" s="117">
        <v>42110.0</v>
      </c>
      <c r="E810" s="117">
        <v>42929.0</v>
      </c>
      <c r="F810" s="79" t="s">
        <v>86</v>
      </c>
      <c r="G810" s="118">
        <v>169000.0</v>
      </c>
      <c r="H810" s="114">
        <v>206.1</v>
      </c>
      <c r="I810" s="120">
        <v>414.0</v>
      </c>
      <c r="J810" s="111" t="s">
        <v>62</v>
      </c>
      <c r="K810" s="121">
        <v>414.0</v>
      </c>
      <c r="L810" s="120" t="s">
        <v>63</v>
      </c>
      <c r="M810" s="120"/>
      <c r="N810" s="120"/>
      <c r="O810" s="124">
        <v>169000.0</v>
      </c>
      <c r="P810" s="124">
        <v>820.0</v>
      </c>
      <c r="Q810" s="111">
        <v>248.0</v>
      </c>
      <c r="R810" s="125">
        <v>430.0</v>
      </c>
      <c r="S810" s="126">
        <v>0.9628</v>
      </c>
      <c r="T810" s="127">
        <v>74617.0</v>
      </c>
      <c r="U810" s="128">
        <f t="shared" si="2"/>
        <v>0</v>
      </c>
      <c r="V810" s="79" t="s">
        <v>80</v>
      </c>
      <c r="W810" s="79" t="s">
        <v>65</v>
      </c>
      <c r="X810" s="79" t="s">
        <v>67</v>
      </c>
      <c r="Y810" s="130">
        <v>0.5</v>
      </c>
      <c r="Z810" s="111" t="s">
        <v>1941</v>
      </c>
      <c r="AA810" s="111">
        <v>404.0</v>
      </c>
      <c r="AB810" s="111" t="s">
        <v>62</v>
      </c>
      <c r="AC810" s="133"/>
      <c r="AD810" s="133"/>
      <c r="AE810" s="133"/>
      <c r="AF810" s="111"/>
      <c r="AG810" s="147"/>
      <c r="AH810" s="73"/>
      <c r="AI810" s="135"/>
      <c r="AJ810" s="136"/>
      <c r="AK810" s="76"/>
      <c r="AL810" s="137"/>
      <c r="AM810" s="139">
        <v>404.0</v>
      </c>
      <c r="AN810" s="139">
        <v>820.0</v>
      </c>
      <c r="AO810" s="140">
        <v>551.08</v>
      </c>
      <c r="AP810" s="142">
        <v>169000.0</v>
      </c>
      <c r="AQ810" s="142">
        <v>248.0</v>
      </c>
      <c r="AR810" s="143"/>
      <c r="AS810" s="144">
        <v>0.9338343771207475</v>
      </c>
      <c r="AT810" s="144">
        <v>0.02896562287925253</v>
      </c>
      <c r="AU810" s="146" t="s">
        <v>2628</v>
      </c>
      <c r="AV810" s="146" t="s">
        <v>2628</v>
      </c>
      <c r="AW810" s="148" t="s">
        <v>2628</v>
      </c>
      <c r="AX810" s="151"/>
      <c r="AY810" s="105"/>
      <c r="AZ810" s="186"/>
      <c r="BA810" s="186"/>
      <c r="BB810" s="222"/>
      <c r="BC810" s="45"/>
      <c r="BD810" s="45"/>
      <c r="BE810" s="155"/>
      <c r="BF810" s="45"/>
    </row>
    <row r="811" ht="16.5" customHeight="1">
      <c r="A811" s="111">
        <v>808.0</v>
      </c>
      <c r="B811" s="112" t="s">
        <v>1632</v>
      </c>
      <c r="C811" s="115" t="s">
        <v>60</v>
      </c>
      <c r="D811" s="117">
        <v>42473.0</v>
      </c>
      <c r="E811" s="117">
        <v>42938.0</v>
      </c>
      <c r="F811" s="79" t="s">
        <v>619</v>
      </c>
      <c r="G811" s="118">
        <v>19700.0</v>
      </c>
      <c r="H811" s="114">
        <v>42.3</v>
      </c>
      <c r="I811" s="120">
        <v>400.0</v>
      </c>
      <c r="J811" s="111" t="s">
        <v>61</v>
      </c>
      <c r="K811" s="121">
        <v>405.06</v>
      </c>
      <c r="L811" s="120" t="s">
        <v>63</v>
      </c>
      <c r="M811" s="120"/>
      <c r="N811" s="120"/>
      <c r="O811" s="124">
        <v>19700.0</v>
      </c>
      <c r="P811" s="124">
        <v>466.0</v>
      </c>
      <c r="Q811" s="111">
        <v>230.0</v>
      </c>
      <c r="R811" s="125">
        <v>417.0</v>
      </c>
      <c r="S811" s="126">
        <v>0.9714</v>
      </c>
      <c r="T811" s="127">
        <v>79460.52</v>
      </c>
      <c r="U811" s="128">
        <f t="shared" si="2"/>
        <v>0</v>
      </c>
      <c r="V811" s="79" t="s">
        <v>69</v>
      </c>
      <c r="W811" s="79" t="s">
        <v>69</v>
      </c>
      <c r="X811" s="79" t="s">
        <v>66</v>
      </c>
      <c r="Y811" s="130">
        <v>0.8</v>
      </c>
      <c r="Z811" s="111">
        <v>11.0</v>
      </c>
      <c r="AA811" s="111">
        <v>412.0</v>
      </c>
      <c r="AB811" s="111" t="s">
        <v>61</v>
      </c>
      <c r="AC811" s="133"/>
      <c r="AD811" s="133"/>
      <c r="AE811" s="133"/>
      <c r="AF811" s="111"/>
      <c r="AG811" s="147"/>
      <c r="AH811" s="73"/>
      <c r="AI811" s="135"/>
      <c r="AJ811" s="136"/>
      <c r="AK811" s="76"/>
      <c r="AL811" s="137"/>
      <c r="AM811" s="139">
        <v>417.0</v>
      </c>
      <c r="AN811" s="139">
        <v>466.0</v>
      </c>
      <c r="AO811" s="140">
        <v>56.21</v>
      </c>
      <c r="AP811" s="142">
        <v>19700.0</v>
      </c>
      <c r="AQ811" s="142">
        <v>230.0</v>
      </c>
      <c r="AR811" s="143"/>
      <c r="AS811" s="144">
        <v>0.9728587071101513</v>
      </c>
      <c r="AT811" s="144">
        <v>-0.0014587071101512805</v>
      </c>
      <c r="AU811" s="146" t="s">
        <v>2629</v>
      </c>
      <c r="AV811" s="146" t="s">
        <v>2629</v>
      </c>
      <c r="AW811" s="148" t="s">
        <v>2629</v>
      </c>
      <c r="AX811" s="151"/>
      <c r="AY811" s="105"/>
      <c r="AZ811" s="186"/>
      <c r="BA811" s="186"/>
      <c r="BB811" s="222"/>
      <c r="BC811" s="45"/>
      <c r="BD811" s="45"/>
      <c r="BE811" s="155"/>
      <c r="BF811" s="45"/>
    </row>
    <row r="812" ht="16.5" customHeight="1">
      <c r="A812" s="111">
        <v>809.0</v>
      </c>
      <c r="B812" s="112" t="s">
        <v>1634</v>
      </c>
      <c r="C812" s="115" t="s">
        <v>60</v>
      </c>
      <c r="D812" s="117">
        <v>41969.0</v>
      </c>
      <c r="E812" s="117">
        <v>42940.0</v>
      </c>
      <c r="F812" s="79" t="s">
        <v>59</v>
      </c>
      <c r="G812" s="118">
        <v>44471.0</v>
      </c>
      <c r="H812" s="114">
        <v>45.8</v>
      </c>
      <c r="I812" s="120">
        <v>385.0</v>
      </c>
      <c r="J812" s="111" t="s">
        <v>61</v>
      </c>
      <c r="K812" s="121">
        <v>389.87</v>
      </c>
      <c r="L812" s="120" t="s">
        <v>63</v>
      </c>
      <c r="M812" s="120"/>
      <c r="N812" s="120"/>
      <c r="O812" s="124">
        <v>44471.0</v>
      </c>
      <c r="P812" s="124">
        <v>972.0</v>
      </c>
      <c r="Q812" s="111">
        <v>221.0</v>
      </c>
      <c r="R812" s="125">
        <v>399.0</v>
      </c>
      <c r="S812" s="126">
        <v>0.9771</v>
      </c>
      <c r="T812" s="127">
        <v>75725.25</v>
      </c>
      <c r="U812" s="128">
        <f t="shared" si="2"/>
        <v>0</v>
      </c>
      <c r="V812" s="79" t="s">
        <v>65</v>
      </c>
      <c r="W812" s="79" t="s">
        <v>68</v>
      </c>
      <c r="X812" s="79" t="s">
        <v>68</v>
      </c>
      <c r="Y812" s="130">
        <v>0.8</v>
      </c>
      <c r="Z812" s="111">
        <v>22.0</v>
      </c>
      <c r="AA812" s="133"/>
      <c r="AB812" s="133"/>
      <c r="AC812" s="133"/>
      <c r="AD812" s="133"/>
      <c r="AE812" s="133"/>
      <c r="AF812" s="111"/>
      <c r="AG812" s="147"/>
      <c r="AH812" s="73"/>
      <c r="AI812" s="135"/>
      <c r="AJ812" s="136"/>
      <c r="AK812" s="76"/>
      <c r="AL812" s="137"/>
      <c r="AM812" s="139" t="s">
        <v>71</v>
      </c>
      <c r="AN812" s="139">
        <v>972.0</v>
      </c>
      <c r="AO812" s="140">
        <v>128.32</v>
      </c>
      <c r="AP812" s="142">
        <v>44471.0</v>
      </c>
      <c r="AQ812" s="142">
        <v>221.0</v>
      </c>
      <c r="AR812" s="143"/>
      <c r="AS812" s="144">
        <v>0.9581669117886716</v>
      </c>
      <c r="AT812" s="144">
        <v>0.01893308821132833</v>
      </c>
      <c r="AU812" s="146" t="s">
        <v>2630</v>
      </c>
      <c r="AV812" s="146" t="s">
        <v>2630</v>
      </c>
      <c r="AW812" s="148" t="s">
        <v>2630</v>
      </c>
      <c r="AX812" s="151"/>
      <c r="AY812" s="105"/>
      <c r="AZ812" s="186"/>
      <c r="BA812" s="186"/>
      <c r="BB812" s="222"/>
      <c r="BC812" s="45"/>
      <c r="BD812" s="45"/>
      <c r="BE812" s="155"/>
      <c r="BF812" s="45"/>
    </row>
    <row r="813" ht="16.5" customHeight="1">
      <c r="A813" s="111">
        <v>810.0</v>
      </c>
      <c r="B813" s="112" t="s">
        <v>1837</v>
      </c>
      <c r="C813" s="115" t="s">
        <v>60</v>
      </c>
      <c r="D813" s="117">
        <v>42789.0</v>
      </c>
      <c r="E813" s="117">
        <v>42936.0</v>
      </c>
      <c r="F813" s="79" t="s">
        <v>305</v>
      </c>
      <c r="G813" s="118">
        <v>13977.0</v>
      </c>
      <c r="H813" s="114">
        <v>94.4</v>
      </c>
      <c r="I813" s="120">
        <v>453.0</v>
      </c>
      <c r="J813" s="111" t="s">
        <v>61</v>
      </c>
      <c r="K813" s="121">
        <v>458.73</v>
      </c>
      <c r="L813" s="120" t="s">
        <v>63</v>
      </c>
      <c r="M813" s="120"/>
      <c r="N813" s="120"/>
      <c r="O813" s="124">
        <v>13977.0</v>
      </c>
      <c r="P813" s="124">
        <v>148.0</v>
      </c>
      <c r="Q813" s="111">
        <v>207.0</v>
      </c>
      <c r="R813" s="125">
        <v>452.0</v>
      </c>
      <c r="S813" s="126">
        <v>1.0149</v>
      </c>
      <c r="T813" s="127">
        <v>83018.81999999999</v>
      </c>
      <c r="U813" s="128">
        <f t="shared" si="2"/>
        <v>0</v>
      </c>
      <c r="V813" s="79" t="s">
        <v>65</v>
      </c>
      <c r="W813" s="79" t="s">
        <v>64</v>
      </c>
      <c r="X813" s="79" t="s">
        <v>69</v>
      </c>
      <c r="Y813" s="130">
        <v>0.9</v>
      </c>
      <c r="Z813" s="111">
        <v>11.0</v>
      </c>
      <c r="AA813" s="111">
        <v>460.0</v>
      </c>
      <c r="AB813" s="111" t="s">
        <v>61</v>
      </c>
      <c r="AC813" s="133"/>
      <c r="AD813" s="133"/>
      <c r="AE813" s="133"/>
      <c r="AF813" s="111"/>
      <c r="AG813" s="147"/>
      <c r="AH813" s="73"/>
      <c r="AI813" s="135"/>
      <c r="AJ813" s="136"/>
      <c r="AK813" s="76"/>
      <c r="AL813" s="137"/>
      <c r="AM813" s="139">
        <v>466.0</v>
      </c>
      <c r="AN813" s="139">
        <v>148.0</v>
      </c>
      <c r="AO813" s="140">
        <v>35.11</v>
      </c>
      <c r="AP813" s="142">
        <v>13977.0</v>
      </c>
      <c r="AQ813" s="142">
        <v>207.0</v>
      </c>
      <c r="AR813" s="143"/>
      <c r="AS813" s="144">
        <v>0.9786187944791355</v>
      </c>
      <c r="AT813" s="144">
        <v>0.036281205520864446</v>
      </c>
      <c r="AU813" s="146" t="s">
        <v>2631</v>
      </c>
      <c r="AV813" s="146" t="s">
        <v>2631</v>
      </c>
      <c r="AW813" s="148" t="s">
        <v>2631</v>
      </c>
      <c r="AX813" s="151"/>
      <c r="AY813" s="105"/>
      <c r="AZ813" s="186"/>
      <c r="BA813" s="186"/>
      <c r="BB813" s="222"/>
      <c r="BC813" s="45"/>
      <c r="BD813" s="45"/>
      <c r="BE813" s="155"/>
      <c r="BF813" s="45"/>
    </row>
    <row r="814" ht="16.5" customHeight="1">
      <c r="A814" s="111">
        <v>811.0</v>
      </c>
      <c r="B814" s="112" t="s">
        <v>1637</v>
      </c>
      <c r="C814" s="115" t="s">
        <v>60</v>
      </c>
      <c r="D814" s="117">
        <v>42235.0</v>
      </c>
      <c r="E814" s="117">
        <v>42936.0</v>
      </c>
      <c r="F814" s="79" t="s">
        <v>118</v>
      </c>
      <c r="G814" s="118">
        <v>100449.0</v>
      </c>
      <c r="H814" s="114">
        <v>143.1</v>
      </c>
      <c r="I814" s="120">
        <v>348.0</v>
      </c>
      <c r="J814" s="111" t="s">
        <v>61</v>
      </c>
      <c r="K814" s="121">
        <v>352.41</v>
      </c>
      <c r="L814" s="120" t="s">
        <v>63</v>
      </c>
      <c r="M814" s="120"/>
      <c r="N814" s="120"/>
      <c r="O814" s="124">
        <v>100449.0</v>
      </c>
      <c r="P814" s="124">
        <v>702.0</v>
      </c>
      <c r="Q814" s="111">
        <v>205.0</v>
      </c>
      <c r="R814" s="125">
        <v>365.0</v>
      </c>
      <c r="S814" s="126">
        <v>0.9655</v>
      </c>
      <c r="T814" s="127">
        <v>66426.40000000001</v>
      </c>
      <c r="U814" s="128">
        <f t="shared" si="2"/>
        <v>0</v>
      </c>
      <c r="V814" s="79" t="s">
        <v>67</v>
      </c>
      <c r="W814" s="79" t="s">
        <v>64</v>
      </c>
      <c r="X814" s="79" t="s">
        <v>69</v>
      </c>
      <c r="Y814" s="130">
        <v>0.8</v>
      </c>
      <c r="Z814" s="111">
        <v>11.0</v>
      </c>
      <c r="AA814" s="111">
        <v>360.0</v>
      </c>
      <c r="AB814" s="111" t="s">
        <v>61</v>
      </c>
      <c r="AC814" s="133"/>
      <c r="AD814" s="133"/>
      <c r="AE814" s="133"/>
      <c r="AF814" s="111"/>
      <c r="AG814" s="147"/>
      <c r="AH814" s="73"/>
      <c r="AI814" s="135"/>
      <c r="AJ814" s="136"/>
      <c r="AK814" s="76"/>
      <c r="AL814" s="137"/>
      <c r="AM814" s="139">
        <v>365.0</v>
      </c>
      <c r="AN814" s="139">
        <v>702.0</v>
      </c>
      <c r="AO814" s="140">
        <v>304.59</v>
      </c>
      <c r="AP814" s="142">
        <v>100449.0</v>
      </c>
      <c r="AQ814" s="142">
        <v>205.0</v>
      </c>
      <c r="AR814" s="143"/>
      <c r="AS814" s="144">
        <v>0.9448843846798282</v>
      </c>
      <c r="AT814" s="144">
        <v>0.020615615320171865</v>
      </c>
      <c r="AU814" s="146" t="s">
        <v>2632</v>
      </c>
      <c r="AV814" s="146" t="s">
        <v>2632</v>
      </c>
      <c r="AW814" s="148" t="s">
        <v>2632</v>
      </c>
      <c r="AX814" s="151"/>
      <c r="AY814" s="105"/>
      <c r="AZ814" s="186"/>
      <c r="BA814" s="186"/>
      <c r="BB814" s="222"/>
      <c r="BC814" s="45"/>
      <c r="BD814" s="45"/>
      <c r="BE814" s="155"/>
      <c r="BF814" s="45"/>
    </row>
    <row r="815" ht="16.5" customHeight="1">
      <c r="A815" s="111">
        <v>812.0</v>
      </c>
      <c r="B815" s="112" t="s">
        <v>1615</v>
      </c>
      <c r="C815" s="115" t="s">
        <v>60</v>
      </c>
      <c r="D815" s="117">
        <v>42545.0</v>
      </c>
      <c r="E815" s="117">
        <v>42944.0</v>
      </c>
      <c r="F815" s="79" t="s">
        <v>629</v>
      </c>
      <c r="G815" s="118">
        <v>32600.0</v>
      </c>
      <c r="H815" s="114">
        <v>81.5</v>
      </c>
      <c r="I815" s="120">
        <v>372.0</v>
      </c>
      <c r="J815" s="111" t="s">
        <v>62</v>
      </c>
      <c r="K815" s="121">
        <v>372.0</v>
      </c>
      <c r="L815" s="120" t="s">
        <v>63</v>
      </c>
      <c r="M815" s="120"/>
      <c r="N815" s="120"/>
      <c r="O815" s="124">
        <v>32600.0</v>
      </c>
      <c r="P815" s="124">
        <v>400.0</v>
      </c>
      <c r="Q815" s="111">
        <v>189.0</v>
      </c>
      <c r="R815" s="125">
        <v>386.0</v>
      </c>
      <c r="S815" s="126">
        <v>0.9637</v>
      </c>
      <c r="T815" s="127">
        <v>69964.62</v>
      </c>
      <c r="U815" s="128">
        <f t="shared" si="2"/>
        <v>0</v>
      </c>
      <c r="V815" s="79" t="s">
        <v>64</v>
      </c>
      <c r="W815" s="79" t="s">
        <v>69</v>
      </c>
      <c r="X815" s="79" t="s">
        <v>69</v>
      </c>
      <c r="Y815" s="130">
        <v>0.9</v>
      </c>
      <c r="Z815" s="111">
        <v>11.0</v>
      </c>
      <c r="AA815" s="111">
        <v>385.0</v>
      </c>
      <c r="AB815" s="111" t="s">
        <v>62</v>
      </c>
      <c r="AC815" s="111"/>
      <c r="AD815" s="133"/>
      <c r="AE815" s="133"/>
      <c r="AF815" s="111"/>
      <c r="AG815" s="147"/>
      <c r="AH815" s="73"/>
      <c r="AI815" s="135"/>
      <c r="AJ815" s="136"/>
      <c r="AK815" s="76"/>
      <c r="AL815" s="137"/>
      <c r="AM815" s="139">
        <v>385.0</v>
      </c>
      <c r="AN815" s="139">
        <v>400.0</v>
      </c>
      <c r="AO815" s="140">
        <v>86.45</v>
      </c>
      <c r="AP815" s="142">
        <v>32600.0</v>
      </c>
      <c r="AQ815" s="142">
        <v>189.0</v>
      </c>
      <c r="AR815" s="143"/>
      <c r="AS815" s="144">
        <v>0.9636856969711638</v>
      </c>
      <c r="AT815" s="144">
        <v>1.430302883620449E-5</v>
      </c>
      <c r="AU815" s="146" t="s">
        <v>2633</v>
      </c>
      <c r="AV815" s="146" t="s">
        <v>2633</v>
      </c>
      <c r="AW815" s="148" t="s">
        <v>2633</v>
      </c>
      <c r="AX815" s="151"/>
      <c r="AY815" s="105"/>
      <c r="AZ815" s="186"/>
      <c r="BA815" s="186"/>
      <c r="BB815" s="222"/>
      <c r="BC815" s="45"/>
      <c r="BD815" s="45"/>
      <c r="BE815" s="155"/>
      <c r="BF815" s="45"/>
    </row>
    <row r="816" ht="16.5" customHeight="1">
      <c r="A816" s="111">
        <v>813.0</v>
      </c>
      <c r="B816" s="112" t="s">
        <v>1833</v>
      </c>
      <c r="C816" s="115" t="s">
        <v>60</v>
      </c>
      <c r="D816" s="117">
        <v>41729.0</v>
      </c>
      <c r="E816" s="117">
        <v>42945.0</v>
      </c>
      <c r="F816" s="79" t="s">
        <v>59</v>
      </c>
      <c r="G816" s="118">
        <v>78372.0</v>
      </c>
      <c r="H816" s="114">
        <v>64.4</v>
      </c>
      <c r="I816" s="120">
        <v>378.0</v>
      </c>
      <c r="J816" s="111" t="s">
        <v>61</v>
      </c>
      <c r="K816" s="121">
        <v>382.78</v>
      </c>
      <c r="L816" s="120" t="s">
        <v>63</v>
      </c>
      <c r="M816" s="120"/>
      <c r="N816" s="120"/>
      <c r="O816" s="124">
        <v>78372.0</v>
      </c>
      <c r="P816" s="124">
        <v>1217.0</v>
      </c>
      <c r="Q816" s="111">
        <v>215.0</v>
      </c>
      <c r="R816" s="125">
        <v>399.0</v>
      </c>
      <c r="S816" s="126">
        <v>0.9593</v>
      </c>
      <c r="T816" s="127">
        <v>74345.75</v>
      </c>
      <c r="U816" s="128">
        <f t="shared" si="2"/>
        <v>0</v>
      </c>
      <c r="V816" s="79" t="s">
        <v>69</v>
      </c>
      <c r="W816" s="79" t="s">
        <v>69</v>
      </c>
      <c r="X816" s="79" t="s">
        <v>68</v>
      </c>
      <c r="Y816" s="130">
        <v>0.7</v>
      </c>
      <c r="Z816" s="111">
        <v>18.0</v>
      </c>
      <c r="AA816" s="111">
        <v>404.0</v>
      </c>
      <c r="AB816" s="111" t="s">
        <v>62</v>
      </c>
      <c r="AC816" s="133"/>
      <c r="AD816" s="133"/>
      <c r="AE816" s="133"/>
      <c r="AF816" s="111"/>
      <c r="AG816" s="147"/>
      <c r="AH816" s="73"/>
      <c r="AI816" s="135"/>
      <c r="AJ816" s="136"/>
      <c r="AK816" s="76"/>
      <c r="AL816" s="137"/>
      <c r="AM816" s="139">
        <v>404.0</v>
      </c>
      <c r="AN816" s="139">
        <v>1217.0</v>
      </c>
      <c r="AO816" s="140">
        <v>221.99</v>
      </c>
      <c r="AP816" s="142">
        <v>78372.0</v>
      </c>
      <c r="AQ816" s="142">
        <v>215.0</v>
      </c>
      <c r="AR816" s="143"/>
      <c r="AS816" s="144">
        <v>0.9489734829693004</v>
      </c>
      <c r="AT816" s="144">
        <v>0.010326517030699645</v>
      </c>
      <c r="AU816" s="146" t="s">
        <v>2634</v>
      </c>
      <c r="AV816" s="146" t="s">
        <v>2634</v>
      </c>
      <c r="AW816" s="148" t="s">
        <v>2634</v>
      </c>
      <c r="AX816" s="151"/>
      <c r="AY816" s="105"/>
      <c r="AZ816" s="186"/>
      <c r="BA816" s="186"/>
      <c r="BB816" s="222"/>
      <c r="BC816" s="45"/>
      <c r="BD816" s="45"/>
      <c r="BE816" s="155"/>
      <c r="BF816" s="45"/>
    </row>
    <row r="817" ht="16.5" customHeight="1">
      <c r="A817" s="111">
        <v>814.0</v>
      </c>
      <c r="B817" s="112" t="s">
        <v>1884</v>
      </c>
      <c r="C817" s="115" t="s">
        <v>60</v>
      </c>
      <c r="D817" s="117">
        <v>42899.0</v>
      </c>
      <c r="E817" s="117">
        <v>42945.0</v>
      </c>
      <c r="F817" s="79" t="s">
        <v>629</v>
      </c>
      <c r="G817" s="118">
        <v>7500.0</v>
      </c>
      <c r="H817" s="114">
        <v>159.6</v>
      </c>
      <c r="I817" s="120">
        <v>373.0</v>
      </c>
      <c r="J817" s="111" t="s">
        <v>61</v>
      </c>
      <c r="K817" s="121">
        <v>377.72</v>
      </c>
      <c r="L817" s="120" t="s">
        <v>63</v>
      </c>
      <c r="M817" s="120"/>
      <c r="N817" s="120"/>
      <c r="O817" s="124">
        <v>7500.0</v>
      </c>
      <c r="P817" s="124">
        <v>47.0</v>
      </c>
      <c r="Q817" s="111">
        <v>192.0</v>
      </c>
      <c r="R817" s="125">
        <v>386.0</v>
      </c>
      <c r="S817" s="126">
        <v>0.9785</v>
      </c>
      <c r="T817" s="127">
        <v>71039.1</v>
      </c>
      <c r="U817" s="128">
        <f t="shared" si="2"/>
        <v>0</v>
      </c>
      <c r="V817" s="79" t="s">
        <v>64</v>
      </c>
      <c r="W817" s="79" t="s">
        <v>69</v>
      </c>
      <c r="X817" s="79" t="s">
        <v>68</v>
      </c>
      <c r="Y817" s="130">
        <v>0.8</v>
      </c>
      <c r="Z817" s="111">
        <v>11.0</v>
      </c>
      <c r="AA817" s="111">
        <v>373.0</v>
      </c>
      <c r="AB817" s="111" t="s">
        <v>61</v>
      </c>
      <c r="AC817" s="133"/>
      <c r="AD817" s="133"/>
      <c r="AE817" s="133"/>
      <c r="AF817" s="111"/>
      <c r="AG817" s="147"/>
      <c r="AH817" s="73"/>
      <c r="AI817" s="135"/>
      <c r="AJ817" s="136"/>
      <c r="AK817" s="76"/>
      <c r="AL817" s="137"/>
      <c r="AM817" s="139">
        <v>378.0</v>
      </c>
      <c r="AN817" s="139">
        <v>47.0</v>
      </c>
      <c r="AO817" s="140">
        <v>20.05</v>
      </c>
      <c r="AP817" s="142">
        <v>7500.0</v>
      </c>
      <c r="AQ817" s="142">
        <v>192.0</v>
      </c>
      <c r="AR817" s="143"/>
      <c r="AS817" s="144">
        <v>0.9869799233194609</v>
      </c>
      <c r="AT817" s="144">
        <v>-0.008479923319460902</v>
      </c>
      <c r="AU817" s="146" t="s">
        <v>2635</v>
      </c>
      <c r="AV817" s="146" t="s">
        <v>2635</v>
      </c>
      <c r="AW817" s="148" t="s">
        <v>2635</v>
      </c>
      <c r="AX817" s="151"/>
      <c r="AY817" s="105"/>
      <c r="AZ817" s="186"/>
      <c r="BA817" s="186"/>
      <c r="BB817" s="222"/>
      <c r="BC817" s="45"/>
      <c r="BD817" s="45"/>
      <c r="BE817" s="155"/>
      <c r="BF817" s="45"/>
    </row>
    <row r="818" ht="16.5" customHeight="1">
      <c r="A818" s="111">
        <v>815.0</v>
      </c>
      <c r="B818" s="112" t="s">
        <v>1663</v>
      </c>
      <c r="C818" s="115" t="s">
        <v>60</v>
      </c>
      <c r="D818" s="117">
        <v>42180.0</v>
      </c>
      <c r="E818" s="117">
        <v>42948.0</v>
      </c>
      <c r="F818" s="79" t="s">
        <v>59</v>
      </c>
      <c r="G818" s="118">
        <v>145128.0</v>
      </c>
      <c r="H818" s="114">
        <v>188.7</v>
      </c>
      <c r="I818" s="120">
        <v>370.0</v>
      </c>
      <c r="J818" s="111" t="s">
        <v>62</v>
      </c>
      <c r="K818" s="121">
        <v>370.0</v>
      </c>
      <c r="L818" s="120" t="s">
        <v>63</v>
      </c>
      <c r="M818" s="120"/>
      <c r="N818" s="120"/>
      <c r="O818" s="124">
        <v>145128.0</v>
      </c>
      <c r="P818" s="124">
        <v>769.0</v>
      </c>
      <c r="Q818" s="111">
        <v>227.0</v>
      </c>
      <c r="R818" s="125">
        <v>399.0</v>
      </c>
      <c r="S818" s="126">
        <v>0.9273</v>
      </c>
      <c r="T818" s="127">
        <v>71865.75</v>
      </c>
      <c r="U818" s="128">
        <f t="shared" si="2"/>
        <v>0</v>
      </c>
      <c r="V818" s="79" t="s">
        <v>67</v>
      </c>
      <c r="W818" s="79" t="s">
        <v>64</v>
      </c>
      <c r="X818" s="79" t="s">
        <v>65</v>
      </c>
      <c r="Y818" s="130">
        <v>0.9</v>
      </c>
      <c r="Z818" s="111">
        <v>22.0</v>
      </c>
      <c r="AA818" s="133"/>
      <c r="AB818" s="133"/>
      <c r="AC818" s="133"/>
      <c r="AD818" s="133"/>
      <c r="AE818" s="133"/>
      <c r="AF818" s="111"/>
      <c r="AG818" s="147"/>
      <c r="AH818" s="73"/>
      <c r="AI818" s="135"/>
      <c r="AJ818" s="136"/>
      <c r="AK818" s="76"/>
      <c r="AL818" s="137"/>
      <c r="AM818" s="139" t="s">
        <v>71</v>
      </c>
      <c r="AN818" s="139">
        <v>769.0</v>
      </c>
      <c r="AO818" s="140">
        <v>441.15</v>
      </c>
      <c r="AP818" s="142">
        <v>145128.0</v>
      </c>
      <c r="AQ818" s="142">
        <v>227.0</v>
      </c>
      <c r="AR818" s="143"/>
      <c r="AS818" s="144">
        <v>0.937594542353421</v>
      </c>
      <c r="AT818" s="144">
        <v>-0.010294542353420977</v>
      </c>
      <c r="AU818" s="146" t="s">
        <v>2636</v>
      </c>
      <c r="AV818" s="146" t="s">
        <v>2636</v>
      </c>
      <c r="AW818" s="148" t="s">
        <v>2636</v>
      </c>
      <c r="AX818" s="151"/>
      <c r="AY818" s="105"/>
      <c r="AZ818" s="186"/>
      <c r="BA818" s="186"/>
      <c r="BB818" s="222"/>
      <c r="BC818" s="45"/>
      <c r="BD818" s="45"/>
      <c r="BE818" s="155"/>
      <c r="BF818" s="45"/>
    </row>
    <row r="819" ht="16.5" customHeight="1">
      <c r="A819" s="111">
        <v>816.0</v>
      </c>
      <c r="B819" s="112" t="s">
        <v>1757</v>
      </c>
      <c r="C819" s="115" t="s">
        <v>60</v>
      </c>
      <c r="D819" s="117">
        <v>42621.0</v>
      </c>
      <c r="E819" s="117">
        <v>42950.0</v>
      </c>
      <c r="F819" s="79" t="s">
        <v>118</v>
      </c>
      <c r="G819" s="118">
        <v>42193.0</v>
      </c>
      <c r="H819" s="114">
        <v>127.9</v>
      </c>
      <c r="I819" s="120">
        <v>342.04</v>
      </c>
      <c r="J819" s="111" t="s">
        <v>61</v>
      </c>
      <c r="K819" s="121">
        <v>346.37</v>
      </c>
      <c r="L819" s="120" t="s">
        <v>63</v>
      </c>
      <c r="M819" s="120"/>
      <c r="N819" s="120"/>
      <c r="O819" s="124">
        <v>42193.0</v>
      </c>
      <c r="P819" s="124">
        <v>330.0</v>
      </c>
      <c r="Q819" s="111">
        <v>205.0</v>
      </c>
      <c r="R819" s="125">
        <v>365.0</v>
      </c>
      <c r="S819" s="126">
        <v>0.949</v>
      </c>
      <c r="T819" s="127">
        <v>65291.2</v>
      </c>
      <c r="U819" s="128">
        <f t="shared" si="2"/>
        <v>0</v>
      </c>
      <c r="V819" s="79" t="s">
        <v>127</v>
      </c>
      <c r="W819" s="79" t="s">
        <v>69</v>
      </c>
      <c r="X819" s="79" t="s">
        <v>68</v>
      </c>
      <c r="Y819" s="130">
        <v>0.9</v>
      </c>
      <c r="Z819" s="111">
        <v>11.0</v>
      </c>
      <c r="AA819" s="111">
        <v>360.0</v>
      </c>
      <c r="AB819" s="111" t="s">
        <v>61</v>
      </c>
      <c r="AC819" s="133"/>
      <c r="AD819" s="133"/>
      <c r="AE819" s="133"/>
      <c r="AF819" s="111"/>
      <c r="AG819" s="147"/>
      <c r="AH819" s="73"/>
      <c r="AI819" s="135"/>
      <c r="AJ819" s="136"/>
      <c r="AK819" s="76"/>
      <c r="AL819" s="137"/>
      <c r="AM819" s="139">
        <v>365.0</v>
      </c>
      <c r="AN819" s="139">
        <v>330.0</v>
      </c>
      <c r="AO819" s="140">
        <v>129.03</v>
      </c>
      <c r="AP819" s="142">
        <v>42193.0</v>
      </c>
      <c r="AQ819" s="142">
        <v>205.0</v>
      </c>
      <c r="AR819" s="143"/>
      <c r="AS819" s="144">
        <v>0.9590766209551328</v>
      </c>
      <c r="AT819" s="144">
        <v>-0.010076620955132842</v>
      </c>
      <c r="AU819" s="146" t="s">
        <v>2637</v>
      </c>
      <c r="AV819" s="146" t="s">
        <v>2637</v>
      </c>
      <c r="AW819" s="148" t="s">
        <v>2637</v>
      </c>
      <c r="AX819" s="151"/>
      <c r="AY819" s="105"/>
      <c r="AZ819" s="186"/>
      <c r="BA819" s="186"/>
      <c r="BB819" s="222"/>
      <c r="BC819" s="45"/>
      <c r="BD819" s="45"/>
      <c r="BE819" s="155"/>
      <c r="BF819" s="45"/>
    </row>
    <row r="820" ht="16.5" customHeight="1">
      <c r="A820" s="111">
        <v>817.0</v>
      </c>
      <c r="B820" s="112" t="s">
        <v>1695</v>
      </c>
      <c r="C820" s="115" t="s">
        <v>60</v>
      </c>
      <c r="D820" s="117">
        <v>41563.0</v>
      </c>
      <c r="E820" s="117">
        <v>42950.0</v>
      </c>
      <c r="F820" s="970" t="s">
        <v>57</v>
      </c>
      <c r="G820" s="118">
        <v>68900.0</v>
      </c>
      <c r="H820" s="114">
        <v>49.6</v>
      </c>
      <c r="I820" s="120">
        <v>380.0</v>
      </c>
      <c r="J820" s="111" t="s">
        <v>61</v>
      </c>
      <c r="K820" s="121">
        <v>384.81</v>
      </c>
      <c r="L820" s="120" t="s">
        <v>63</v>
      </c>
      <c r="M820" s="120"/>
      <c r="N820" s="120"/>
      <c r="O820" s="124">
        <v>68900.0</v>
      </c>
      <c r="P820" s="124">
        <v>1388.0</v>
      </c>
      <c r="Q820" s="111">
        <v>227.0</v>
      </c>
      <c r="R820" s="125">
        <v>399.0</v>
      </c>
      <c r="S820" s="126">
        <v>0.9644</v>
      </c>
      <c r="T820" s="127">
        <v>74741.0</v>
      </c>
      <c r="U820" s="128">
        <f t="shared" si="2"/>
        <v>0</v>
      </c>
      <c r="V820" s="79" t="s">
        <v>66</v>
      </c>
      <c r="W820" s="79" t="s">
        <v>66</v>
      </c>
      <c r="X820" s="79" t="s">
        <v>66</v>
      </c>
      <c r="Y820" s="130">
        <v>0.7</v>
      </c>
      <c r="Z820" s="111">
        <v>20.0</v>
      </c>
      <c r="AA820" s="111">
        <v>400.0</v>
      </c>
      <c r="AB820" s="111" t="s">
        <v>62</v>
      </c>
      <c r="AC820" s="133"/>
      <c r="AD820" s="133"/>
      <c r="AE820" s="133"/>
      <c r="AF820" s="111"/>
      <c r="AG820" s="147"/>
      <c r="AH820" s="73"/>
      <c r="AI820" s="135"/>
      <c r="AJ820" s="136"/>
      <c r="AK820" s="76"/>
      <c r="AL820" s="137"/>
      <c r="AM820" s="139">
        <v>400.0</v>
      </c>
      <c r="AN820" s="139">
        <v>1388.0</v>
      </c>
      <c r="AO820" s="140">
        <v>205.53</v>
      </c>
      <c r="AP820" s="142">
        <v>68900.0</v>
      </c>
      <c r="AQ820" s="142">
        <v>227.0</v>
      </c>
      <c r="AR820" s="143"/>
      <c r="AS820" s="144">
        <v>0.9510096328178119</v>
      </c>
      <c r="AT820" s="144">
        <v>0.013390367182188112</v>
      </c>
      <c r="AU820" s="146" t="s">
        <v>2638</v>
      </c>
      <c r="AV820" s="146" t="s">
        <v>2638</v>
      </c>
      <c r="AW820" s="148" t="s">
        <v>2638</v>
      </c>
      <c r="AX820" s="151"/>
      <c r="AY820" s="105"/>
      <c r="AZ820" s="186"/>
      <c r="BA820" s="186"/>
      <c r="BB820" s="222"/>
      <c r="BC820" s="45"/>
      <c r="BD820" s="45"/>
      <c r="BE820" s="155"/>
      <c r="BF820" s="45"/>
    </row>
    <row r="821" ht="16.5" customHeight="1">
      <c r="A821" s="111">
        <v>818.0</v>
      </c>
      <c r="B821" s="971" t="s">
        <v>761</v>
      </c>
      <c r="C821" s="972" t="s">
        <v>60</v>
      </c>
      <c r="D821" s="973">
        <v>42097.0</v>
      </c>
      <c r="E821" s="974">
        <v>42951.0</v>
      </c>
      <c r="F821" s="975" t="s">
        <v>90</v>
      </c>
      <c r="G821" s="976">
        <v>46881.0</v>
      </c>
      <c r="H821" s="114">
        <v>54.8</v>
      </c>
      <c r="I821" s="120">
        <v>390.0</v>
      </c>
      <c r="J821" s="111" t="s">
        <v>62</v>
      </c>
      <c r="K821" s="121">
        <v>390.0</v>
      </c>
      <c r="L821" s="120" t="s">
        <v>63</v>
      </c>
      <c r="M821" s="120"/>
      <c r="N821" s="120"/>
      <c r="O821" s="124">
        <v>46881.0</v>
      </c>
      <c r="P821" s="124">
        <v>855.0</v>
      </c>
      <c r="Q821" s="111">
        <v>232.0</v>
      </c>
      <c r="R821" s="125">
        <v>408.0</v>
      </c>
      <c r="S821" s="126">
        <v>0.9559</v>
      </c>
      <c r="T821" s="127">
        <v>74082.25</v>
      </c>
      <c r="U821" s="128">
        <f t="shared" si="2"/>
        <v>0</v>
      </c>
      <c r="V821" s="636" t="s">
        <v>65</v>
      </c>
      <c r="W821" s="691" t="s">
        <v>64</v>
      </c>
      <c r="X821" s="691" t="s">
        <v>66</v>
      </c>
      <c r="Y821" s="130">
        <v>0.7</v>
      </c>
      <c r="Z821" s="693">
        <v>11.0</v>
      </c>
      <c r="AA821" s="202">
        <v>406.0</v>
      </c>
      <c r="AB821" s="202" t="s">
        <v>62</v>
      </c>
      <c r="AC821" s="133"/>
      <c r="AD821" s="133"/>
      <c r="AE821" s="133"/>
      <c r="AF821" s="111"/>
      <c r="AG821" s="134" t="s">
        <v>1899</v>
      </c>
      <c r="AH821" s="73"/>
      <c r="AI821" s="135"/>
      <c r="AJ821" s="136"/>
      <c r="AK821" s="76"/>
      <c r="AL821" s="137"/>
      <c r="AM821" s="139">
        <v>406.0</v>
      </c>
      <c r="AN821" s="139">
        <v>855.0</v>
      </c>
      <c r="AO821" s="140">
        <v>143.54</v>
      </c>
      <c r="AP821" s="142">
        <v>46881.0</v>
      </c>
      <c r="AQ821" s="142">
        <v>232.0</v>
      </c>
      <c r="AR821" s="143"/>
      <c r="AS821" s="144">
        <v>0.9572657658942382</v>
      </c>
      <c r="AT821" s="144">
        <v>-0.0013657658942382023</v>
      </c>
      <c r="AU821" s="146" t="s">
        <v>2639</v>
      </c>
      <c r="AV821" s="146" t="s">
        <v>2639</v>
      </c>
      <c r="AW821" s="148" t="s">
        <v>2639</v>
      </c>
      <c r="AX821" s="151"/>
      <c r="AY821" s="105"/>
      <c r="AZ821" s="186"/>
      <c r="BA821" s="186"/>
      <c r="BB821" s="222"/>
      <c r="BC821" s="45"/>
      <c r="BD821" s="45"/>
      <c r="BE821" s="155"/>
      <c r="BF821" s="45"/>
    </row>
    <row r="822" ht="16.5" customHeight="1">
      <c r="A822" s="111">
        <v>819.0</v>
      </c>
      <c r="B822" s="971" t="s">
        <v>761</v>
      </c>
      <c r="C822" s="972" t="s">
        <v>60</v>
      </c>
      <c r="D822" s="973">
        <v>42097.0</v>
      </c>
      <c r="E822" s="974">
        <v>42955.0</v>
      </c>
      <c r="F822" s="975" t="s">
        <v>90</v>
      </c>
      <c r="G822" s="976">
        <v>46975.0</v>
      </c>
      <c r="H822" s="114">
        <v>54.7</v>
      </c>
      <c r="I822" s="120">
        <v>389.0</v>
      </c>
      <c r="J822" s="111" t="s">
        <v>62</v>
      </c>
      <c r="K822" s="121">
        <v>389.0</v>
      </c>
      <c r="L822" s="120" t="s">
        <v>63</v>
      </c>
      <c r="M822" s="120"/>
      <c r="N822" s="120"/>
      <c r="O822" s="124">
        <v>46975.0</v>
      </c>
      <c r="P822" s="124">
        <v>859.0</v>
      </c>
      <c r="Q822" s="111">
        <v>232.0</v>
      </c>
      <c r="R822" s="125">
        <v>408.0</v>
      </c>
      <c r="S822" s="126">
        <v>0.9534</v>
      </c>
      <c r="T822" s="127">
        <v>73888.5</v>
      </c>
      <c r="U822" s="128">
        <f t="shared" si="2"/>
        <v>0</v>
      </c>
      <c r="V822" s="636" t="s">
        <v>65</v>
      </c>
      <c r="W822" s="691" t="s">
        <v>64</v>
      </c>
      <c r="X822" s="691" t="s">
        <v>66</v>
      </c>
      <c r="Y822" s="130">
        <v>0.7</v>
      </c>
      <c r="Z822" s="693">
        <v>11.0</v>
      </c>
      <c r="AA822" s="202">
        <v>406.0</v>
      </c>
      <c r="AB822" s="202" t="s">
        <v>62</v>
      </c>
      <c r="AC822" s="133"/>
      <c r="AD822" s="133"/>
      <c r="AE822" s="133"/>
      <c r="AF822" s="111"/>
      <c r="AG822" s="134" t="s">
        <v>1899</v>
      </c>
      <c r="AH822" s="73"/>
      <c r="AI822" s="135"/>
      <c r="AJ822" s="136"/>
      <c r="AK822" s="76"/>
      <c r="AL822" s="137"/>
      <c r="AM822" s="139">
        <v>406.0</v>
      </c>
      <c r="AN822" s="139">
        <v>859.0</v>
      </c>
      <c r="AO822" s="140">
        <v>144.01</v>
      </c>
      <c r="AP822" s="142">
        <v>46975.0</v>
      </c>
      <c r="AQ822" s="142">
        <v>232.0</v>
      </c>
      <c r="AR822" s="143"/>
      <c r="AS822" s="144">
        <v>0.957231800836115</v>
      </c>
      <c r="AT822" s="144">
        <v>-0.003831800836115007</v>
      </c>
      <c r="AU822" s="146" t="s">
        <v>2640</v>
      </c>
      <c r="AV822" s="146" t="s">
        <v>2640</v>
      </c>
      <c r="AW822" s="148" t="s">
        <v>2640</v>
      </c>
      <c r="AX822" s="151"/>
      <c r="AY822" s="105"/>
      <c r="AZ822" s="186"/>
      <c r="BA822" s="186"/>
      <c r="BB822" s="222"/>
      <c r="BC822" s="45"/>
      <c r="BD822" s="45"/>
      <c r="BE822" s="155"/>
      <c r="BF822" s="45"/>
    </row>
    <row r="823" ht="16.5" customHeight="1">
      <c r="A823" s="111">
        <v>820.0</v>
      </c>
      <c r="B823" s="112" t="s">
        <v>1716</v>
      </c>
      <c r="C823" s="115" t="s">
        <v>60</v>
      </c>
      <c r="D823" s="117">
        <v>41675.0</v>
      </c>
      <c r="E823" s="117">
        <v>42955.0</v>
      </c>
      <c r="F823" s="79" t="s">
        <v>59</v>
      </c>
      <c r="G823" s="118">
        <v>74181.0</v>
      </c>
      <c r="H823" s="114">
        <v>57.9</v>
      </c>
      <c r="I823" s="120">
        <v>380.0</v>
      </c>
      <c r="J823" s="111" t="s">
        <v>61</v>
      </c>
      <c r="K823" s="121">
        <v>384.81</v>
      </c>
      <c r="L823" s="120" t="s">
        <v>63</v>
      </c>
      <c r="M823" s="120"/>
      <c r="N823" s="120"/>
      <c r="O823" s="124">
        <v>74181.0</v>
      </c>
      <c r="P823" s="124">
        <v>1281.0</v>
      </c>
      <c r="Q823" s="111">
        <v>233.0</v>
      </c>
      <c r="R823" s="125">
        <v>399.0</v>
      </c>
      <c r="S823" s="126">
        <v>0.9644</v>
      </c>
      <c r="T823" s="127">
        <v>74741.0</v>
      </c>
      <c r="U823" s="128">
        <f t="shared" si="2"/>
        <v>0</v>
      </c>
      <c r="V823" s="79" t="s">
        <v>65</v>
      </c>
      <c r="W823" s="79" t="s">
        <v>64</v>
      </c>
      <c r="X823" s="79" t="s">
        <v>68</v>
      </c>
      <c r="Y823" s="130">
        <v>0.7</v>
      </c>
      <c r="Z823" s="111">
        <v>22.0</v>
      </c>
      <c r="AA823" s="111"/>
      <c r="AB823" s="111" t="s">
        <v>61</v>
      </c>
      <c r="AC823" s="133"/>
      <c r="AD823" s="133"/>
      <c r="AE823" s="133"/>
      <c r="AF823" s="111"/>
      <c r="AG823" s="134"/>
      <c r="AH823" s="73"/>
      <c r="AI823" s="135"/>
      <c r="AJ823" s="136"/>
      <c r="AK823" s="76"/>
      <c r="AL823" s="137"/>
      <c r="AM823" s="139" t="s">
        <v>71</v>
      </c>
      <c r="AN823" s="139">
        <v>1281.0</v>
      </c>
      <c r="AO823" s="140">
        <v>227.12</v>
      </c>
      <c r="AP823" s="142">
        <v>74181.0</v>
      </c>
      <c r="AQ823" s="142">
        <v>233.0</v>
      </c>
      <c r="AR823" s="143"/>
      <c r="AS823" s="144">
        <v>0.9498441731041011</v>
      </c>
      <c r="AT823" s="144">
        <v>0.01455582689589896</v>
      </c>
      <c r="AU823" s="146" t="s">
        <v>2641</v>
      </c>
      <c r="AV823" s="146" t="s">
        <v>2641</v>
      </c>
      <c r="AW823" s="148" t="s">
        <v>2641</v>
      </c>
      <c r="AX823" s="151"/>
      <c r="AY823" s="105"/>
      <c r="AZ823" s="186"/>
      <c r="BA823" s="186"/>
      <c r="BB823" s="222"/>
      <c r="BC823" s="45"/>
      <c r="BD823" s="45"/>
      <c r="BE823" s="155"/>
      <c r="BF823" s="45"/>
    </row>
    <row r="824" ht="16.5" customHeight="1">
      <c r="A824" s="111">
        <v>821.0</v>
      </c>
      <c r="B824" s="112" t="s">
        <v>1807</v>
      </c>
      <c r="C824" s="115" t="s">
        <v>60</v>
      </c>
      <c r="D824" s="117">
        <v>42180.0</v>
      </c>
      <c r="E824" s="117">
        <v>42957.0</v>
      </c>
      <c r="F824" s="79" t="s">
        <v>86</v>
      </c>
      <c r="G824" s="118">
        <v>114321.0</v>
      </c>
      <c r="H824" s="114">
        <v>146.9</v>
      </c>
      <c r="I824" s="120">
        <v>408.0</v>
      </c>
      <c r="J824" s="111" t="s">
        <v>61</v>
      </c>
      <c r="K824" s="121">
        <v>413.16</v>
      </c>
      <c r="L824" s="120" t="s">
        <v>63</v>
      </c>
      <c r="M824" s="120"/>
      <c r="N824" s="120"/>
      <c r="O824" s="124">
        <v>114321.0</v>
      </c>
      <c r="P824" s="124">
        <v>778.0</v>
      </c>
      <c r="Q824" s="111">
        <v>230.0</v>
      </c>
      <c r="R824" s="125">
        <v>430.0</v>
      </c>
      <c r="S824" s="126">
        <v>0.9608</v>
      </c>
      <c r="T824" s="127">
        <v>74462.0</v>
      </c>
      <c r="U824" s="128">
        <f t="shared" si="2"/>
        <v>0</v>
      </c>
      <c r="V824" s="79" t="s">
        <v>65</v>
      </c>
      <c r="W824" s="79" t="s">
        <v>69</v>
      </c>
      <c r="X824" s="79" t="s">
        <v>69</v>
      </c>
      <c r="Y824" s="130">
        <v>0.9</v>
      </c>
      <c r="Z824" s="111">
        <v>22.0</v>
      </c>
      <c r="AA824" s="111">
        <v>405.0</v>
      </c>
      <c r="AB824" s="111" t="s">
        <v>61</v>
      </c>
      <c r="AC824" s="133"/>
      <c r="AD824" s="133"/>
      <c r="AE824" s="133"/>
      <c r="AF824" s="111"/>
      <c r="AG824" s="147"/>
      <c r="AH824" s="73"/>
      <c r="AI824" s="135"/>
      <c r="AJ824" s="136"/>
      <c r="AK824" s="76"/>
      <c r="AL824" s="137"/>
      <c r="AM824" s="139">
        <v>410.0</v>
      </c>
      <c r="AN824" s="139">
        <v>778.0</v>
      </c>
      <c r="AO824" s="140">
        <v>346.09</v>
      </c>
      <c r="AP824" s="142">
        <v>114321.0</v>
      </c>
      <c r="AQ824" s="142">
        <v>230.0</v>
      </c>
      <c r="AR824" s="143"/>
      <c r="AS824" s="144">
        <v>0.9425488026900739</v>
      </c>
      <c r="AT824" s="144">
        <v>0.01825119730992608</v>
      </c>
      <c r="AU824" s="146" t="s">
        <v>2642</v>
      </c>
      <c r="AV824" s="146" t="s">
        <v>2642</v>
      </c>
      <c r="AW824" s="148" t="s">
        <v>2642</v>
      </c>
      <c r="AX824" s="151"/>
      <c r="AY824" s="105"/>
      <c r="AZ824" s="186"/>
      <c r="BA824" s="186"/>
      <c r="BB824" s="222"/>
      <c r="BC824" s="45"/>
      <c r="BD824" s="45"/>
      <c r="BE824" s="155"/>
      <c r="BF824" s="45"/>
    </row>
    <row r="825" ht="16.5" customHeight="1">
      <c r="A825" s="111">
        <v>822.0</v>
      </c>
      <c r="B825" s="112" t="s">
        <v>1656</v>
      </c>
      <c r="C825" s="115" t="s">
        <v>60</v>
      </c>
      <c r="D825" s="117">
        <v>42825.0</v>
      </c>
      <c r="E825" s="117">
        <v>42957.0</v>
      </c>
      <c r="F825" s="79" t="s">
        <v>305</v>
      </c>
      <c r="G825" s="118">
        <v>8900.0</v>
      </c>
      <c r="H825" s="114">
        <v>66.9</v>
      </c>
      <c r="I825" s="120">
        <v>456.0</v>
      </c>
      <c r="J825" s="111" t="s">
        <v>61</v>
      </c>
      <c r="K825" s="121">
        <v>461.77</v>
      </c>
      <c r="L825" s="120" t="s">
        <v>63</v>
      </c>
      <c r="M825" s="120"/>
      <c r="N825" s="120"/>
      <c r="O825" s="124">
        <v>8900.0</v>
      </c>
      <c r="P825" s="124">
        <v>133.0</v>
      </c>
      <c r="Q825" s="111">
        <v>198.0</v>
      </c>
      <c r="R825" s="125">
        <v>452.0</v>
      </c>
      <c r="S825" s="126">
        <v>1.0216</v>
      </c>
      <c r="T825" s="127">
        <v>83566.88</v>
      </c>
      <c r="U825" s="128">
        <f t="shared" si="2"/>
        <v>0</v>
      </c>
      <c r="V825" s="79" t="s">
        <v>69</v>
      </c>
      <c r="W825" s="79" t="s">
        <v>69</v>
      </c>
      <c r="X825" s="79" t="s">
        <v>68</v>
      </c>
      <c r="Y825" s="130">
        <v>0.9</v>
      </c>
      <c r="Z825" s="111">
        <v>11.0</v>
      </c>
      <c r="AA825" s="111">
        <v>456.0</v>
      </c>
      <c r="AB825" s="111" t="s">
        <v>61</v>
      </c>
      <c r="AC825" s="133"/>
      <c r="AD825" s="133"/>
      <c r="AE825" s="133"/>
      <c r="AF825" s="111"/>
      <c r="AG825" s="134" t="s">
        <v>2643</v>
      </c>
      <c r="AH825" s="73"/>
      <c r="AI825" s="135"/>
      <c r="AJ825" s="136"/>
      <c r="AK825" s="76"/>
      <c r="AL825" s="137"/>
      <c r="AM825" s="139">
        <v>462.0</v>
      </c>
      <c r="AN825" s="139">
        <v>133.0</v>
      </c>
      <c r="AO825" s="140">
        <v>21.32</v>
      </c>
      <c r="AP825" s="142">
        <v>8900.0</v>
      </c>
      <c r="AQ825" s="142">
        <v>198.0</v>
      </c>
      <c r="AR825" s="143"/>
      <c r="AS825" s="144">
        <v>0.9849772376185146</v>
      </c>
      <c r="AT825" s="144">
        <v>0.03662276238148543</v>
      </c>
      <c r="AU825" s="146" t="s">
        <v>2644</v>
      </c>
      <c r="AV825" s="146" t="s">
        <v>2644</v>
      </c>
      <c r="AW825" s="148" t="s">
        <v>2644</v>
      </c>
      <c r="AX825" s="151"/>
      <c r="AY825" s="105"/>
      <c r="AZ825" s="186"/>
      <c r="BA825" s="186"/>
      <c r="BB825" s="222"/>
      <c r="BC825" s="45"/>
      <c r="BD825" s="45"/>
      <c r="BE825" s="155"/>
      <c r="BF825" s="45"/>
    </row>
    <row r="826" ht="16.5" customHeight="1">
      <c r="A826" s="111">
        <v>823.0</v>
      </c>
      <c r="B826" s="112" t="s">
        <v>1645</v>
      </c>
      <c r="C826" s="115" t="s">
        <v>60</v>
      </c>
      <c r="D826" s="977">
        <v>42099.0</v>
      </c>
      <c r="E826" s="978">
        <v>42957.0</v>
      </c>
      <c r="F826" s="79" t="s">
        <v>90</v>
      </c>
      <c r="G826" s="118">
        <v>88900.0</v>
      </c>
      <c r="H826" s="114">
        <v>103.5</v>
      </c>
      <c r="I826" s="120">
        <v>383.0</v>
      </c>
      <c r="J826" s="111" t="s">
        <v>61</v>
      </c>
      <c r="K826" s="121">
        <v>387.85</v>
      </c>
      <c r="L826" s="120" t="s">
        <v>63</v>
      </c>
      <c r="M826" s="120"/>
      <c r="N826" s="120"/>
      <c r="O826" s="124">
        <v>88900.0</v>
      </c>
      <c r="P826" s="124">
        <v>859.0</v>
      </c>
      <c r="Q826" s="111">
        <v>188.0</v>
      </c>
      <c r="R826" s="125">
        <v>408.0</v>
      </c>
      <c r="S826" s="126">
        <v>0.9506</v>
      </c>
      <c r="T826" s="127">
        <v>73671.5</v>
      </c>
      <c r="U826" s="128">
        <f t="shared" si="2"/>
        <v>0</v>
      </c>
      <c r="V826" s="79"/>
      <c r="W826" s="79" t="s">
        <v>69</v>
      </c>
      <c r="X826" s="79" t="s">
        <v>68</v>
      </c>
      <c r="Y826" s="130">
        <v>0.9</v>
      </c>
      <c r="Z826" s="111">
        <v>15.0</v>
      </c>
      <c r="AA826" s="111">
        <v>404.0</v>
      </c>
      <c r="AB826" s="111" t="s">
        <v>61</v>
      </c>
      <c r="AC826" s="133"/>
      <c r="AD826" s="133"/>
      <c r="AE826" s="133"/>
      <c r="AF826" s="111"/>
      <c r="AG826" s="147"/>
      <c r="AH826" s="73"/>
      <c r="AI826" s="135"/>
      <c r="AJ826" s="136"/>
      <c r="AK826" s="76"/>
      <c r="AL826" s="137"/>
      <c r="AM826" s="139">
        <v>409.0</v>
      </c>
      <c r="AN826" s="139">
        <v>859.0</v>
      </c>
      <c r="AO826" s="140">
        <v>221.15</v>
      </c>
      <c r="AP826" s="142">
        <v>88900.0</v>
      </c>
      <c r="AQ826" s="142">
        <v>188.0</v>
      </c>
      <c r="AR826" s="143"/>
      <c r="AS826" s="144">
        <v>0.9469417775089548</v>
      </c>
      <c r="AT826" s="144">
        <v>0.0036582224910451933</v>
      </c>
      <c r="AU826" s="146" t="s">
        <v>2645</v>
      </c>
      <c r="AV826" s="146" t="s">
        <v>2645</v>
      </c>
      <c r="AW826" s="148" t="s">
        <v>2645</v>
      </c>
      <c r="AX826" s="151"/>
      <c r="AY826" s="105"/>
      <c r="AZ826" s="186"/>
      <c r="BA826" s="186"/>
      <c r="BB826" s="222"/>
      <c r="BC826" s="45"/>
      <c r="BD826" s="45"/>
      <c r="BE826" s="155"/>
      <c r="BF826" s="45"/>
    </row>
    <row r="827" ht="16.5" customHeight="1">
      <c r="A827" s="111">
        <v>824.0</v>
      </c>
      <c r="B827" s="112" t="s">
        <v>1734</v>
      </c>
      <c r="C827" s="115" t="s">
        <v>60</v>
      </c>
      <c r="D827" s="117">
        <v>41977.0</v>
      </c>
      <c r="E827" s="117">
        <v>42945.0</v>
      </c>
      <c r="F827" s="79" t="s">
        <v>59</v>
      </c>
      <c r="G827" s="118">
        <v>37970.0</v>
      </c>
      <c r="H827" s="114">
        <v>39.2</v>
      </c>
      <c r="I827" s="120">
        <v>386.0</v>
      </c>
      <c r="J827" s="111" t="s">
        <v>61</v>
      </c>
      <c r="K827" s="121">
        <v>390.89</v>
      </c>
      <c r="L827" s="120" t="s">
        <v>63</v>
      </c>
      <c r="M827" s="120"/>
      <c r="N827" s="120"/>
      <c r="O827" s="124">
        <v>37970.0</v>
      </c>
      <c r="P827" s="124">
        <v>969.0</v>
      </c>
      <c r="Q827" s="111">
        <v>218.0</v>
      </c>
      <c r="R827" s="125">
        <v>399.0</v>
      </c>
      <c r="S827" s="126">
        <v>0.9797</v>
      </c>
      <c r="T827" s="127">
        <v>75926.75</v>
      </c>
      <c r="U827" s="128">
        <f t="shared" si="2"/>
        <v>0</v>
      </c>
      <c r="V827" s="79" t="s">
        <v>64</v>
      </c>
      <c r="W827" s="79" t="s">
        <v>69</v>
      </c>
      <c r="X827" s="79" t="s">
        <v>69</v>
      </c>
      <c r="Y827" s="130">
        <v>0.9</v>
      </c>
      <c r="Z827" s="111">
        <v>22.0</v>
      </c>
      <c r="AA827" s="133"/>
      <c r="AB827" s="133"/>
      <c r="AC827" s="133"/>
      <c r="AD827" s="133"/>
      <c r="AE827" s="133"/>
      <c r="AF827" s="111"/>
      <c r="AG827" s="147"/>
      <c r="AH827" s="73"/>
      <c r="AI827" s="135"/>
      <c r="AJ827" s="136"/>
      <c r="AK827" s="76"/>
      <c r="AL827" s="137"/>
      <c r="AM827" s="139" t="s">
        <v>71</v>
      </c>
      <c r="AN827" s="139">
        <v>969.0</v>
      </c>
      <c r="AO827" s="140">
        <v>107.94</v>
      </c>
      <c r="AP827" s="142">
        <v>37970.0</v>
      </c>
      <c r="AQ827" s="142">
        <v>218.0</v>
      </c>
      <c r="AR827" s="143"/>
      <c r="AS827" s="144">
        <v>0.9609345244574012</v>
      </c>
      <c r="AT827" s="144">
        <v>0.018765475542598775</v>
      </c>
      <c r="AU827" s="146" t="s">
        <v>2646</v>
      </c>
      <c r="AV827" s="146" t="s">
        <v>2646</v>
      </c>
      <c r="AW827" s="148" t="s">
        <v>2646</v>
      </c>
      <c r="AX827" s="151"/>
      <c r="AY827" s="105"/>
      <c r="AZ827" s="186"/>
      <c r="BA827" s="186"/>
      <c r="BB827" s="222"/>
      <c r="BC827" s="45"/>
      <c r="BD827" s="45"/>
      <c r="BE827" s="155"/>
      <c r="BF827" s="45"/>
    </row>
    <row r="828" ht="16.5" customHeight="1">
      <c r="A828" s="111">
        <v>825.0</v>
      </c>
      <c r="B828" s="112" t="s">
        <v>1734</v>
      </c>
      <c r="C828" s="115" t="s">
        <v>60</v>
      </c>
      <c r="D828" s="117">
        <v>41977.0</v>
      </c>
      <c r="E828" s="117">
        <v>42958.0</v>
      </c>
      <c r="F828" s="79" t="s">
        <v>59</v>
      </c>
      <c r="G828" s="118">
        <v>39951.0</v>
      </c>
      <c r="H828" s="114">
        <v>40.7</v>
      </c>
      <c r="I828" s="120">
        <v>384.0</v>
      </c>
      <c r="J828" s="111" t="s">
        <v>61</v>
      </c>
      <c r="K828" s="121">
        <v>388.86</v>
      </c>
      <c r="L828" s="120" t="s">
        <v>63</v>
      </c>
      <c r="M828" s="120"/>
      <c r="N828" s="120"/>
      <c r="O828" s="124">
        <v>39951.0</v>
      </c>
      <c r="P828" s="124">
        <v>982.0</v>
      </c>
      <c r="Q828" s="111"/>
      <c r="R828" s="125">
        <v>399.0</v>
      </c>
      <c r="S828" s="126">
        <v>0.9746</v>
      </c>
      <c r="T828" s="127">
        <v>75531.5</v>
      </c>
      <c r="U828" s="128">
        <f t="shared" si="2"/>
        <v>1</v>
      </c>
      <c r="V828" s="79"/>
      <c r="W828" s="79"/>
      <c r="X828" s="79"/>
      <c r="Y828" s="130"/>
      <c r="Z828" s="111"/>
      <c r="AA828" s="133"/>
      <c r="AB828" s="133"/>
      <c r="AC828" s="133"/>
      <c r="AD828" s="133"/>
      <c r="AE828" s="133"/>
      <c r="AF828" s="111"/>
      <c r="AG828" s="147"/>
      <c r="AH828" s="73"/>
      <c r="AI828" s="135"/>
      <c r="AJ828" s="136"/>
      <c r="AK828" s="76"/>
      <c r="AL828" s="137"/>
      <c r="AM828" s="139" t="s">
        <v>71</v>
      </c>
      <c r="AN828" s="139">
        <v>982.0</v>
      </c>
      <c r="AO828" s="140"/>
      <c r="AP828" s="142">
        <v>39951.0</v>
      </c>
      <c r="AQ828" s="142"/>
      <c r="AR828" s="143"/>
      <c r="AS828" s="144">
        <v>0.9600332390329429</v>
      </c>
      <c r="AT828" s="144">
        <v>0.014566760967057113</v>
      </c>
      <c r="AU828" s="146" t="s">
        <v>2647</v>
      </c>
      <c r="AV828" s="146" t="s">
        <v>2647</v>
      </c>
      <c r="AW828" s="148" t="s">
        <v>2647</v>
      </c>
      <c r="AX828" s="151"/>
      <c r="AY828" s="105"/>
      <c r="AZ828" s="186"/>
      <c r="BA828" s="186"/>
      <c r="BB828" s="222"/>
      <c r="BC828" s="45"/>
      <c r="BD828" s="45"/>
      <c r="BE828" s="155"/>
      <c r="BF828" s="45"/>
    </row>
    <row r="829" ht="16.5" customHeight="1">
      <c r="A829" s="111">
        <v>826.0</v>
      </c>
      <c r="B829" s="112" t="s">
        <v>1887</v>
      </c>
      <c r="C829" s="115" t="s">
        <v>60</v>
      </c>
      <c r="D829" s="117">
        <v>42414.0</v>
      </c>
      <c r="E829" s="117">
        <v>42958.0</v>
      </c>
      <c r="F829" s="79" t="s">
        <v>305</v>
      </c>
      <c r="G829" s="118">
        <v>42500.0</v>
      </c>
      <c r="H829" s="114">
        <v>78.0</v>
      </c>
      <c r="I829" s="120">
        <v>444.0</v>
      </c>
      <c r="J829" s="111" t="s">
        <v>61</v>
      </c>
      <c r="K829" s="121">
        <v>449.62</v>
      </c>
      <c r="L829" s="120" t="s">
        <v>63</v>
      </c>
      <c r="M829" s="120"/>
      <c r="N829" s="120"/>
      <c r="O829" s="124">
        <v>42500.0</v>
      </c>
      <c r="P829" s="124">
        <v>545.0</v>
      </c>
      <c r="Q829" s="111">
        <v>210.0</v>
      </c>
      <c r="R829" s="125">
        <v>452.0</v>
      </c>
      <c r="S829" s="126">
        <v>0.9947</v>
      </c>
      <c r="T829" s="127">
        <v>81366.46</v>
      </c>
      <c r="U829" s="128">
        <f t="shared" si="2"/>
        <v>0</v>
      </c>
      <c r="V829" s="79" t="s">
        <v>67</v>
      </c>
      <c r="W829" s="79" t="s">
        <v>69</v>
      </c>
      <c r="X829" s="79" t="s">
        <v>69</v>
      </c>
      <c r="Y829" s="130">
        <v>0.9</v>
      </c>
      <c r="Z829" s="111">
        <v>3.0</v>
      </c>
      <c r="AA829" s="111">
        <v>455.0</v>
      </c>
      <c r="AB829" s="111" t="s">
        <v>61</v>
      </c>
      <c r="AC829" s="133"/>
      <c r="AD829" s="133"/>
      <c r="AE829" s="133"/>
      <c r="AF829" s="111"/>
      <c r="AG829" s="134" t="s">
        <v>111</v>
      </c>
      <c r="AH829" s="73"/>
      <c r="AI829" s="135"/>
      <c r="AJ829" s="136"/>
      <c r="AK829" s="76"/>
      <c r="AL829" s="137"/>
      <c r="AM829" s="139">
        <v>461.0</v>
      </c>
      <c r="AN829" s="139">
        <v>545.0</v>
      </c>
      <c r="AO829" s="140">
        <v>109.42</v>
      </c>
      <c r="AP829" s="142">
        <v>42500.0</v>
      </c>
      <c r="AQ829" s="142">
        <v>210.0</v>
      </c>
      <c r="AR829" s="143"/>
      <c r="AS829" s="144">
        <v>0.9589505085886425</v>
      </c>
      <c r="AT829" s="144">
        <v>0.035749491411357526</v>
      </c>
      <c r="AU829" s="146" t="s">
        <v>2648</v>
      </c>
      <c r="AV829" s="146" t="s">
        <v>2648</v>
      </c>
      <c r="AW829" s="148" t="s">
        <v>2648</v>
      </c>
      <c r="AX829" s="151"/>
      <c r="AY829" s="105"/>
      <c r="AZ829" s="186"/>
      <c r="BA829" s="186"/>
      <c r="BB829" s="222"/>
      <c r="BC829" s="45"/>
      <c r="BD829" s="45"/>
      <c r="BE829" s="155"/>
      <c r="BF829" s="45"/>
    </row>
    <row r="830" ht="16.5" customHeight="1">
      <c r="A830" s="111">
        <v>827.0</v>
      </c>
      <c r="B830" s="112" t="s">
        <v>1648</v>
      </c>
      <c r="C830" s="115" t="s">
        <v>60</v>
      </c>
      <c r="D830" s="117">
        <v>42170.0</v>
      </c>
      <c r="E830" s="117">
        <v>42960.0</v>
      </c>
      <c r="F830" s="79" t="s">
        <v>118</v>
      </c>
      <c r="G830" s="118">
        <v>171941.0</v>
      </c>
      <c r="H830" s="114">
        <v>217.4</v>
      </c>
      <c r="I830" s="120">
        <v>351.0</v>
      </c>
      <c r="J830" s="111" t="s">
        <v>62</v>
      </c>
      <c r="K830" s="121">
        <v>351.0</v>
      </c>
      <c r="L830" s="120" t="s">
        <v>63</v>
      </c>
      <c r="M830" s="120"/>
      <c r="N830" s="120"/>
      <c r="O830" s="124">
        <v>171941.0</v>
      </c>
      <c r="P830" s="124">
        <v>791.0</v>
      </c>
      <c r="Q830" s="111">
        <v>188.0</v>
      </c>
      <c r="R830" s="125">
        <v>365.0</v>
      </c>
      <c r="S830" s="126">
        <v>0.9616</v>
      </c>
      <c r="T830" s="127">
        <v>66158.08</v>
      </c>
      <c r="U830" s="128">
        <f t="shared" si="2"/>
        <v>0</v>
      </c>
      <c r="V830" s="79" t="s">
        <v>127</v>
      </c>
      <c r="W830" s="79" t="s">
        <v>69</v>
      </c>
      <c r="X830" s="79" t="s">
        <v>66</v>
      </c>
      <c r="Y830" s="130"/>
      <c r="Z830" s="111"/>
      <c r="AA830" s="111">
        <v>366.0</v>
      </c>
      <c r="AB830" s="111" t="s">
        <v>62</v>
      </c>
      <c r="AC830" s="133"/>
      <c r="AD830" s="133"/>
      <c r="AE830" s="133"/>
      <c r="AF830" s="111"/>
      <c r="AG830" s="134" t="s">
        <v>2649</v>
      </c>
      <c r="AH830" s="73"/>
      <c r="AI830" s="135"/>
      <c r="AJ830" s="136"/>
      <c r="AK830" s="76"/>
      <c r="AL830" s="137"/>
      <c r="AM830" s="139">
        <v>366.0</v>
      </c>
      <c r="AN830" s="139">
        <v>791.0</v>
      </c>
      <c r="AO830" s="140">
        <v>479.07</v>
      </c>
      <c r="AP830" s="142">
        <v>171941.0</v>
      </c>
      <c r="AQ830" s="142">
        <v>188.0</v>
      </c>
      <c r="AR830" s="143"/>
      <c r="AS830" s="144">
        <v>0.9333728741122297</v>
      </c>
      <c r="AT830" s="144">
        <v>0.02822712588777032</v>
      </c>
      <c r="AU830" s="146" t="s">
        <v>2650</v>
      </c>
      <c r="AV830" s="146" t="s">
        <v>2650</v>
      </c>
      <c r="AW830" s="148" t="s">
        <v>2650</v>
      </c>
      <c r="AX830" s="151"/>
      <c r="AY830" s="105"/>
      <c r="AZ830" s="186"/>
      <c r="BA830" s="186"/>
      <c r="BB830" s="222"/>
      <c r="BC830" s="45"/>
      <c r="BD830" s="45"/>
      <c r="BE830" s="155"/>
      <c r="BF830" s="45"/>
    </row>
    <row r="831" ht="16.5" customHeight="1">
      <c r="A831" s="111">
        <v>828.0</v>
      </c>
      <c r="B831" s="112" t="s">
        <v>1866</v>
      </c>
      <c r="C831" s="115" t="s">
        <v>60</v>
      </c>
      <c r="D831" s="117">
        <v>42794.0</v>
      </c>
      <c r="E831" s="117">
        <v>42941.0</v>
      </c>
      <c r="F831" s="79" t="s">
        <v>305</v>
      </c>
      <c r="G831" s="118">
        <v>5500.0</v>
      </c>
      <c r="H831" s="114">
        <v>37.2</v>
      </c>
      <c r="I831" s="120">
        <v>450.0</v>
      </c>
      <c r="J831" s="111" t="s">
        <v>61</v>
      </c>
      <c r="K831" s="121">
        <v>455.7</v>
      </c>
      <c r="L831" s="120" t="s">
        <v>63</v>
      </c>
      <c r="M831" s="120"/>
      <c r="N831" s="120"/>
      <c r="O831" s="124">
        <v>5500.0</v>
      </c>
      <c r="P831" s="124">
        <v>148.0</v>
      </c>
      <c r="Q831" s="111">
        <v>193.0</v>
      </c>
      <c r="R831" s="125">
        <v>452.0</v>
      </c>
      <c r="S831" s="126">
        <v>1.0082</v>
      </c>
      <c r="T831" s="127">
        <v>82470.76</v>
      </c>
      <c r="U831" s="128">
        <f t="shared" si="2"/>
        <v>0</v>
      </c>
      <c r="V831" s="79" t="s">
        <v>69</v>
      </c>
      <c r="W831" s="79" t="s">
        <v>66</v>
      </c>
      <c r="X831" s="79" t="s">
        <v>68</v>
      </c>
      <c r="Y831" s="130">
        <v>0.9</v>
      </c>
      <c r="Z831" s="111">
        <v>4.0</v>
      </c>
      <c r="AA831" s="133"/>
      <c r="AB831" s="133"/>
      <c r="AC831" s="133"/>
      <c r="AD831" s="133"/>
      <c r="AE831" s="133"/>
      <c r="AF831" s="111"/>
      <c r="AG831" s="147"/>
      <c r="AH831" s="73"/>
      <c r="AI831" s="135"/>
      <c r="AJ831" s="136"/>
      <c r="AK831" s="76"/>
      <c r="AL831" s="137"/>
      <c r="AM831" s="139" t="s">
        <v>71</v>
      </c>
      <c r="AN831" s="139">
        <v>148.0</v>
      </c>
      <c r="AO831" s="140">
        <v>12.93</v>
      </c>
      <c r="AP831" s="142">
        <v>5500.0</v>
      </c>
      <c r="AQ831" s="142">
        <v>193.0</v>
      </c>
      <c r="AR831" s="143"/>
      <c r="AS831" s="144">
        <v>0.9900541903754752</v>
      </c>
      <c r="AT831" s="144">
        <v>0.018145809624524833</v>
      </c>
      <c r="AU831" s="146" t="s">
        <v>2651</v>
      </c>
      <c r="AV831" s="146" t="s">
        <v>2651</v>
      </c>
      <c r="AW831" s="148" t="s">
        <v>2651</v>
      </c>
      <c r="AX831" s="151"/>
      <c r="AY831" s="105"/>
      <c r="AZ831" s="186"/>
      <c r="BA831" s="186"/>
      <c r="BB831" s="222"/>
      <c r="BC831" s="45"/>
      <c r="BD831" s="45"/>
      <c r="BE831" s="155"/>
      <c r="BF831" s="45"/>
    </row>
    <row r="832" ht="16.5" customHeight="1">
      <c r="A832" s="111">
        <v>829.0</v>
      </c>
      <c r="B832" s="112" t="s">
        <v>1762</v>
      </c>
      <c r="C832" s="115" t="s">
        <v>60</v>
      </c>
      <c r="D832" s="117">
        <v>41800.0</v>
      </c>
      <c r="E832" s="117">
        <v>42959.0</v>
      </c>
      <c r="F832" s="79" t="s">
        <v>59</v>
      </c>
      <c r="G832" s="118">
        <v>95640.0</v>
      </c>
      <c r="H832" s="114">
        <v>82.4</v>
      </c>
      <c r="I832" s="120">
        <v>379.0</v>
      </c>
      <c r="J832" s="111" t="s">
        <v>61</v>
      </c>
      <c r="K832" s="121">
        <v>383.8</v>
      </c>
      <c r="L832" s="120" t="s">
        <v>63</v>
      </c>
      <c r="M832" s="120"/>
      <c r="N832" s="120"/>
      <c r="O832" s="124">
        <v>95640.0</v>
      </c>
      <c r="P832" s="124">
        <v>1160.0</v>
      </c>
      <c r="Q832" s="111">
        <v>218.0</v>
      </c>
      <c r="R832" s="125">
        <v>399.0</v>
      </c>
      <c r="S832" s="126">
        <v>0.9619</v>
      </c>
      <c r="T832" s="127">
        <v>74547.25</v>
      </c>
      <c r="U832" s="128">
        <f t="shared" si="2"/>
        <v>0</v>
      </c>
      <c r="V832" s="79" t="s">
        <v>67</v>
      </c>
      <c r="W832" s="79" t="s">
        <v>69</v>
      </c>
      <c r="X832" s="79" t="s">
        <v>68</v>
      </c>
      <c r="Y832" s="130">
        <v>0.7</v>
      </c>
      <c r="Z832" s="111">
        <v>3.0</v>
      </c>
      <c r="AA832" s="111">
        <v>388.0</v>
      </c>
      <c r="AB832" s="111" t="s">
        <v>61</v>
      </c>
      <c r="AC832" s="133"/>
      <c r="AD832" s="133"/>
      <c r="AE832" s="133"/>
      <c r="AF832" s="111"/>
      <c r="AG832" s="147"/>
      <c r="AH832" s="73"/>
      <c r="AI832" s="135"/>
      <c r="AJ832" s="136"/>
      <c r="AK832" s="76"/>
      <c r="AL832" s="137"/>
      <c r="AM832" s="139">
        <v>393.0</v>
      </c>
      <c r="AN832" s="139">
        <v>1160.0</v>
      </c>
      <c r="AO832" s="140">
        <v>274.3</v>
      </c>
      <c r="AP832" s="142">
        <v>95640.0</v>
      </c>
      <c r="AQ832" s="142">
        <v>218.0</v>
      </c>
      <c r="AR832" s="143"/>
      <c r="AS832" s="144">
        <v>0.9457247462821312</v>
      </c>
      <c r="AT832" s="144">
        <v>0.016175253717868765</v>
      </c>
      <c r="AU832" s="146" t="s">
        <v>2652</v>
      </c>
      <c r="AV832" s="146" t="s">
        <v>2652</v>
      </c>
      <c r="AW832" s="148" t="s">
        <v>2652</v>
      </c>
      <c r="AX832" s="151"/>
      <c r="AY832" s="105"/>
      <c r="AZ832" s="186"/>
      <c r="BA832" s="186"/>
      <c r="BB832" s="222"/>
      <c r="BC832" s="45"/>
      <c r="BD832" s="45"/>
      <c r="BE832" s="155"/>
      <c r="BF832" s="45"/>
    </row>
    <row r="833" ht="16.5" customHeight="1">
      <c r="A833" s="111">
        <v>830.0</v>
      </c>
      <c r="B833" s="112" t="s">
        <v>1898</v>
      </c>
      <c r="C833" s="115" t="s">
        <v>60</v>
      </c>
      <c r="D833" s="979">
        <v>42864.0</v>
      </c>
      <c r="E833" s="117">
        <v>42962.0</v>
      </c>
      <c r="F833" s="79" t="s">
        <v>921</v>
      </c>
      <c r="G833" s="118">
        <v>9695.0</v>
      </c>
      <c r="H833" s="114">
        <v>97.9</v>
      </c>
      <c r="I833" s="120">
        <v>484.0</v>
      </c>
      <c r="J833" s="111" t="s">
        <v>62</v>
      </c>
      <c r="K833" s="121">
        <v>484.0</v>
      </c>
      <c r="L833" s="120" t="s">
        <v>63</v>
      </c>
      <c r="M833" s="120"/>
      <c r="N833" s="120"/>
      <c r="O833" s="124">
        <v>9695.0</v>
      </c>
      <c r="P833" s="124">
        <v>99.0</v>
      </c>
      <c r="Q833" s="111"/>
      <c r="R833" s="125">
        <v>488.0</v>
      </c>
      <c r="S833" s="126">
        <v>0.9918</v>
      </c>
      <c r="T833" s="127">
        <v>97593.12</v>
      </c>
      <c r="U833" s="128">
        <f t="shared" si="2"/>
        <v>1</v>
      </c>
      <c r="V833" s="79" t="s">
        <v>67</v>
      </c>
      <c r="W833" s="79" t="s">
        <v>64</v>
      </c>
      <c r="X833" s="79" t="s">
        <v>68</v>
      </c>
      <c r="Y833" s="130">
        <v>0.8</v>
      </c>
      <c r="Z833" s="111"/>
      <c r="AA833" s="111">
        <v>488.0</v>
      </c>
      <c r="AB833" s="111" t="s">
        <v>62</v>
      </c>
      <c r="AC833" s="133"/>
      <c r="AD833" s="133"/>
      <c r="AE833" s="133"/>
      <c r="AF833" s="111"/>
      <c r="AG833" s="147"/>
      <c r="AH833" s="73"/>
      <c r="AI833" s="135"/>
      <c r="AJ833" s="136"/>
      <c r="AK833" s="76"/>
      <c r="AL833" s="137"/>
      <c r="AM833" s="139">
        <v>488.0</v>
      </c>
      <c r="AN833" s="139">
        <v>99.0</v>
      </c>
      <c r="AO833" s="140"/>
      <c r="AP833" s="142">
        <v>9695.0</v>
      </c>
      <c r="AQ833" s="142"/>
      <c r="AR833" s="143"/>
      <c r="AS833" s="144">
        <v>0.9838912225935375</v>
      </c>
      <c r="AT833" s="144">
        <v>0.007908777406462564</v>
      </c>
      <c r="AU833" s="146" t="s">
        <v>2653</v>
      </c>
      <c r="AV833" s="146" t="s">
        <v>2653</v>
      </c>
      <c r="AW833" s="148" t="s">
        <v>2653</v>
      </c>
      <c r="AX833" s="151"/>
      <c r="AY833" s="105"/>
      <c r="AZ833" s="186"/>
      <c r="BA833" s="186"/>
      <c r="BB833" s="222"/>
      <c r="BC833" s="45"/>
      <c r="BD833" s="45"/>
      <c r="BE833" s="155"/>
      <c r="BF833" s="45"/>
    </row>
    <row r="834" ht="16.5" customHeight="1">
      <c r="A834" s="111">
        <v>831.0</v>
      </c>
      <c r="B834" s="112" t="s">
        <v>1664</v>
      </c>
      <c r="C834" s="115" t="s">
        <v>60</v>
      </c>
      <c r="D834" s="117">
        <v>42704.0</v>
      </c>
      <c r="E834" s="117">
        <v>42963.0</v>
      </c>
      <c r="F834" s="79" t="s">
        <v>305</v>
      </c>
      <c r="G834" s="118">
        <v>22185.0</v>
      </c>
      <c r="H834" s="114">
        <v>85.3</v>
      </c>
      <c r="I834" s="120">
        <v>439.0</v>
      </c>
      <c r="J834" s="111" t="s">
        <v>61</v>
      </c>
      <c r="K834" s="121">
        <v>444.56</v>
      </c>
      <c r="L834" s="120" t="s">
        <v>63</v>
      </c>
      <c r="M834" s="120"/>
      <c r="N834" s="120"/>
      <c r="O834" s="124">
        <v>22185.0</v>
      </c>
      <c r="P834" s="124">
        <v>260.0</v>
      </c>
      <c r="Q834" s="111">
        <v>218.0</v>
      </c>
      <c r="R834" s="125">
        <v>452.0</v>
      </c>
      <c r="S834" s="126">
        <v>0.9835</v>
      </c>
      <c r="T834" s="127">
        <v>80450.3</v>
      </c>
      <c r="U834" s="128">
        <f t="shared" si="2"/>
        <v>0</v>
      </c>
      <c r="V834" s="79" t="s">
        <v>65</v>
      </c>
      <c r="W834" s="79" t="s">
        <v>69</v>
      </c>
      <c r="X834" s="79" t="s">
        <v>68</v>
      </c>
      <c r="Y834" s="130">
        <v>0.9</v>
      </c>
      <c r="Z834" s="111">
        <v>16.5</v>
      </c>
      <c r="AA834" s="111">
        <v>451.0</v>
      </c>
      <c r="AB834" s="111" t="s">
        <v>61</v>
      </c>
      <c r="AC834" s="133"/>
      <c r="AD834" s="133"/>
      <c r="AE834" s="133"/>
      <c r="AF834" s="111"/>
      <c r="AG834" s="134" t="s">
        <v>2654</v>
      </c>
      <c r="AH834" s="73"/>
      <c r="AI834" s="135"/>
      <c r="AJ834" s="136"/>
      <c r="AK834" s="76"/>
      <c r="AL834" s="137"/>
      <c r="AM834" s="139">
        <v>457.0</v>
      </c>
      <c r="AN834" s="139">
        <v>260.0</v>
      </c>
      <c r="AO834" s="140">
        <v>59.63</v>
      </c>
      <c r="AP834" s="142">
        <v>22185.0</v>
      </c>
      <c r="AQ834" s="142">
        <v>218.0</v>
      </c>
      <c r="AR834" s="143"/>
      <c r="AS834" s="144">
        <v>0.9707337123869512</v>
      </c>
      <c r="AT834" s="144">
        <v>0.012766287613048877</v>
      </c>
      <c r="AU834" s="146" t="s">
        <v>2655</v>
      </c>
      <c r="AV834" s="146" t="s">
        <v>2655</v>
      </c>
      <c r="AW834" s="148" t="s">
        <v>2655</v>
      </c>
      <c r="AX834" s="151"/>
      <c r="AY834" s="105"/>
      <c r="AZ834" s="186"/>
      <c r="BA834" s="186"/>
      <c r="BB834" s="222"/>
      <c r="BC834" s="45"/>
      <c r="BD834" s="45"/>
      <c r="BE834" s="155"/>
      <c r="BF834" s="45"/>
    </row>
    <row r="835" ht="16.5" customHeight="1">
      <c r="A835" s="111">
        <v>832.0</v>
      </c>
      <c r="B835" s="112" t="s">
        <v>1013</v>
      </c>
      <c r="C835" s="115" t="s">
        <v>60</v>
      </c>
      <c r="D835" s="117">
        <v>41814.0</v>
      </c>
      <c r="E835" s="117">
        <v>42963.0</v>
      </c>
      <c r="F835" s="79" t="s">
        <v>59</v>
      </c>
      <c r="G835" s="118">
        <v>143425.0</v>
      </c>
      <c r="H835" s="114">
        <v>124.7</v>
      </c>
      <c r="I835" s="120">
        <v>371.0</v>
      </c>
      <c r="J835" s="111" t="s">
        <v>62</v>
      </c>
      <c r="K835" s="121">
        <v>371.0</v>
      </c>
      <c r="L835" s="120" t="s">
        <v>63</v>
      </c>
      <c r="M835" s="120"/>
      <c r="N835" s="120"/>
      <c r="O835" s="124">
        <v>143425.0</v>
      </c>
      <c r="P835" s="124">
        <v>1150.0</v>
      </c>
      <c r="Q835" s="111">
        <v>217.0</v>
      </c>
      <c r="R835" s="125">
        <v>399.0</v>
      </c>
      <c r="S835" s="126">
        <v>0.9298</v>
      </c>
      <c r="T835" s="127">
        <v>72059.5</v>
      </c>
      <c r="U835" s="128">
        <f t="shared" si="2"/>
        <v>0</v>
      </c>
      <c r="V835" s="79" t="s">
        <v>65</v>
      </c>
      <c r="W835" s="79" t="s">
        <v>64</v>
      </c>
      <c r="X835" s="79" t="s">
        <v>69</v>
      </c>
      <c r="Y835" s="130">
        <v>0.9</v>
      </c>
      <c r="Z835" s="111">
        <v>17.0</v>
      </c>
      <c r="AA835" s="111">
        <v>398.0</v>
      </c>
      <c r="AB835" s="111" t="s">
        <v>62</v>
      </c>
      <c r="AC835" s="133"/>
      <c r="AD835" s="133"/>
      <c r="AE835" s="133"/>
      <c r="AF835" s="111"/>
      <c r="AG835" s="147"/>
      <c r="AH835" s="73"/>
      <c r="AI835" s="135"/>
      <c r="AJ835" s="136"/>
      <c r="AK835" s="76"/>
      <c r="AL835" s="137"/>
      <c r="AM835" s="139">
        <v>398.0</v>
      </c>
      <c r="AN835" s="139">
        <v>1150.0</v>
      </c>
      <c r="AO835" s="140">
        <v>416.25</v>
      </c>
      <c r="AP835" s="142">
        <v>143425.0</v>
      </c>
      <c r="AQ835" s="142">
        <v>217.0</v>
      </c>
      <c r="AR835" s="143"/>
      <c r="AS835" s="144">
        <v>0.9378642875910326</v>
      </c>
      <c r="AT835" s="144">
        <v>-0.008064287591032615</v>
      </c>
      <c r="AU835" s="146" t="s">
        <v>2656</v>
      </c>
      <c r="AV835" s="146" t="s">
        <v>2656</v>
      </c>
      <c r="AW835" s="148" t="s">
        <v>2656</v>
      </c>
      <c r="AX835" s="151"/>
      <c r="AY835" s="105"/>
      <c r="AZ835" s="186"/>
      <c r="BA835" s="186"/>
      <c r="BB835" s="222"/>
      <c r="BC835" s="45"/>
      <c r="BD835" s="45"/>
      <c r="BE835" s="155"/>
      <c r="BF835" s="45"/>
    </row>
    <row r="836" ht="16.5" customHeight="1">
      <c r="A836" s="111">
        <v>833.0</v>
      </c>
      <c r="B836" s="112" t="s">
        <v>1779</v>
      </c>
      <c r="C836" s="115" t="s">
        <v>60</v>
      </c>
      <c r="D836" s="117">
        <v>42558.0</v>
      </c>
      <c r="E836" s="117">
        <v>42964.0</v>
      </c>
      <c r="F836" s="79" t="s">
        <v>675</v>
      </c>
      <c r="G836" s="118">
        <v>23357.0</v>
      </c>
      <c r="H836" s="114">
        <v>57.4</v>
      </c>
      <c r="I836" s="120">
        <v>375.0</v>
      </c>
      <c r="J836" s="111" t="s">
        <v>62</v>
      </c>
      <c r="K836" s="121">
        <v>375.0</v>
      </c>
      <c r="L836" s="120" t="s">
        <v>63</v>
      </c>
      <c r="M836" s="120"/>
      <c r="N836" s="120"/>
      <c r="O836" s="124">
        <v>23357.0</v>
      </c>
      <c r="P836" s="124">
        <v>407.0</v>
      </c>
      <c r="Q836" s="111">
        <v>215.0</v>
      </c>
      <c r="R836" s="125">
        <v>388.0</v>
      </c>
      <c r="S836" s="126">
        <v>0.9665</v>
      </c>
      <c r="T836" s="127">
        <v>70167.90000000001</v>
      </c>
      <c r="U836" s="128">
        <f t="shared" si="2"/>
        <v>0</v>
      </c>
      <c r="V836" s="79" t="s">
        <v>69</v>
      </c>
      <c r="W836" s="79" t="s">
        <v>69</v>
      </c>
      <c r="X836" s="79" t="s">
        <v>68</v>
      </c>
      <c r="Y836" s="130">
        <v>0.9</v>
      </c>
      <c r="Z836" s="111">
        <v>6.0</v>
      </c>
      <c r="AA836" s="133"/>
      <c r="AB836" s="133"/>
      <c r="AC836" s="133"/>
      <c r="AD836" s="133"/>
      <c r="AE836" s="133"/>
      <c r="AF836" s="111"/>
      <c r="AG836" s="147"/>
      <c r="AH836" s="73"/>
      <c r="AI836" s="135"/>
      <c r="AJ836" s="136"/>
      <c r="AK836" s="76"/>
      <c r="AL836" s="137"/>
      <c r="AM836" s="139" t="s">
        <v>71</v>
      </c>
      <c r="AN836" s="139">
        <v>407.0</v>
      </c>
      <c r="AO836" s="140">
        <v>70.37</v>
      </c>
      <c r="AP836" s="142">
        <v>23357.0</v>
      </c>
      <c r="AQ836" s="142">
        <v>215.0</v>
      </c>
      <c r="AR836" s="143"/>
      <c r="AS836" s="144">
        <v>0.9697995147970856</v>
      </c>
      <c r="AT836" s="144">
        <v>-0.0032995147970855676</v>
      </c>
      <c r="AU836" s="146" t="s">
        <v>2657</v>
      </c>
      <c r="AV836" s="146" t="s">
        <v>2657</v>
      </c>
      <c r="AW836" s="148" t="s">
        <v>2657</v>
      </c>
      <c r="AX836" s="151"/>
      <c r="AY836" s="105"/>
      <c r="AZ836" s="186"/>
      <c r="BA836" s="186"/>
      <c r="BB836" s="222"/>
      <c r="BC836" s="45"/>
      <c r="BD836" s="45"/>
      <c r="BE836" s="155"/>
      <c r="BF836" s="45"/>
    </row>
    <row r="837" ht="16.5" customHeight="1">
      <c r="A837" s="111">
        <v>834.0</v>
      </c>
      <c r="B837" s="112" t="s">
        <v>1722</v>
      </c>
      <c r="C837" s="115" t="s">
        <v>60</v>
      </c>
      <c r="D837" s="117">
        <v>42853.0</v>
      </c>
      <c r="E837" s="117">
        <v>42948.0</v>
      </c>
      <c r="F837" s="79" t="s">
        <v>305</v>
      </c>
      <c r="G837" s="118">
        <v>4501.0</v>
      </c>
      <c r="H837" s="114">
        <v>46.9</v>
      </c>
      <c r="I837" s="120">
        <v>452.0</v>
      </c>
      <c r="J837" s="111" t="s">
        <v>61</v>
      </c>
      <c r="K837" s="121">
        <v>457.72</v>
      </c>
      <c r="L837" s="120" t="s">
        <v>63</v>
      </c>
      <c r="M837" s="120"/>
      <c r="N837" s="120"/>
      <c r="O837" s="124">
        <v>4501.0</v>
      </c>
      <c r="P837" s="124">
        <v>96.0</v>
      </c>
      <c r="Q837" s="111">
        <v>190.0</v>
      </c>
      <c r="R837" s="125">
        <v>452.0</v>
      </c>
      <c r="S837" s="126">
        <v>1.0127</v>
      </c>
      <c r="T837" s="127">
        <v>82838.86</v>
      </c>
      <c r="U837" s="128">
        <f t="shared" si="2"/>
        <v>0</v>
      </c>
      <c r="V837" s="79" t="s">
        <v>65</v>
      </c>
      <c r="W837" s="79" t="s">
        <v>69</v>
      </c>
      <c r="X837" s="79" t="s">
        <v>68</v>
      </c>
      <c r="Y837" s="130">
        <v>0.8</v>
      </c>
      <c r="Z837" s="111">
        <v>11.0</v>
      </c>
      <c r="AA837" s="111">
        <v>452.0</v>
      </c>
      <c r="AB837" s="111" t="s">
        <v>61</v>
      </c>
      <c r="AC837" s="133"/>
      <c r="AD837" s="133"/>
      <c r="AE837" s="133"/>
      <c r="AF837" s="111"/>
      <c r="AG837" s="134" t="s">
        <v>111</v>
      </c>
      <c r="AH837" s="73"/>
      <c r="AI837" s="135"/>
      <c r="AJ837" s="136"/>
      <c r="AK837" s="76"/>
      <c r="AL837" s="137"/>
      <c r="AM837" s="139">
        <v>458.0</v>
      </c>
      <c r="AN837" s="139">
        <v>96.0</v>
      </c>
      <c r="AO837" s="140">
        <v>10.39</v>
      </c>
      <c r="AP837" s="142">
        <v>4501.0</v>
      </c>
      <c r="AQ837" s="142">
        <v>190.0</v>
      </c>
      <c r="AR837" s="143"/>
      <c r="AS837" s="144">
        <v>0.9916904773327305</v>
      </c>
      <c r="AT837" s="144">
        <v>0.02100952266726941</v>
      </c>
      <c r="AU837" s="146" t="s">
        <v>2658</v>
      </c>
      <c r="AV837" s="146" t="s">
        <v>2658</v>
      </c>
      <c r="AW837" s="148" t="s">
        <v>2658</v>
      </c>
      <c r="AX837" s="151"/>
      <c r="AY837" s="105"/>
      <c r="AZ837" s="186"/>
      <c r="BA837" s="186"/>
      <c r="BB837" s="222"/>
      <c r="BC837" s="45"/>
      <c r="BD837" s="45"/>
      <c r="BE837" s="155"/>
      <c r="BF837" s="45"/>
    </row>
    <row r="838" ht="16.5" customHeight="1">
      <c r="A838" s="111">
        <v>835.0</v>
      </c>
      <c r="B838" s="112" t="s">
        <v>548</v>
      </c>
      <c r="C838" s="115" t="s">
        <v>60</v>
      </c>
      <c r="D838" s="117">
        <v>41631.0</v>
      </c>
      <c r="E838" s="117">
        <v>42965.0</v>
      </c>
      <c r="F838" s="79" t="s">
        <v>79</v>
      </c>
      <c r="G838" s="118">
        <v>121000.0</v>
      </c>
      <c r="H838" s="114">
        <v>90.6</v>
      </c>
      <c r="I838" s="120">
        <v>374.0</v>
      </c>
      <c r="J838" s="111" t="s">
        <v>62</v>
      </c>
      <c r="K838" s="121">
        <v>374.0</v>
      </c>
      <c r="L838" s="120" t="s">
        <v>63</v>
      </c>
      <c r="M838" s="120"/>
      <c r="N838" s="120"/>
      <c r="O838" s="124">
        <v>121000.0</v>
      </c>
      <c r="P838" s="124">
        <v>1335.0</v>
      </c>
      <c r="Q838" s="111">
        <v>221.0</v>
      </c>
      <c r="R838" s="125">
        <v>399.0</v>
      </c>
      <c r="S838" s="126">
        <v>0.9373</v>
      </c>
      <c r="T838" s="127">
        <v>72640.75</v>
      </c>
      <c r="U838" s="128">
        <f t="shared" si="2"/>
        <v>0</v>
      </c>
      <c r="V838" s="79" t="s">
        <v>65</v>
      </c>
      <c r="W838" s="79" t="s">
        <v>64</v>
      </c>
      <c r="X838" s="79" t="s">
        <v>69</v>
      </c>
      <c r="Y838" s="130">
        <v>0.9</v>
      </c>
      <c r="Z838" s="111">
        <v>11.0</v>
      </c>
      <c r="AA838" s="111">
        <v>396.0</v>
      </c>
      <c r="AB838" s="111" t="s">
        <v>61</v>
      </c>
      <c r="AC838" s="133"/>
      <c r="AD838" s="133"/>
      <c r="AE838" s="133"/>
      <c r="AF838" s="111"/>
      <c r="AG838" s="147"/>
      <c r="AH838" s="73"/>
      <c r="AI838" s="135"/>
      <c r="AJ838" s="136"/>
      <c r="AK838" s="76"/>
      <c r="AL838" s="137"/>
      <c r="AM838" s="139">
        <v>401.0</v>
      </c>
      <c r="AN838" s="139">
        <v>1335.0</v>
      </c>
      <c r="AO838" s="140">
        <v>356.27</v>
      </c>
      <c r="AP838" s="142">
        <v>121000.0</v>
      </c>
      <c r="AQ838" s="142">
        <v>221.0</v>
      </c>
      <c r="AR838" s="143"/>
      <c r="AS838" s="144">
        <v>0.941455869351221</v>
      </c>
      <c r="AT838" s="144">
        <v>-0.004155869351221031</v>
      </c>
      <c r="AU838" s="146" t="s">
        <v>2659</v>
      </c>
      <c r="AV838" s="146" t="s">
        <v>2659</v>
      </c>
      <c r="AW838" s="148" t="s">
        <v>2659</v>
      </c>
      <c r="AX838" s="151"/>
      <c r="AY838" s="105"/>
      <c r="AZ838" s="186"/>
      <c r="BA838" s="186"/>
      <c r="BB838" s="222"/>
      <c r="BC838" s="45"/>
      <c r="BD838" s="45"/>
      <c r="BE838" s="155"/>
      <c r="BF838" s="45"/>
    </row>
    <row r="839" ht="16.5" customHeight="1">
      <c r="A839" s="111">
        <v>836.0</v>
      </c>
      <c r="B839" s="112" t="s">
        <v>623</v>
      </c>
      <c r="C839" s="115" t="s">
        <v>60</v>
      </c>
      <c r="D839" s="117">
        <v>41794.0</v>
      </c>
      <c r="E839" s="117">
        <v>42945.0</v>
      </c>
      <c r="F839" s="79" t="s">
        <v>59</v>
      </c>
      <c r="G839" s="118">
        <v>187618.0</v>
      </c>
      <c r="H839" s="114">
        <v>162.9</v>
      </c>
      <c r="I839" s="120">
        <v>375.0</v>
      </c>
      <c r="J839" s="111" t="s">
        <v>62</v>
      </c>
      <c r="K839" s="121">
        <v>375.0</v>
      </c>
      <c r="L839" s="120" t="s">
        <v>63</v>
      </c>
      <c r="M839" s="120"/>
      <c r="N839" s="120"/>
      <c r="O839" s="124">
        <v>187618.0</v>
      </c>
      <c r="P839" s="124">
        <v>1152.0</v>
      </c>
      <c r="Q839" s="111">
        <v>181.4</v>
      </c>
      <c r="R839" s="125">
        <v>399.0</v>
      </c>
      <c r="S839" s="126">
        <v>0.9398</v>
      </c>
      <c r="T839" s="127">
        <v>72834.5</v>
      </c>
      <c r="U839" s="128">
        <f t="shared" si="2"/>
        <v>0</v>
      </c>
      <c r="V839" s="79" t="s">
        <v>65</v>
      </c>
      <c r="W839" s="79" t="s">
        <v>69</v>
      </c>
      <c r="X839" s="79" t="s">
        <v>66</v>
      </c>
      <c r="Y839" s="130">
        <v>0.9</v>
      </c>
      <c r="Z839" s="111">
        <v>9.0</v>
      </c>
      <c r="AA839" s="111">
        <v>398.0</v>
      </c>
      <c r="AB839" s="111" t="s">
        <v>62</v>
      </c>
      <c r="AC839" s="133"/>
      <c r="AD839" s="133"/>
      <c r="AE839" s="133"/>
      <c r="AF839" s="111"/>
      <c r="AG839" s="134" t="s">
        <v>2660</v>
      </c>
      <c r="AH839" s="73"/>
      <c r="AI839" s="135"/>
      <c r="AJ839" s="136"/>
      <c r="AK839" s="76"/>
      <c r="AL839" s="137"/>
      <c r="AM839" s="139">
        <v>398.0</v>
      </c>
      <c r="AN839" s="139">
        <v>1152.0</v>
      </c>
      <c r="AO839" s="140">
        <v>452.82</v>
      </c>
      <c r="AP839" s="142">
        <v>187618.0</v>
      </c>
      <c r="AQ839" s="142">
        <v>181.4</v>
      </c>
      <c r="AR839" s="143"/>
      <c r="AS839" s="144">
        <v>0.9309160643911257</v>
      </c>
      <c r="AT839" s="144">
        <v>0.008883935608874238</v>
      </c>
      <c r="AU839" s="146" t="s">
        <v>2661</v>
      </c>
      <c r="AV839" s="146" t="s">
        <v>2661</v>
      </c>
      <c r="AW839" s="148" t="s">
        <v>2661</v>
      </c>
      <c r="AX839" s="151"/>
      <c r="AY839" s="105"/>
      <c r="AZ839" s="186"/>
      <c r="BA839" s="186"/>
      <c r="BB839" s="222"/>
      <c r="BC839" s="45"/>
      <c r="BD839" s="45"/>
      <c r="BE839" s="155"/>
      <c r="BF839" s="45"/>
    </row>
    <row r="840" ht="16.5" customHeight="1">
      <c r="A840" s="111">
        <v>837.0</v>
      </c>
      <c r="B840" s="112" t="s">
        <v>231</v>
      </c>
      <c r="C840" s="115" t="s">
        <v>60</v>
      </c>
      <c r="D840" s="117">
        <v>41536.0</v>
      </c>
      <c r="E840" s="117">
        <v>42968.0</v>
      </c>
      <c r="F840" s="79" t="s">
        <v>59</v>
      </c>
      <c r="G840" s="118">
        <v>158400.0</v>
      </c>
      <c r="H840" s="114">
        <v>110.5</v>
      </c>
      <c r="I840" s="120">
        <v>368.0</v>
      </c>
      <c r="J840" s="111" t="s">
        <v>62</v>
      </c>
      <c r="K840" s="121">
        <v>368.0</v>
      </c>
      <c r="L840" s="120" t="s">
        <v>195</v>
      </c>
      <c r="M840" s="120" t="s">
        <v>196</v>
      </c>
      <c r="N840" s="120">
        <v>53982.0</v>
      </c>
      <c r="O840" s="124">
        <v>158400.0</v>
      </c>
      <c r="P840" s="124">
        <v>1433.0</v>
      </c>
      <c r="Q840" s="111">
        <v>201.0</v>
      </c>
      <c r="R840" s="125">
        <v>399.0</v>
      </c>
      <c r="S840" s="126">
        <v>0.9223</v>
      </c>
      <c r="T840" s="127">
        <v>71478.25</v>
      </c>
      <c r="U840" s="128">
        <f t="shared" si="2"/>
        <v>0</v>
      </c>
      <c r="V840" s="79" t="s">
        <v>65</v>
      </c>
      <c r="W840" s="79" t="s">
        <v>69</v>
      </c>
      <c r="X840" s="79" t="s">
        <v>69</v>
      </c>
      <c r="Y840" s="130">
        <v>0.9</v>
      </c>
      <c r="Z840" s="111"/>
      <c r="AA840" s="111">
        <v>392.0</v>
      </c>
      <c r="AB840" s="111" t="s">
        <v>62</v>
      </c>
      <c r="AC840" s="133"/>
      <c r="AD840" s="133"/>
      <c r="AE840" s="133"/>
      <c r="AF840" s="111"/>
      <c r="AG840" s="147"/>
      <c r="AH840" s="73"/>
      <c r="AI840" s="135"/>
      <c r="AJ840" s="136"/>
      <c r="AK840" s="76"/>
      <c r="AL840" s="137"/>
      <c r="AM840" s="139">
        <v>392.0</v>
      </c>
      <c r="AN840" s="139">
        <v>1433.0</v>
      </c>
      <c r="AO840" s="140">
        <v>427.49</v>
      </c>
      <c r="AP840" s="142">
        <v>158400.0</v>
      </c>
      <c r="AQ840" s="142">
        <v>201.0</v>
      </c>
      <c r="AR840" s="143"/>
      <c r="AS840" s="144">
        <v>0.9355002290716125</v>
      </c>
      <c r="AT840" s="144">
        <v>-0.013200229071612446</v>
      </c>
      <c r="AU840" s="146" t="s">
        <v>2662</v>
      </c>
      <c r="AV840" s="146" t="s">
        <v>2662</v>
      </c>
      <c r="AW840" s="148" t="s">
        <v>2662</v>
      </c>
      <c r="AX840" s="151"/>
      <c r="AY840" s="105"/>
      <c r="AZ840" s="186"/>
      <c r="BA840" s="186"/>
      <c r="BB840" s="222"/>
      <c r="BC840" s="45"/>
      <c r="BD840" s="45"/>
      <c r="BE840" s="155"/>
      <c r="BF840" s="45"/>
    </row>
    <row r="841" ht="16.5" customHeight="1">
      <c r="A841" s="111">
        <v>838.0</v>
      </c>
      <c r="B841" s="112" t="s">
        <v>1797</v>
      </c>
      <c r="C841" s="115" t="s">
        <v>60</v>
      </c>
      <c r="D841" s="117">
        <v>42353.0</v>
      </c>
      <c r="E841" s="117">
        <v>42968.0</v>
      </c>
      <c r="F841" s="79" t="s">
        <v>870</v>
      </c>
      <c r="G841" s="118">
        <v>67565.0</v>
      </c>
      <c r="H841" s="114">
        <v>109.7</v>
      </c>
      <c r="I841" s="120">
        <v>356.0</v>
      </c>
      <c r="J841" s="111" t="s">
        <v>62</v>
      </c>
      <c r="K841" s="121">
        <v>356.0</v>
      </c>
      <c r="L841" s="120" t="s">
        <v>63</v>
      </c>
      <c r="M841" s="120"/>
      <c r="N841" s="120"/>
      <c r="O841" s="124">
        <v>67565.0</v>
      </c>
      <c r="P841" s="124">
        <v>616.0</v>
      </c>
      <c r="Q841" s="111">
        <v>227.0</v>
      </c>
      <c r="R841" s="125">
        <v>360.0</v>
      </c>
      <c r="S841" s="126">
        <v>0.9889</v>
      </c>
      <c r="T841" s="127">
        <v>68036.32</v>
      </c>
      <c r="U841" s="128">
        <f t="shared" si="2"/>
        <v>0</v>
      </c>
      <c r="V841" s="79" t="s">
        <v>65</v>
      </c>
      <c r="W841" s="79" t="s">
        <v>69</v>
      </c>
      <c r="X841" s="79" t="s">
        <v>69</v>
      </c>
      <c r="Y841" s="130">
        <v>0.9</v>
      </c>
      <c r="Z841" s="111">
        <v>11.0</v>
      </c>
      <c r="AA841" s="133"/>
      <c r="AB841" s="133"/>
      <c r="AC841" s="133"/>
      <c r="AD841" s="133"/>
      <c r="AE841" s="133"/>
      <c r="AF841" s="111"/>
      <c r="AG841" s="147"/>
      <c r="AH841" s="73"/>
      <c r="AI841" s="135"/>
      <c r="AJ841" s="136"/>
      <c r="AK841" s="76"/>
      <c r="AL841" s="137"/>
      <c r="AM841" s="139" t="s">
        <v>71</v>
      </c>
      <c r="AN841" s="139">
        <v>616.0</v>
      </c>
      <c r="AO841" s="140">
        <v>224.2</v>
      </c>
      <c r="AP841" s="142">
        <v>67565.0</v>
      </c>
      <c r="AQ841" s="142">
        <v>227.0</v>
      </c>
      <c r="AR841" s="143"/>
      <c r="AS841" s="144">
        <v>0.951318522616005</v>
      </c>
      <c r="AT841" s="144">
        <v>0.03758147738399498</v>
      </c>
      <c r="AU841" s="146" t="s">
        <v>2663</v>
      </c>
      <c r="AV841" s="146" t="s">
        <v>2663</v>
      </c>
      <c r="AW841" s="148" t="s">
        <v>2663</v>
      </c>
      <c r="AX841" s="151"/>
      <c r="AY841" s="105"/>
      <c r="AZ841" s="186"/>
      <c r="BA841" s="186"/>
      <c r="BB841" s="222"/>
      <c r="BC841" s="45"/>
      <c r="BD841" s="45"/>
      <c r="BE841" s="155"/>
      <c r="BF841" s="45"/>
    </row>
    <row r="842" ht="16.5" customHeight="1">
      <c r="A842" s="111">
        <v>839.0</v>
      </c>
      <c r="B842" s="112" t="s">
        <v>1839</v>
      </c>
      <c r="C842" s="115" t="s">
        <v>60</v>
      </c>
      <c r="D842" s="117">
        <v>42551.0</v>
      </c>
      <c r="E842" s="237">
        <v>42968.0</v>
      </c>
      <c r="F842" s="79" t="s">
        <v>305</v>
      </c>
      <c r="G842" s="118">
        <v>45389.0</v>
      </c>
      <c r="H842" s="114">
        <v>108.6</v>
      </c>
      <c r="I842" s="120">
        <v>425.0</v>
      </c>
      <c r="J842" s="111" t="s">
        <v>61</v>
      </c>
      <c r="K842" s="121">
        <v>430.38</v>
      </c>
      <c r="L842" s="120" t="s">
        <v>63</v>
      </c>
      <c r="M842" s="120"/>
      <c r="N842" s="120"/>
      <c r="O842" s="124">
        <v>45389.0</v>
      </c>
      <c r="P842" s="124">
        <v>418.0</v>
      </c>
      <c r="Q842" s="111">
        <v>216.0</v>
      </c>
      <c r="R842" s="125">
        <v>452.0</v>
      </c>
      <c r="S842" s="126">
        <v>0.9522</v>
      </c>
      <c r="T842" s="127">
        <v>77889.96</v>
      </c>
      <c r="U842" s="128">
        <f t="shared" si="2"/>
        <v>0</v>
      </c>
      <c r="V842" s="79" t="s">
        <v>80</v>
      </c>
      <c r="W842" s="79" t="s">
        <v>69</v>
      </c>
      <c r="X842" s="79" t="s">
        <v>65</v>
      </c>
      <c r="Y842" s="130">
        <v>0.6</v>
      </c>
      <c r="Z842" s="111"/>
      <c r="AA842" s="133"/>
      <c r="AB842" s="133"/>
      <c r="AC842" s="133"/>
      <c r="AD842" s="133"/>
      <c r="AE842" s="133"/>
      <c r="AF842" s="111"/>
      <c r="AG842" s="147"/>
      <c r="AH842" s="73"/>
      <c r="AI842" s="135"/>
      <c r="AJ842" s="136"/>
      <c r="AK842" s="76"/>
      <c r="AL842" s="137"/>
      <c r="AM842" s="139" t="s">
        <v>71</v>
      </c>
      <c r="AN842" s="139">
        <v>418.0</v>
      </c>
      <c r="AO842" s="140">
        <v>122.8</v>
      </c>
      <c r="AP842" s="142">
        <v>45389.0</v>
      </c>
      <c r="AQ842" s="142">
        <v>216.0</v>
      </c>
      <c r="AR842" s="143"/>
      <c r="AS842" s="144">
        <v>0.9578165945150459</v>
      </c>
      <c r="AT842" s="144">
        <v>-0.005616594515045814</v>
      </c>
      <c r="AU842" s="146" t="s">
        <v>2664</v>
      </c>
      <c r="AV842" s="146" t="s">
        <v>2664</v>
      </c>
      <c r="AW842" s="148" t="s">
        <v>2664</v>
      </c>
      <c r="AX842" s="151"/>
      <c r="AY842" s="105"/>
      <c r="AZ842" s="186"/>
      <c r="BA842" s="186"/>
      <c r="BB842" s="222"/>
      <c r="BC842" s="45"/>
      <c r="BD842" s="45"/>
      <c r="BE842" s="155"/>
      <c r="BF842" s="45"/>
    </row>
    <row r="843" ht="16.5" customHeight="1">
      <c r="A843" s="111">
        <v>840.0</v>
      </c>
      <c r="B843" s="112" t="s">
        <v>1787</v>
      </c>
      <c r="C843" s="115" t="s">
        <v>60</v>
      </c>
      <c r="D843" s="117">
        <v>41820.0</v>
      </c>
      <c r="E843" s="117">
        <v>42969.0</v>
      </c>
      <c r="F843" s="79" t="s">
        <v>79</v>
      </c>
      <c r="G843" s="118">
        <v>73397.0</v>
      </c>
      <c r="H843" s="114">
        <v>63.8</v>
      </c>
      <c r="I843" s="120">
        <v>379.0</v>
      </c>
      <c r="J843" s="111" t="s">
        <v>62</v>
      </c>
      <c r="K843" s="121">
        <v>379.0</v>
      </c>
      <c r="L843" s="120" t="s">
        <v>63</v>
      </c>
      <c r="M843" s="120"/>
      <c r="N843" s="120"/>
      <c r="O843" s="124">
        <v>73397.0</v>
      </c>
      <c r="P843" s="124">
        <v>1150.0</v>
      </c>
      <c r="Q843" s="111">
        <v>205.0</v>
      </c>
      <c r="R843" s="125">
        <v>399.0</v>
      </c>
      <c r="S843" s="126">
        <v>0.9499</v>
      </c>
      <c r="T843" s="127">
        <v>73617.25</v>
      </c>
      <c r="U843" s="128">
        <f t="shared" si="2"/>
        <v>0</v>
      </c>
      <c r="V843" s="79" t="s">
        <v>69</v>
      </c>
      <c r="W843" s="79" t="s">
        <v>69</v>
      </c>
      <c r="X843" s="79" t="s">
        <v>66</v>
      </c>
      <c r="Y843" s="130">
        <v>0.8</v>
      </c>
      <c r="Z843" s="111">
        <v>11.0</v>
      </c>
      <c r="AA843" s="133"/>
      <c r="AB843" s="133"/>
      <c r="AC843" s="133"/>
      <c r="AD843" s="133"/>
      <c r="AE843" s="133"/>
      <c r="AF843" s="111"/>
      <c r="AG843" s="147"/>
      <c r="AH843" s="73"/>
      <c r="AI843" s="135"/>
      <c r="AJ843" s="136"/>
      <c r="AK843" s="76"/>
      <c r="AL843" s="137"/>
      <c r="AM843" s="139" t="s">
        <v>71</v>
      </c>
      <c r="AN843" s="139">
        <v>1150.0</v>
      </c>
      <c r="AO843" s="140">
        <v>199.18</v>
      </c>
      <c r="AP843" s="142">
        <v>73397.0</v>
      </c>
      <c r="AQ843" s="142">
        <v>205.0</v>
      </c>
      <c r="AR843" s="143"/>
      <c r="AS843" s="144">
        <v>0.950012000205647</v>
      </c>
      <c r="AT843" s="144">
        <v>-1.1200020564705593E-4</v>
      </c>
      <c r="AU843" s="146" t="s">
        <v>2665</v>
      </c>
      <c r="AV843" s="146" t="s">
        <v>2665</v>
      </c>
      <c r="AW843" s="148" t="s">
        <v>2665</v>
      </c>
      <c r="AX843" s="151"/>
      <c r="AY843" s="105"/>
      <c r="AZ843" s="186"/>
      <c r="BA843" s="186"/>
      <c r="BB843" s="222"/>
      <c r="BC843" s="45"/>
      <c r="BD843" s="45"/>
      <c r="BE843" s="155"/>
      <c r="BF843" s="45"/>
    </row>
    <row r="844" ht="16.5" customHeight="1">
      <c r="A844" s="111">
        <v>841.0</v>
      </c>
      <c r="B844" s="112" t="s">
        <v>58</v>
      </c>
      <c r="C844" s="115" t="s">
        <v>60</v>
      </c>
      <c r="D844" s="116">
        <v>41598.0</v>
      </c>
      <c r="E844" s="117">
        <v>42970.0</v>
      </c>
      <c r="F844" s="79" t="s">
        <v>59</v>
      </c>
      <c r="G844" s="118">
        <v>134709.0</v>
      </c>
      <c r="H844" s="114">
        <v>98.1</v>
      </c>
      <c r="I844" s="120">
        <v>377.0</v>
      </c>
      <c r="J844" s="111" t="s">
        <v>62</v>
      </c>
      <c r="K844" s="121">
        <v>377.0</v>
      </c>
      <c r="L844" s="120" t="s">
        <v>63</v>
      </c>
      <c r="M844" s="120"/>
      <c r="N844" s="120"/>
      <c r="O844" s="124">
        <v>134709.0</v>
      </c>
      <c r="P844" s="124">
        <v>1373.0</v>
      </c>
      <c r="Q844" s="111">
        <v>217.0</v>
      </c>
      <c r="R844" s="125">
        <v>399.0</v>
      </c>
      <c r="S844" s="126">
        <v>0.9449</v>
      </c>
      <c r="T844" s="127">
        <v>73229.75</v>
      </c>
      <c r="U844" s="128">
        <f t="shared" si="2"/>
        <v>0</v>
      </c>
      <c r="V844" s="79" t="s">
        <v>65</v>
      </c>
      <c r="W844" s="79" t="s">
        <v>67</v>
      </c>
      <c r="X844" s="79" t="s">
        <v>66</v>
      </c>
      <c r="Y844" s="130">
        <v>0.8</v>
      </c>
      <c r="Z844" s="111"/>
      <c r="AA844" s="133"/>
      <c r="AB844" s="133"/>
      <c r="AC844" s="133"/>
      <c r="AD844" s="133"/>
      <c r="AE844" s="133"/>
      <c r="AF844" s="111"/>
      <c r="AG844" s="147"/>
      <c r="AH844" s="73"/>
      <c r="AI844" s="135"/>
      <c r="AJ844" s="136"/>
      <c r="AK844" s="76"/>
      <c r="AL844" s="137"/>
      <c r="AM844" s="139" t="s">
        <v>71</v>
      </c>
      <c r="AN844" s="139">
        <v>1373.0</v>
      </c>
      <c r="AO844" s="140">
        <v>387.93</v>
      </c>
      <c r="AP844" s="142">
        <v>134709.0</v>
      </c>
      <c r="AQ844" s="142">
        <v>217.0</v>
      </c>
      <c r="AR844" s="143"/>
      <c r="AS844" s="144">
        <v>0.9392500534957176</v>
      </c>
      <c r="AT844" s="144">
        <v>0.00564994650428241</v>
      </c>
      <c r="AU844" s="146" t="s">
        <v>2666</v>
      </c>
      <c r="AV844" s="146" t="s">
        <v>2666</v>
      </c>
      <c r="AW844" s="148" t="s">
        <v>2666</v>
      </c>
      <c r="AX844" s="151"/>
      <c r="AY844" s="105"/>
      <c r="AZ844" s="186"/>
      <c r="BA844" s="186"/>
      <c r="BB844" s="222"/>
      <c r="BC844" s="45"/>
      <c r="BD844" s="45"/>
      <c r="BE844" s="155"/>
      <c r="BF844" s="45"/>
    </row>
    <row r="845" ht="16.5" customHeight="1">
      <c r="A845" s="111">
        <v>842.0</v>
      </c>
      <c r="B845" s="112" t="s">
        <v>1336</v>
      </c>
      <c r="C845" s="115" t="s">
        <v>60</v>
      </c>
      <c r="D845" s="117">
        <v>42923.0</v>
      </c>
      <c r="E845" s="117">
        <v>42960.0</v>
      </c>
      <c r="F845" s="79" t="s">
        <v>675</v>
      </c>
      <c r="G845" s="118">
        <v>6548.0</v>
      </c>
      <c r="H845" s="114">
        <v>172.3</v>
      </c>
      <c r="I845" s="120">
        <v>383.0</v>
      </c>
      <c r="J845" s="111" t="s">
        <v>61</v>
      </c>
      <c r="K845" s="121">
        <v>387.85</v>
      </c>
      <c r="L845" s="120" t="s">
        <v>63</v>
      </c>
      <c r="M845" s="120"/>
      <c r="N845" s="120"/>
      <c r="O845" s="124">
        <v>6548.0</v>
      </c>
      <c r="P845" s="124">
        <v>38.0</v>
      </c>
      <c r="Q845" s="111">
        <v>183.0</v>
      </c>
      <c r="R845" s="125">
        <v>388.0</v>
      </c>
      <c r="S845" s="126">
        <v>0.9996</v>
      </c>
      <c r="T845" s="127">
        <v>72570.96</v>
      </c>
      <c r="U845" s="128">
        <f t="shared" si="2"/>
        <v>0</v>
      </c>
      <c r="V845" s="79" t="s">
        <v>67</v>
      </c>
      <c r="W845" s="79" t="s">
        <v>64</v>
      </c>
      <c r="X845" s="79" t="s">
        <v>66</v>
      </c>
      <c r="Y845" s="130">
        <v>0.8</v>
      </c>
      <c r="Z845" s="111">
        <v>11.0</v>
      </c>
      <c r="AA845" s="111">
        <v>382.0</v>
      </c>
      <c r="AB845" s="111" t="s">
        <v>61</v>
      </c>
      <c r="AC845" s="111">
        <v>383.0</v>
      </c>
      <c r="AD845" s="111">
        <v>183.0</v>
      </c>
      <c r="AE845" s="111">
        <v>36.0</v>
      </c>
      <c r="AF845" s="111" t="s">
        <v>62</v>
      </c>
      <c r="AG845" s="147"/>
      <c r="AH845" s="73">
        <v>200.0</v>
      </c>
      <c r="AI845" s="135">
        <v>200.0</v>
      </c>
      <c r="AJ845" s="136">
        <v>69.813</v>
      </c>
      <c r="AK845" s="76">
        <v>0.9616115702479339</v>
      </c>
      <c r="AL845" s="137" t="s">
        <v>2667</v>
      </c>
      <c r="AM845" s="139">
        <v>387.0</v>
      </c>
      <c r="AN845" s="139">
        <v>38.0</v>
      </c>
      <c r="AO845" s="140">
        <v>16.51</v>
      </c>
      <c r="AP845" s="142">
        <v>6548.0</v>
      </c>
      <c r="AQ845" s="142">
        <v>183.0</v>
      </c>
      <c r="AR845" s="143"/>
      <c r="AS845" s="144">
        <v>0.9884108135467568</v>
      </c>
      <c r="AT845" s="144">
        <v>0.011189186453243294</v>
      </c>
      <c r="AU845" s="146" t="s">
        <v>2668</v>
      </c>
      <c r="AV845" s="146" t="s">
        <v>2668</v>
      </c>
      <c r="AW845" s="148" t="s">
        <v>2668</v>
      </c>
      <c r="AX845" s="151"/>
      <c r="AY845" s="105"/>
      <c r="AZ845" s="186"/>
      <c r="BA845" s="186"/>
      <c r="BB845" s="222"/>
      <c r="BC845" s="45"/>
      <c r="BD845" s="45"/>
      <c r="BE845" s="155"/>
      <c r="BF845" s="45"/>
    </row>
    <row r="846" ht="16.5" customHeight="1">
      <c r="A846" s="111">
        <v>843.0</v>
      </c>
      <c r="B846" s="112" t="s">
        <v>114</v>
      </c>
      <c r="C846" s="115" t="s">
        <v>60</v>
      </c>
      <c r="D846" s="117">
        <v>41604.0</v>
      </c>
      <c r="E846" s="117">
        <v>42967.0</v>
      </c>
      <c r="F846" s="79" t="s">
        <v>79</v>
      </c>
      <c r="G846" s="118">
        <v>187612.0</v>
      </c>
      <c r="H846" s="114">
        <v>137.5</v>
      </c>
      <c r="I846" s="120">
        <v>376.0</v>
      </c>
      <c r="J846" s="111" t="s">
        <v>61</v>
      </c>
      <c r="K846" s="121">
        <v>380.76</v>
      </c>
      <c r="L846" s="120" t="s">
        <v>63</v>
      </c>
      <c r="M846" s="120"/>
      <c r="N846" s="120"/>
      <c r="O846" s="124">
        <v>187612.0</v>
      </c>
      <c r="P846" s="124">
        <v>1364.0</v>
      </c>
      <c r="Q846" s="111">
        <v>205.0</v>
      </c>
      <c r="R846" s="125">
        <v>399.0</v>
      </c>
      <c r="S846" s="126">
        <v>0.9543</v>
      </c>
      <c r="T846" s="127">
        <v>73958.25</v>
      </c>
      <c r="U846" s="128">
        <f t="shared" si="2"/>
        <v>0</v>
      </c>
      <c r="V846" s="79" t="s">
        <v>67</v>
      </c>
      <c r="W846" s="79" t="s">
        <v>65</v>
      </c>
      <c r="X846" s="79" t="s">
        <v>67</v>
      </c>
      <c r="Y846" s="130">
        <v>0.9</v>
      </c>
      <c r="Z846" s="111">
        <v>22.0</v>
      </c>
      <c r="AA846" s="111">
        <v>399.0</v>
      </c>
      <c r="AB846" s="111" t="s">
        <v>61</v>
      </c>
      <c r="AC846" s="133"/>
      <c r="AD846" s="133"/>
      <c r="AE846" s="133"/>
      <c r="AF846" s="111"/>
      <c r="AG846" s="147"/>
      <c r="AH846" s="73"/>
      <c r="AI846" s="135"/>
      <c r="AJ846" s="136"/>
      <c r="AK846" s="76"/>
      <c r="AL846" s="137"/>
      <c r="AM846" s="139">
        <v>404.0</v>
      </c>
      <c r="AN846" s="139">
        <v>1364.0</v>
      </c>
      <c r="AO846" s="140">
        <v>507.93</v>
      </c>
      <c r="AP846" s="142">
        <v>187612.0</v>
      </c>
      <c r="AQ846" s="142">
        <v>205.0</v>
      </c>
      <c r="AR846" s="143"/>
      <c r="AS846" s="144">
        <v>0.9309170039015414</v>
      </c>
      <c r="AT846" s="144">
        <v>0.02338299609845862</v>
      </c>
      <c r="AU846" s="146" t="s">
        <v>2669</v>
      </c>
      <c r="AV846" s="146" t="s">
        <v>2669</v>
      </c>
      <c r="AW846" s="148" t="s">
        <v>2669</v>
      </c>
      <c r="AX846" s="151"/>
      <c r="AY846" s="105"/>
      <c r="AZ846" s="186"/>
      <c r="BA846" s="186"/>
      <c r="BB846" s="222"/>
      <c r="BC846" s="45"/>
      <c r="BD846" s="45"/>
      <c r="BE846" s="155"/>
      <c r="BF846" s="45"/>
    </row>
    <row r="847" ht="16.5" customHeight="1">
      <c r="A847" s="111">
        <v>844.0</v>
      </c>
      <c r="B847" s="112" t="s">
        <v>1801</v>
      </c>
      <c r="C847" s="115" t="s">
        <v>60</v>
      </c>
      <c r="D847" s="117">
        <v>42464.0</v>
      </c>
      <c r="E847" s="117">
        <v>42971.0</v>
      </c>
      <c r="F847" s="79" t="s">
        <v>79</v>
      </c>
      <c r="G847" s="118">
        <v>64103.0</v>
      </c>
      <c r="H847" s="114">
        <v>126.2</v>
      </c>
      <c r="I847" s="120">
        <v>408.0</v>
      </c>
      <c r="J847" s="111" t="s">
        <v>62</v>
      </c>
      <c r="K847" s="121">
        <v>408.0</v>
      </c>
      <c r="L847" s="120" t="s">
        <v>63</v>
      </c>
      <c r="M847" s="120"/>
      <c r="N847" s="120"/>
      <c r="O847" s="124">
        <v>64103.0</v>
      </c>
      <c r="P847" s="124">
        <v>508.0</v>
      </c>
      <c r="Q847" s="111">
        <v>207.0</v>
      </c>
      <c r="R847" s="125">
        <v>399.0</v>
      </c>
      <c r="S847" s="126">
        <v>1.0226</v>
      </c>
      <c r="T847" s="127">
        <v>79251.5</v>
      </c>
      <c r="U847" s="128">
        <f t="shared" si="2"/>
        <v>0</v>
      </c>
      <c r="V847" s="79" t="s">
        <v>69</v>
      </c>
      <c r="W847" s="79" t="s">
        <v>69</v>
      </c>
      <c r="X847" s="79" t="s">
        <v>68</v>
      </c>
      <c r="Y847" s="130">
        <v>0.8</v>
      </c>
      <c r="Z847" s="111"/>
      <c r="AA847" s="111">
        <v>411.0</v>
      </c>
      <c r="AB847" s="133"/>
      <c r="AC847" s="111">
        <v>385.0</v>
      </c>
      <c r="AD847" s="111">
        <v>296.0</v>
      </c>
      <c r="AE847" s="133"/>
      <c r="AF847" s="111"/>
      <c r="AG847" s="147"/>
      <c r="AH847" s="73" t="s">
        <v>74</v>
      </c>
      <c r="AI847" s="135"/>
      <c r="AJ847" s="136"/>
      <c r="AK847" s="76"/>
      <c r="AL847" s="137"/>
      <c r="AM847" s="139">
        <v>411.0</v>
      </c>
      <c r="AN847" s="139">
        <v>508.0</v>
      </c>
      <c r="AO847" s="140">
        <v>169.32</v>
      </c>
      <c r="AP847" s="142">
        <v>64103.0</v>
      </c>
      <c r="AQ847" s="142">
        <v>207.0</v>
      </c>
      <c r="AR847" s="143"/>
      <c r="AS847" s="144">
        <v>0.9521509569335932</v>
      </c>
      <c r="AT847" s="144">
        <v>0.07044904306640676</v>
      </c>
      <c r="AU847" s="146" t="s">
        <v>2670</v>
      </c>
      <c r="AV847" s="146" t="s">
        <v>2670</v>
      </c>
      <c r="AW847" s="148" t="s">
        <v>2670</v>
      </c>
      <c r="AX847" s="151"/>
      <c r="AY847" s="105"/>
      <c r="AZ847" s="186"/>
      <c r="BA847" s="186"/>
      <c r="BB847" s="222"/>
      <c r="BC847" s="45"/>
      <c r="BD847" s="45"/>
      <c r="BE847" s="155"/>
      <c r="BF847" s="45"/>
    </row>
    <row r="848" ht="16.5" customHeight="1">
      <c r="A848" s="111">
        <v>845.0</v>
      </c>
      <c r="B848" s="112" t="s">
        <v>1714</v>
      </c>
      <c r="C848" s="115" t="s">
        <v>60</v>
      </c>
      <c r="D848" s="117">
        <v>41803.0</v>
      </c>
      <c r="E848" s="117">
        <v>42933.0</v>
      </c>
      <c r="F848" s="79" t="s">
        <v>57</v>
      </c>
      <c r="G848" s="118">
        <v>54475.0</v>
      </c>
      <c r="H848" s="114">
        <v>48.2</v>
      </c>
      <c r="I848" s="120">
        <v>378.0</v>
      </c>
      <c r="J848" s="111" t="s">
        <v>61</v>
      </c>
      <c r="K848" s="121">
        <v>382.78</v>
      </c>
      <c r="L848" s="120" t="s">
        <v>63</v>
      </c>
      <c r="M848" s="120"/>
      <c r="N848" s="120"/>
      <c r="O848" s="124">
        <v>54475.0</v>
      </c>
      <c r="P848" s="124">
        <v>1131.0</v>
      </c>
      <c r="Q848" s="111">
        <v>218.0</v>
      </c>
      <c r="R848" s="125">
        <v>399.0</v>
      </c>
      <c r="S848" s="126">
        <v>0.9593</v>
      </c>
      <c r="T848" s="127">
        <v>74345.75</v>
      </c>
      <c r="U848" s="128">
        <f t="shared" si="2"/>
        <v>0</v>
      </c>
      <c r="V848" s="79" t="s">
        <v>67</v>
      </c>
      <c r="W848" s="79" t="s">
        <v>69</v>
      </c>
      <c r="X848" s="79" t="s">
        <v>69</v>
      </c>
      <c r="Y848" s="130"/>
      <c r="Z848" s="111"/>
      <c r="AA848" s="133"/>
      <c r="AB848" s="111" t="s">
        <v>61</v>
      </c>
      <c r="AC848" s="133"/>
      <c r="AD848" s="133"/>
      <c r="AE848" s="133"/>
      <c r="AF848" s="111"/>
      <c r="AG848" s="147"/>
      <c r="AH848" s="73"/>
      <c r="AI848" s="135"/>
      <c r="AJ848" s="136"/>
      <c r="AK848" s="76"/>
      <c r="AL848" s="137"/>
      <c r="AM848" s="139" t="s">
        <v>71</v>
      </c>
      <c r="AN848" s="139">
        <v>1131.0</v>
      </c>
      <c r="AO848" s="140">
        <v>156.46</v>
      </c>
      <c r="AP848" s="142">
        <v>54475.0</v>
      </c>
      <c r="AQ848" s="142">
        <v>218.0</v>
      </c>
      <c r="AR848" s="143"/>
      <c r="AS848" s="144">
        <v>0.9547672480514784</v>
      </c>
      <c r="AT848" s="144">
        <v>0.004532751948521652</v>
      </c>
      <c r="AU848" s="146" t="s">
        <v>2671</v>
      </c>
      <c r="AV848" s="146" t="s">
        <v>2671</v>
      </c>
      <c r="AW848" s="148" t="s">
        <v>2671</v>
      </c>
      <c r="AX848" s="151"/>
      <c r="AY848" s="105"/>
      <c r="AZ848" s="186"/>
      <c r="BA848" s="186"/>
      <c r="BB848" s="222"/>
      <c r="BC848" s="45"/>
      <c r="BD848" s="45"/>
      <c r="BE848" s="155"/>
      <c r="BF848" s="45"/>
    </row>
    <row r="849" ht="16.5" customHeight="1">
      <c r="A849" s="111">
        <v>846.0</v>
      </c>
      <c r="B849" s="112" t="s">
        <v>1712</v>
      </c>
      <c r="C849" s="115" t="s">
        <v>60</v>
      </c>
      <c r="D849" s="117">
        <v>41724.0</v>
      </c>
      <c r="E849" s="117">
        <v>42812.0</v>
      </c>
      <c r="F849" s="79" t="s">
        <v>79</v>
      </c>
      <c r="G849" s="118">
        <v>52159.0</v>
      </c>
      <c r="H849" s="114">
        <v>47.9</v>
      </c>
      <c r="I849" s="120">
        <v>381.0</v>
      </c>
      <c r="J849" s="111" t="s">
        <v>61</v>
      </c>
      <c r="K849" s="121">
        <v>385.82</v>
      </c>
      <c r="L849" s="120" t="s">
        <v>63</v>
      </c>
      <c r="M849" s="120"/>
      <c r="N849" s="120"/>
      <c r="O849" s="124">
        <v>52159.0</v>
      </c>
      <c r="P849" s="124">
        <v>1089.0</v>
      </c>
      <c r="Q849" s="111">
        <v>218.0</v>
      </c>
      <c r="R849" s="125">
        <v>399.0</v>
      </c>
      <c r="S849" s="126">
        <v>0.967</v>
      </c>
      <c r="T849" s="127">
        <v>74942.5</v>
      </c>
      <c r="U849" s="128">
        <f t="shared" si="2"/>
        <v>0</v>
      </c>
      <c r="V849" s="79" t="s">
        <v>67</v>
      </c>
      <c r="W849" s="79" t="s">
        <v>69</v>
      </c>
      <c r="X849" s="79" t="s">
        <v>69</v>
      </c>
      <c r="Y849" s="130"/>
      <c r="Z849" s="111"/>
      <c r="AA849" s="133"/>
      <c r="AB849" s="111" t="s">
        <v>61</v>
      </c>
      <c r="AC849" s="133"/>
      <c r="AD849" s="133"/>
      <c r="AE849" s="133"/>
      <c r="AF849" s="111"/>
      <c r="AG849" s="147"/>
      <c r="AH849" s="73"/>
      <c r="AI849" s="135"/>
      <c r="AJ849" s="136"/>
      <c r="AK849" s="76"/>
      <c r="AL849" s="137"/>
      <c r="AM849" s="139" t="s">
        <v>71</v>
      </c>
      <c r="AN849" s="139">
        <v>1089.0</v>
      </c>
      <c r="AO849" s="140">
        <v>149.23</v>
      </c>
      <c r="AP849" s="142">
        <v>52159.0</v>
      </c>
      <c r="AQ849" s="142">
        <v>218.0</v>
      </c>
      <c r="AR849" s="143"/>
      <c r="AS849" s="144">
        <v>0.9554807199249274</v>
      </c>
      <c r="AT849" s="144">
        <v>0.011519280075072524</v>
      </c>
      <c r="AU849" s="146" t="s">
        <v>2672</v>
      </c>
      <c r="AV849" s="146" t="s">
        <v>2672</v>
      </c>
      <c r="AW849" s="148" t="s">
        <v>2672</v>
      </c>
      <c r="AX849" s="151"/>
      <c r="AY849" s="105"/>
      <c r="AZ849" s="186"/>
      <c r="BA849" s="186"/>
      <c r="BB849" s="222"/>
      <c r="BC849" s="45"/>
      <c r="BD849" s="45"/>
      <c r="BE849" s="155"/>
      <c r="BF849" s="45"/>
    </row>
    <row r="850" ht="16.5" customHeight="1">
      <c r="A850" s="111">
        <v>847.0</v>
      </c>
      <c r="B850" s="112" t="s">
        <v>1712</v>
      </c>
      <c r="C850" s="115" t="s">
        <v>60</v>
      </c>
      <c r="D850" s="117">
        <v>41724.0</v>
      </c>
      <c r="E850" s="117">
        <v>42847.0</v>
      </c>
      <c r="F850" s="79" t="s">
        <v>79</v>
      </c>
      <c r="G850" s="118">
        <v>55071.0</v>
      </c>
      <c r="H850" s="114">
        <v>49.0</v>
      </c>
      <c r="I850" s="120">
        <v>381.0</v>
      </c>
      <c r="J850" s="111" t="s">
        <v>61</v>
      </c>
      <c r="K850" s="121">
        <v>385.82</v>
      </c>
      <c r="L850" s="120" t="s">
        <v>63</v>
      </c>
      <c r="M850" s="120"/>
      <c r="N850" s="120"/>
      <c r="O850" s="124">
        <v>55071.0</v>
      </c>
      <c r="P850" s="124">
        <v>1124.0</v>
      </c>
      <c r="Q850" s="111">
        <v>218.0</v>
      </c>
      <c r="R850" s="125">
        <v>399.0</v>
      </c>
      <c r="S850" s="126">
        <v>0.967</v>
      </c>
      <c r="T850" s="127">
        <v>74942.5</v>
      </c>
      <c r="U850" s="128">
        <f t="shared" si="2"/>
        <v>0</v>
      </c>
      <c r="V850" s="79" t="s">
        <v>67</v>
      </c>
      <c r="W850" s="79" t="s">
        <v>69</v>
      </c>
      <c r="X850" s="79" t="s">
        <v>69</v>
      </c>
      <c r="Y850" s="130"/>
      <c r="Z850" s="111"/>
      <c r="AA850" s="133"/>
      <c r="AB850" s="111" t="s">
        <v>61</v>
      </c>
      <c r="AC850" s="133"/>
      <c r="AD850" s="133"/>
      <c r="AE850" s="133"/>
      <c r="AF850" s="111"/>
      <c r="AG850" s="147"/>
      <c r="AH850" s="73"/>
      <c r="AI850" s="135"/>
      <c r="AJ850" s="136"/>
      <c r="AK850" s="76"/>
      <c r="AL850" s="137"/>
      <c r="AM850" s="139" t="s">
        <v>71</v>
      </c>
      <c r="AN850" s="139">
        <v>1124.0</v>
      </c>
      <c r="AO850" s="140">
        <v>157.56</v>
      </c>
      <c r="AP850" s="142">
        <v>55071.0</v>
      </c>
      <c r="AQ850" s="142">
        <v>218.0</v>
      </c>
      <c r="AR850" s="143"/>
      <c r="AS850" s="144">
        <v>0.954589685119821</v>
      </c>
      <c r="AT850" s="144">
        <v>0.012410314880178963</v>
      </c>
      <c r="AU850" s="146" t="s">
        <v>2673</v>
      </c>
      <c r="AV850" s="146" t="s">
        <v>2673</v>
      </c>
      <c r="AW850" s="148" t="s">
        <v>2673</v>
      </c>
      <c r="AX850" s="151"/>
      <c r="AY850" s="105"/>
      <c r="AZ850" s="186"/>
      <c r="BA850" s="186"/>
      <c r="BB850" s="222"/>
      <c r="BC850" s="45"/>
      <c r="BD850" s="45"/>
      <c r="BE850" s="155"/>
      <c r="BF850" s="45"/>
    </row>
    <row r="851" ht="16.5" customHeight="1">
      <c r="A851" s="111">
        <v>848.0</v>
      </c>
      <c r="B851" s="112" t="s">
        <v>1712</v>
      </c>
      <c r="C851" s="115" t="s">
        <v>60</v>
      </c>
      <c r="D851" s="117">
        <v>41724.0</v>
      </c>
      <c r="E851" s="117">
        <v>42848.0</v>
      </c>
      <c r="F851" s="79" t="s">
        <v>79</v>
      </c>
      <c r="G851" s="118">
        <v>55300.0</v>
      </c>
      <c r="H851" s="114">
        <v>49.2</v>
      </c>
      <c r="I851" s="120">
        <v>381.0</v>
      </c>
      <c r="J851" s="111" t="s">
        <v>61</v>
      </c>
      <c r="K851" s="121">
        <v>385.82</v>
      </c>
      <c r="L851" s="120" t="s">
        <v>63</v>
      </c>
      <c r="M851" s="120"/>
      <c r="N851" s="120"/>
      <c r="O851" s="124">
        <v>55300.0</v>
      </c>
      <c r="P851" s="124">
        <v>1125.0</v>
      </c>
      <c r="Q851" s="111">
        <v>218.0</v>
      </c>
      <c r="R851" s="125">
        <v>399.0</v>
      </c>
      <c r="S851" s="126">
        <v>0.967</v>
      </c>
      <c r="T851" s="127">
        <v>74942.5</v>
      </c>
      <c r="U851" s="128">
        <f t="shared" si="2"/>
        <v>0</v>
      </c>
      <c r="V851" s="79" t="s">
        <v>67</v>
      </c>
      <c r="W851" s="79" t="s">
        <v>69</v>
      </c>
      <c r="X851" s="79" t="s">
        <v>69</v>
      </c>
      <c r="Y851" s="130"/>
      <c r="Z851" s="111"/>
      <c r="AA851" s="133"/>
      <c r="AB851" s="111" t="s">
        <v>61</v>
      </c>
      <c r="AC851" s="133"/>
      <c r="AD851" s="133"/>
      <c r="AE851" s="133"/>
      <c r="AF851" s="111"/>
      <c r="AG851" s="147"/>
      <c r="AH851" s="73"/>
      <c r="AI851" s="135"/>
      <c r="AJ851" s="136"/>
      <c r="AK851" s="76"/>
      <c r="AL851" s="137"/>
      <c r="AM851" s="139" t="s">
        <v>71</v>
      </c>
      <c r="AN851" s="139">
        <v>1125.0</v>
      </c>
      <c r="AO851" s="140">
        <v>158.21</v>
      </c>
      <c r="AP851" s="142">
        <v>55300.0</v>
      </c>
      <c r="AQ851" s="142">
        <v>218.0</v>
      </c>
      <c r="AR851" s="143"/>
      <c r="AS851" s="144">
        <v>0.9545220862052266</v>
      </c>
      <c r="AT851" s="144">
        <v>0.012477913794773365</v>
      </c>
      <c r="AU851" s="146" t="s">
        <v>2674</v>
      </c>
      <c r="AV851" s="146" t="s">
        <v>2674</v>
      </c>
      <c r="AW851" s="148" t="s">
        <v>2674</v>
      </c>
      <c r="AX851" s="151"/>
      <c r="AY851" s="105"/>
      <c r="AZ851" s="186"/>
      <c r="BA851" s="186"/>
      <c r="BB851" s="222"/>
      <c r="BC851" s="45"/>
      <c r="BD851" s="45"/>
      <c r="BE851" s="155"/>
      <c r="BF851" s="45"/>
    </row>
    <row r="852" ht="16.5" customHeight="1">
      <c r="A852" s="111">
        <v>849.0</v>
      </c>
      <c r="B852" s="112" t="s">
        <v>1714</v>
      </c>
      <c r="C852" s="115" t="s">
        <v>60</v>
      </c>
      <c r="D852" s="117">
        <v>41803.0</v>
      </c>
      <c r="E852" s="117">
        <v>42937.0</v>
      </c>
      <c r="F852" s="79" t="s">
        <v>57</v>
      </c>
      <c r="G852" s="118">
        <v>54757.0</v>
      </c>
      <c r="H852" s="114">
        <v>48.2</v>
      </c>
      <c r="I852" s="120">
        <v>377.0</v>
      </c>
      <c r="J852" s="111" t="s">
        <v>61</v>
      </c>
      <c r="K852" s="121">
        <v>381.77</v>
      </c>
      <c r="L852" s="120" t="s">
        <v>63</v>
      </c>
      <c r="M852" s="120"/>
      <c r="N852" s="120"/>
      <c r="O852" s="124">
        <v>54757.0</v>
      </c>
      <c r="P852" s="124">
        <v>1135.0</v>
      </c>
      <c r="Q852" s="111">
        <v>218.0</v>
      </c>
      <c r="R852" s="125">
        <v>399.0</v>
      </c>
      <c r="S852" s="126">
        <v>0.9568</v>
      </c>
      <c r="T852" s="127">
        <v>74152.0</v>
      </c>
      <c r="U852" s="128">
        <f t="shared" si="2"/>
        <v>0</v>
      </c>
      <c r="V852" s="79" t="s">
        <v>67</v>
      </c>
      <c r="W852" s="79" t="s">
        <v>69</v>
      </c>
      <c r="X852" s="79" t="s">
        <v>69</v>
      </c>
      <c r="Y852" s="130"/>
      <c r="Z852" s="111"/>
      <c r="AA852" s="133"/>
      <c r="AB852" s="111" t="s">
        <v>61</v>
      </c>
      <c r="AC852" s="133"/>
      <c r="AD852" s="133"/>
      <c r="AE852" s="133"/>
      <c r="AF852" s="111"/>
      <c r="AG852" s="147"/>
      <c r="AH852" s="73"/>
      <c r="AI852" s="135"/>
      <c r="AJ852" s="136"/>
      <c r="AK852" s="76"/>
      <c r="AL852" s="137"/>
      <c r="AM852" s="139" t="s">
        <v>71</v>
      </c>
      <c r="AN852" s="139">
        <v>1135.0</v>
      </c>
      <c r="AO852" s="140">
        <v>157.47</v>
      </c>
      <c r="AP852" s="142">
        <v>54757.0</v>
      </c>
      <c r="AQ852" s="142">
        <v>218.0</v>
      </c>
      <c r="AR852" s="143"/>
      <c r="AS852" s="144">
        <v>0.9546829375719855</v>
      </c>
      <c r="AT852" s="144">
        <v>0.00211706242801446</v>
      </c>
      <c r="AU852" s="146" t="s">
        <v>2675</v>
      </c>
      <c r="AV852" s="146" t="s">
        <v>2675</v>
      </c>
      <c r="AW852" s="148" t="s">
        <v>2675</v>
      </c>
      <c r="AX852" s="151"/>
      <c r="AY852" s="105"/>
      <c r="AZ852" s="186"/>
      <c r="BA852" s="186"/>
      <c r="BB852" s="222"/>
      <c r="BC852" s="45"/>
      <c r="BD852" s="45"/>
      <c r="BE852" s="155"/>
      <c r="BF852" s="45"/>
    </row>
    <row r="853" ht="16.5" customHeight="1">
      <c r="A853" s="111">
        <v>850.0</v>
      </c>
      <c r="B853" s="980" t="s">
        <v>1714</v>
      </c>
      <c r="C853" s="972" t="s">
        <v>60</v>
      </c>
      <c r="D853" s="973">
        <v>41803.0</v>
      </c>
      <c r="E853" s="974">
        <v>42958.0</v>
      </c>
      <c r="F853" s="975" t="s">
        <v>57</v>
      </c>
      <c r="G853" s="118">
        <v>57228.0</v>
      </c>
      <c r="H853" s="114">
        <v>49.5</v>
      </c>
      <c r="I853" s="120">
        <v>379.0</v>
      </c>
      <c r="J853" s="111" t="s">
        <v>61</v>
      </c>
      <c r="K853" s="121">
        <v>383.8</v>
      </c>
      <c r="L853" s="120" t="s">
        <v>63</v>
      </c>
      <c r="M853" s="120"/>
      <c r="N853" s="120"/>
      <c r="O853" s="124">
        <v>57228.0</v>
      </c>
      <c r="P853" s="124">
        <v>1156.0</v>
      </c>
      <c r="Q853" s="111">
        <v>218.0</v>
      </c>
      <c r="R853" s="125">
        <v>399.0</v>
      </c>
      <c r="S853" s="126">
        <v>0.9619</v>
      </c>
      <c r="T853" s="127">
        <v>74547.25</v>
      </c>
      <c r="U853" s="128">
        <f t="shared" si="2"/>
        <v>0</v>
      </c>
      <c r="V853" s="79" t="s">
        <v>67</v>
      </c>
      <c r="W853" s="79" t="s">
        <v>69</v>
      </c>
      <c r="X853" s="79" t="s">
        <v>69</v>
      </c>
      <c r="Y853" s="130"/>
      <c r="Z853" s="111"/>
      <c r="AA853" s="133"/>
      <c r="AB853" s="111" t="s">
        <v>61</v>
      </c>
      <c r="AC853" s="133"/>
      <c r="AD853" s="133"/>
      <c r="AE853" s="133"/>
      <c r="AF853" s="111"/>
      <c r="AG853" s="147"/>
      <c r="AH853" s="73"/>
      <c r="AI853" s="135"/>
      <c r="AJ853" s="136"/>
      <c r="AK853" s="76"/>
      <c r="AL853" s="137"/>
      <c r="AM853" s="139" t="s">
        <v>71</v>
      </c>
      <c r="AN853" s="139">
        <v>1156.0</v>
      </c>
      <c r="AO853" s="140">
        <v>164.15</v>
      </c>
      <c r="AP853" s="142">
        <v>57228.0</v>
      </c>
      <c r="AQ853" s="142">
        <v>218.0</v>
      </c>
      <c r="AR853" s="143"/>
      <c r="AS853" s="144">
        <v>0.9539661506072592</v>
      </c>
      <c r="AT853" s="144">
        <v>0.007933849392740777</v>
      </c>
      <c r="AU853" s="146" t="s">
        <v>2676</v>
      </c>
      <c r="AV853" s="146" t="s">
        <v>2676</v>
      </c>
      <c r="AW853" s="148" t="s">
        <v>2676</v>
      </c>
      <c r="AX853" s="151"/>
      <c r="AY853" s="105"/>
      <c r="AZ853" s="186"/>
      <c r="BA853" s="186"/>
      <c r="BB853" s="222"/>
      <c r="BC853" s="45"/>
      <c r="BD853" s="45"/>
      <c r="BE853" s="155"/>
      <c r="BF853" s="45"/>
    </row>
    <row r="854" ht="16.5" customHeight="1">
      <c r="A854" s="111">
        <v>851.0</v>
      </c>
      <c r="B854" s="112" t="s">
        <v>541</v>
      </c>
      <c r="C854" s="115" t="s">
        <v>60</v>
      </c>
      <c r="D854" s="117">
        <v>41603.0</v>
      </c>
      <c r="E854" s="117">
        <v>42972.0</v>
      </c>
      <c r="F854" s="79" t="s">
        <v>57</v>
      </c>
      <c r="G854" s="118">
        <v>154610.0</v>
      </c>
      <c r="H854" s="114">
        <v>112.9</v>
      </c>
      <c r="I854" s="120">
        <v>361.0</v>
      </c>
      <c r="J854" s="111" t="s">
        <v>61</v>
      </c>
      <c r="K854" s="121">
        <v>365.57</v>
      </c>
      <c r="L854" s="120" t="s">
        <v>63</v>
      </c>
      <c r="M854" s="120"/>
      <c r="N854" s="120"/>
      <c r="O854" s="124">
        <v>154610.0</v>
      </c>
      <c r="P854" s="124">
        <v>1370.0</v>
      </c>
      <c r="Q854" s="111">
        <v>225.0</v>
      </c>
      <c r="R854" s="125">
        <v>399.0</v>
      </c>
      <c r="S854" s="126">
        <v>0.9162</v>
      </c>
      <c r="T854" s="127">
        <v>71005.5</v>
      </c>
      <c r="U854" s="128">
        <f t="shared" si="2"/>
        <v>0</v>
      </c>
      <c r="V854" s="79" t="s">
        <v>67</v>
      </c>
      <c r="W854" s="79" t="s">
        <v>67</v>
      </c>
      <c r="X854" s="79" t="s">
        <v>69</v>
      </c>
      <c r="Y854" s="130">
        <v>0.9</v>
      </c>
      <c r="Z854" s="111">
        <v>11.0</v>
      </c>
      <c r="AA854" s="111">
        <v>400.0</v>
      </c>
      <c r="AB854" s="111" t="s">
        <v>61</v>
      </c>
      <c r="AC854" s="133"/>
      <c r="AD854" s="133"/>
      <c r="AE854" s="133"/>
      <c r="AF854" s="111"/>
      <c r="AG854" s="147"/>
      <c r="AH854" s="73"/>
      <c r="AI854" s="135"/>
      <c r="AJ854" s="136"/>
      <c r="AK854" s="76"/>
      <c r="AL854" s="137"/>
      <c r="AM854" s="139">
        <v>405.0</v>
      </c>
      <c r="AN854" s="139">
        <v>1370.0</v>
      </c>
      <c r="AO854" s="140">
        <v>468.56</v>
      </c>
      <c r="AP854" s="142">
        <v>154610.0</v>
      </c>
      <c r="AQ854" s="142">
        <v>225.0</v>
      </c>
      <c r="AR854" s="143"/>
      <c r="AS854" s="144">
        <v>0.9360970954828763</v>
      </c>
      <c r="AT854" s="144">
        <v>-0.019897095482876326</v>
      </c>
      <c r="AU854" s="146" t="s">
        <v>2677</v>
      </c>
      <c r="AV854" s="146" t="s">
        <v>2677</v>
      </c>
      <c r="AW854" s="148" t="s">
        <v>2677</v>
      </c>
      <c r="AX854" s="151"/>
      <c r="AY854" s="105"/>
      <c r="AZ854" s="186"/>
      <c r="BA854" s="186"/>
      <c r="BB854" s="222"/>
      <c r="BC854" s="45"/>
      <c r="BD854" s="45"/>
      <c r="BE854" s="155"/>
      <c r="BF854" s="45"/>
    </row>
    <row r="855" ht="16.5" customHeight="1">
      <c r="A855" s="111">
        <v>852.0</v>
      </c>
      <c r="B855" s="980" t="s">
        <v>1714</v>
      </c>
      <c r="C855" s="972" t="s">
        <v>60</v>
      </c>
      <c r="D855" s="973">
        <v>41803.0</v>
      </c>
      <c r="E855" s="974">
        <v>42974.0</v>
      </c>
      <c r="F855" s="975" t="s">
        <v>57</v>
      </c>
      <c r="G855" s="118">
        <v>58191.0</v>
      </c>
      <c r="H855" s="114">
        <v>49.7</v>
      </c>
      <c r="I855" s="120">
        <v>380.0</v>
      </c>
      <c r="J855" s="111" t="s">
        <v>61</v>
      </c>
      <c r="K855" s="121">
        <v>384.81</v>
      </c>
      <c r="L855" s="120" t="s">
        <v>63</v>
      </c>
      <c r="M855" s="120"/>
      <c r="N855" s="120"/>
      <c r="O855" s="124">
        <v>58191.0</v>
      </c>
      <c r="P855" s="124">
        <v>1172.0</v>
      </c>
      <c r="Q855" s="111">
        <v>218.0</v>
      </c>
      <c r="R855" s="125">
        <v>399.0</v>
      </c>
      <c r="S855" s="126">
        <v>0.9644</v>
      </c>
      <c r="T855" s="127">
        <v>74741.0</v>
      </c>
      <c r="U855" s="128">
        <f t="shared" si="2"/>
        <v>0</v>
      </c>
      <c r="V855" s="79" t="s">
        <v>67</v>
      </c>
      <c r="W855" s="79" t="s">
        <v>69</v>
      </c>
      <c r="X855" s="79" t="s">
        <v>69</v>
      </c>
      <c r="Y855" s="130"/>
      <c r="Z855" s="111"/>
      <c r="AA855" s="133"/>
      <c r="AB855" s="111" t="s">
        <v>61</v>
      </c>
      <c r="AC855" s="133"/>
      <c r="AD855" s="133"/>
      <c r="AE855" s="133"/>
      <c r="AF855" s="111"/>
      <c r="AG855" s="147"/>
      <c r="AH855" s="73"/>
      <c r="AI855" s="135"/>
      <c r="AJ855" s="136"/>
      <c r="AK855" s="76"/>
      <c r="AL855" s="137"/>
      <c r="AM855" s="139" t="s">
        <v>71</v>
      </c>
      <c r="AN855" s="139">
        <v>1172.0</v>
      </c>
      <c r="AO855" s="140">
        <v>166.7</v>
      </c>
      <c r="AP855" s="142">
        <v>58191.0</v>
      </c>
      <c r="AQ855" s="142">
        <v>218.0</v>
      </c>
      <c r="AR855" s="143"/>
      <c r="AS855" s="144">
        <v>0.9536968823057538</v>
      </c>
      <c r="AT855" s="144">
        <v>0.010703117694246256</v>
      </c>
      <c r="AU855" s="146" t="s">
        <v>2678</v>
      </c>
      <c r="AV855" s="146" t="s">
        <v>2678</v>
      </c>
      <c r="AW855" s="148" t="s">
        <v>2678</v>
      </c>
      <c r="AX855" s="151"/>
      <c r="AY855" s="105"/>
      <c r="AZ855" s="186"/>
      <c r="BA855" s="186"/>
      <c r="BB855" s="222"/>
      <c r="BC855" s="45"/>
      <c r="BD855" s="45"/>
      <c r="BE855" s="155"/>
      <c r="BF855" s="45"/>
    </row>
    <row r="856" ht="16.5" customHeight="1">
      <c r="A856" s="111">
        <v>853.0</v>
      </c>
      <c r="B856" s="112" t="s">
        <v>126</v>
      </c>
      <c r="C856" s="115" t="s">
        <v>60</v>
      </c>
      <c r="D856" s="117">
        <v>41527.0</v>
      </c>
      <c r="E856" s="117">
        <v>42975.0</v>
      </c>
      <c r="F856" s="79" t="s">
        <v>79</v>
      </c>
      <c r="G856" s="118">
        <v>269000.0</v>
      </c>
      <c r="H856" s="114">
        <v>185.6</v>
      </c>
      <c r="I856" s="120">
        <v>363.0</v>
      </c>
      <c r="J856" s="111" t="s">
        <v>61</v>
      </c>
      <c r="K856" s="121">
        <v>367.59</v>
      </c>
      <c r="L856" s="120" t="s">
        <v>63</v>
      </c>
      <c r="M856" s="120"/>
      <c r="N856" s="120"/>
      <c r="O856" s="124">
        <v>269000.0</v>
      </c>
      <c r="P856" s="124">
        <v>1449.0</v>
      </c>
      <c r="Q856" s="111">
        <v>212.0</v>
      </c>
      <c r="R856" s="125">
        <v>399.0</v>
      </c>
      <c r="S856" s="126">
        <v>0.9213</v>
      </c>
      <c r="T856" s="127">
        <v>71400.75</v>
      </c>
      <c r="U856" s="128">
        <f t="shared" si="2"/>
        <v>0</v>
      </c>
      <c r="V856" s="79" t="s">
        <v>65</v>
      </c>
      <c r="W856" s="79" t="s">
        <v>127</v>
      </c>
      <c r="X856" s="79" t="s">
        <v>69</v>
      </c>
      <c r="Y856" s="130">
        <v>1.0</v>
      </c>
      <c r="Z856" s="111">
        <v>22.0</v>
      </c>
      <c r="AA856" s="111">
        <v>400.0</v>
      </c>
      <c r="AB856" s="111" t="s">
        <v>61</v>
      </c>
      <c r="AC856" s="111">
        <v>363.0</v>
      </c>
      <c r="AD856" s="111">
        <v>269.0</v>
      </c>
      <c r="AE856" s="111">
        <v>17.6</v>
      </c>
      <c r="AF856" s="111" t="s">
        <v>61</v>
      </c>
      <c r="AG856" s="134" t="s">
        <v>2679</v>
      </c>
      <c r="AH856" s="73">
        <v>94.0</v>
      </c>
      <c r="AI856" s="135">
        <v>95.18987341772153</v>
      </c>
      <c r="AJ856" s="136">
        <v>67.96504468085105</v>
      </c>
      <c r="AK856" s="76">
        <v>0.8769683184625942</v>
      </c>
      <c r="AL856" s="137" t="s">
        <v>2680</v>
      </c>
      <c r="AM856" s="139">
        <v>405.0</v>
      </c>
      <c r="AN856" s="139">
        <v>1449.0</v>
      </c>
      <c r="AO856" s="140">
        <v>766.05</v>
      </c>
      <c r="AP856" s="142">
        <v>269000.0</v>
      </c>
      <c r="AQ856" s="142">
        <v>212.0</v>
      </c>
      <c r="AR856" s="143"/>
      <c r="AS856" s="144">
        <v>0.9181891698369006</v>
      </c>
      <c r="AT856" s="144">
        <v>0.0031108301630994317</v>
      </c>
      <c r="AU856" s="146" t="s">
        <v>2681</v>
      </c>
      <c r="AV856" s="146" t="s">
        <v>2681</v>
      </c>
      <c r="AW856" s="148" t="s">
        <v>2681</v>
      </c>
      <c r="AX856" s="151"/>
      <c r="AY856" s="105"/>
      <c r="AZ856" s="186"/>
      <c r="BA856" s="186"/>
      <c r="BB856" s="222"/>
      <c r="BC856" s="45"/>
      <c r="BD856" s="45"/>
      <c r="BE856" s="155"/>
      <c r="BF856" s="45"/>
    </row>
    <row r="857" ht="16.5" customHeight="1">
      <c r="A857" s="111">
        <v>854.0</v>
      </c>
      <c r="B857" s="971" t="s">
        <v>761</v>
      </c>
      <c r="C857" s="972" t="s">
        <v>60</v>
      </c>
      <c r="D857" s="973">
        <v>42097.0</v>
      </c>
      <c r="E857" s="974">
        <v>42974.0</v>
      </c>
      <c r="F857" s="975" t="s">
        <v>90</v>
      </c>
      <c r="G857" s="976">
        <v>48204.0</v>
      </c>
      <c r="H857" s="114">
        <v>54.9</v>
      </c>
      <c r="I857" s="120">
        <v>389.0</v>
      </c>
      <c r="J857" s="111" t="s">
        <v>62</v>
      </c>
      <c r="K857" s="121">
        <v>389.0</v>
      </c>
      <c r="L857" s="120" t="s">
        <v>63</v>
      </c>
      <c r="M857" s="120"/>
      <c r="N857" s="120"/>
      <c r="O857" s="124">
        <v>48204.0</v>
      </c>
      <c r="P857" s="124">
        <v>878.0</v>
      </c>
      <c r="Q857" s="111">
        <v>232.0</v>
      </c>
      <c r="R857" s="125">
        <v>408.0</v>
      </c>
      <c r="S857" s="126">
        <v>0.9534</v>
      </c>
      <c r="T857" s="127">
        <v>73888.5</v>
      </c>
      <c r="U857" s="128">
        <f t="shared" si="2"/>
        <v>0</v>
      </c>
      <c r="V857" s="636" t="s">
        <v>65</v>
      </c>
      <c r="W857" s="691" t="s">
        <v>64</v>
      </c>
      <c r="X857" s="691" t="s">
        <v>66</v>
      </c>
      <c r="Y857" s="130">
        <v>0.7</v>
      </c>
      <c r="Z857" s="693">
        <v>11.0</v>
      </c>
      <c r="AA857" s="202">
        <v>406.0</v>
      </c>
      <c r="AB857" s="202" t="s">
        <v>62</v>
      </c>
      <c r="AC857" s="133"/>
      <c r="AD857" s="133"/>
      <c r="AE857" s="133"/>
      <c r="AF857" s="111"/>
      <c r="AG857" s="134" t="s">
        <v>1899</v>
      </c>
      <c r="AH857" s="73"/>
      <c r="AI857" s="135"/>
      <c r="AJ857" s="136"/>
      <c r="AK857" s="76"/>
      <c r="AL857" s="137"/>
      <c r="AM857" s="139">
        <v>406.0</v>
      </c>
      <c r="AN857" s="139">
        <v>878.0</v>
      </c>
      <c r="AO857" s="140">
        <v>147.78</v>
      </c>
      <c r="AP857" s="142">
        <v>48204.0</v>
      </c>
      <c r="AQ857" s="142">
        <v>232.0</v>
      </c>
      <c r="AR857" s="143"/>
      <c r="AS857" s="144">
        <v>0.9567954323225546</v>
      </c>
      <c r="AT857" s="144">
        <v>-0.00339543232255457</v>
      </c>
      <c r="AU857" s="146" t="s">
        <v>2682</v>
      </c>
      <c r="AV857" s="146" t="s">
        <v>2682</v>
      </c>
      <c r="AW857" s="148" t="s">
        <v>2682</v>
      </c>
      <c r="AX857" s="151"/>
      <c r="AY857" s="105"/>
      <c r="AZ857" s="186"/>
      <c r="BA857" s="186"/>
      <c r="BB857" s="222"/>
      <c r="BC857" s="45"/>
      <c r="BD857" s="45"/>
      <c r="BE857" s="155"/>
      <c r="BF857" s="45"/>
    </row>
    <row r="858" ht="16.5" customHeight="1">
      <c r="A858" s="111">
        <v>855.0</v>
      </c>
      <c r="B858" s="112" t="s">
        <v>1628</v>
      </c>
      <c r="C858" s="115" t="s">
        <v>60</v>
      </c>
      <c r="D858" s="117">
        <v>42437.0</v>
      </c>
      <c r="E858" s="117">
        <v>42976.0</v>
      </c>
      <c r="F858" s="79" t="s">
        <v>305</v>
      </c>
      <c r="G858" s="118">
        <v>42743.0</v>
      </c>
      <c r="H858" s="114">
        <v>79.2</v>
      </c>
      <c r="I858" s="120">
        <v>429.0</v>
      </c>
      <c r="J858" s="111" t="s">
        <v>61</v>
      </c>
      <c r="K858" s="121">
        <v>434.43</v>
      </c>
      <c r="L858" s="120" t="s">
        <v>63</v>
      </c>
      <c r="M858" s="120"/>
      <c r="N858" s="120"/>
      <c r="O858" s="124">
        <v>42743.0</v>
      </c>
      <c r="P858" s="124">
        <v>540.0</v>
      </c>
      <c r="Q858" s="111">
        <v>215.0</v>
      </c>
      <c r="R858" s="125">
        <v>452.0</v>
      </c>
      <c r="S858" s="126">
        <v>0.9611</v>
      </c>
      <c r="T858" s="127">
        <v>78617.98</v>
      </c>
      <c r="U858" s="128">
        <f t="shared" si="2"/>
        <v>0</v>
      </c>
      <c r="V858" s="79" t="s">
        <v>65</v>
      </c>
      <c r="W858" s="79" t="s">
        <v>64</v>
      </c>
      <c r="X858" s="79" t="s">
        <v>66</v>
      </c>
      <c r="Y858" s="130">
        <v>0.9</v>
      </c>
      <c r="Z858" s="111">
        <v>11.0</v>
      </c>
      <c r="AA858" s="111">
        <v>448.0</v>
      </c>
      <c r="AB858" s="111" t="s">
        <v>61</v>
      </c>
      <c r="AC858" s="111">
        <v>425.0</v>
      </c>
      <c r="AD858" s="111">
        <v>68.0</v>
      </c>
      <c r="AE858" s="111">
        <v>58.7</v>
      </c>
      <c r="AF858" s="111" t="s">
        <v>61</v>
      </c>
      <c r="AG858" s="134" t="s">
        <v>2683</v>
      </c>
      <c r="AH858" s="73">
        <v>357.0</v>
      </c>
      <c r="AI858" s="135">
        <v>361.5189873417722</v>
      </c>
      <c r="AJ858" s="136">
        <v>70.538593802521</v>
      </c>
      <c r="AK858" s="76">
        <v>0.8623299975858314</v>
      </c>
      <c r="AL858" s="137" t="s">
        <v>2684</v>
      </c>
      <c r="AM858" s="139">
        <v>454.0</v>
      </c>
      <c r="AN858" s="139">
        <v>540.0</v>
      </c>
      <c r="AO858" s="140">
        <v>114.59</v>
      </c>
      <c r="AP858" s="142">
        <v>42743.0</v>
      </c>
      <c r="AQ858" s="142">
        <v>215.0</v>
      </c>
      <c r="AR858" s="143"/>
      <c r="AS858" s="144">
        <v>0.9588514838984898</v>
      </c>
      <c r="AT858" s="144">
        <v>0.002248516101510112</v>
      </c>
      <c r="AU858" s="146" t="s">
        <v>2685</v>
      </c>
      <c r="AV858" s="146" t="s">
        <v>2685</v>
      </c>
      <c r="AW858" s="148" t="s">
        <v>2685</v>
      </c>
      <c r="AX858" s="151"/>
      <c r="AY858" s="105"/>
      <c r="AZ858" s="186"/>
      <c r="BA858" s="186"/>
      <c r="BB858" s="222"/>
      <c r="BC858" s="45"/>
      <c r="BD858" s="45"/>
      <c r="BE858" s="155"/>
      <c r="BF858" s="45"/>
    </row>
    <row r="859" ht="16.5" customHeight="1">
      <c r="A859" s="111">
        <v>856.0</v>
      </c>
      <c r="B859" s="112" t="s">
        <v>1761</v>
      </c>
      <c r="C859" s="115" t="s">
        <v>60</v>
      </c>
      <c r="D859" s="117">
        <v>42853.0</v>
      </c>
      <c r="E859" s="117">
        <v>42978.0</v>
      </c>
      <c r="F859" s="79" t="s">
        <v>675</v>
      </c>
      <c r="G859" s="118">
        <v>10025.0</v>
      </c>
      <c r="H859" s="114">
        <v>79.6</v>
      </c>
      <c r="I859" s="120">
        <v>379.0</v>
      </c>
      <c r="J859" s="111" t="s">
        <v>62</v>
      </c>
      <c r="K859" s="121">
        <v>379.0</v>
      </c>
      <c r="L859" s="120" t="s">
        <v>63</v>
      </c>
      <c r="M859" s="120"/>
      <c r="N859" s="120"/>
      <c r="O859" s="124">
        <v>10025.0</v>
      </c>
      <c r="P859" s="124">
        <v>126.0</v>
      </c>
      <c r="Q859" s="111">
        <v>179.0</v>
      </c>
      <c r="R859" s="125">
        <v>388.0</v>
      </c>
      <c r="S859" s="126">
        <v>0.9768</v>
      </c>
      <c r="T859" s="127">
        <v>70915.68</v>
      </c>
      <c r="U859" s="128">
        <f t="shared" si="2"/>
        <v>0</v>
      </c>
      <c r="V859" s="79" t="s">
        <v>67</v>
      </c>
      <c r="W859" s="79" t="s">
        <v>69</v>
      </c>
      <c r="X859" s="79" t="s">
        <v>69</v>
      </c>
      <c r="Y859" s="130">
        <v>0.9</v>
      </c>
      <c r="Z859" s="111">
        <v>11.0</v>
      </c>
      <c r="AA859" s="133"/>
      <c r="AB859" s="133"/>
      <c r="AC859" s="133"/>
      <c r="AD859" s="133"/>
      <c r="AE859" s="133"/>
      <c r="AF859" s="111"/>
      <c r="AG859" s="147"/>
      <c r="AH859" s="73"/>
      <c r="AI859" s="135"/>
      <c r="AJ859" s="136"/>
      <c r="AK859" s="76"/>
      <c r="AL859" s="137"/>
      <c r="AM859" s="139" t="s">
        <v>71</v>
      </c>
      <c r="AN859" s="139">
        <v>126.0</v>
      </c>
      <c r="AO859" s="140">
        <v>25.01</v>
      </c>
      <c r="AP859" s="142">
        <v>10025.0</v>
      </c>
      <c r="AQ859" s="142">
        <v>179.0</v>
      </c>
      <c r="AR859" s="143"/>
      <c r="AS859" s="144">
        <v>0.9834508958309789</v>
      </c>
      <c r="AT859" s="144">
        <v>-0.006650895830978887</v>
      </c>
      <c r="AU859" s="146" t="s">
        <v>2686</v>
      </c>
      <c r="AV859" s="146" t="s">
        <v>2686</v>
      </c>
      <c r="AW859" s="148" t="s">
        <v>2686</v>
      </c>
      <c r="AX859" s="151"/>
      <c r="AY859" s="105"/>
      <c r="AZ859" s="186"/>
      <c r="BA859" s="186"/>
      <c r="BB859" s="222"/>
      <c r="BC859" s="45"/>
      <c r="BD859" s="45"/>
      <c r="BE859" s="155"/>
      <c r="BF859" s="45"/>
    </row>
    <row r="860" ht="16.5" customHeight="1">
      <c r="A860" s="111">
        <v>857.0</v>
      </c>
      <c r="B860" s="112" t="s">
        <v>1719</v>
      </c>
      <c r="C860" s="115" t="s">
        <v>60</v>
      </c>
      <c r="D860" s="117">
        <v>42262.0</v>
      </c>
      <c r="E860" s="117">
        <v>42978.0</v>
      </c>
      <c r="F860" s="79" t="s">
        <v>118</v>
      </c>
      <c r="G860" s="118">
        <v>91770.0</v>
      </c>
      <c r="H860" s="114">
        <v>128.0</v>
      </c>
      <c r="I860" s="120">
        <v>356.0</v>
      </c>
      <c r="J860" s="111" t="s">
        <v>62</v>
      </c>
      <c r="K860" s="121">
        <v>356.0</v>
      </c>
      <c r="L860" s="120" t="s">
        <v>63</v>
      </c>
      <c r="M860" s="120"/>
      <c r="N860" s="120"/>
      <c r="O860" s="124">
        <v>91770.0</v>
      </c>
      <c r="P860" s="124">
        <v>717.0</v>
      </c>
      <c r="Q860" s="111">
        <v>178.0</v>
      </c>
      <c r="R860" s="125">
        <v>365.0</v>
      </c>
      <c r="S860" s="126">
        <v>0.9753</v>
      </c>
      <c r="T860" s="127">
        <v>67100.64</v>
      </c>
      <c r="U860" s="128">
        <f t="shared" si="2"/>
        <v>0</v>
      </c>
      <c r="V860" s="79" t="s">
        <v>64</v>
      </c>
      <c r="W860" s="79" t="s">
        <v>64</v>
      </c>
      <c r="X860" s="79" t="s">
        <v>68</v>
      </c>
      <c r="Y860" s="130">
        <v>0.8</v>
      </c>
      <c r="Z860" s="111">
        <v>4.0</v>
      </c>
      <c r="AA860" s="111">
        <v>382.0</v>
      </c>
      <c r="AB860" s="111" t="s">
        <v>62</v>
      </c>
      <c r="AC860" s="111">
        <v>320.0</v>
      </c>
      <c r="AD860" s="111">
        <v>120.0</v>
      </c>
      <c r="AE860" s="111">
        <v>35.6</v>
      </c>
      <c r="AF860" s="111" t="s">
        <v>62</v>
      </c>
      <c r="AG860" s="147"/>
      <c r="AH860" s="73">
        <v>200.0</v>
      </c>
      <c r="AI860" s="135">
        <v>200.0</v>
      </c>
      <c r="AJ860" s="136">
        <v>63.368</v>
      </c>
      <c r="AK860" s="76">
        <v>0.921046511627907</v>
      </c>
      <c r="AL860" s="137" t="s">
        <v>2687</v>
      </c>
      <c r="AM860" s="139">
        <v>382.0</v>
      </c>
      <c r="AN860" s="139">
        <v>717.0</v>
      </c>
      <c r="AO860" s="140">
        <v>240.43</v>
      </c>
      <c r="AP860" s="142">
        <v>91770.0</v>
      </c>
      <c r="AQ860" s="142">
        <v>178.0</v>
      </c>
      <c r="AR860" s="143"/>
      <c r="AS860" s="144">
        <v>0.9464171563340282</v>
      </c>
      <c r="AT860" s="144">
        <v>0.028882843665971714</v>
      </c>
      <c r="AU860" s="146" t="s">
        <v>2688</v>
      </c>
      <c r="AV860" s="146" t="s">
        <v>2688</v>
      </c>
      <c r="AW860" s="148" t="s">
        <v>2688</v>
      </c>
      <c r="AX860" s="151"/>
      <c r="AY860" s="105"/>
      <c r="AZ860" s="186"/>
      <c r="BA860" s="186"/>
      <c r="BB860" s="222"/>
      <c r="BC860" s="45"/>
      <c r="BD860" s="45"/>
      <c r="BE860" s="155"/>
      <c r="BF860" s="45"/>
    </row>
    <row r="861" ht="16.5" customHeight="1">
      <c r="A861" s="111">
        <v>858.0</v>
      </c>
      <c r="B861" s="112" t="s">
        <v>1712</v>
      </c>
      <c r="C861" s="115" t="s">
        <v>60</v>
      </c>
      <c r="D861" s="117">
        <v>41724.0</v>
      </c>
      <c r="E861" s="117">
        <v>42975.0</v>
      </c>
      <c r="F861" s="79" t="s">
        <v>79</v>
      </c>
      <c r="G861" s="118">
        <v>64584.0</v>
      </c>
      <c r="H861" s="114">
        <v>51.6</v>
      </c>
      <c r="I861" s="120">
        <v>380.0</v>
      </c>
      <c r="J861" s="111" t="s">
        <v>61</v>
      </c>
      <c r="K861" s="121">
        <v>384.81</v>
      </c>
      <c r="L861" s="120" t="s">
        <v>63</v>
      </c>
      <c r="M861" s="120"/>
      <c r="N861" s="120"/>
      <c r="O861" s="124">
        <v>64584.0</v>
      </c>
      <c r="P861" s="124">
        <v>1252.0</v>
      </c>
      <c r="Q861" s="111">
        <v>218.0</v>
      </c>
      <c r="R861" s="125">
        <v>399.0</v>
      </c>
      <c r="S861" s="126">
        <v>0.9644</v>
      </c>
      <c r="T861" s="127">
        <v>74741.0</v>
      </c>
      <c r="U861" s="128">
        <f t="shared" si="2"/>
        <v>0</v>
      </c>
      <c r="V861" s="79" t="s">
        <v>67</v>
      </c>
      <c r="W861" s="79" t="s">
        <v>69</v>
      </c>
      <c r="X861" s="79" t="s">
        <v>69</v>
      </c>
      <c r="Y861" s="130"/>
      <c r="Z861" s="111"/>
      <c r="AA861" s="133"/>
      <c r="AB861" s="111" t="s">
        <v>61</v>
      </c>
      <c r="AC861" s="133"/>
      <c r="AD861" s="133"/>
      <c r="AE861" s="133"/>
      <c r="AF861" s="111"/>
      <c r="AG861" s="147"/>
      <c r="AH861" s="73"/>
      <c r="AI861" s="135"/>
      <c r="AJ861" s="136"/>
      <c r="AK861" s="76"/>
      <c r="AL861" s="137"/>
      <c r="AM861" s="139" t="s">
        <v>71</v>
      </c>
      <c r="AN861" s="139">
        <v>1252.0</v>
      </c>
      <c r="AO861" s="140">
        <v>185.01</v>
      </c>
      <c r="AP861" s="142">
        <v>64584.0</v>
      </c>
      <c r="AQ861" s="142">
        <v>218.0</v>
      </c>
      <c r="AR861" s="143"/>
      <c r="AS861" s="144">
        <v>0.9520324006903037</v>
      </c>
      <c r="AT861" s="144">
        <v>0.012367599309696331</v>
      </c>
      <c r="AU861" s="146" t="s">
        <v>2689</v>
      </c>
      <c r="AV861" s="146" t="s">
        <v>2689</v>
      </c>
      <c r="AW861" s="148" t="s">
        <v>2689</v>
      </c>
      <c r="AX861" s="151"/>
      <c r="AY861" s="105"/>
      <c r="AZ861" s="186"/>
      <c r="BA861" s="186"/>
      <c r="BB861" s="222"/>
      <c r="BC861" s="45"/>
      <c r="BD861" s="45"/>
      <c r="BE861" s="155"/>
      <c r="BF861" s="45"/>
    </row>
    <row r="862" ht="16.5" customHeight="1">
      <c r="A862" s="111">
        <v>859.0</v>
      </c>
      <c r="B862" s="112" t="s">
        <v>1789</v>
      </c>
      <c r="C862" s="115" t="s">
        <v>60</v>
      </c>
      <c r="D862" s="117">
        <v>42756.0</v>
      </c>
      <c r="E862" s="117">
        <v>42974.0</v>
      </c>
      <c r="F862" s="79" t="s">
        <v>305</v>
      </c>
      <c r="G862" s="118">
        <v>17966.0</v>
      </c>
      <c r="H862" s="114">
        <v>82.0</v>
      </c>
      <c r="I862" s="120">
        <v>448.0</v>
      </c>
      <c r="J862" s="111" t="s">
        <v>61</v>
      </c>
      <c r="K862" s="121">
        <v>453.67</v>
      </c>
      <c r="L862" s="120" t="s">
        <v>63</v>
      </c>
      <c r="M862" s="120"/>
      <c r="N862" s="120"/>
      <c r="O862" s="124">
        <v>17966.0</v>
      </c>
      <c r="P862" s="124">
        <v>219.0</v>
      </c>
      <c r="Q862" s="111">
        <v>184.0</v>
      </c>
      <c r="R862" s="125">
        <v>452.0</v>
      </c>
      <c r="S862" s="126">
        <v>1.0037</v>
      </c>
      <c r="T862" s="127">
        <v>82102.66</v>
      </c>
      <c r="U862" s="128">
        <f t="shared" si="2"/>
        <v>0</v>
      </c>
      <c r="V862" s="79" t="s">
        <v>65</v>
      </c>
      <c r="W862" s="79" t="s">
        <v>69</v>
      </c>
      <c r="X862" s="79" t="s">
        <v>68</v>
      </c>
      <c r="Y862" s="130">
        <v>0.8</v>
      </c>
      <c r="Z862" s="111">
        <v>2.3</v>
      </c>
      <c r="AA862" s="133"/>
      <c r="AB862" s="133"/>
      <c r="AC862" s="133"/>
      <c r="AD862" s="133"/>
      <c r="AE862" s="133"/>
      <c r="AF862" s="111"/>
      <c r="AG862" s="134" t="s">
        <v>2690</v>
      </c>
      <c r="AH862" s="73"/>
      <c r="AI862" s="135"/>
      <c r="AJ862" s="136"/>
      <c r="AK862" s="76"/>
      <c r="AL862" s="137"/>
      <c r="AM862" s="139" t="s">
        <v>71</v>
      </c>
      <c r="AN862" s="139">
        <v>219.0</v>
      </c>
      <c r="AO862" s="140">
        <v>40.35</v>
      </c>
      <c r="AP862" s="142">
        <v>17966.0</v>
      </c>
      <c r="AQ862" s="142">
        <v>184.0</v>
      </c>
      <c r="AR862" s="143"/>
      <c r="AS862" s="144">
        <v>0.9744678839590504</v>
      </c>
      <c r="AT862" s="144">
        <v>0.029232116040949663</v>
      </c>
      <c r="AU862" s="146" t="s">
        <v>2691</v>
      </c>
      <c r="AV862" s="146" t="s">
        <v>2691</v>
      </c>
      <c r="AW862" s="148" t="s">
        <v>2691</v>
      </c>
      <c r="AX862" s="151"/>
      <c r="AY862" s="105"/>
      <c r="AZ862" s="186"/>
      <c r="BA862" s="186"/>
      <c r="BB862" s="222"/>
      <c r="BC862" s="45"/>
      <c r="BD862" s="45"/>
      <c r="BE862" s="155"/>
      <c r="BF862" s="45"/>
    </row>
    <row r="863" ht="16.5" customHeight="1">
      <c r="A863" s="111">
        <v>860.0</v>
      </c>
      <c r="B863" s="112" t="s">
        <v>1757</v>
      </c>
      <c r="C863" s="115" t="s">
        <v>60</v>
      </c>
      <c r="D863" s="117">
        <v>42621.0</v>
      </c>
      <c r="E863" s="117">
        <v>42979.0</v>
      </c>
      <c r="F863" s="79" t="s">
        <v>118</v>
      </c>
      <c r="G863" s="118">
        <v>46445.0</v>
      </c>
      <c r="H863" s="114">
        <v>129.4</v>
      </c>
      <c r="I863" s="120">
        <v>345.0</v>
      </c>
      <c r="J863" s="111" t="s">
        <v>61</v>
      </c>
      <c r="K863" s="121">
        <v>349.37</v>
      </c>
      <c r="L863" s="120" t="s">
        <v>63</v>
      </c>
      <c r="M863" s="120"/>
      <c r="N863" s="120"/>
      <c r="O863" s="124">
        <v>46445.0</v>
      </c>
      <c r="P863" s="124">
        <v>359.0</v>
      </c>
      <c r="Q863" s="111">
        <v>202.0</v>
      </c>
      <c r="R863" s="125">
        <v>365.0</v>
      </c>
      <c r="S863" s="126">
        <v>0.9572</v>
      </c>
      <c r="T863" s="127">
        <v>65855.36</v>
      </c>
      <c r="U863" s="128">
        <f t="shared" si="2"/>
        <v>0</v>
      </c>
      <c r="V863" s="79" t="s">
        <v>127</v>
      </c>
      <c r="W863" s="79" t="s">
        <v>69</v>
      </c>
      <c r="X863" s="79" t="s">
        <v>68</v>
      </c>
      <c r="Y863" s="130">
        <v>0.9</v>
      </c>
      <c r="Z863" s="111">
        <v>11.0</v>
      </c>
      <c r="AA863" s="111">
        <v>360.0</v>
      </c>
      <c r="AB863" s="111" t="s">
        <v>61</v>
      </c>
      <c r="AC863" s="133"/>
      <c r="AD863" s="133"/>
      <c r="AE863" s="133"/>
      <c r="AF863" s="111"/>
      <c r="AG863" s="147"/>
      <c r="AH863" s="73"/>
      <c r="AI863" s="135"/>
      <c r="AJ863" s="136"/>
      <c r="AK863" s="76"/>
      <c r="AL863" s="137"/>
      <c r="AM863" s="139">
        <v>365.0</v>
      </c>
      <c r="AN863" s="139">
        <v>359.0</v>
      </c>
      <c r="AO863" s="140">
        <v>139.36</v>
      </c>
      <c r="AP863" s="142">
        <v>46445.0</v>
      </c>
      <c r="AQ863" s="142">
        <v>202.0</v>
      </c>
      <c r="AR863" s="143"/>
      <c r="AS863" s="144">
        <v>0.9574244318125728</v>
      </c>
      <c r="AT863" s="144">
        <v>-2.2443181257270073E-4</v>
      </c>
      <c r="AU863" s="146" t="s">
        <v>2692</v>
      </c>
      <c r="AV863" s="146" t="s">
        <v>2692</v>
      </c>
      <c r="AW863" s="148" t="s">
        <v>2692</v>
      </c>
      <c r="AX863" s="151"/>
      <c r="AY863" s="105"/>
      <c r="AZ863" s="186"/>
      <c r="BA863" s="186"/>
      <c r="BB863" s="222"/>
      <c r="BC863" s="45"/>
      <c r="BD863" s="45"/>
      <c r="BE863" s="155"/>
      <c r="BF863" s="45"/>
    </row>
    <row r="864" ht="16.5" customHeight="1">
      <c r="A864" s="111">
        <v>861.0</v>
      </c>
      <c r="B864" s="112" t="s">
        <v>1737</v>
      </c>
      <c r="C864" s="115" t="s">
        <v>60</v>
      </c>
      <c r="D864" s="117">
        <v>41557.0</v>
      </c>
      <c r="E864" s="117">
        <v>42982.0</v>
      </c>
      <c r="F864" s="79" t="s">
        <v>59</v>
      </c>
      <c r="G864" s="118">
        <v>95422.0</v>
      </c>
      <c r="H864" s="114">
        <v>66.9</v>
      </c>
      <c r="I864" s="120">
        <v>379.0</v>
      </c>
      <c r="J864" s="111" t="s">
        <v>61</v>
      </c>
      <c r="K864" s="121">
        <v>383.8</v>
      </c>
      <c r="L864" s="120" t="s">
        <v>63</v>
      </c>
      <c r="M864" s="120"/>
      <c r="N864" s="120"/>
      <c r="O864" s="124">
        <v>95422.0</v>
      </c>
      <c r="P864" s="124">
        <v>1426.0</v>
      </c>
      <c r="Q864" s="111">
        <v>244.0</v>
      </c>
      <c r="R864" s="125">
        <v>399.0</v>
      </c>
      <c r="S864" s="126">
        <v>0.9619</v>
      </c>
      <c r="T864" s="127">
        <v>74547.25</v>
      </c>
      <c r="U864" s="128">
        <f t="shared" si="2"/>
        <v>0</v>
      </c>
      <c r="V864" s="79" t="s">
        <v>69</v>
      </c>
      <c r="W864" s="79" t="s">
        <v>67</v>
      </c>
      <c r="X864" s="79" t="s">
        <v>69</v>
      </c>
      <c r="Y864" s="130">
        <v>0.9</v>
      </c>
      <c r="Z864" s="111"/>
      <c r="AA864" s="133"/>
      <c r="AB864" s="133"/>
      <c r="AC864" s="133"/>
      <c r="AD864" s="133"/>
      <c r="AE864" s="133"/>
      <c r="AF864" s="111"/>
      <c r="AG864" s="147"/>
      <c r="AH864" s="73"/>
      <c r="AI864" s="135"/>
      <c r="AJ864" s="136"/>
      <c r="AK864" s="76"/>
      <c r="AL864" s="137"/>
      <c r="AM864" s="139" t="s">
        <v>71</v>
      </c>
      <c r="AN864" s="139">
        <v>1426.0</v>
      </c>
      <c r="AO864" s="140">
        <v>306.32</v>
      </c>
      <c r="AP864" s="142">
        <v>95422.0</v>
      </c>
      <c r="AQ864" s="142">
        <v>244.0</v>
      </c>
      <c r="AR864" s="143"/>
      <c r="AS864" s="144">
        <v>0.9457633373925197</v>
      </c>
      <c r="AT864" s="144">
        <v>0.016136662607480257</v>
      </c>
      <c r="AU864" s="146" t="s">
        <v>2693</v>
      </c>
      <c r="AV864" s="146" t="s">
        <v>2693</v>
      </c>
      <c r="AW864" s="148" t="s">
        <v>2693</v>
      </c>
      <c r="AX864" s="151"/>
      <c r="AY864" s="105"/>
      <c r="AZ864" s="186"/>
      <c r="BA864" s="186"/>
      <c r="BB864" s="222"/>
      <c r="BC864" s="45"/>
      <c r="BD864" s="45"/>
      <c r="BE864" s="155"/>
      <c r="BF864" s="45"/>
    </row>
    <row r="865" ht="16.5" customHeight="1">
      <c r="A865" s="111">
        <v>862.0</v>
      </c>
      <c r="B865" s="112" t="s">
        <v>640</v>
      </c>
      <c r="C865" s="115" t="s">
        <v>60</v>
      </c>
      <c r="D865" s="117">
        <v>41927.0</v>
      </c>
      <c r="E865" s="117">
        <v>42982.0</v>
      </c>
      <c r="F865" s="79" t="s">
        <v>59</v>
      </c>
      <c r="G865" s="118">
        <v>137120.0</v>
      </c>
      <c r="H865" s="114">
        <v>129.8</v>
      </c>
      <c r="I865" s="120">
        <v>374.0</v>
      </c>
      <c r="J865" s="111" t="s">
        <v>61</v>
      </c>
      <c r="K865" s="121">
        <v>378.73</v>
      </c>
      <c r="L865" s="120" t="s">
        <v>63</v>
      </c>
      <c r="M865" s="120"/>
      <c r="N865" s="120"/>
      <c r="O865" s="124">
        <v>137120.0</v>
      </c>
      <c r="P865" s="124">
        <v>1056.0</v>
      </c>
      <c r="Q865" s="111">
        <v>215.0</v>
      </c>
      <c r="R865" s="125">
        <v>399.0</v>
      </c>
      <c r="S865" s="126">
        <v>0.9492</v>
      </c>
      <c r="T865" s="127">
        <v>73563.0</v>
      </c>
      <c r="U865" s="128">
        <f t="shared" si="2"/>
        <v>0</v>
      </c>
      <c r="V865" s="79"/>
      <c r="W865" s="79"/>
      <c r="X865" s="79"/>
      <c r="Y865" s="130"/>
      <c r="Z865" s="111"/>
      <c r="AA865" s="133"/>
      <c r="AB865" s="133"/>
      <c r="AC865" s="133"/>
      <c r="AD865" s="133"/>
      <c r="AE865" s="133"/>
      <c r="AF865" s="111"/>
      <c r="AG865" s="147"/>
      <c r="AH865" s="73"/>
      <c r="AI865" s="135"/>
      <c r="AJ865" s="136"/>
      <c r="AK865" s="76"/>
      <c r="AL865" s="137"/>
      <c r="AM865" s="139" t="s">
        <v>71</v>
      </c>
      <c r="AN865" s="139">
        <v>1056.0</v>
      </c>
      <c r="AO865" s="140">
        <v>390.36</v>
      </c>
      <c r="AP865" s="142">
        <v>137120.0</v>
      </c>
      <c r="AQ865" s="142">
        <v>215.0</v>
      </c>
      <c r="AR865" s="143"/>
      <c r="AS865" s="144">
        <v>0.9388657405316703</v>
      </c>
      <c r="AT865" s="144">
        <v>0.010334259468329776</v>
      </c>
      <c r="AU865" s="146" t="s">
        <v>2694</v>
      </c>
      <c r="AV865" s="146" t="s">
        <v>2694</v>
      </c>
      <c r="AW865" s="148" t="s">
        <v>2694</v>
      </c>
      <c r="AX865" s="151"/>
      <c r="AY865" s="105"/>
      <c r="AZ865" s="186"/>
      <c r="BA865" s="186"/>
      <c r="BB865" s="222"/>
      <c r="BC865" s="45"/>
      <c r="BD865" s="45"/>
      <c r="BE865" s="155"/>
      <c r="BF865" s="45"/>
    </row>
    <row r="866" ht="16.5" customHeight="1">
      <c r="A866" s="111">
        <v>863.0</v>
      </c>
      <c r="B866" s="112" t="s">
        <v>1751</v>
      </c>
      <c r="C866" s="115" t="s">
        <v>60</v>
      </c>
      <c r="D866" s="117">
        <v>42864.0</v>
      </c>
      <c r="E866" s="117">
        <v>42983.0</v>
      </c>
      <c r="F866" s="79" t="s">
        <v>305</v>
      </c>
      <c r="G866" s="118">
        <v>9911.0</v>
      </c>
      <c r="H866" s="114">
        <v>82.6</v>
      </c>
      <c r="I866" s="120">
        <v>460.0</v>
      </c>
      <c r="J866" s="111" t="s">
        <v>62</v>
      </c>
      <c r="K866" s="121">
        <v>460.0</v>
      </c>
      <c r="L866" s="120" t="s">
        <v>63</v>
      </c>
      <c r="M866" s="120"/>
      <c r="N866" s="120"/>
      <c r="O866" s="124">
        <v>9911.0</v>
      </c>
      <c r="P866" s="124">
        <v>120.0</v>
      </c>
      <c r="Q866" s="111">
        <v>191.0</v>
      </c>
      <c r="R866" s="125">
        <v>452.0</v>
      </c>
      <c r="S866" s="126">
        <v>1.0177</v>
      </c>
      <c r="T866" s="127">
        <v>83247.86</v>
      </c>
      <c r="U866" s="128">
        <f t="shared" si="2"/>
        <v>0</v>
      </c>
      <c r="V866" s="79" t="s">
        <v>69</v>
      </c>
      <c r="W866" s="79" t="s">
        <v>64</v>
      </c>
      <c r="X866" s="79" t="s">
        <v>69</v>
      </c>
      <c r="Y866" s="130">
        <v>0.8</v>
      </c>
      <c r="Z866" s="111"/>
      <c r="AA866" s="133"/>
      <c r="AB866" s="133"/>
      <c r="AC866" s="133"/>
      <c r="AD866" s="133"/>
      <c r="AE866" s="133"/>
      <c r="AF866" s="111"/>
      <c r="AG866" s="147"/>
      <c r="AH866" s="73"/>
      <c r="AI866" s="135"/>
      <c r="AJ866" s="136"/>
      <c r="AK866" s="76"/>
      <c r="AL866" s="137"/>
      <c r="AM866" s="139" t="s">
        <v>71</v>
      </c>
      <c r="AN866" s="139">
        <v>120.0</v>
      </c>
      <c r="AO866" s="140">
        <v>22.94</v>
      </c>
      <c r="AP866" s="142">
        <v>9911.0</v>
      </c>
      <c r="AQ866" s="142">
        <v>191.0</v>
      </c>
      <c r="AR866" s="143"/>
      <c r="AS866" s="144">
        <v>0.9836023251309307</v>
      </c>
      <c r="AT866" s="144">
        <v>0.03409767486906934</v>
      </c>
      <c r="AU866" s="146" t="s">
        <v>2695</v>
      </c>
      <c r="AV866" s="146" t="s">
        <v>2695</v>
      </c>
      <c r="AW866" s="148" t="s">
        <v>2695</v>
      </c>
      <c r="AX866" s="151"/>
      <c r="AY866" s="105"/>
      <c r="AZ866" s="186"/>
      <c r="BA866" s="186"/>
      <c r="BB866" s="222"/>
      <c r="BC866" s="45"/>
      <c r="BD866" s="45"/>
      <c r="BE866" s="155"/>
      <c r="BF866" s="45"/>
    </row>
    <row r="867" ht="16.5" customHeight="1">
      <c r="A867" s="111">
        <v>864.0</v>
      </c>
      <c r="B867" s="112" t="s">
        <v>1689</v>
      </c>
      <c r="C867" s="115" t="s">
        <v>60</v>
      </c>
      <c r="D867" s="117">
        <v>41579.0</v>
      </c>
      <c r="E867" s="117">
        <v>42983.0</v>
      </c>
      <c r="F867" s="79" t="s">
        <v>59</v>
      </c>
      <c r="G867" s="118">
        <v>113418.0</v>
      </c>
      <c r="H867" s="114">
        <v>80.7</v>
      </c>
      <c r="I867" s="120">
        <v>385.0</v>
      </c>
      <c r="J867" s="111" t="s">
        <v>62</v>
      </c>
      <c r="K867" s="121">
        <v>385.0</v>
      </c>
      <c r="L867" s="120" t="s">
        <v>63</v>
      </c>
      <c r="M867" s="120"/>
      <c r="N867" s="120"/>
      <c r="O867" s="124">
        <v>113418.0</v>
      </c>
      <c r="P867" s="124">
        <v>1405.0</v>
      </c>
      <c r="Q867" s="111">
        <v>218.0</v>
      </c>
      <c r="R867" s="125">
        <v>399.0</v>
      </c>
      <c r="S867" s="126">
        <v>0.9649</v>
      </c>
      <c r="T867" s="127">
        <v>74779.75</v>
      </c>
      <c r="U867" s="128">
        <f t="shared" si="2"/>
        <v>0</v>
      </c>
      <c r="V867" s="79"/>
      <c r="W867" s="79"/>
      <c r="X867" s="79"/>
      <c r="Y867" s="130"/>
      <c r="Z867" s="111"/>
      <c r="AA867" s="133"/>
      <c r="AB867" s="133"/>
      <c r="AC867" s="133"/>
      <c r="AD867" s="133"/>
      <c r="AE867" s="133"/>
      <c r="AF867" s="111"/>
      <c r="AG867" s="147"/>
      <c r="AH867" s="73"/>
      <c r="AI867" s="135"/>
      <c r="AJ867" s="136"/>
      <c r="AK867" s="76"/>
      <c r="AL867" s="137"/>
      <c r="AM867" s="139" t="s">
        <v>71</v>
      </c>
      <c r="AN867" s="139">
        <v>1405.0</v>
      </c>
      <c r="AO867" s="140">
        <v>324.79</v>
      </c>
      <c r="AP867" s="142">
        <v>113418.0</v>
      </c>
      <c r="AQ867" s="142">
        <v>218.0</v>
      </c>
      <c r="AR867" s="143"/>
      <c r="AS867" s="144">
        <v>0.9426978296243043</v>
      </c>
      <c r="AT867" s="144">
        <v>0.022202170375695718</v>
      </c>
      <c r="AU867" s="146" t="s">
        <v>2696</v>
      </c>
      <c r="AV867" s="146" t="s">
        <v>2696</v>
      </c>
      <c r="AW867" s="148" t="s">
        <v>2696</v>
      </c>
      <c r="AX867" s="151"/>
      <c r="AY867" s="105"/>
      <c r="AZ867" s="186"/>
      <c r="BA867" s="186"/>
      <c r="BB867" s="222"/>
      <c r="BC867" s="45"/>
      <c r="BD867" s="45"/>
      <c r="BE867" s="155"/>
      <c r="BF867" s="45"/>
    </row>
    <row r="868" ht="16.5" customHeight="1">
      <c r="A868" s="111">
        <v>865.0</v>
      </c>
      <c r="B868" s="112" t="s">
        <v>1896</v>
      </c>
      <c r="C868" s="115" t="s">
        <v>60</v>
      </c>
      <c r="D868" s="117">
        <v>41973.0</v>
      </c>
      <c r="E868" s="117">
        <v>42984.0</v>
      </c>
      <c r="F868" s="79" t="s">
        <v>59</v>
      </c>
      <c r="G868" s="118">
        <v>69189.0</v>
      </c>
      <c r="H868" s="114">
        <v>68.4</v>
      </c>
      <c r="I868" s="120">
        <v>388.0</v>
      </c>
      <c r="J868" s="111" t="s">
        <v>61</v>
      </c>
      <c r="K868" s="121">
        <v>392.91</v>
      </c>
      <c r="L868" s="120" t="s">
        <v>63</v>
      </c>
      <c r="M868" s="120"/>
      <c r="N868" s="120"/>
      <c r="O868" s="124">
        <v>69189.0</v>
      </c>
      <c r="P868" s="124">
        <v>1012.0</v>
      </c>
      <c r="Q868" s="111">
        <v>204.0</v>
      </c>
      <c r="R868" s="125">
        <v>399.0</v>
      </c>
      <c r="S868" s="126">
        <v>0.9847</v>
      </c>
      <c r="T868" s="127">
        <v>76314.25</v>
      </c>
      <c r="U868" s="128">
        <f t="shared" si="2"/>
        <v>0</v>
      </c>
      <c r="V868" s="79" t="s">
        <v>67</v>
      </c>
      <c r="W868" s="79" t="s">
        <v>66</v>
      </c>
      <c r="X868" s="79" t="s">
        <v>66</v>
      </c>
      <c r="Y868" s="130">
        <v>0.6</v>
      </c>
      <c r="Z868" s="111">
        <v>2.0</v>
      </c>
      <c r="AA868" s="133"/>
      <c r="AB868" s="133"/>
      <c r="AC868" s="133"/>
      <c r="AD868" s="133"/>
      <c r="AE868" s="133"/>
      <c r="AF868" s="111"/>
      <c r="AG868" s="134" t="s">
        <v>2697</v>
      </c>
      <c r="AH868" s="73"/>
      <c r="AI868" s="135"/>
      <c r="AJ868" s="136"/>
      <c r="AK868" s="76"/>
      <c r="AL868" s="137"/>
      <c r="AM868" s="139" t="s">
        <v>71</v>
      </c>
      <c r="AN868" s="139">
        <v>1012.0</v>
      </c>
      <c r="AO868" s="140">
        <v>183.57</v>
      </c>
      <c r="AP868" s="142">
        <v>69189.0</v>
      </c>
      <c r="AQ868" s="142">
        <v>204.0</v>
      </c>
      <c r="AR868" s="143"/>
      <c r="AS868" s="144">
        <v>0.9509435829961648</v>
      </c>
      <c r="AT868" s="144">
        <v>0.03375641700383525</v>
      </c>
      <c r="AU868" s="146" t="s">
        <v>2698</v>
      </c>
      <c r="AV868" s="146" t="s">
        <v>2698</v>
      </c>
      <c r="AW868" s="148" t="s">
        <v>2698</v>
      </c>
      <c r="AX868" s="151"/>
      <c r="AY868" s="105"/>
      <c r="AZ868" s="186"/>
      <c r="BA868" s="186"/>
      <c r="BB868" s="222"/>
      <c r="BC868" s="45"/>
      <c r="BD868" s="45"/>
      <c r="BE868" s="155"/>
      <c r="BF868" s="45"/>
    </row>
    <row r="869" ht="16.5" customHeight="1">
      <c r="A869" s="111">
        <v>866.0</v>
      </c>
      <c r="B869" s="112" t="s">
        <v>1719</v>
      </c>
      <c r="C869" s="115" t="s">
        <v>60</v>
      </c>
      <c r="D869" s="117">
        <v>42262.0</v>
      </c>
      <c r="E869" s="117">
        <v>42986.0</v>
      </c>
      <c r="F869" s="79" t="s">
        <v>118</v>
      </c>
      <c r="G869" s="118">
        <v>93005.0</v>
      </c>
      <c r="H869" s="114">
        <v>128.3</v>
      </c>
      <c r="I869" s="120">
        <v>351.0</v>
      </c>
      <c r="J869" s="111" t="s">
        <v>62</v>
      </c>
      <c r="K869" s="121">
        <v>351.0</v>
      </c>
      <c r="L869" s="120" t="s">
        <v>63</v>
      </c>
      <c r="M869" s="120"/>
      <c r="N869" s="120"/>
      <c r="O869" s="124">
        <v>93005.0</v>
      </c>
      <c r="P869" s="124">
        <v>725.0</v>
      </c>
      <c r="Q869" s="111">
        <v>178.0</v>
      </c>
      <c r="R869" s="125">
        <v>365.0</v>
      </c>
      <c r="S869" s="126">
        <v>0.9616</v>
      </c>
      <c r="T869" s="127">
        <v>66158.08</v>
      </c>
      <c r="U869" s="128">
        <f t="shared" si="2"/>
        <v>0</v>
      </c>
      <c r="V869" s="79" t="s">
        <v>65</v>
      </c>
      <c r="W869" s="79" t="s">
        <v>64</v>
      </c>
      <c r="X869" s="79" t="s">
        <v>68</v>
      </c>
      <c r="Y869" s="130">
        <v>0.8</v>
      </c>
      <c r="Z869" s="111">
        <v>3.0</v>
      </c>
      <c r="AA869" s="111">
        <v>382.0</v>
      </c>
      <c r="AB869" s="111" t="s">
        <v>62</v>
      </c>
      <c r="AC869" s="133"/>
      <c r="AD869" s="133"/>
      <c r="AE869" s="133"/>
      <c r="AF869" s="111"/>
      <c r="AG869" s="147"/>
      <c r="AH869" s="73"/>
      <c r="AI869" s="135"/>
      <c r="AJ869" s="136"/>
      <c r="AK869" s="76"/>
      <c r="AL869" s="137"/>
      <c r="AM869" s="139">
        <v>382.0</v>
      </c>
      <c r="AN869" s="139">
        <v>725.0</v>
      </c>
      <c r="AO869" s="140">
        <v>245.37</v>
      </c>
      <c r="AP869" s="142">
        <v>93005.0</v>
      </c>
      <c r="AQ869" s="142">
        <v>178.0</v>
      </c>
      <c r="AR869" s="143"/>
      <c r="AS869" s="144">
        <v>0.9461944407488866</v>
      </c>
      <c r="AT869" s="144">
        <v>0.015405559251113421</v>
      </c>
      <c r="AU869" s="146" t="s">
        <v>2699</v>
      </c>
      <c r="AV869" s="146" t="s">
        <v>2699</v>
      </c>
      <c r="AW869" s="148" t="s">
        <v>2699</v>
      </c>
      <c r="AX869" s="151"/>
      <c r="AY869" s="105"/>
      <c r="AZ869" s="186"/>
      <c r="BA869" s="186"/>
      <c r="BB869" s="222"/>
      <c r="BC869" s="45"/>
      <c r="BD869" s="45"/>
      <c r="BE869" s="155"/>
      <c r="BF869" s="45"/>
    </row>
    <row r="870" ht="16.5" customHeight="1">
      <c r="A870" s="111">
        <v>867.0</v>
      </c>
      <c r="B870" s="112" t="s">
        <v>1454</v>
      </c>
      <c r="C870" s="115" t="s">
        <v>60</v>
      </c>
      <c r="D870" s="117">
        <v>42266.0</v>
      </c>
      <c r="E870" s="117">
        <v>42986.0</v>
      </c>
      <c r="F870" s="79" t="s">
        <v>118</v>
      </c>
      <c r="G870" s="118">
        <v>42825.0</v>
      </c>
      <c r="H870" s="114">
        <v>59.4</v>
      </c>
      <c r="I870" s="120">
        <v>348.0</v>
      </c>
      <c r="J870" s="111" t="s">
        <v>61</v>
      </c>
      <c r="K870" s="121">
        <v>352.41</v>
      </c>
      <c r="L870" s="120" t="s">
        <v>63</v>
      </c>
      <c r="M870" s="120"/>
      <c r="N870" s="120"/>
      <c r="O870" s="124">
        <v>42825.0</v>
      </c>
      <c r="P870" s="124">
        <v>721.0</v>
      </c>
      <c r="Q870" s="111">
        <v>189.0</v>
      </c>
      <c r="R870" s="125">
        <v>365.0</v>
      </c>
      <c r="S870" s="126">
        <v>0.9655</v>
      </c>
      <c r="T870" s="127">
        <v>66426.40000000001</v>
      </c>
      <c r="U870" s="128">
        <f t="shared" si="2"/>
        <v>0</v>
      </c>
      <c r="V870" s="79" t="s">
        <v>64</v>
      </c>
      <c r="W870" s="79" t="s">
        <v>64</v>
      </c>
      <c r="X870" s="79" t="s">
        <v>66</v>
      </c>
      <c r="Y870" s="130">
        <v>0.9</v>
      </c>
      <c r="Z870" s="111">
        <v>16.0</v>
      </c>
      <c r="AA870" s="111">
        <v>352.0</v>
      </c>
      <c r="AB870" s="111" t="s">
        <v>61</v>
      </c>
      <c r="AC870" s="133"/>
      <c r="AD870" s="133"/>
      <c r="AE870" s="133"/>
      <c r="AF870" s="111"/>
      <c r="AG870" s="134" t="s">
        <v>2700</v>
      </c>
      <c r="AH870" s="73"/>
      <c r="AI870" s="135"/>
      <c r="AJ870" s="136"/>
      <c r="AK870" s="76"/>
      <c r="AL870" s="137"/>
      <c r="AM870" s="139">
        <v>356.0</v>
      </c>
      <c r="AN870" s="139">
        <v>721.0</v>
      </c>
      <c r="AO870" s="140">
        <v>119.74</v>
      </c>
      <c r="AP870" s="142">
        <v>42825.0</v>
      </c>
      <c r="AQ870" s="142">
        <v>189.0</v>
      </c>
      <c r="AR870" s="143"/>
      <c r="AS870" s="144">
        <v>0.9588182255392603</v>
      </c>
      <c r="AT870" s="144">
        <v>0.006681774460739698</v>
      </c>
      <c r="AU870" s="146" t="s">
        <v>2701</v>
      </c>
      <c r="AV870" s="146" t="s">
        <v>2701</v>
      </c>
      <c r="AW870" s="148" t="s">
        <v>2701</v>
      </c>
      <c r="AX870" s="151"/>
      <c r="AY870" s="105"/>
      <c r="AZ870" s="186"/>
      <c r="BA870" s="186"/>
      <c r="BB870" s="222"/>
      <c r="BC870" s="45"/>
      <c r="BD870" s="45"/>
      <c r="BE870" s="155"/>
      <c r="BF870" s="45"/>
    </row>
    <row r="871" ht="16.5" customHeight="1">
      <c r="A871" s="111">
        <v>868.0</v>
      </c>
      <c r="B871" s="112" t="s">
        <v>1630</v>
      </c>
      <c r="C871" s="115" t="s">
        <v>60</v>
      </c>
      <c r="D871" s="117">
        <v>42851.0</v>
      </c>
      <c r="E871" s="117">
        <v>42989.0</v>
      </c>
      <c r="F871" s="79" t="s">
        <v>939</v>
      </c>
      <c r="G871" s="118">
        <v>7170.0</v>
      </c>
      <c r="H871" s="114">
        <v>51.6</v>
      </c>
      <c r="I871" s="120">
        <v>450.0</v>
      </c>
      <c r="J871" s="111" t="s">
        <v>62</v>
      </c>
      <c r="K871" s="121">
        <v>450.0</v>
      </c>
      <c r="L871" s="120" t="s">
        <v>63</v>
      </c>
      <c r="M871" s="120"/>
      <c r="N871" s="120"/>
      <c r="O871" s="124">
        <v>7170.0</v>
      </c>
      <c r="P871" s="124">
        <v>139.0</v>
      </c>
      <c r="Q871" s="111">
        <v>215.0</v>
      </c>
      <c r="R871" s="125">
        <v>453.0</v>
      </c>
      <c r="S871" s="126">
        <v>0.9934</v>
      </c>
      <c r="T871" s="127">
        <v>97750.56</v>
      </c>
      <c r="U871" s="128">
        <f t="shared" si="2"/>
        <v>0</v>
      </c>
      <c r="V871" s="79" t="s">
        <v>64</v>
      </c>
      <c r="W871" s="79"/>
      <c r="X871" s="79"/>
      <c r="Y871" s="130"/>
      <c r="Z871" s="111"/>
      <c r="AA871" s="133"/>
      <c r="AB871" s="133"/>
      <c r="AC871" s="133"/>
      <c r="AD871" s="133"/>
      <c r="AE871" s="133"/>
      <c r="AF871" s="111"/>
      <c r="AG871" s="134"/>
      <c r="AH871" s="73"/>
      <c r="AI871" s="135"/>
      <c r="AJ871" s="136"/>
      <c r="AK871" s="76"/>
      <c r="AL871" s="137"/>
      <c r="AM871" s="139" t="s">
        <v>71</v>
      </c>
      <c r="AN871" s="139">
        <v>139.0</v>
      </c>
      <c r="AO871" s="140">
        <v>15.72</v>
      </c>
      <c r="AP871" s="142">
        <v>7170.0</v>
      </c>
      <c r="AQ871" s="142">
        <v>215.0</v>
      </c>
      <c r="AR871" s="143"/>
      <c r="AS871" s="144">
        <v>0.987469420875725</v>
      </c>
      <c r="AT871" s="144">
        <v>0.005930579124274971</v>
      </c>
      <c r="AU871" s="146" t="s">
        <v>2702</v>
      </c>
      <c r="AV871" s="146" t="s">
        <v>2702</v>
      </c>
      <c r="AW871" s="148" t="s">
        <v>2702</v>
      </c>
      <c r="AX871" s="151"/>
      <c r="AY871" s="105"/>
      <c r="AZ871" s="186"/>
      <c r="BA871" s="186"/>
      <c r="BB871" s="222"/>
      <c r="BC871" s="45"/>
      <c r="BD871" s="45"/>
      <c r="BE871" s="155"/>
      <c r="BF871" s="45"/>
    </row>
    <row r="872" ht="16.5" customHeight="1">
      <c r="A872" s="111">
        <v>869.0</v>
      </c>
      <c r="B872" s="112" t="s">
        <v>1615</v>
      </c>
      <c r="C872" s="115" t="s">
        <v>60</v>
      </c>
      <c r="D872" s="117">
        <v>42545.0</v>
      </c>
      <c r="E872" s="117">
        <v>42987.0</v>
      </c>
      <c r="F872" s="79" t="s">
        <v>629</v>
      </c>
      <c r="G872" s="118">
        <v>37850.0</v>
      </c>
      <c r="H872" s="114">
        <v>85.4</v>
      </c>
      <c r="I872" s="120">
        <v>371.0</v>
      </c>
      <c r="J872" s="111" t="s">
        <v>62</v>
      </c>
      <c r="K872" s="121">
        <v>371.0</v>
      </c>
      <c r="L872" s="120" t="s">
        <v>63</v>
      </c>
      <c r="M872" s="120"/>
      <c r="N872" s="120"/>
      <c r="O872" s="124">
        <v>37850.0</v>
      </c>
      <c r="P872" s="124">
        <v>443.0</v>
      </c>
      <c r="Q872" s="111">
        <v>186.0</v>
      </c>
      <c r="R872" s="125">
        <v>386.0</v>
      </c>
      <c r="S872" s="126">
        <v>0.9611</v>
      </c>
      <c r="T872" s="127">
        <v>69775.86</v>
      </c>
      <c r="U872" s="128">
        <f t="shared" si="2"/>
        <v>0</v>
      </c>
      <c r="V872" s="79"/>
      <c r="W872" s="79"/>
      <c r="X872" s="79"/>
      <c r="Y872" s="130"/>
      <c r="Z872" s="111"/>
      <c r="AA872" s="133"/>
      <c r="AB872" s="133"/>
      <c r="AC872" s="133"/>
      <c r="AD872" s="133"/>
      <c r="AE872" s="133"/>
      <c r="AF872" s="111"/>
      <c r="AG872" s="147"/>
      <c r="AH872" s="73"/>
      <c r="AI872" s="135"/>
      <c r="AJ872" s="136"/>
      <c r="AK872" s="76"/>
      <c r="AL872" s="137"/>
      <c r="AM872" s="139" t="s">
        <v>71</v>
      </c>
      <c r="AN872" s="139">
        <v>443.0</v>
      </c>
      <c r="AO872" s="140">
        <v>98.91</v>
      </c>
      <c r="AP872" s="142">
        <v>37850.0</v>
      </c>
      <c r="AQ872" s="142">
        <v>186.0</v>
      </c>
      <c r="AR872" s="143"/>
      <c r="AS872" s="144">
        <v>0.9609909271628203</v>
      </c>
      <c r="AT872" s="144">
        <v>1.0907283717964678E-4</v>
      </c>
      <c r="AU872" s="146" t="s">
        <v>2703</v>
      </c>
      <c r="AV872" s="146" t="s">
        <v>2703</v>
      </c>
      <c r="AW872" s="148" t="s">
        <v>2703</v>
      </c>
      <c r="AX872" s="151"/>
      <c r="AY872" s="105"/>
      <c r="AZ872" s="186"/>
      <c r="BA872" s="186"/>
      <c r="BB872" s="222"/>
      <c r="BC872" s="45"/>
      <c r="BD872" s="45"/>
      <c r="BE872" s="155"/>
      <c r="BF872" s="45"/>
    </row>
    <row r="873" ht="16.5" customHeight="1">
      <c r="A873" s="111">
        <v>870.0</v>
      </c>
      <c r="B873" s="112" t="s">
        <v>541</v>
      </c>
      <c r="C873" s="115" t="s">
        <v>60</v>
      </c>
      <c r="D873" s="117">
        <v>41603.0</v>
      </c>
      <c r="E873" s="117">
        <v>42972.0</v>
      </c>
      <c r="F873" s="79" t="s">
        <v>57</v>
      </c>
      <c r="G873" s="118">
        <v>156486.0</v>
      </c>
      <c r="H873" s="114">
        <v>114.2</v>
      </c>
      <c r="I873" s="120">
        <v>355.0</v>
      </c>
      <c r="J873" s="111" t="s">
        <v>61</v>
      </c>
      <c r="K873" s="121">
        <v>359.49</v>
      </c>
      <c r="L873" s="120" t="s">
        <v>63</v>
      </c>
      <c r="M873" s="120"/>
      <c r="N873" s="120"/>
      <c r="O873" s="124">
        <v>156486.0</v>
      </c>
      <c r="P873" s="124">
        <v>1370.0</v>
      </c>
      <c r="Q873" s="111">
        <v>225.0</v>
      </c>
      <c r="R873" s="125">
        <v>399.0</v>
      </c>
      <c r="S873" s="126">
        <v>0.901</v>
      </c>
      <c r="T873" s="127">
        <v>69827.5</v>
      </c>
      <c r="U873" s="128">
        <f t="shared" si="2"/>
        <v>0</v>
      </c>
      <c r="V873" s="79" t="s">
        <v>67</v>
      </c>
      <c r="W873" s="79" t="s">
        <v>67</v>
      </c>
      <c r="X873" s="79" t="s">
        <v>69</v>
      </c>
      <c r="Y873" s="130">
        <v>0.9</v>
      </c>
      <c r="Z873" s="111">
        <v>11.0</v>
      </c>
      <c r="AA873" s="111">
        <v>400.0</v>
      </c>
      <c r="AB873" s="111" t="s">
        <v>61</v>
      </c>
      <c r="AC873" s="133"/>
      <c r="AD873" s="133"/>
      <c r="AE873" s="133"/>
      <c r="AF873" s="111"/>
      <c r="AG873" s="147"/>
      <c r="AH873" s="73"/>
      <c r="AI873" s="135"/>
      <c r="AJ873" s="136"/>
      <c r="AK873" s="76"/>
      <c r="AL873" s="137"/>
      <c r="AM873" s="139">
        <v>405.0</v>
      </c>
      <c r="AN873" s="139">
        <v>1370.0</v>
      </c>
      <c r="AO873" s="140">
        <v>478.03</v>
      </c>
      <c r="AP873" s="142">
        <v>156486.0</v>
      </c>
      <c r="AQ873" s="142">
        <v>225.0</v>
      </c>
      <c r="AR873" s="143"/>
      <c r="AS873" s="144">
        <v>0.9358015555685041</v>
      </c>
      <c r="AT873" s="144">
        <v>-0.03480155556850406</v>
      </c>
      <c r="AU873" s="146" t="s">
        <v>2704</v>
      </c>
      <c r="AV873" s="146" t="s">
        <v>2704</v>
      </c>
      <c r="AW873" s="148" t="s">
        <v>2704</v>
      </c>
      <c r="AX873" s="151"/>
      <c r="AY873" s="105"/>
      <c r="AZ873" s="186"/>
      <c r="BA873" s="186"/>
      <c r="BB873" s="222"/>
      <c r="BC873" s="45"/>
      <c r="BD873" s="45"/>
      <c r="BE873" s="155"/>
      <c r="BF873" s="45"/>
    </row>
    <row r="874" ht="16.5" customHeight="1">
      <c r="A874" s="111">
        <v>871.0</v>
      </c>
      <c r="B874" s="112" t="s">
        <v>1884</v>
      </c>
      <c r="C874" s="115" t="s">
        <v>60</v>
      </c>
      <c r="D874" s="117">
        <v>42899.0</v>
      </c>
      <c r="E874" s="117">
        <v>42990.0</v>
      </c>
      <c r="F874" s="79" t="s">
        <v>629</v>
      </c>
      <c r="G874" s="118">
        <v>10500.0</v>
      </c>
      <c r="H874" s="114">
        <v>114.1</v>
      </c>
      <c r="I874" s="120">
        <v>373.0</v>
      </c>
      <c r="J874" s="111" t="s">
        <v>61</v>
      </c>
      <c r="K874" s="121">
        <v>377.72</v>
      </c>
      <c r="L874" s="120" t="s">
        <v>63</v>
      </c>
      <c r="M874" s="120"/>
      <c r="N874" s="120"/>
      <c r="O874" s="124">
        <v>10500.0</v>
      </c>
      <c r="P874" s="124">
        <v>92.0</v>
      </c>
      <c r="Q874" s="111">
        <v>190.0</v>
      </c>
      <c r="R874" s="125">
        <v>386.0</v>
      </c>
      <c r="S874" s="126">
        <v>0.9785</v>
      </c>
      <c r="T874" s="127">
        <v>71039.1</v>
      </c>
      <c r="U874" s="128">
        <f t="shared" si="2"/>
        <v>0</v>
      </c>
      <c r="V874" s="79" t="s">
        <v>64</v>
      </c>
      <c r="W874" s="79" t="s">
        <v>64</v>
      </c>
      <c r="X874" s="79" t="s">
        <v>68</v>
      </c>
      <c r="Y874" s="130">
        <v>0.8</v>
      </c>
      <c r="Z874" s="111">
        <v>11.0</v>
      </c>
      <c r="AA874" s="111">
        <v>373.0</v>
      </c>
      <c r="AB874" s="111" t="s">
        <v>61</v>
      </c>
      <c r="AC874" s="133"/>
      <c r="AD874" s="133"/>
      <c r="AE874" s="133"/>
      <c r="AF874" s="111"/>
      <c r="AG874" s="147"/>
      <c r="AH874" s="73"/>
      <c r="AI874" s="135"/>
      <c r="AJ874" s="136"/>
      <c r="AK874" s="76"/>
      <c r="AL874" s="137"/>
      <c r="AM874" s="139">
        <v>378.0</v>
      </c>
      <c r="AN874" s="139">
        <v>92.0</v>
      </c>
      <c r="AO874" s="140">
        <v>27.78</v>
      </c>
      <c r="AP874" s="142">
        <v>10500.0</v>
      </c>
      <c r="AQ874" s="142">
        <v>190.0</v>
      </c>
      <c r="AR874" s="143"/>
      <c r="AS874" s="144">
        <v>0.9828276096014797</v>
      </c>
      <c r="AT874" s="144">
        <v>-0.004327609601479709</v>
      </c>
      <c r="AU874" s="146" t="s">
        <v>2705</v>
      </c>
      <c r="AV874" s="146" t="s">
        <v>2705</v>
      </c>
      <c r="AW874" s="148" t="s">
        <v>2705</v>
      </c>
      <c r="AX874" s="151"/>
      <c r="AY874" s="105"/>
      <c r="AZ874" s="186"/>
      <c r="BA874" s="186"/>
      <c r="BB874" s="222"/>
      <c r="BC874" s="45"/>
      <c r="BD874" s="45"/>
      <c r="BE874" s="155"/>
      <c r="BF874" s="45"/>
    </row>
    <row r="875" ht="16.5" customHeight="1">
      <c r="A875" s="111">
        <v>872.0</v>
      </c>
      <c r="B875" s="112" t="s">
        <v>246</v>
      </c>
      <c r="C875" s="115" t="s">
        <v>60</v>
      </c>
      <c r="D875" s="117">
        <v>41792.0</v>
      </c>
      <c r="E875" s="117">
        <v>42980.0</v>
      </c>
      <c r="F875" s="79" t="s">
        <v>59</v>
      </c>
      <c r="G875" s="118">
        <v>106200.0</v>
      </c>
      <c r="H875" s="114">
        <v>89.3</v>
      </c>
      <c r="I875" s="120">
        <v>378.0</v>
      </c>
      <c r="J875" s="111" t="s">
        <v>61</v>
      </c>
      <c r="K875" s="121">
        <v>382.78</v>
      </c>
      <c r="L875" s="120" t="s">
        <v>63</v>
      </c>
      <c r="M875" s="120"/>
      <c r="N875" s="120"/>
      <c r="O875" s="124">
        <v>106200.0</v>
      </c>
      <c r="P875" s="124">
        <v>1189.0</v>
      </c>
      <c r="Q875" s="111">
        <v>219.0</v>
      </c>
      <c r="R875" s="125">
        <v>399.0</v>
      </c>
      <c r="S875" s="126">
        <v>0.9593</v>
      </c>
      <c r="T875" s="127">
        <v>74345.75</v>
      </c>
      <c r="U875" s="128">
        <f t="shared" si="2"/>
        <v>0</v>
      </c>
      <c r="V875" s="79" t="s">
        <v>65</v>
      </c>
      <c r="W875" s="79" t="s">
        <v>65</v>
      </c>
      <c r="X875" s="79" t="s">
        <v>69</v>
      </c>
      <c r="Y875" s="130">
        <v>0.9</v>
      </c>
      <c r="Z875" s="111">
        <v>11.0</v>
      </c>
      <c r="AA875" s="111">
        <v>391.0</v>
      </c>
      <c r="AB875" s="111" t="s">
        <v>61</v>
      </c>
      <c r="AC875" s="133"/>
      <c r="AD875" s="133"/>
      <c r="AE875" s="133"/>
      <c r="AF875" s="111"/>
      <c r="AG875" s="147"/>
      <c r="AH875" s="73"/>
      <c r="AI875" s="135"/>
      <c r="AJ875" s="136"/>
      <c r="AK875" s="76"/>
      <c r="AL875" s="137"/>
      <c r="AM875" s="139">
        <v>396.0</v>
      </c>
      <c r="AN875" s="139">
        <v>1189.0</v>
      </c>
      <c r="AO875" s="140">
        <v>306.38</v>
      </c>
      <c r="AP875" s="142">
        <v>106200.0</v>
      </c>
      <c r="AQ875" s="142">
        <v>219.0</v>
      </c>
      <c r="AR875" s="143"/>
      <c r="AS875" s="144">
        <v>0.9439027038279885</v>
      </c>
      <c r="AT875" s="144">
        <v>0.015397296172011576</v>
      </c>
      <c r="AU875" s="146" t="s">
        <v>2706</v>
      </c>
      <c r="AV875" s="146" t="s">
        <v>2706</v>
      </c>
      <c r="AW875" s="148" t="s">
        <v>2706</v>
      </c>
      <c r="AX875" s="151"/>
      <c r="AY875" s="105"/>
      <c r="AZ875" s="186"/>
      <c r="BA875" s="186"/>
      <c r="BB875" s="222"/>
      <c r="BC875" s="45"/>
      <c r="BD875" s="45"/>
      <c r="BE875" s="155"/>
      <c r="BF875" s="45"/>
    </row>
    <row r="876" ht="16.5" customHeight="1">
      <c r="A876" s="111">
        <v>873.0</v>
      </c>
      <c r="B876" s="112" t="s">
        <v>1844</v>
      </c>
      <c r="C876" s="115" t="s">
        <v>60</v>
      </c>
      <c r="D876" s="117">
        <v>42361.0</v>
      </c>
      <c r="E876" s="117">
        <v>42988.0</v>
      </c>
      <c r="F876" s="79" t="s">
        <v>305</v>
      </c>
      <c r="G876" s="118">
        <v>45500.0</v>
      </c>
      <c r="H876" s="114">
        <v>72.5</v>
      </c>
      <c r="I876" s="120">
        <v>433.0</v>
      </c>
      <c r="J876" s="111" t="s">
        <v>61</v>
      </c>
      <c r="K876" s="121">
        <v>438.48</v>
      </c>
      <c r="L876" s="120" t="s">
        <v>63</v>
      </c>
      <c r="M876" s="120"/>
      <c r="N876" s="120"/>
      <c r="O876" s="124">
        <v>45500.0</v>
      </c>
      <c r="P876" s="124">
        <v>628.0</v>
      </c>
      <c r="Q876" s="111">
        <v>214.0</v>
      </c>
      <c r="R876" s="125">
        <v>452.0</v>
      </c>
      <c r="S876" s="126">
        <v>0.9701</v>
      </c>
      <c r="T876" s="127">
        <v>79354.18</v>
      </c>
      <c r="U876" s="128">
        <f t="shared" si="2"/>
        <v>0</v>
      </c>
      <c r="V876" s="79" t="s">
        <v>67</v>
      </c>
      <c r="W876" s="79" t="s">
        <v>69</v>
      </c>
      <c r="X876" s="79" t="s">
        <v>69</v>
      </c>
      <c r="Y876" s="130">
        <v>0.8</v>
      </c>
      <c r="Z876" s="111">
        <v>11.0</v>
      </c>
      <c r="AA876" s="133"/>
      <c r="AB876" s="133"/>
      <c r="AC876" s="133"/>
      <c r="AD876" s="133"/>
      <c r="AE876" s="133"/>
      <c r="AF876" s="111"/>
      <c r="AG876" s="147"/>
      <c r="AH876" s="73"/>
      <c r="AI876" s="135"/>
      <c r="AJ876" s="136"/>
      <c r="AK876" s="76"/>
      <c r="AL876" s="137"/>
      <c r="AM876" s="139" t="s">
        <v>71</v>
      </c>
      <c r="AN876" s="139">
        <v>628.0</v>
      </c>
      <c r="AO876" s="140">
        <v>120.87</v>
      </c>
      <c r="AP876" s="142">
        <v>45500.0</v>
      </c>
      <c r="AQ876" s="142">
        <v>214.0</v>
      </c>
      <c r="AR876" s="143"/>
      <c r="AS876" s="144">
        <v>0.9577748373688372</v>
      </c>
      <c r="AT876" s="144">
        <v>0.01232516263116279</v>
      </c>
      <c r="AU876" s="146" t="s">
        <v>2707</v>
      </c>
      <c r="AV876" s="146" t="s">
        <v>2707</v>
      </c>
      <c r="AW876" s="148" t="s">
        <v>2707</v>
      </c>
      <c r="AX876" s="151"/>
      <c r="AY876" s="105"/>
      <c r="AZ876" s="186"/>
      <c r="BA876" s="186"/>
      <c r="BB876" s="222"/>
      <c r="BC876" s="45"/>
      <c r="BD876" s="45"/>
      <c r="BE876" s="155"/>
      <c r="BF876" s="45"/>
    </row>
    <row r="877" ht="16.5" customHeight="1">
      <c r="A877" s="111">
        <v>874.0</v>
      </c>
      <c r="B877" s="112" t="s">
        <v>328</v>
      </c>
      <c r="C877" s="115" t="s">
        <v>60</v>
      </c>
      <c r="D877" s="117">
        <v>41598.0</v>
      </c>
      <c r="E877" s="117">
        <v>42997.0</v>
      </c>
      <c r="F877" s="79" t="s">
        <v>59</v>
      </c>
      <c r="G877" s="118">
        <v>98400.0</v>
      </c>
      <c r="H877" s="114">
        <v>70.3</v>
      </c>
      <c r="I877" s="120">
        <v>371.0</v>
      </c>
      <c r="J877" s="111" t="s">
        <v>62</v>
      </c>
      <c r="K877" s="121">
        <v>371.0</v>
      </c>
      <c r="L877" s="120" t="s">
        <v>63</v>
      </c>
      <c r="M877" s="120"/>
      <c r="N877" s="120"/>
      <c r="O877" s="124">
        <v>98400.0</v>
      </c>
      <c r="P877" s="124">
        <v>1400.0</v>
      </c>
      <c r="Q877" s="111">
        <v>209.0</v>
      </c>
      <c r="R877" s="125">
        <v>399.0</v>
      </c>
      <c r="S877" s="126">
        <v>0.9298</v>
      </c>
      <c r="T877" s="127">
        <v>72059.5</v>
      </c>
      <c r="U877" s="128">
        <f t="shared" si="2"/>
        <v>0</v>
      </c>
      <c r="V877" s="79" t="s">
        <v>64</v>
      </c>
      <c r="W877" s="79" t="s">
        <v>64</v>
      </c>
      <c r="X877" s="79" t="s">
        <v>66</v>
      </c>
      <c r="Y877" s="130">
        <v>0.8</v>
      </c>
      <c r="Z877" s="111">
        <v>7.0</v>
      </c>
      <c r="AA877" s="111">
        <v>391.0</v>
      </c>
      <c r="AB877" s="111" t="s">
        <v>62</v>
      </c>
      <c r="AC877" s="133"/>
      <c r="AD877" s="133"/>
      <c r="AE877" s="133"/>
      <c r="AF877" s="111"/>
      <c r="AG877" s="147"/>
      <c r="AH877" s="73"/>
      <c r="AI877" s="135"/>
      <c r="AJ877" s="136"/>
      <c r="AK877" s="76"/>
      <c r="AL877" s="137"/>
      <c r="AM877" s="139">
        <v>391.0</v>
      </c>
      <c r="AN877" s="139">
        <v>1400.0</v>
      </c>
      <c r="AO877" s="140">
        <v>275.08</v>
      </c>
      <c r="AP877" s="142">
        <v>98400.0</v>
      </c>
      <c r="AQ877" s="142">
        <v>209.0</v>
      </c>
      <c r="AR877" s="143"/>
      <c r="AS877" s="144">
        <v>0.9452400006003684</v>
      </c>
      <c r="AT877" s="144">
        <v>-0.015440000600368431</v>
      </c>
      <c r="AU877" s="146" t="s">
        <v>2708</v>
      </c>
      <c r="AV877" s="146" t="s">
        <v>2708</v>
      </c>
      <c r="AW877" s="148" t="s">
        <v>2708</v>
      </c>
      <c r="AX877" s="151"/>
      <c r="AY877" s="105"/>
      <c r="AZ877" s="186"/>
      <c r="BA877" s="186"/>
      <c r="BB877" s="222"/>
      <c r="BC877" s="45"/>
      <c r="BD877" s="45"/>
      <c r="BE877" s="155"/>
      <c r="BF877" s="45"/>
    </row>
    <row r="878" ht="16.5" customHeight="1">
      <c r="A878" s="111">
        <v>875.0</v>
      </c>
      <c r="B878" s="112" t="s">
        <v>1866</v>
      </c>
      <c r="C878" s="115" t="s">
        <v>60</v>
      </c>
      <c r="D878" s="117">
        <v>42794.0</v>
      </c>
      <c r="E878" s="117">
        <v>42993.0</v>
      </c>
      <c r="F878" s="79" t="s">
        <v>305</v>
      </c>
      <c r="G878" s="118">
        <v>8200.0</v>
      </c>
      <c r="H878" s="114">
        <v>41.0</v>
      </c>
      <c r="I878" s="120">
        <v>449.0</v>
      </c>
      <c r="J878" s="111" t="s">
        <v>61</v>
      </c>
      <c r="K878" s="121">
        <v>454.68</v>
      </c>
      <c r="L878" s="120" t="s">
        <v>63</v>
      </c>
      <c r="M878" s="120"/>
      <c r="N878" s="120"/>
      <c r="O878" s="124">
        <v>8200.0</v>
      </c>
      <c r="P878" s="124">
        <v>200.0</v>
      </c>
      <c r="Q878" s="111">
        <v>193.0</v>
      </c>
      <c r="R878" s="125">
        <v>452.0</v>
      </c>
      <c r="S878" s="126">
        <v>1.0059</v>
      </c>
      <c r="T878" s="127">
        <v>82282.62</v>
      </c>
      <c r="U878" s="128">
        <f t="shared" si="2"/>
        <v>0</v>
      </c>
      <c r="V878" s="79" t="s">
        <v>64</v>
      </c>
      <c r="W878" s="79" t="s">
        <v>66</v>
      </c>
      <c r="X878" s="79" t="s">
        <v>68</v>
      </c>
      <c r="Y878" s="130">
        <v>0.9</v>
      </c>
      <c r="Z878" s="111">
        <v>4.0</v>
      </c>
      <c r="AA878" s="133"/>
      <c r="AB878" s="133"/>
      <c r="AC878" s="133"/>
      <c r="AD878" s="133"/>
      <c r="AE878" s="133"/>
      <c r="AF878" s="111"/>
      <c r="AG878" s="147"/>
      <c r="AH878" s="73"/>
      <c r="AI878" s="135"/>
      <c r="AJ878" s="136"/>
      <c r="AK878" s="76"/>
      <c r="AL878" s="137"/>
      <c r="AM878" s="139" t="s">
        <v>71</v>
      </c>
      <c r="AN878" s="139">
        <v>200.0</v>
      </c>
      <c r="AO878" s="140">
        <v>19.3</v>
      </c>
      <c r="AP878" s="142">
        <v>8200.0</v>
      </c>
      <c r="AQ878" s="142">
        <v>193.0</v>
      </c>
      <c r="AR878" s="143"/>
      <c r="AS878" s="144">
        <v>0.9859638566860627</v>
      </c>
      <c r="AT878" s="144">
        <v>0.019936143313937338</v>
      </c>
      <c r="AU878" s="146" t="s">
        <v>2709</v>
      </c>
      <c r="AV878" s="146" t="s">
        <v>2709</v>
      </c>
      <c r="AW878" s="148" t="s">
        <v>2709</v>
      </c>
      <c r="AX878" s="151"/>
      <c r="AY878" s="105"/>
      <c r="AZ878" s="186"/>
      <c r="BA878" s="186"/>
      <c r="BB878" s="222"/>
      <c r="BC878" s="45"/>
      <c r="BD878" s="45"/>
      <c r="BE878" s="155"/>
      <c r="BF878" s="45"/>
    </row>
    <row r="879" ht="16.5" customHeight="1">
      <c r="A879" s="111">
        <v>876.0</v>
      </c>
      <c r="B879" s="112" t="s">
        <v>361</v>
      </c>
      <c r="C879" s="115" t="s">
        <v>60</v>
      </c>
      <c r="D879" s="157">
        <v>41604.0</v>
      </c>
      <c r="E879" s="117">
        <v>42998.0</v>
      </c>
      <c r="F879" s="79" t="s">
        <v>59</v>
      </c>
      <c r="G879" s="118">
        <v>152072.0</v>
      </c>
      <c r="H879" s="114">
        <v>109.0</v>
      </c>
      <c r="I879" s="120">
        <v>376.0</v>
      </c>
      <c r="J879" s="111" t="s">
        <v>61</v>
      </c>
      <c r="K879" s="121">
        <v>380.76</v>
      </c>
      <c r="L879" s="120" t="s">
        <v>63</v>
      </c>
      <c r="M879" s="120"/>
      <c r="N879" s="120"/>
      <c r="O879" s="124">
        <v>152072.0</v>
      </c>
      <c r="P879" s="124">
        <v>1395.0</v>
      </c>
      <c r="Q879" s="111">
        <v>222.0</v>
      </c>
      <c r="R879" s="125">
        <v>399.0</v>
      </c>
      <c r="S879" s="126">
        <v>0.9543</v>
      </c>
      <c r="T879" s="127">
        <v>73958.25</v>
      </c>
      <c r="U879" s="128">
        <f t="shared" si="2"/>
        <v>0</v>
      </c>
      <c r="V879" s="79" t="s">
        <v>69</v>
      </c>
      <c r="W879" s="79" t="s">
        <v>66</v>
      </c>
      <c r="X879" s="79" t="s">
        <v>66</v>
      </c>
      <c r="Y879" s="130">
        <v>0.8</v>
      </c>
      <c r="Z879" s="111">
        <v>18.0</v>
      </c>
      <c r="AA879" s="111">
        <v>399.0</v>
      </c>
      <c r="AB879" s="111" t="s">
        <v>61</v>
      </c>
      <c r="AC879" s="133"/>
      <c r="AD879" s="133"/>
      <c r="AE879" s="133"/>
      <c r="AF879" s="111"/>
      <c r="AG879" s="147"/>
      <c r="AH879" s="73"/>
      <c r="AI879" s="135"/>
      <c r="AJ879" s="136"/>
      <c r="AK879" s="76"/>
      <c r="AL879" s="137"/>
      <c r="AM879" s="139">
        <v>404.0</v>
      </c>
      <c r="AN879" s="139">
        <v>1395.0</v>
      </c>
      <c r="AO879" s="140">
        <v>445.86</v>
      </c>
      <c r="AP879" s="142">
        <v>152072.0</v>
      </c>
      <c r="AQ879" s="142">
        <v>222.0</v>
      </c>
      <c r="AR879" s="143"/>
      <c r="AS879" s="144">
        <v>0.9364972660487518</v>
      </c>
      <c r="AT879" s="144">
        <v>0.017802733951248206</v>
      </c>
      <c r="AU879" s="146" t="s">
        <v>2710</v>
      </c>
      <c r="AV879" s="146" t="s">
        <v>2710</v>
      </c>
      <c r="AW879" s="148" t="s">
        <v>2710</v>
      </c>
      <c r="AX879" s="151"/>
      <c r="AY879" s="105"/>
      <c r="AZ879" s="186"/>
      <c r="BA879" s="186"/>
      <c r="BB879" s="222"/>
      <c r="BC879" s="45"/>
      <c r="BD879" s="45"/>
      <c r="BE879" s="155"/>
      <c r="BF879" s="45"/>
    </row>
    <row r="880" ht="16.5" customHeight="1">
      <c r="A880" s="111">
        <v>877.0</v>
      </c>
      <c r="B880" s="112" t="s">
        <v>1848</v>
      </c>
      <c r="C880" s="115" t="s">
        <v>60</v>
      </c>
      <c r="D880" s="117">
        <v>42745.0</v>
      </c>
      <c r="E880" s="117">
        <v>43002.0</v>
      </c>
      <c r="F880" s="79" t="s">
        <v>305</v>
      </c>
      <c r="G880" s="118">
        <v>15800.0</v>
      </c>
      <c r="H880" s="114">
        <v>61.2</v>
      </c>
      <c r="I880" s="120">
        <v>450.0</v>
      </c>
      <c r="J880" s="111" t="s">
        <v>62</v>
      </c>
      <c r="K880" s="121">
        <v>450.0</v>
      </c>
      <c r="L880" s="120" t="s">
        <v>63</v>
      </c>
      <c r="M880" s="120"/>
      <c r="N880" s="120"/>
      <c r="O880" s="124">
        <v>15800.0</v>
      </c>
      <c r="P880" s="124">
        <v>258.0</v>
      </c>
      <c r="Q880" s="111">
        <v>204.0</v>
      </c>
      <c r="R880" s="125">
        <v>452.0</v>
      </c>
      <c r="S880" s="126">
        <v>0.9956</v>
      </c>
      <c r="T880" s="127">
        <v>81440.08</v>
      </c>
      <c r="U880" s="128">
        <f t="shared" si="2"/>
        <v>0</v>
      </c>
      <c r="V880" s="79" t="s">
        <v>80</v>
      </c>
      <c r="W880" s="79" t="s">
        <v>65</v>
      </c>
      <c r="X880" s="79" t="s">
        <v>64</v>
      </c>
      <c r="Y880" s="130">
        <v>0.8</v>
      </c>
      <c r="Z880" s="111">
        <v>110.0</v>
      </c>
      <c r="AA880" s="111">
        <v>453.0</v>
      </c>
      <c r="AB880" s="111" t="s">
        <v>62</v>
      </c>
      <c r="AC880" s="111">
        <v>450.0</v>
      </c>
      <c r="AD880" s="111">
        <v>30.0</v>
      </c>
      <c r="AE880" s="111" t="s">
        <v>2711</v>
      </c>
      <c r="AF880" s="111" t="s">
        <v>62</v>
      </c>
      <c r="AG880" s="147"/>
      <c r="AH880" s="73">
        <v>420.0</v>
      </c>
      <c r="AI880" s="135">
        <v>420.0</v>
      </c>
      <c r="AJ880" s="136">
        <v>80.46428571428571</v>
      </c>
      <c r="AK880" s="76">
        <v>0.9836709745022703</v>
      </c>
      <c r="AL880" s="137" t="s">
        <v>2712</v>
      </c>
      <c r="AM880" s="139">
        <v>453.0</v>
      </c>
      <c r="AN880" s="139">
        <v>258.0</v>
      </c>
      <c r="AO880" s="140">
        <v>39.5</v>
      </c>
      <c r="AP880" s="142">
        <v>15800.0</v>
      </c>
      <c r="AQ880" s="142">
        <v>204.0</v>
      </c>
      <c r="AR880" s="143"/>
      <c r="AS880" s="144">
        <v>0.976639288281719</v>
      </c>
      <c r="AT880" s="144">
        <v>0.018960711718281065</v>
      </c>
      <c r="AU880" s="146" t="s">
        <v>2713</v>
      </c>
      <c r="AV880" s="146" t="s">
        <v>2713</v>
      </c>
      <c r="AW880" s="148" t="s">
        <v>2713</v>
      </c>
      <c r="AX880" s="151"/>
      <c r="AY880" s="105"/>
      <c r="AZ880" s="186"/>
      <c r="BA880" s="186"/>
      <c r="BB880" s="222"/>
      <c r="BC880" s="45"/>
      <c r="BD880" s="45"/>
      <c r="BE880" s="155"/>
      <c r="BF880" s="45"/>
    </row>
    <row r="881" ht="16.5" customHeight="1">
      <c r="A881" s="111">
        <v>878.0</v>
      </c>
      <c r="B881" s="112" t="s">
        <v>1615</v>
      </c>
      <c r="C881" s="115" t="s">
        <v>60</v>
      </c>
      <c r="D881" s="117">
        <v>42545.0</v>
      </c>
      <c r="E881" s="117">
        <v>43002.0</v>
      </c>
      <c r="F881" s="79" t="s">
        <v>629</v>
      </c>
      <c r="G881" s="118">
        <v>40000.0</v>
      </c>
      <c r="H881" s="114">
        <v>87.3</v>
      </c>
      <c r="I881" s="120">
        <v>370.0</v>
      </c>
      <c r="J881" s="111" t="s">
        <v>62</v>
      </c>
      <c r="K881" s="121">
        <v>370.0</v>
      </c>
      <c r="L881" s="120" t="s">
        <v>63</v>
      </c>
      <c r="M881" s="120"/>
      <c r="N881" s="120"/>
      <c r="O881" s="124">
        <v>40000.0</v>
      </c>
      <c r="P881" s="124">
        <v>458.0</v>
      </c>
      <c r="Q881" s="111">
        <v>185.0</v>
      </c>
      <c r="R881" s="125">
        <v>386.0</v>
      </c>
      <c r="S881" s="126">
        <v>0.9585</v>
      </c>
      <c r="T881" s="127">
        <v>69587.1</v>
      </c>
      <c r="U881" s="128">
        <f t="shared" si="2"/>
        <v>0</v>
      </c>
      <c r="V881" s="79"/>
      <c r="W881" s="79"/>
      <c r="X881" s="79"/>
      <c r="Y881" s="130"/>
      <c r="Z881" s="111"/>
      <c r="AA881" s="133"/>
      <c r="AB881" s="133"/>
      <c r="AC881" s="133"/>
      <c r="AD881" s="133"/>
      <c r="AE881" s="133"/>
      <c r="AF881" s="111"/>
      <c r="AG881" s="147"/>
      <c r="AH881" s="73"/>
      <c r="AI881" s="135"/>
      <c r="AJ881" s="136"/>
      <c r="AK881" s="76"/>
      <c r="AL881" s="137"/>
      <c r="AM881" s="139" t="s">
        <v>71</v>
      </c>
      <c r="AN881" s="139">
        <v>458.0</v>
      </c>
      <c r="AO881" s="140">
        <v>104.11</v>
      </c>
      <c r="AP881" s="142">
        <v>40000.0</v>
      </c>
      <c r="AQ881" s="142">
        <v>185.0</v>
      </c>
      <c r="AR881" s="143"/>
      <c r="AS881" s="144">
        <v>0.9600116349443162</v>
      </c>
      <c r="AT881" s="144">
        <v>-0.0015116349443161647</v>
      </c>
      <c r="AU881" s="146" t="s">
        <v>2714</v>
      </c>
      <c r="AV881" s="146" t="s">
        <v>2714</v>
      </c>
      <c r="AW881" s="148" t="s">
        <v>2714</v>
      </c>
      <c r="AX881" s="151"/>
      <c r="AY881" s="105"/>
      <c r="AZ881" s="186"/>
      <c r="BA881" s="186"/>
      <c r="BB881" s="222"/>
      <c r="BC881" s="45"/>
      <c r="BD881" s="45"/>
      <c r="BE881" s="155"/>
      <c r="BF881" s="45"/>
    </row>
    <row r="882" ht="16.5" customHeight="1">
      <c r="A882" s="111">
        <v>879.0</v>
      </c>
      <c r="B882" s="112" t="s">
        <v>1726</v>
      </c>
      <c r="C882" s="115" t="s">
        <v>60</v>
      </c>
      <c r="D882" s="117">
        <v>42276.0</v>
      </c>
      <c r="E882" s="117">
        <v>43000.0</v>
      </c>
      <c r="F882" s="79" t="s">
        <v>305</v>
      </c>
      <c r="G882" s="118">
        <v>63637.0</v>
      </c>
      <c r="H882" s="114">
        <v>87.8</v>
      </c>
      <c r="I882" s="120">
        <v>422.0</v>
      </c>
      <c r="J882" s="111" t="s">
        <v>61</v>
      </c>
      <c r="K882" s="121">
        <v>427.34</v>
      </c>
      <c r="L882" s="120" t="s">
        <v>63</v>
      </c>
      <c r="M882" s="120"/>
      <c r="N882" s="120"/>
      <c r="O882" s="124">
        <v>63637.0</v>
      </c>
      <c r="P882" s="124">
        <v>725.0</v>
      </c>
      <c r="Q882" s="111">
        <v>233.0</v>
      </c>
      <c r="R882" s="125">
        <v>452.0</v>
      </c>
      <c r="S882" s="126">
        <v>0.9454</v>
      </c>
      <c r="T882" s="127">
        <v>77333.72</v>
      </c>
      <c r="U882" s="128">
        <f t="shared" si="2"/>
        <v>0</v>
      </c>
      <c r="V882" s="79" t="s">
        <v>64</v>
      </c>
      <c r="W882" s="79" t="s">
        <v>64</v>
      </c>
      <c r="X882" s="79" t="s">
        <v>69</v>
      </c>
      <c r="Y882" s="130">
        <v>0.8</v>
      </c>
      <c r="Z882" s="111">
        <v>11.0</v>
      </c>
      <c r="AA882" s="111">
        <v>432.0</v>
      </c>
      <c r="AB882" s="111" t="s">
        <v>61</v>
      </c>
      <c r="AC882" s="133"/>
      <c r="AD882" s="133"/>
      <c r="AE882" s="133"/>
      <c r="AF882" s="111"/>
      <c r="AG882" s="147"/>
      <c r="AH882" s="73"/>
      <c r="AI882" s="135"/>
      <c r="AJ882" s="136"/>
      <c r="AK882" s="76"/>
      <c r="AL882" s="137"/>
      <c r="AM882" s="139">
        <v>437.0</v>
      </c>
      <c r="AN882" s="139">
        <v>725.0</v>
      </c>
      <c r="AO882" s="140">
        <v>186.38</v>
      </c>
      <c r="AP882" s="142">
        <v>63637.0</v>
      </c>
      <c r="AQ882" s="142">
        <v>233.0</v>
      </c>
      <c r="AR882" s="143"/>
      <c r="AS882" s="144">
        <v>0.9522667649165683</v>
      </c>
      <c r="AT882" s="144">
        <v>-0.006866764916568235</v>
      </c>
      <c r="AU882" s="146" t="s">
        <v>2715</v>
      </c>
      <c r="AV882" s="146" t="s">
        <v>2715</v>
      </c>
      <c r="AW882" s="148" t="s">
        <v>2715</v>
      </c>
      <c r="AX882" s="151"/>
      <c r="AY882" s="105"/>
      <c r="AZ882" s="186"/>
      <c r="BA882" s="186"/>
      <c r="BB882" s="222"/>
      <c r="BC882" s="45"/>
      <c r="BD882" s="45"/>
      <c r="BE882" s="155"/>
      <c r="BF882" s="45"/>
    </row>
    <row r="883" ht="16.5" customHeight="1">
      <c r="A883" s="111">
        <v>880.0</v>
      </c>
      <c r="B883" s="112" t="s">
        <v>1755</v>
      </c>
      <c r="C883" s="115" t="s">
        <v>60</v>
      </c>
      <c r="D883" s="117">
        <v>42994.0</v>
      </c>
      <c r="E883" s="117">
        <v>43003.0</v>
      </c>
      <c r="F883" s="79" t="s">
        <v>939</v>
      </c>
      <c r="G883" s="118">
        <v>675.0</v>
      </c>
      <c r="H883" s="114">
        <v>67.5</v>
      </c>
      <c r="I883" s="120">
        <v>453.0</v>
      </c>
      <c r="J883" s="111" t="s">
        <v>61</v>
      </c>
      <c r="K883" s="121">
        <v>458.73</v>
      </c>
      <c r="L883" s="120" t="s">
        <v>63</v>
      </c>
      <c r="M883" s="120"/>
      <c r="N883" s="120"/>
      <c r="O883" s="124">
        <v>675.0</v>
      </c>
      <c r="P883" s="124">
        <v>10.0</v>
      </c>
      <c r="Q883" s="111">
        <v>267.0</v>
      </c>
      <c r="R883" s="125">
        <v>453.0</v>
      </c>
      <c r="S883" s="126">
        <v>1.0126</v>
      </c>
      <c r="T883" s="127">
        <v>99639.84</v>
      </c>
      <c r="U883" s="128">
        <f t="shared" si="2"/>
        <v>0</v>
      </c>
      <c r="V883" s="79" t="s">
        <v>64</v>
      </c>
      <c r="W883" s="79" t="s">
        <v>64</v>
      </c>
      <c r="X883" s="79" t="s">
        <v>69</v>
      </c>
      <c r="Y883" s="130">
        <v>0.8</v>
      </c>
      <c r="Z883" s="111">
        <v>18.0</v>
      </c>
      <c r="AA883" s="111">
        <v>453.0</v>
      </c>
      <c r="AB883" s="111" t="s">
        <v>61</v>
      </c>
      <c r="AC883" s="133"/>
      <c r="AD883" s="133"/>
      <c r="AE883" s="133"/>
      <c r="AF883" s="111"/>
      <c r="AG883" s="147"/>
      <c r="AH883" s="73"/>
      <c r="AI883" s="135"/>
      <c r="AJ883" s="136"/>
      <c r="AK883" s="76"/>
      <c r="AL883" s="137"/>
      <c r="AM883" s="139">
        <v>459.0</v>
      </c>
      <c r="AN883" s="139">
        <v>10.0</v>
      </c>
      <c r="AO883" s="140">
        <v>1.82</v>
      </c>
      <c r="AP883" s="142">
        <v>675.0</v>
      </c>
      <c r="AQ883" s="142">
        <v>267.0</v>
      </c>
      <c r="AR883" s="143"/>
      <c r="AS883" s="144">
        <v>0.9986484242624939</v>
      </c>
      <c r="AT883" s="144">
        <v>0.01395157573750605</v>
      </c>
      <c r="AU883" s="146" t="s">
        <v>2716</v>
      </c>
      <c r="AV883" s="146" t="s">
        <v>2716</v>
      </c>
      <c r="AW883" s="148" t="s">
        <v>2716</v>
      </c>
      <c r="AX883" s="151"/>
      <c r="AY883" s="105"/>
      <c r="AZ883" s="186"/>
      <c r="BA883" s="186"/>
      <c r="BB883" s="222"/>
      <c r="BC883" s="45"/>
      <c r="BD883" s="45"/>
      <c r="BE883" s="155"/>
      <c r="BF883" s="45"/>
    </row>
    <row r="884" ht="16.5" customHeight="1">
      <c r="A884" s="111">
        <v>881.0</v>
      </c>
      <c r="B884" s="112" t="s">
        <v>1727</v>
      </c>
      <c r="C884" s="115" t="s">
        <v>60</v>
      </c>
      <c r="D884" s="117">
        <v>42547.0</v>
      </c>
      <c r="E884" s="117">
        <v>43004.0</v>
      </c>
      <c r="F884" s="79" t="s">
        <v>305</v>
      </c>
      <c r="G884" s="118">
        <v>37500.0</v>
      </c>
      <c r="H884" s="114">
        <v>81.9</v>
      </c>
      <c r="I884" s="120">
        <v>427.0</v>
      </c>
      <c r="J884" s="111" t="s">
        <v>62</v>
      </c>
      <c r="K884" s="121">
        <v>427.0</v>
      </c>
      <c r="L884" s="120" t="s">
        <v>63</v>
      </c>
      <c r="M884" s="120"/>
      <c r="N884" s="120"/>
      <c r="O884" s="124">
        <v>37500.0</v>
      </c>
      <c r="P884" s="124">
        <v>458.0</v>
      </c>
      <c r="Q884" s="111">
        <v>204.0</v>
      </c>
      <c r="R884" s="125">
        <v>452.0</v>
      </c>
      <c r="S884" s="126">
        <v>0.9447</v>
      </c>
      <c r="T884" s="127">
        <v>77276.45999999999</v>
      </c>
      <c r="U884" s="128">
        <f t="shared" si="2"/>
        <v>0</v>
      </c>
      <c r="V884" s="79" t="s">
        <v>65</v>
      </c>
      <c r="W884" s="79" t="s">
        <v>64</v>
      </c>
      <c r="X884" s="79" t="s">
        <v>69</v>
      </c>
      <c r="Y884" s="130">
        <v>0.8</v>
      </c>
      <c r="Z884" s="111">
        <v>10.0</v>
      </c>
      <c r="AA884" s="111">
        <v>457.0</v>
      </c>
      <c r="AB884" s="111" t="s">
        <v>61</v>
      </c>
      <c r="AC884" s="111">
        <v>370.0</v>
      </c>
      <c r="AD884" s="111">
        <v>70.0</v>
      </c>
      <c r="AE884" s="981">
        <v>94.0</v>
      </c>
      <c r="AF884" s="111" t="s">
        <v>61</v>
      </c>
      <c r="AG884" s="147"/>
      <c r="AH884" s="73">
        <v>300.0</v>
      </c>
      <c r="AI884" s="135">
        <v>303.7974683544304</v>
      </c>
      <c r="AJ884" s="136">
        <v>132.12091666666666</v>
      </c>
      <c r="AK884" s="76">
        <v>1.615170130399348</v>
      </c>
      <c r="AL884" s="137" t="s">
        <v>2717</v>
      </c>
      <c r="AM884" s="139">
        <v>463.0</v>
      </c>
      <c r="AN884" s="139">
        <v>458.0</v>
      </c>
      <c r="AO884" s="140">
        <v>96.2</v>
      </c>
      <c r="AP884" s="142">
        <v>37500.0</v>
      </c>
      <c r="AQ884" s="142">
        <v>204.0</v>
      </c>
      <c r="AR884" s="143"/>
      <c r="AS884" s="144">
        <v>0.9611566600292061</v>
      </c>
      <c r="AT884" s="144">
        <v>-0.016456660029206094</v>
      </c>
      <c r="AU884" s="146" t="s">
        <v>2718</v>
      </c>
      <c r="AV884" s="146" t="s">
        <v>2718</v>
      </c>
      <c r="AW884" s="148" t="s">
        <v>2718</v>
      </c>
      <c r="AX884" s="151"/>
      <c r="AY884" s="105"/>
      <c r="AZ884" s="186"/>
      <c r="BA884" s="186"/>
      <c r="BB884" s="222"/>
      <c r="BC884" s="45"/>
      <c r="BD884" s="45"/>
      <c r="BE884" s="155"/>
      <c r="BF884" s="45"/>
    </row>
    <row r="885" ht="16.5" customHeight="1">
      <c r="A885" s="111">
        <v>882.0</v>
      </c>
      <c r="B885" s="112" t="s">
        <v>1673</v>
      </c>
      <c r="C885" s="115" t="s">
        <v>60</v>
      </c>
      <c r="D885" s="117"/>
      <c r="E885" s="117">
        <v>43006.0</v>
      </c>
      <c r="F885" s="79" t="s">
        <v>629</v>
      </c>
      <c r="G885" s="118">
        <v>14806.0</v>
      </c>
      <c r="H885" s="114"/>
      <c r="I885" s="120">
        <v>379.0</v>
      </c>
      <c r="J885" s="111" t="s">
        <v>61</v>
      </c>
      <c r="K885" s="121">
        <v>383.8</v>
      </c>
      <c r="L885" s="120" t="s">
        <v>63</v>
      </c>
      <c r="M885" s="120"/>
      <c r="N885" s="120"/>
      <c r="O885" s="124">
        <v>14806.0</v>
      </c>
      <c r="P885" s="124"/>
      <c r="Q885" s="111"/>
      <c r="R885" s="125">
        <v>386.0</v>
      </c>
      <c r="S885" s="126">
        <v>0.9943</v>
      </c>
      <c r="T885" s="127">
        <v>72186.18</v>
      </c>
      <c r="U885" s="128">
        <f t="shared" si="2"/>
        <v>2</v>
      </c>
      <c r="V885" s="79" t="s">
        <v>69</v>
      </c>
      <c r="W885" s="79" t="s">
        <v>69</v>
      </c>
      <c r="X885" s="79" t="s">
        <v>66</v>
      </c>
      <c r="Y885" s="130">
        <v>0.9</v>
      </c>
      <c r="Z885" s="111">
        <v>10.0</v>
      </c>
      <c r="AA885" s="133"/>
      <c r="AB885" s="133"/>
      <c r="AC885" s="133"/>
      <c r="AD885" s="133"/>
      <c r="AE885" s="133"/>
      <c r="AF885" s="111"/>
      <c r="AG885" s="147"/>
      <c r="AH885" s="73"/>
      <c r="AI885" s="135"/>
      <c r="AJ885" s="136"/>
      <c r="AK885" s="76"/>
      <c r="AL885" s="137"/>
      <c r="AM885" s="139" t="s">
        <v>71</v>
      </c>
      <c r="AN885" s="139"/>
      <c r="AO885" s="140"/>
      <c r="AP885" s="142">
        <v>14806.0</v>
      </c>
      <c r="AQ885" s="142"/>
      <c r="AR885" s="143"/>
      <c r="AS885" s="144">
        <v>0.9777005382965122</v>
      </c>
      <c r="AT885" s="144">
        <v>0.016599461703487806</v>
      </c>
      <c r="AU885" s="146" t="s">
        <v>2719</v>
      </c>
      <c r="AV885" s="146" t="s">
        <v>2719</v>
      </c>
      <c r="AW885" s="148" t="s">
        <v>2719</v>
      </c>
      <c r="AX885" s="151"/>
      <c r="AY885" s="105"/>
      <c r="AZ885" s="186"/>
      <c r="BA885" s="186"/>
      <c r="BB885" s="222"/>
      <c r="BC885" s="45"/>
      <c r="BD885" s="45"/>
      <c r="BE885" s="155"/>
      <c r="BF885" s="45"/>
    </row>
    <row r="886" ht="16.5" customHeight="1">
      <c r="A886" s="111">
        <v>883.0</v>
      </c>
      <c r="B886" s="971" t="s">
        <v>761</v>
      </c>
      <c r="C886" s="972" t="s">
        <v>60</v>
      </c>
      <c r="D886" s="973">
        <v>42097.0</v>
      </c>
      <c r="E886" s="974">
        <v>43008.0</v>
      </c>
      <c r="F886" s="975" t="s">
        <v>90</v>
      </c>
      <c r="G886" s="976">
        <v>50068.0</v>
      </c>
      <c r="H886" s="114">
        <v>54.9</v>
      </c>
      <c r="I886" s="120">
        <v>385.0</v>
      </c>
      <c r="J886" s="111" t="s">
        <v>61</v>
      </c>
      <c r="K886" s="121">
        <v>389.87</v>
      </c>
      <c r="L886" s="120" t="s">
        <v>63</v>
      </c>
      <c r="M886" s="120"/>
      <c r="N886" s="120"/>
      <c r="O886" s="124">
        <v>50068.0</v>
      </c>
      <c r="P886" s="124">
        <v>912.0</v>
      </c>
      <c r="Q886" s="111">
        <v>232.0</v>
      </c>
      <c r="R886" s="125">
        <v>408.0</v>
      </c>
      <c r="S886" s="126">
        <v>0.9556</v>
      </c>
      <c r="T886" s="127">
        <v>74059.0</v>
      </c>
      <c r="U886" s="128">
        <f t="shared" si="2"/>
        <v>0</v>
      </c>
      <c r="V886" s="636" t="s">
        <v>65</v>
      </c>
      <c r="W886" s="691" t="s">
        <v>64</v>
      </c>
      <c r="X886" s="691" t="s">
        <v>66</v>
      </c>
      <c r="Y886" s="130">
        <v>0.7</v>
      </c>
      <c r="Z886" s="693">
        <v>11.0</v>
      </c>
      <c r="AA886" s="202">
        <v>406.0</v>
      </c>
      <c r="AB886" s="202" t="s">
        <v>62</v>
      </c>
      <c r="AC886" s="133"/>
      <c r="AD886" s="133"/>
      <c r="AE886" s="133"/>
      <c r="AF886" s="111"/>
      <c r="AG886" s="134" t="s">
        <v>1899</v>
      </c>
      <c r="AH886" s="73"/>
      <c r="AI886" s="135"/>
      <c r="AJ886" s="136"/>
      <c r="AK886" s="76"/>
      <c r="AL886" s="137"/>
      <c r="AM886" s="139">
        <v>406.0</v>
      </c>
      <c r="AN886" s="139">
        <v>912.0</v>
      </c>
      <c r="AO886" s="140">
        <v>153.32</v>
      </c>
      <c r="AP886" s="142">
        <v>50068.0</v>
      </c>
      <c r="AQ886" s="142">
        <v>232.0</v>
      </c>
      <c r="AR886" s="143"/>
      <c r="AS886" s="144">
        <v>0.9561596002059434</v>
      </c>
      <c r="AT886" s="144">
        <v>-5.596002059433669E-4</v>
      </c>
      <c r="AU886" s="146" t="s">
        <v>2720</v>
      </c>
      <c r="AV886" s="146" t="s">
        <v>2720</v>
      </c>
      <c r="AW886" s="148" t="s">
        <v>2720</v>
      </c>
      <c r="AX886" s="151"/>
      <c r="AY886" s="105"/>
      <c r="AZ886" s="186"/>
      <c r="BA886" s="186"/>
      <c r="BB886" s="222"/>
      <c r="BC886" s="45"/>
      <c r="BD886" s="45"/>
      <c r="BE886" s="155"/>
      <c r="BF886" s="45"/>
    </row>
    <row r="887" ht="16.5" customHeight="1">
      <c r="A887" s="111">
        <v>884.0</v>
      </c>
      <c r="B887" s="112" t="s">
        <v>623</v>
      </c>
      <c r="C887" s="115" t="s">
        <v>60</v>
      </c>
      <c r="D887" s="117">
        <v>41794.0</v>
      </c>
      <c r="E887" s="117">
        <v>42997.0</v>
      </c>
      <c r="F887" s="79" t="s">
        <v>59</v>
      </c>
      <c r="G887" s="118">
        <v>196476.0</v>
      </c>
      <c r="H887" s="114">
        <v>163.2</v>
      </c>
      <c r="I887" s="120">
        <v>374.0</v>
      </c>
      <c r="J887" s="111" t="s">
        <v>62</v>
      </c>
      <c r="K887" s="121">
        <v>374.0</v>
      </c>
      <c r="L887" s="120" t="s">
        <v>63</v>
      </c>
      <c r="M887" s="120"/>
      <c r="N887" s="120"/>
      <c r="O887" s="124">
        <v>196476.0</v>
      </c>
      <c r="P887" s="124">
        <v>1204.0</v>
      </c>
      <c r="Q887" s="111">
        <v>182.0</v>
      </c>
      <c r="R887" s="125">
        <v>399.0</v>
      </c>
      <c r="S887" s="126">
        <v>0.9373</v>
      </c>
      <c r="T887" s="127">
        <v>72640.75</v>
      </c>
      <c r="U887" s="128">
        <f t="shared" si="2"/>
        <v>0</v>
      </c>
      <c r="V887" s="79" t="s">
        <v>67</v>
      </c>
      <c r="W887" s="79" t="s">
        <v>69</v>
      </c>
      <c r="X887" s="79" t="s">
        <v>66</v>
      </c>
      <c r="Y887" s="130">
        <v>0.9</v>
      </c>
      <c r="Z887" s="111">
        <v>9.0</v>
      </c>
      <c r="AA887" s="111">
        <v>399.0</v>
      </c>
      <c r="AB887" s="111" t="s">
        <v>62</v>
      </c>
      <c r="AC887" s="133"/>
      <c r="AD887" s="133"/>
      <c r="AE887" s="133"/>
      <c r="AF887" s="111"/>
      <c r="AG887" s="134" t="s">
        <v>2660</v>
      </c>
      <c r="AH887" s="73"/>
      <c r="AI887" s="135"/>
      <c r="AJ887" s="136"/>
      <c r="AK887" s="76"/>
      <c r="AL887" s="137"/>
      <c r="AM887" s="139">
        <v>399.0</v>
      </c>
      <c r="AN887" s="139">
        <v>1204.0</v>
      </c>
      <c r="AO887" s="140">
        <v>476.39</v>
      </c>
      <c r="AP887" s="142">
        <v>196476.0</v>
      </c>
      <c r="AQ887" s="142">
        <v>182.0</v>
      </c>
      <c r="AR887" s="143"/>
      <c r="AS887" s="144">
        <v>0.9295294692463524</v>
      </c>
      <c r="AT887" s="144">
        <v>0.007770530753647642</v>
      </c>
      <c r="AU887" s="146" t="s">
        <v>2721</v>
      </c>
      <c r="AV887" s="146" t="s">
        <v>2721</v>
      </c>
      <c r="AW887" s="148" t="s">
        <v>2721</v>
      </c>
      <c r="AX887" s="151"/>
      <c r="AY887" s="105"/>
      <c r="AZ887" s="186"/>
      <c r="BA887" s="186"/>
      <c r="BB887" s="222"/>
      <c r="BC887" s="45"/>
      <c r="BD887" s="45"/>
      <c r="BE887" s="155"/>
      <c r="BF887" s="45"/>
    </row>
    <row r="888" ht="16.5" customHeight="1">
      <c r="A888" s="111">
        <v>885.0</v>
      </c>
      <c r="B888" s="112" t="s">
        <v>1716</v>
      </c>
      <c r="C888" s="115" t="s">
        <v>60</v>
      </c>
      <c r="D888" s="117">
        <v>41675.0</v>
      </c>
      <c r="E888" s="117">
        <v>43005.0</v>
      </c>
      <c r="F888" s="79" t="s">
        <v>59</v>
      </c>
      <c r="G888" s="118">
        <v>80240.0</v>
      </c>
      <c r="H888" s="114">
        <v>60.3</v>
      </c>
      <c r="I888" s="120">
        <v>381.0</v>
      </c>
      <c r="J888" s="111" t="s">
        <v>61</v>
      </c>
      <c r="K888" s="121">
        <v>385.82</v>
      </c>
      <c r="L888" s="120" t="s">
        <v>63</v>
      </c>
      <c r="M888" s="120"/>
      <c r="N888" s="120"/>
      <c r="O888" s="124">
        <v>80240.0</v>
      </c>
      <c r="P888" s="124">
        <v>1331.0</v>
      </c>
      <c r="Q888" s="111">
        <v>223.0</v>
      </c>
      <c r="R888" s="125">
        <v>399.0</v>
      </c>
      <c r="S888" s="126">
        <v>0.967</v>
      </c>
      <c r="T888" s="127">
        <v>74942.5</v>
      </c>
      <c r="U888" s="128">
        <f t="shared" si="2"/>
        <v>0</v>
      </c>
      <c r="V888" s="79" t="s">
        <v>65</v>
      </c>
      <c r="W888" s="79" t="s">
        <v>65</v>
      </c>
      <c r="X888" s="79" t="s">
        <v>68</v>
      </c>
      <c r="Y888" s="130">
        <v>0.7</v>
      </c>
      <c r="Z888" s="111">
        <v>22.0</v>
      </c>
      <c r="AA888" s="133"/>
      <c r="AB888" s="111" t="s">
        <v>61</v>
      </c>
      <c r="AC888" s="133"/>
      <c r="AD888" s="133"/>
      <c r="AE888" s="133"/>
      <c r="AF888" s="111"/>
      <c r="AG888" s="147"/>
      <c r="AH888" s="73"/>
      <c r="AI888" s="135"/>
      <c r="AJ888" s="136"/>
      <c r="AK888" s="76"/>
      <c r="AL888" s="137"/>
      <c r="AM888" s="139" t="s">
        <v>71</v>
      </c>
      <c r="AN888" s="139">
        <v>1331.0</v>
      </c>
      <c r="AO888" s="140">
        <v>234.81</v>
      </c>
      <c r="AP888" s="142">
        <v>80240.0</v>
      </c>
      <c r="AQ888" s="142">
        <v>223.0</v>
      </c>
      <c r="AR888" s="143"/>
      <c r="AS888" s="144">
        <v>0.9485983045445842</v>
      </c>
      <c r="AT888" s="144">
        <v>0.018401695455415812</v>
      </c>
      <c r="AU888" s="146" t="s">
        <v>2722</v>
      </c>
      <c r="AV888" s="146" t="s">
        <v>2722</v>
      </c>
      <c r="AW888" s="148" t="s">
        <v>2722</v>
      </c>
      <c r="AX888" s="151"/>
      <c r="AY888" s="105"/>
      <c r="AZ888" s="186"/>
      <c r="BA888" s="186"/>
      <c r="BB888" s="222"/>
      <c r="BC888" s="45"/>
      <c r="BD888" s="45"/>
      <c r="BE888" s="155"/>
      <c r="BF888" s="45"/>
    </row>
    <row r="889" ht="16.5" customHeight="1">
      <c r="A889" s="111">
        <v>886.0</v>
      </c>
      <c r="B889" s="112" t="s">
        <v>1810</v>
      </c>
      <c r="C889" s="115" t="s">
        <v>60</v>
      </c>
      <c r="D889" s="117">
        <v>42448.0</v>
      </c>
      <c r="E889" s="117">
        <v>43013.0</v>
      </c>
      <c r="F889" s="79" t="s">
        <v>86</v>
      </c>
      <c r="G889" s="118">
        <v>39929.0</v>
      </c>
      <c r="H889" s="114">
        <v>70.5</v>
      </c>
      <c r="I889" s="120">
        <v>429.0</v>
      </c>
      <c r="J889" s="111" t="s">
        <v>61</v>
      </c>
      <c r="K889" s="121">
        <v>434.43</v>
      </c>
      <c r="L889" s="120" t="s">
        <v>63</v>
      </c>
      <c r="M889" s="120"/>
      <c r="N889" s="120"/>
      <c r="O889" s="124">
        <v>39929.0</v>
      </c>
      <c r="P889" s="124">
        <v>566.0</v>
      </c>
      <c r="Q889" s="111">
        <v>206.2</v>
      </c>
      <c r="R889" s="125">
        <v>430.0</v>
      </c>
      <c r="S889" s="126">
        <v>1.0103</v>
      </c>
      <c r="T889" s="127">
        <v>78298.25</v>
      </c>
      <c r="U889" s="128">
        <f t="shared" si="2"/>
        <v>0</v>
      </c>
      <c r="V889" s="79" t="s">
        <v>67</v>
      </c>
      <c r="W889" s="79" t="s">
        <v>68</v>
      </c>
      <c r="X889" s="79" t="s">
        <v>68</v>
      </c>
      <c r="Y889" s="130">
        <v>0.7</v>
      </c>
      <c r="Z889" s="111">
        <v>11.0</v>
      </c>
      <c r="AA889" s="111">
        <v>430.0</v>
      </c>
      <c r="AB889" s="111" t="s">
        <v>61</v>
      </c>
      <c r="AC889" s="111">
        <v>309.0</v>
      </c>
      <c r="AD889" s="111">
        <v>71.0</v>
      </c>
      <c r="AE889" s="111">
        <v>41.0</v>
      </c>
      <c r="AF889" s="111" t="s">
        <v>61</v>
      </c>
      <c r="AG889" s="147"/>
      <c r="AH889" s="73">
        <v>238.0</v>
      </c>
      <c r="AI889" s="135">
        <v>241.0126582278481</v>
      </c>
      <c r="AJ889" s="136">
        <v>73.90329674369748</v>
      </c>
      <c r="AK889" s="76">
        <v>0.9535909257251288</v>
      </c>
      <c r="AL889" s="137" t="s">
        <v>2723</v>
      </c>
      <c r="AM889" s="139">
        <v>435.0</v>
      </c>
      <c r="AN889" s="139">
        <v>566.0</v>
      </c>
      <c r="AO889" s="140">
        <v>105.72</v>
      </c>
      <c r="AP889" s="142">
        <v>39929.0</v>
      </c>
      <c r="AQ889" s="142">
        <v>206.2</v>
      </c>
      <c r="AR889" s="143"/>
      <c r="AS889" s="144">
        <v>0.9600429493194603</v>
      </c>
      <c r="AT889" s="144">
        <v>0.05025705068053965</v>
      </c>
      <c r="AU889" s="146" t="s">
        <v>2724</v>
      </c>
      <c r="AV889" s="146" t="s">
        <v>2724</v>
      </c>
      <c r="AW889" s="148" t="s">
        <v>2724</v>
      </c>
      <c r="AX889" s="151"/>
      <c r="AY889" s="105"/>
      <c r="AZ889" s="186"/>
      <c r="BA889" s="186"/>
      <c r="BB889" s="222"/>
      <c r="BC889" s="45"/>
      <c r="BD889" s="45"/>
      <c r="BE889" s="155"/>
      <c r="BF889" s="45"/>
    </row>
    <row r="890" ht="16.5" customHeight="1">
      <c r="A890" s="111">
        <v>887.0</v>
      </c>
      <c r="B890" s="112" t="s">
        <v>231</v>
      </c>
      <c r="C890" s="115" t="s">
        <v>60</v>
      </c>
      <c r="D890" s="117">
        <v>42920.0</v>
      </c>
      <c r="E890" s="117">
        <v>43013.0</v>
      </c>
      <c r="F890" s="79" t="s">
        <v>939</v>
      </c>
      <c r="G890" s="118">
        <v>2000.0</v>
      </c>
      <c r="H890" s="114">
        <v>21.3</v>
      </c>
      <c r="I890" s="120">
        <v>453.0</v>
      </c>
      <c r="J890" s="111" t="s">
        <v>62</v>
      </c>
      <c r="K890" s="121">
        <v>453.0</v>
      </c>
      <c r="L890" s="120" t="s">
        <v>63</v>
      </c>
      <c r="M890" s="120"/>
      <c r="N890" s="120"/>
      <c r="O890" s="124">
        <v>2000.0</v>
      </c>
      <c r="P890" s="124">
        <v>94.0</v>
      </c>
      <c r="Q890" s="111">
        <v>247.0</v>
      </c>
      <c r="R890" s="125">
        <v>453.0</v>
      </c>
      <c r="S890" s="126">
        <v>1.0</v>
      </c>
      <c r="T890" s="127">
        <v>98400.0</v>
      </c>
      <c r="U890" s="128">
        <f t="shared" si="2"/>
        <v>0</v>
      </c>
      <c r="V890" s="79" t="s">
        <v>127</v>
      </c>
      <c r="W890" s="79" t="s">
        <v>66</v>
      </c>
      <c r="X890" s="79" t="s">
        <v>68</v>
      </c>
      <c r="Y890" s="130">
        <v>0.9</v>
      </c>
      <c r="Z890" s="111">
        <v>16.0</v>
      </c>
      <c r="AA890" s="111">
        <v>453.0</v>
      </c>
      <c r="AB890" s="111" t="s">
        <v>61</v>
      </c>
      <c r="AC890" s="133"/>
      <c r="AD890" s="133"/>
      <c r="AE890" s="133"/>
      <c r="AF890" s="111"/>
      <c r="AG890" s="147"/>
      <c r="AH890" s="73"/>
      <c r="AI890" s="135"/>
      <c r="AJ890" s="136"/>
      <c r="AK890" s="76"/>
      <c r="AL890" s="137"/>
      <c r="AM890" s="139">
        <v>459.0</v>
      </c>
      <c r="AN890" s="139">
        <v>94.0</v>
      </c>
      <c r="AO890" s="140">
        <v>5.02</v>
      </c>
      <c r="AP890" s="142">
        <v>2000.0</v>
      </c>
      <c r="AQ890" s="142">
        <v>247.0</v>
      </c>
      <c r="AR890" s="143"/>
      <c r="AS890" s="144">
        <v>0.996107747231498</v>
      </c>
      <c r="AT890" s="144">
        <v>0.0038922527685020247</v>
      </c>
      <c r="AU890" s="146" t="s">
        <v>2725</v>
      </c>
      <c r="AV890" s="146" t="s">
        <v>2725</v>
      </c>
      <c r="AW890" s="148" t="s">
        <v>2725</v>
      </c>
      <c r="AX890" s="151"/>
      <c r="AY890" s="105"/>
      <c r="AZ890" s="186"/>
      <c r="BA890" s="186"/>
      <c r="BB890" s="222"/>
      <c r="BC890" s="45"/>
      <c r="BD890" s="45"/>
      <c r="BE890" s="155"/>
      <c r="BF890" s="45"/>
    </row>
    <row r="891" ht="16.5" customHeight="1">
      <c r="A891" s="111">
        <v>888.0</v>
      </c>
      <c r="B891" s="112" t="s">
        <v>1647</v>
      </c>
      <c r="C891" s="115" t="s">
        <v>60</v>
      </c>
      <c r="D891" s="117">
        <v>41712.0</v>
      </c>
      <c r="E891" s="117">
        <v>43013.0</v>
      </c>
      <c r="F891" s="79" t="s">
        <v>79</v>
      </c>
      <c r="G891" s="118">
        <v>248884.0</v>
      </c>
      <c r="H891" s="114">
        <v>191.2</v>
      </c>
      <c r="I891" s="120">
        <v>364.0</v>
      </c>
      <c r="J891" s="111" t="s">
        <v>62</v>
      </c>
      <c r="K891" s="121">
        <v>364.0</v>
      </c>
      <c r="L891" s="120" t="s">
        <v>63</v>
      </c>
      <c r="M891" s="120"/>
      <c r="N891" s="120"/>
      <c r="O891" s="124">
        <v>248884.0</v>
      </c>
      <c r="P891" s="124">
        <v>1302.0</v>
      </c>
      <c r="Q891" s="111">
        <v>223.0</v>
      </c>
      <c r="R891" s="125">
        <v>399.0</v>
      </c>
      <c r="S891" s="126">
        <v>0.9123</v>
      </c>
      <c r="T891" s="127">
        <v>70703.25</v>
      </c>
      <c r="U891" s="128">
        <f t="shared" si="2"/>
        <v>0</v>
      </c>
      <c r="V891" s="79" t="s">
        <v>80</v>
      </c>
      <c r="W891" s="79" t="s">
        <v>64</v>
      </c>
      <c r="X891" s="79" t="s">
        <v>69</v>
      </c>
      <c r="Y891" s="130">
        <v>0.9</v>
      </c>
      <c r="Z891" s="111">
        <v>22.0</v>
      </c>
      <c r="AA891" s="133"/>
      <c r="AB891" s="133"/>
      <c r="AC891" s="133"/>
      <c r="AD891" s="133"/>
      <c r="AE891" s="133"/>
      <c r="AF891" s="111"/>
      <c r="AG891" s="134" t="s">
        <v>2726</v>
      </c>
      <c r="AH891" s="73"/>
      <c r="AI891" s="135"/>
      <c r="AJ891" s="136"/>
      <c r="AK891" s="76"/>
      <c r="AL891" s="137"/>
      <c r="AM891" s="139" t="s">
        <v>71</v>
      </c>
      <c r="AN891" s="139">
        <v>1302.0</v>
      </c>
      <c r="AO891" s="140">
        <v>749.04</v>
      </c>
      <c r="AP891" s="142">
        <v>248884.0</v>
      </c>
      <c r="AQ891" s="142">
        <v>223.0</v>
      </c>
      <c r="AR891" s="143"/>
      <c r="AS891" s="144">
        <v>0.921333818398449</v>
      </c>
      <c r="AT891" s="144">
        <v>-0.009033818398448967</v>
      </c>
      <c r="AU891" s="146" t="s">
        <v>2727</v>
      </c>
      <c r="AV891" s="146" t="s">
        <v>2727</v>
      </c>
      <c r="AW891" s="148" t="s">
        <v>2727</v>
      </c>
      <c r="AX891" s="151"/>
      <c r="AY891" s="105"/>
      <c r="AZ891" s="186"/>
      <c r="BA891" s="186"/>
      <c r="BB891" s="222"/>
      <c r="BC891" s="45"/>
      <c r="BD891" s="45"/>
      <c r="BE891" s="155"/>
      <c r="BF891" s="45"/>
    </row>
    <row r="892" ht="16.5" customHeight="1">
      <c r="A892" s="111">
        <v>889.0</v>
      </c>
      <c r="B892" s="112" t="s">
        <v>1640</v>
      </c>
      <c r="C892" s="115" t="s">
        <v>60</v>
      </c>
      <c r="D892" s="117">
        <v>42414.0</v>
      </c>
      <c r="E892" s="117">
        <v>42951.0</v>
      </c>
      <c r="F892" s="79" t="s">
        <v>870</v>
      </c>
      <c r="G892" s="118">
        <v>52000.0</v>
      </c>
      <c r="H892" s="114">
        <v>96.7</v>
      </c>
      <c r="I892" s="120">
        <v>361.0</v>
      </c>
      <c r="J892" s="111" t="s">
        <v>62</v>
      </c>
      <c r="K892" s="121">
        <v>361.0</v>
      </c>
      <c r="L892" s="120" t="s">
        <v>63</v>
      </c>
      <c r="M892" s="120"/>
      <c r="N892" s="120"/>
      <c r="O892" s="124">
        <v>52000.0</v>
      </c>
      <c r="P892" s="124">
        <v>538.0</v>
      </c>
      <c r="Q892" s="111">
        <v>210.0</v>
      </c>
      <c r="R892" s="125">
        <v>360.0</v>
      </c>
      <c r="S892" s="126">
        <v>1.0028</v>
      </c>
      <c r="T892" s="127">
        <v>68992.64</v>
      </c>
      <c r="U892" s="128">
        <f t="shared" si="2"/>
        <v>0</v>
      </c>
      <c r="V892" s="79" t="s">
        <v>64</v>
      </c>
      <c r="W892" s="79" t="s">
        <v>69</v>
      </c>
      <c r="X892" s="79" t="s">
        <v>68</v>
      </c>
      <c r="Y892" s="130">
        <v>0.8</v>
      </c>
      <c r="Z892" s="111">
        <v>11.0</v>
      </c>
      <c r="AA892" s="111">
        <v>362.0</v>
      </c>
      <c r="AB892" s="111" t="s">
        <v>62</v>
      </c>
      <c r="AC892" s="133"/>
      <c r="AD892" s="133"/>
      <c r="AE892" s="133"/>
      <c r="AF892" s="111"/>
      <c r="AG892" s="147"/>
      <c r="AH892" s="73"/>
      <c r="AI892" s="135"/>
      <c r="AJ892" s="136"/>
      <c r="AK892" s="76"/>
      <c r="AL892" s="137"/>
      <c r="AM892" s="139">
        <v>362.0</v>
      </c>
      <c r="AN892" s="139">
        <v>538.0</v>
      </c>
      <c r="AO892" s="140">
        <v>158.52</v>
      </c>
      <c r="AP892" s="142">
        <v>52000.0</v>
      </c>
      <c r="AQ892" s="142">
        <v>210.0</v>
      </c>
      <c r="AR892" s="143"/>
      <c r="AS892" s="144">
        <v>0.9555311394577434</v>
      </c>
      <c r="AT892" s="144">
        <v>0.04726886054225654</v>
      </c>
      <c r="AU892" s="146" t="s">
        <v>2728</v>
      </c>
      <c r="AV892" s="146" t="s">
        <v>2728</v>
      </c>
      <c r="AW892" s="148" t="s">
        <v>2728</v>
      </c>
      <c r="AX892" s="151"/>
      <c r="AY892" s="105"/>
      <c r="AZ892" s="186"/>
      <c r="BA892" s="186"/>
      <c r="BB892" s="222"/>
      <c r="BC892" s="45"/>
      <c r="BD892" s="45"/>
      <c r="BE892" s="155"/>
      <c r="BF892" s="45"/>
    </row>
    <row r="893" ht="16.5" customHeight="1">
      <c r="A893" s="111">
        <v>890.0</v>
      </c>
      <c r="B893" s="112" t="s">
        <v>1755</v>
      </c>
      <c r="C893" s="115" t="s">
        <v>60</v>
      </c>
      <c r="D893" s="117">
        <v>42994.0</v>
      </c>
      <c r="E893" s="117">
        <v>43014.0</v>
      </c>
      <c r="F893" s="79" t="s">
        <v>939</v>
      </c>
      <c r="G893" s="118">
        <v>1327.0</v>
      </c>
      <c r="H893" s="114">
        <v>63.2</v>
      </c>
      <c r="I893" s="120">
        <v>459.0</v>
      </c>
      <c r="J893" s="111" t="s">
        <v>61</v>
      </c>
      <c r="K893" s="121">
        <v>464.81</v>
      </c>
      <c r="L893" s="120" t="s">
        <v>63</v>
      </c>
      <c r="M893" s="120"/>
      <c r="N893" s="120"/>
      <c r="O893" s="124">
        <v>1327.0</v>
      </c>
      <c r="P893" s="124">
        <v>21.0</v>
      </c>
      <c r="Q893" s="111">
        <v>268.0</v>
      </c>
      <c r="R893" s="125">
        <v>453.0</v>
      </c>
      <c r="S893" s="126">
        <v>1.0261</v>
      </c>
      <c r="T893" s="127">
        <v>100968.24</v>
      </c>
      <c r="U893" s="128">
        <f t="shared" si="2"/>
        <v>0</v>
      </c>
      <c r="V893" s="79" t="s">
        <v>64</v>
      </c>
      <c r="W893" s="79" t="s">
        <v>64</v>
      </c>
      <c r="X893" s="79" t="s">
        <v>69</v>
      </c>
      <c r="Y893" s="130">
        <v>0.8</v>
      </c>
      <c r="Z893" s="111">
        <v>18.0</v>
      </c>
      <c r="AA893" s="111">
        <v>453.0</v>
      </c>
      <c r="AB893" s="111" t="s">
        <v>61</v>
      </c>
      <c r="AC893" s="133"/>
      <c r="AD893" s="133"/>
      <c r="AE893" s="133"/>
      <c r="AF893" s="111"/>
      <c r="AG893" s="147"/>
      <c r="AH893" s="73"/>
      <c r="AI893" s="135"/>
      <c r="AJ893" s="136"/>
      <c r="AK893" s="76"/>
      <c r="AL893" s="137"/>
      <c r="AM893" s="139">
        <v>459.0</v>
      </c>
      <c r="AN893" s="139">
        <v>21.0</v>
      </c>
      <c r="AO893" s="140">
        <v>3.57</v>
      </c>
      <c r="AP893" s="142">
        <v>1327.0</v>
      </c>
      <c r="AQ893" s="142">
        <v>268.0</v>
      </c>
      <c r="AR893" s="143"/>
      <c r="AS893" s="144">
        <v>0.9973799915439427</v>
      </c>
      <c r="AT893" s="144">
        <v>0.028720008456057267</v>
      </c>
      <c r="AU893" s="146" t="s">
        <v>2729</v>
      </c>
      <c r="AV893" s="146" t="s">
        <v>2729</v>
      </c>
      <c r="AW893" s="148" t="s">
        <v>2729</v>
      </c>
      <c r="AX893" s="151"/>
      <c r="AY893" s="105"/>
      <c r="AZ893" s="186"/>
      <c r="BA893" s="186"/>
      <c r="BB893" s="222"/>
      <c r="BC893" s="45"/>
      <c r="BD893" s="45"/>
      <c r="BE893" s="155"/>
      <c r="BF893" s="45"/>
    </row>
    <row r="894" ht="16.5" customHeight="1">
      <c r="A894" s="111">
        <v>891.0</v>
      </c>
      <c r="B894" s="112" t="s">
        <v>1637</v>
      </c>
      <c r="C894" s="115" t="s">
        <v>60</v>
      </c>
      <c r="D894" s="117">
        <v>42235.0</v>
      </c>
      <c r="E894" s="117">
        <v>43014.0</v>
      </c>
      <c r="F894" s="79" t="s">
        <v>118</v>
      </c>
      <c r="G894" s="118">
        <v>112335.0</v>
      </c>
      <c r="H894" s="114">
        <v>144.0</v>
      </c>
      <c r="I894" s="120">
        <v>347.0</v>
      </c>
      <c r="J894" s="111" t="s">
        <v>61</v>
      </c>
      <c r="K894" s="121">
        <v>351.39</v>
      </c>
      <c r="L894" s="120" t="s">
        <v>63</v>
      </c>
      <c r="M894" s="120"/>
      <c r="N894" s="120"/>
      <c r="O894" s="124">
        <v>112335.0</v>
      </c>
      <c r="P894" s="124">
        <v>780.0</v>
      </c>
      <c r="Q894" s="111">
        <v>204.0</v>
      </c>
      <c r="R894" s="125">
        <v>365.0</v>
      </c>
      <c r="S894" s="126">
        <v>0.9627</v>
      </c>
      <c r="T894" s="127">
        <v>66233.76</v>
      </c>
      <c r="U894" s="128">
        <f t="shared" si="2"/>
        <v>0</v>
      </c>
      <c r="V894" s="79" t="s">
        <v>80</v>
      </c>
      <c r="W894" s="79" t="s">
        <v>69</v>
      </c>
      <c r="X894" s="79" t="s">
        <v>69</v>
      </c>
      <c r="Y894" s="130">
        <v>0.8</v>
      </c>
      <c r="Z894" s="111">
        <v>11.0</v>
      </c>
      <c r="AA894" s="111">
        <v>360.0</v>
      </c>
      <c r="AB894" s="111" t="s">
        <v>61</v>
      </c>
      <c r="AC894" s="133"/>
      <c r="AD894" s="133"/>
      <c r="AE894" s="133"/>
      <c r="AF894" s="111"/>
      <c r="AG894" s="147"/>
      <c r="AH894" s="73"/>
      <c r="AI894" s="135"/>
      <c r="AJ894" s="136"/>
      <c r="AK894" s="76"/>
      <c r="AL894" s="137"/>
      <c r="AM894" s="139">
        <v>365.0</v>
      </c>
      <c r="AN894" s="139">
        <v>780.0</v>
      </c>
      <c r="AO894" s="140">
        <v>339.45</v>
      </c>
      <c r="AP894" s="142">
        <v>112335.0</v>
      </c>
      <c r="AQ894" s="142">
        <v>204.0</v>
      </c>
      <c r="AR894" s="143"/>
      <c r="AS894" s="144">
        <v>0.942877016080114</v>
      </c>
      <c r="AT894" s="144">
        <v>0.019822983919886017</v>
      </c>
      <c r="AU894" s="146" t="s">
        <v>2730</v>
      </c>
      <c r="AV894" s="146" t="s">
        <v>2730</v>
      </c>
      <c r="AW894" s="148" t="s">
        <v>2730</v>
      </c>
      <c r="AX894" s="151"/>
      <c r="AY894" s="105"/>
      <c r="AZ894" s="186"/>
      <c r="BA894" s="186"/>
      <c r="BB894" s="222"/>
      <c r="BC894" s="45"/>
      <c r="BD894" s="45"/>
      <c r="BE894" s="155"/>
      <c r="BF894" s="45"/>
    </row>
    <row r="895" ht="16.5" customHeight="1">
      <c r="A895" s="111">
        <v>892.0</v>
      </c>
      <c r="B895" s="112" t="s">
        <v>1885</v>
      </c>
      <c r="C895" s="115" t="s">
        <v>60</v>
      </c>
      <c r="D895" s="117">
        <v>42948.0</v>
      </c>
      <c r="E895" s="117">
        <v>43015.0</v>
      </c>
      <c r="F895" s="79" t="s">
        <v>305</v>
      </c>
      <c r="G895" s="118">
        <v>605.0</v>
      </c>
      <c r="H895" s="114">
        <v>8.9</v>
      </c>
      <c r="I895" s="120">
        <v>448.0</v>
      </c>
      <c r="J895" s="111" t="s">
        <v>61</v>
      </c>
      <c r="K895" s="121">
        <v>453.67</v>
      </c>
      <c r="L895" s="120" t="s">
        <v>63</v>
      </c>
      <c r="M895" s="120"/>
      <c r="N895" s="120"/>
      <c r="O895" s="124">
        <v>605.0</v>
      </c>
      <c r="P895" s="124">
        <v>68.0</v>
      </c>
      <c r="Q895" s="111">
        <v>197.0</v>
      </c>
      <c r="R895" s="125">
        <v>452.0</v>
      </c>
      <c r="S895" s="126">
        <v>1.0037</v>
      </c>
      <c r="T895" s="127">
        <v>82102.66</v>
      </c>
      <c r="U895" s="128">
        <f t="shared" si="2"/>
        <v>0</v>
      </c>
      <c r="V895" s="79" t="s">
        <v>80</v>
      </c>
      <c r="W895" s="79" t="s">
        <v>69</v>
      </c>
      <c r="X895" s="79" t="s">
        <v>66</v>
      </c>
      <c r="Y895" s="130">
        <v>0.9</v>
      </c>
      <c r="Z895" s="111"/>
      <c r="AA895" s="111">
        <v>448.0</v>
      </c>
      <c r="AB895" s="111" t="s">
        <v>61</v>
      </c>
      <c r="AC895" s="133"/>
      <c r="AD895" s="133"/>
      <c r="AE895" s="133"/>
      <c r="AF895" s="111"/>
      <c r="AG895" s="147"/>
      <c r="AH895" s="73"/>
      <c r="AI895" s="135"/>
      <c r="AJ895" s="136"/>
      <c r="AK895" s="76"/>
      <c r="AL895" s="137"/>
      <c r="AM895" s="139">
        <v>454.0</v>
      </c>
      <c r="AN895" s="139">
        <v>68.0</v>
      </c>
      <c r="AO895" s="140">
        <v>1.46</v>
      </c>
      <c r="AP895" s="142">
        <v>605.0</v>
      </c>
      <c r="AQ895" s="142">
        <v>197.0</v>
      </c>
      <c r="AR895" s="143"/>
      <c r="AS895" s="144">
        <v>0.9987867516003376</v>
      </c>
      <c r="AT895" s="144">
        <v>0.004913248399662451</v>
      </c>
      <c r="AU895" s="146" t="s">
        <v>2731</v>
      </c>
      <c r="AV895" s="146" t="s">
        <v>2731</v>
      </c>
      <c r="AW895" s="148" t="s">
        <v>2731</v>
      </c>
      <c r="AX895" s="151"/>
      <c r="AY895" s="105"/>
      <c r="AZ895" s="186"/>
      <c r="BA895" s="186"/>
      <c r="BB895" s="222"/>
      <c r="BC895" s="45"/>
      <c r="BD895" s="45"/>
      <c r="BE895" s="155"/>
      <c r="BF895" s="45"/>
    </row>
    <row r="896" ht="16.5" customHeight="1">
      <c r="A896" s="111">
        <v>893.0</v>
      </c>
      <c r="B896" s="112" t="s">
        <v>1759</v>
      </c>
      <c r="C896" s="115" t="s">
        <v>60</v>
      </c>
      <c r="D896" s="117">
        <v>42522.0</v>
      </c>
      <c r="E896" s="117">
        <v>43015.0</v>
      </c>
      <c r="F896" s="79" t="s">
        <v>305</v>
      </c>
      <c r="G896" s="118">
        <v>33886.0</v>
      </c>
      <c r="H896" s="114">
        <v>68.6</v>
      </c>
      <c r="I896" s="120">
        <v>445.0</v>
      </c>
      <c r="J896" s="111" t="s">
        <v>62</v>
      </c>
      <c r="K896" s="121">
        <v>445.0</v>
      </c>
      <c r="L896" s="120" t="s">
        <v>63</v>
      </c>
      <c r="M896" s="120"/>
      <c r="N896" s="120"/>
      <c r="O896" s="124">
        <v>33886.0</v>
      </c>
      <c r="P896" s="124">
        <v>494.0</v>
      </c>
      <c r="Q896" s="111">
        <v>214.0</v>
      </c>
      <c r="R896" s="125">
        <v>452.0</v>
      </c>
      <c r="S896" s="126">
        <v>0.9845</v>
      </c>
      <c r="T896" s="127">
        <v>80532.1</v>
      </c>
      <c r="U896" s="128">
        <f t="shared" si="2"/>
        <v>0</v>
      </c>
      <c r="V896" s="79" t="s">
        <v>65</v>
      </c>
      <c r="W896" s="79" t="s">
        <v>66</v>
      </c>
      <c r="X896" s="79" t="s">
        <v>66</v>
      </c>
      <c r="Y896" s="130">
        <v>0.8</v>
      </c>
      <c r="Z896" s="111">
        <v>15.0</v>
      </c>
      <c r="AA896" s="133"/>
      <c r="AB896" s="133"/>
      <c r="AC896" s="133"/>
      <c r="AD896" s="133"/>
      <c r="AE896" s="133"/>
      <c r="AF896" s="111"/>
      <c r="AG896" s="147"/>
      <c r="AH896" s="73"/>
      <c r="AI896" s="135"/>
      <c r="AJ896" s="136"/>
      <c r="AK896" s="76"/>
      <c r="AL896" s="137"/>
      <c r="AM896" s="139" t="s">
        <v>71</v>
      </c>
      <c r="AN896" s="139">
        <v>494.0</v>
      </c>
      <c r="AO896" s="140">
        <v>89.36</v>
      </c>
      <c r="AP896" s="142">
        <v>33886.0</v>
      </c>
      <c r="AQ896" s="142">
        <v>214.0</v>
      </c>
      <c r="AR896" s="143"/>
      <c r="AS896" s="144">
        <v>0.9629818265427569</v>
      </c>
      <c r="AT896" s="144">
        <v>0.02151817345724316</v>
      </c>
      <c r="AU896" s="146" t="s">
        <v>2732</v>
      </c>
      <c r="AV896" s="146" t="s">
        <v>2732</v>
      </c>
      <c r="AW896" s="148" t="s">
        <v>2732</v>
      </c>
      <c r="AX896" s="151"/>
      <c r="AY896" s="105"/>
      <c r="AZ896" s="186"/>
      <c r="BA896" s="186"/>
      <c r="BB896" s="222"/>
      <c r="BC896" s="45"/>
      <c r="BD896" s="45"/>
      <c r="BE896" s="155"/>
      <c r="BF896" s="45"/>
    </row>
    <row r="897" ht="16.5" customHeight="1">
      <c r="A897" s="111">
        <v>894.0</v>
      </c>
      <c r="B897" s="112" t="s">
        <v>1795</v>
      </c>
      <c r="C897" s="115" t="s">
        <v>60</v>
      </c>
      <c r="D897" s="237">
        <v>42200.0</v>
      </c>
      <c r="E897" s="237">
        <v>42987.0</v>
      </c>
      <c r="F897" s="79" t="s">
        <v>59</v>
      </c>
      <c r="G897" s="982">
        <v>128867.2</v>
      </c>
      <c r="H897" s="114">
        <v>163.5</v>
      </c>
      <c r="I897" s="120">
        <v>379.0</v>
      </c>
      <c r="J897" s="111" t="s">
        <v>62</v>
      </c>
      <c r="K897" s="121">
        <v>379.0</v>
      </c>
      <c r="L897" s="120" t="s">
        <v>63</v>
      </c>
      <c r="M897" s="120"/>
      <c r="N897" s="120"/>
      <c r="O897" s="124">
        <v>128867.2</v>
      </c>
      <c r="P897" s="124">
        <v>788.0</v>
      </c>
      <c r="Q897" s="111">
        <v>214.0</v>
      </c>
      <c r="R897" s="125">
        <v>399.0</v>
      </c>
      <c r="S897" s="126">
        <v>0.9499</v>
      </c>
      <c r="T897" s="127">
        <v>73617.25</v>
      </c>
      <c r="U897" s="128">
        <f t="shared" si="2"/>
        <v>0</v>
      </c>
      <c r="V897" s="79" t="s">
        <v>67</v>
      </c>
      <c r="W897" s="79" t="s">
        <v>64</v>
      </c>
      <c r="X897" s="79" t="s">
        <v>69</v>
      </c>
      <c r="Y897" s="130">
        <v>0.9</v>
      </c>
      <c r="Z897" s="111">
        <v>45.0</v>
      </c>
      <c r="AA897" s="133"/>
      <c r="AB897" s="133"/>
      <c r="AC897" s="133"/>
      <c r="AD897" s="133"/>
      <c r="AE897" s="133"/>
      <c r="AF897" s="111"/>
      <c r="AG897" s="147"/>
      <c r="AH897" s="73"/>
      <c r="AI897" s="135"/>
      <c r="AJ897" s="136"/>
      <c r="AK897" s="76"/>
      <c r="AL897" s="137"/>
      <c r="AM897" s="139" t="s">
        <v>71</v>
      </c>
      <c r="AN897" s="139">
        <v>788.0</v>
      </c>
      <c r="AO897" s="140">
        <v>365.02</v>
      </c>
      <c r="AP897" s="142">
        <v>128867.2</v>
      </c>
      <c r="AQ897" s="142">
        <v>214.0</v>
      </c>
      <c r="AR897" s="143"/>
      <c r="AS897" s="144">
        <v>0.9401851637254443</v>
      </c>
      <c r="AT897" s="144">
        <v>0.009714836274555716</v>
      </c>
      <c r="AU897" s="146" t="s">
        <v>2733</v>
      </c>
      <c r="AV897" s="146" t="s">
        <v>2733</v>
      </c>
      <c r="AW897" s="148" t="s">
        <v>2733</v>
      </c>
      <c r="AX897" s="151"/>
      <c r="AY897" s="105"/>
      <c r="AZ897" s="186"/>
      <c r="BA897" s="186"/>
      <c r="BB897" s="222"/>
      <c r="BC897" s="45"/>
      <c r="BD897" s="45"/>
      <c r="BE897" s="155"/>
      <c r="BF897" s="45"/>
    </row>
    <row r="898" ht="16.5" customHeight="1">
      <c r="A898" s="111">
        <v>895.0</v>
      </c>
      <c r="B898" s="112" t="s">
        <v>1845</v>
      </c>
      <c r="C898" s="115" t="s">
        <v>60</v>
      </c>
      <c r="D898" s="117">
        <v>42887.0</v>
      </c>
      <c r="E898" s="117">
        <v>43018.0</v>
      </c>
      <c r="F898" s="79" t="s">
        <v>921</v>
      </c>
      <c r="G898" s="118">
        <v>4781.0</v>
      </c>
      <c r="H898" s="114">
        <v>36.2</v>
      </c>
      <c r="I898" s="120">
        <v>482.0</v>
      </c>
      <c r="J898" s="111" t="s">
        <v>61</v>
      </c>
      <c r="K898" s="121">
        <v>488.1</v>
      </c>
      <c r="L898" s="120" t="s">
        <v>63</v>
      </c>
      <c r="M898" s="120"/>
      <c r="N898" s="120"/>
      <c r="O898" s="124">
        <v>4781.0</v>
      </c>
      <c r="P898" s="124">
        <v>132.0</v>
      </c>
      <c r="Q898" s="111">
        <v>267.0</v>
      </c>
      <c r="R898" s="125">
        <v>488.0</v>
      </c>
      <c r="S898" s="126">
        <v>1.0002</v>
      </c>
      <c r="T898" s="127">
        <v>98419.68</v>
      </c>
      <c r="U898" s="128">
        <f t="shared" si="2"/>
        <v>0</v>
      </c>
      <c r="V898" s="79" t="s">
        <v>65</v>
      </c>
      <c r="W898" s="79" t="s">
        <v>64</v>
      </c>
      <c r="X898" s="79" t="s">
        <v>64</v>
      </c>
      <c r="Y898" s="130">
        <v>0.9</v>
      </c>
      <c r="Z898" s="111">
        <v>7.2</v>
      </c>
      <c r="AA898" s="133"/>
      <c r="AB898" s="133"/>
      <c r="AC898" s="133"/>
      <c r="AD898" s="133"/>
      <c r="AE898" s="133"/>
      <c r="AF898" s="111"/>
      <c r="AG898" s="147"/>
      <c r="AH898" s="73"/>
      <c r="AI898" s="135"/>
      <c r="AJ898" s="136"/>
      <c r="AK898" s="76"/>
      <c r="AL898" s="137"/>
      <c r="AM898" s="139" t="s">
        <v>71</v>
      </c>
      <c r="AN898" s="139">
        <v>132.0</v>
      </c>
      <c r="AO898" s="140">
        <v>12.98</v>
      </c>
      <c r="AP898" s="142">
        <v>4781.0</v>
      </c>
      <c r="AQ898" s="142">
        <v>267.0</v>
      </c>
      <c r="AR898" s="143"/>
      <c r="AS898" s="144">
        <v>0.9912247995043876</v>
      </c>
      <c r="AT898" s="144">
        <v>0.008975200495612401</v>
      </c>
      <c r="AU898" s="146" t="s">
        <v>2734</v>
      </c>
      <c r="AV898" s="146" t="s">
        <v>2734</v>
      </c>
      <c r="AW898" s="148" t="s">
        <v>2734</v>
      </c>
      <c r="AX898" s="151"/>
      <c r="AY898" s="105"/>
      <c r="AZ898" s="186"/>
      <c r="BA898" s="186"/>
      <c r="BB898" s="222"/>
      <c r="BC898" s="45"/>
      <c r="BD898" s="45"/>
      <c r="BE898" s="155"/>
      <c r="BF898" s="45"/>
    </row>
    <row r="899" ht="16.5" customHeight="1">
      <c r="A899" s="111">
        <v>896.0</v>
      </c>
      <c r="B899" s="112" t="s">
        <v>1800</v>
      </c>
      <c r="C899" s="115" t="s">
        <v>60</v>
      </c>
      <c r="D899" s="117">
        <v>42361.0</v>
      </c>
      <c r="E899" s="117">
        <v>42972.0</v>
      </c>
      <c r="F899" s="79" t="s">
        <v>86</v>
      </c>
      <c r="G899" s="118">
        <v>44000.0</v>
      </c>
      <c r="H899" s="114">
        <v>71.9</v>
      </c>
      <c r="I899" s="120">
        <v>424.0</v>
      </c>
      <c r="J899" s="111" t="s">
        <v>62</v>
      </c>
      <c r="K899" s="121">
        <v>424.0</v>
      </c>
      <c r="L899" s="120" t="s">
        <v>63</v>
      </c>
      <c r="M899" s="120"/>
      <c r="N899" s="120"/>
      <c r="O899" s="124">
        <v>44000.0</v>
      </c>
      <c r="P899" s="124">
        <v>612.0</v>
      </c>
      <c r="Q899" s="111">
        <v>205.0</v>
      </c>
      <c r="R899" s="125">
        <v>430.0</v>
      </c>
      <c r="S899" s="126">
        <v>0.986</v>
      </c>
      <c r="T899" s="127">
        <v>76415.0</v>
      </c>
      <c r="U899" s="128">
        <f t="shared" si="2"/>
        <v>0</v>
      </c>
      <c r="V899" s="79" t="s">
        <v>69</v>
      </c>
      <c r="W899" s="79" t="s">
        <v>66</v>
      </c>
      <c r="X899" s="79" t="s">
        <v>68</v>
      </c>
      <c r="Y899" s="130">
        <v>0.7</v>
      </c>
      <c r="Z899" s="111">
        <v>8.0</v>
      </c>
      <c r="AA899" s="133"/>
      <c r="AB899" s="133"/>
      <c r="AC899" s="133"/>
      <c r="AD899" s="133"/>
      <c r="AE899" s="133"/>
      <c r="AF899" s="111"/>
      <c r="AG899" s="147"/>
      <c r="AH899" s="73"/>
      <c r="AI899" s="135"/>
      <c r="AJ899" s="136"/>
      <c r="AK899" s="76"/>
      <c r="AL899" s="137"/>
      <c r="AM899" s="139" t="s">
        <v>71</v>
      </c>
      <c r="AN899" s="139">
        <v>612.0</v>
      </c>
      <c r="AO899" s="140">
        <v>117.23</v>
      </c>
      <c r="AP899" s="142">
        <v>44000.0</v>
      </c>
      <c r="AQ899" s="142">
        <v>205.0</v>
      </c>
      <c r="AR899" s="143"/>
      <c r="AS899" s="144">
        <v>0.9583501771954982</v>
      </c>
      <c r="AT899" s="144">
        <v>0.02764982280450179</v>
      </c>
      <c r="AU899" s="146" t="s">
        <v>2735</v>
      </c>
      <c r="AV899" s="146" t="s">
        <v>2735</v>
      </c>
      <c r="AW899" s="148" t="s">
        <v>2735</v>
      </c>
      <c r="AX899" s="151"/>
      <c r="AY899" s="105"/>
      <c r="AZ899" s="186"/>
      <c r="BA899" s="186"/>
      <c r="BB899" s="222"/>
      <c r="BC899" s="45"/>
      <c r="BD899" s="45"/>
      <c r="BE899" s="155"/>
      <c r="BF899" s="45"/>
    </row>
    <row r="900" ht="16.5" customHeight="1">
      <c r="A900" s="111">
        <v>897.0</v>
      </c>
      <c r="B900" s="112" t="s">
        <v>1884</v>
      </c>
      <c r="C900" s="115" t="s">
        <v>60</v>
      </c>
      <c r="D900" s="117">
        <v>42899.0</v>
      </c>
      <c r="E900" s="117">
        <v>43022.0</v>
      </c>
      <c r="F900" s="79" t="s">
        <v>629</v>
      </c>
      <c r="G900" s="118">
        <v>12063.0</v>
      </c>
      <c r="H900" s="114">
        <v>97.3</v>
      </c>
      <c r="I900" s="120">
        <v>373.0</v>
      </c>
      <c r="J900" s="111" t="s">
        <v>61</v>
      </c>
      <c r="K900" s="121">
        <v>377.72</v>
      </c>
      <c r="L900" s="120" t="s">
        <v>63</v>
      </c>
      <c r="M900" s="120"/>
      <c r="N900" s="120"/>
      <c r="O900" s="124">
        <v>12063.0</v>
      </c>
      <c r="P900" s="124">
        <v>124.0</v>
      </c>
      <c r="Q900" s="111">
        <v>189.0</v>
      </c>
      <c r="R900" s="125">
        <v>386.0</v>
      </c>
      <c r="S900" s="126">
        <v>0.9785</v>
      </c>
      <c r="T900" s="127">
        <v>71039.1</v>
      </c>
      <c r="U900" s="128">
        <f t="shared" si="2"/>
        <v>0</v>
      </c>
      <c r="V900" s="79" t="s">
        <v>64</v>
      </c>
      <c r="W900" s="79" t="s">
        <v>64</v>
      </c>
      <c r="X900" s="79" t="s">
        <v>68</v>
      </c>
      <c r="Y900" s="130">
        <v>0.8</v>
      </c>
      <c r="Z900" s="111">
        <v>11.0</v>
      </c>
      <c r="AA900" s="111">
        <v>373.0</v>
      </c>
      <c r="AB900" s="111" t="s">
        <v>61</v>
      </c>
      <c r="AC900" s="133"/>
      <c r="AD900" s="133"/>
      <c r="AE900" s="133"/>
      <c r="AF900" s="111"/>
      <c r="AG900" s="147"/>
      <c r="AH900" s="73"/>
      <c r="AI900" s="135"/>
      <c r="AJ900" s="136"/>
      <c r="AK900" s="76"/>
      <c r="AL900" s="137"/>
      <c r="AM900" s="139">
        <v>378.0</v>
      </c>
      <c r="AN900" s="139">
        <v>124.0</v>
      </c>
      <c r="AO900" s="140">
        <v>31.75</v>
      </c>
      <c r="AP900" s="142">
        <v>12063.0</v>
      </c>
      <c r="AQ900" s="142">
        <v>189.0</v>
      </c>
      <c r="AR900" s="143"/>
      <c r="AS900" s="144">
        <v>0.9808610989321072</v>
      </c>
      <c r="AT900" s="144">
        <v>-0.0023610989321071196</v>
      </c>
      <c r="AU900" s="146" t="s">
        <v>2736</v>
      </c>
      <c r="AV900" s="146" t="s">
        <v>2736</v>
      </c>
      <c r="AW900" s="148" t="s">
        <v>2736</v>
      </c>
      <c r="AX900" s="151"/>
      <c r="AY900" s="105"/>
      <c r="AZ900" s="186"/>
      <c r="BA900" s="186"/>
      <c r="BB900" s="222"/>
      <c r="BC900" s="45"/>
      <c r="BD900" s="45"/>
      <c r="BE900" s="155"/>
      <c r="BF900" s="45"/>
    </row>
    <row r="901" ht="16.5" customHeight="1">
      <c r="A901" s="111">
        <v>898.0</v>
      </c>
      <c r="B901" s="112" t="s">
        <v>1885</v>
      </c>
      <c r="C901" s="115" t="s">
        <v>60</v>
      </c>
      <c r="D901" s="117">
        <v>42948.0</v>
      </c>
      <c r="E901" s="117">
        <v>43022.0</v>
      </c>
      <c r="F901" s="79" t="s">
        <v>305</v>
      </c>
      <c r="G901" s="118">
        <v>1167.0</v>
      </c>
      <c r="H901" s="114">
        <v>15.6</v>
      </c>
      <c r="I901" s="120">
        <v>446.0</v>
      </c>
      <c r="J901" s="111" t="s">
        <v>61</v>
      </c>
      <c r="K901" s="121">
        <v>451.65</v>
      </c>
      <c r="L901" s="120" t="s">
        <v>63</v>
      </c>
      <c r="M901" s="120"/>
      <c r="N901" s="120"/>
      <c r="O901" s="124">
        <v>1167.0</v>
      </c>
      <c r="P901" s="124">
        <v>75.0</v>
      </c>
      <c r="Q901" s="111">
        <v>191.0</v>
      </c>
      <c r="R901" s="125">
        <v>452.0</v>
      </c>
      <c r="S901" s="126">
        <v>0.9992</v>
      </c>
      <c r="T901" s="127">
        <v>81734.56</v>
      </c>
      <c r="U901" s="128">
        <f t="shared" si="2"/>
        <v>0</v>
      </c>
      <c r="V901" s="79" t="s">
        <v>80</v>
      </c>
      <c r="W901" s="79" t="s">
        <v>65</v>
      </c>
      <c r="X901" s="79" t="s">
        <v>66</v>
      </c>
      <c r="Y901" s="130">
        <v>0.9</v>
      </c>
      <c r="Z901" s="111"/>
      <c r="AA901" s="111">
        <v>448.0</v>
      </c>
      <c r="AB901" s="111" t="s">
        <v>61</v>
      </c>
      <c r="AC901" s="133"/>
      <c r="AD901" s="133"/>
      <c r="AE901" s="133"/>
      <c r="AF901" s="111"/>
      <c r="AG901" s="147"/>
      <c r="AH901" s="73"/>
      <c r="AI901" s="135"/>
      <c r="AJ901" s="136"/>
      <c r="AK901" s="76"/>
      <c r="AL901" s="137"/>
      <c r="AM901" s="139">
        <v>454.0</v>
      </c>
      <c r="AN901" s="139">
        <v>75.0</v>
      </c>
      <c r="AO901" s="140">
        <v>2.73</v>
      </c>
      <c r="AP901" s="142">
        <v>1167.0</v>
      </c>
      <c r="AQ901" s="142">
        <v>191.0</v>
      </c>
      <c r="AR901" s="143"/>
      <c r="AS901" s="144">
        <v>0.9976879503840215</v>
      </c>
      <c r="AT901" s="144">
        <v>0.0015120496159785057</v>
      </c>
      <c r="AU901" s="146" t="s">
        <v>2737</v>
      </c>
      <c r="AV901" s="146" t="s">
        <v>2737</v>
      </c>
      <c r="AW901" s="148" t="s">
        <v>2737</v>
      </c>
      <c r="AX901" s="151"/>
      <c r="AY901" s="105"/>
      <c r="AZ901" s="186"/>
      <c r="BA901" s="186"/>
      <c r="BB901" s="222"/>
      <c r="BC901" s="45"/>
      <c r="BD901" s="45"/>
      <c r="BE901" s="155"/>
      <c r="BF901" s="45"/>
    </row>
    <row r="902" ht="16.5" customHeight="1">
      <c r="A902" s="111">
        <v>899.0</v>
      </c>
      <c r="B902" s="112" t="s">
        <v>1128</v>
      </c>
      <c r="C902" s="115" t="s">
        <v>60</v>
      </c>
      <c r="D902" s="237">
        <v>42137.0</v>
      </c>
      <c r="E902" s="117">
        <v>43023.0</v>
      </c>
      <c r="F902" s="79" t="s">
        <v>59</v>
      </c>
      <c r="G902" s="118">
        <v>117055.0</v>
      </c>
      <c r="H902" s="114">
        <v>132.0</v>
      </c>
      <c r="I902" s="120">
        <v>375.0</v>
      </c>
      <c r="J902" s="111" t="s">
        <v>61</v>
      </c>
      <c r="K902" s="121">
        <v>379.75</v>
      </c>
      <c r="L902" s="120" t="s">
        <v>63</v>
      </c>
      <c r="M902" s="120"/>
      <c r="N902" s="120"/>
      <c r="O902" s="124">
        <v>117055.0</v>
      </c>
      <c r="P902" s="124">
        <v>887.0</v>
      </c>
      <c r="Q902" s="111">
        <v>185.0</v>
      </c>
      <c r="R902" s="125">
        <v>399.0</v>
      </c>
      <c r="S902" s="126">
        <v>0.9518</v>
      </c>
      <c r="T902" s="127">
        <v>73764.5</v>
      </c>
      <c r="U902" s="128">
        <f t="shared" si="2"/>
        <v>0</v>
      </c>
      <c r="V902" s="79" t="s">
        <v>67</v>
      </c>
      <c r="W902" s="79" t="s">
        <v>64</v>
      </c>
      <c r="X902" s="79" t="s">
        <v>69</v>
      </c>
      <c r="Y902" s="130">
        <v>0.8</v>
      </c>
      <c r="Z902" s="111">
        <v>11.0</v>
      </c>
      <c r="AA902" s="133"/>
      <c r="AB902" s="133"/>
      <c r="AC902" s="111">
        <v>375.0</v>
      </c>
      <c r="AD902" s="111">
        <v>3.0</v>
      </c>
      <c r="AE902" s="111">
        <v>70.1</v>
      </c>
      <c r="AF902" s="111" t="s">
        <v>61</v>
      </c>
      <c r="AG902" s="147"/>
      <c r="AH902" s="73">
        <v>372.0</v>
      </c>
      <c r="AI902" s="135">
        <v>376.7088607594937</v>
      </c>
      <c r="AJ902" s="136">
        <v>70.66591145833333</v>
      </c>
      <c r="AK902" s="76">
        <v>0.9118182123655914</v>
      </c>
      <c r="AL902" s="137" t="s">
        <v>2738</v>
      </c>
      <c r="AM902" s="139" t="s">
        <v>71</v>
      </c>
      <c r="AN902" s="139">
        <v>887.0</v>
      </c>
      <c r="AO902" s="140">
        <v>286.36</v>
      </c>
      <c r="AP902" s="142">
        <v>117055.0</v>
      </c>
      <c r="AQ902" s="142">
        <v>185.0</v>
      </c>
      <c r="AR902" s="143"/>
      <c r="AS902" s="144">
        <v>0.9420995420746084</v>
      </c>
      <c r="AT902" s="144">
        <v>0.009700457925391537</v>
      </c>
      <c r="AU902" s="146" t="s">
        <v>2739</v>
      </c>
      <c r="AV902" s="146" t="s">
        <v>2739</v>
      </c>
      <c r="AW902" s="148" t="s">
        <v>2739</v>
      </c>
      <c r="AX902" s="151"/>
      <c r="AY902" s="105"/>
      <c r="AZ902" s="186"/>
      <c r="BA902" s="186"/>
      <c r="BB902" s="222"/>
      <c r="BC902" s="45"/>
      <c r="BD902" s="45"/>
      <c r="BE902" s="155"/>
      <c r="BF902" s="45"/>
    </row>
    <row r="903" ht="16.5" customHeight="1">
      <c r="A903" s="111">
        <v>900.0</v>
      </c>
      <c r="B903" s="112" t="s">
        <v>1880</v>
      </c>
      <c r="C903" s="115" t="s">
        <v>60</v>
      </c>
      <c r="D903" s="117">
        <v>42481.0</v>
      </c>
      <c r="E903" s="117">
        <v>43021.0</v>
      </c>
      <c r="F903" s="79" t="s">
        <v>316</v>
      </c>
      <c r="G903" s="118">
        <v>99390.0</v>
      </c>
      <c r="H903" s="114">
        <v>183.7</v>
      </c>
      <c r="I903" s="120">
        <v>425.0</v>
      </c>
      <c r="J903" s="111" t="s">
        <v>61</v>
      </c>
      <c r="K903" s="121">
        <v>430.38</v>
      </c>
      <c r="L903" s="120" t="s">
        <v>63</v>
      </c>
      <c r="M903" s="120"/>
      <c r="N903" s="120"/>
      <c r="O903" s="124">
        <v>99390.0</v>
      </c>
      <c r="P903" s="124">
        <v>541.0</v>
      </c>
      <c r="Q903" s="111">
        <v>220.0</v>
      </c>
      <c r="R903" s="125">
        <v>432.0</v>
      </c>
      <c r="S903" s="126">
        <v>0.9963</v>
      </c>
      <c r="T903" s="127">
        <v>81497.34</v>
      </c>
      <c r="U903" s="128">
        <f t="shared" si="2"/>
        <v>0</v>
      </c>
      <c r="V903" s="79" t="s">
        <v>65</v>
      </c>
      <c r="W903" s="79" t="s">
        <v>69</v>
      </c>
      <c r="X903" s="79" t="s">
        <v>69</v>
      </c>
      <c r="Y903" s="130">
        <v>0.8</v>
      </c>
      <c r="Z903" s="111">
        <v>45.0</v>
      </c>
      <c r="AA903" s="111">
        <v>459.0</v>
      </c>
      <c r="AB903" s="111" t="s">
        <v>61</v>
      </c>
      <c r="AC903" s="133"/>
      <c r="AD903" s="133"/>
      <c r="AE903" s="133"/>
      <c r="AF903" s="111"/>
      <c r="AG903" s="134" t="s">
        <v>2697</v>
      </c>
      <c r="AH903" s="73"/>
      <c r="AI903" s="135"/>
      <c r="AJ903" s="136"/>
      <c r="AK903" s="76"/>
      <c r="AL903" s="137"/>
      <c r="AM903" s="139">
        <v>465.0</v>
      </c>
      <c r="AN903" s="139">
        <v>541.0</v>
      </c>
      <c r="AO903" s="140">
        <v>267.82</v>
      </c>
      <c r="AP903" s="142">
        <v>99390.0</v>
      </c>
      <c r="AQ903" s="142">
        <v>220.0</v>
      </c>
      <c r="AR903" s="143"/>
      <c r="AS903" s="144">
        <v>0.9450677538868522</v>
      </c>
      <c r="AT903" s="144">
        <v>0.051232246113147806</v>
      </c>
      <c r="AU903" s="146" t="s">
        <v>2740</v>
      </c>
      <c r="AV903" s="146" t="s">
        <v>2740</v>
      </c>
      <c r="AW903" s="148" t="s">
        <v>2740</v>
      </c>
      <c r="AX903" s="151"/>
      <c r="AY903" s="105"/>
      <c r="AZ903" s="186"/>
      <c r="BA903" s="186"/>
      <c r="BB903" s="222"/>
      <c r="BC903" s="45"/>
      <c r="BD903" s="45"/>
      <c r="BE903" s="155"/>
      <c r="BF903" s="45"/>
    </row>
    <row r="904" ht="16.5" customHeight="1">
      <c r="A904" s="111">
        <v>901.0</v>
      </c>
      <c r="B904" s="112" t="s">
        <v>1808</v>
      </c>
      <c r="C904" s="115" t="s">
        <v>60</v>
      </c>
      <c r="D904" s="117">
        <v>42339.0</v>
      </c>
      <c r="E904" s="117">
        <v>43024.0</v>
      </c>
      <c r="F904" s="79" t="s">
        <v>86</v>
      </c>
      <c r="G904" s="118">
        <v>52000.0</v>
      </c>
      <c r="H904" s="114">
        <v>75.8</v>
      </c>
      <c r="I904" s="120">
        <v>417.0</v>
      </c>
      <c r="J904" s="111" t="s">
        <v>61</v>
      </c>
      <c r="K904" s="121">
        <v>422.28</v>
      </c>
      <c r="L904" s="120" t="s">
        <v>63</v>
      </c>
      <c r="M904" s="120"/>
      <c r="N904" s="120"/>
      <c r="O904" s="124">
        <v>52000.0</v>
      </c>
      <c r="P904" s="124">
        <v>686.0</v>
      </c>
      <c r="Q904" s="111">
        <v>222.0</v>
      </c>
      <c r="R904" s="125">
        <v>430.0</v>
      </c>
      <c r="S904" s="126">
        <v>0.982</v>
      </c>
      <c r="T904" s="127">
        <v>76105.0</v>
      </c>
      <c r="U904" s="128">
        <f t="shared" si="2"/>
        <v>0</v>
      </c>
      <c r="V904" s="79" t="s">
        <v>65</v>
      </c>
      <c r="W904" s="79" t="s">
        <v>64</v>
      </c>
      <c r="X904" s="79" t="s">
        <v>69</v>
      </c>
      <c r="Y904" s="130">
        <v>0.8</v>
      </c>
      <c r="Z904" s="111"/>
      <c r="AA904" s="111">
        <v>428.0</v>
      </c>
      <c r="AB904" s="111" t="s">
        <v>62</v>
      </c>
      <c r="AC904" s="133"/>
      <c r="AD904" s="133"/>
      <c r="AE904" s="133"/>
      <c r="AF904" s="111"/>
      <c r="AG904" s="147"/>
      <c r="AH904" s="73"/>
      <c r="AI904" s="135"/>
      <c r="AJ904" s="136"/>
      <c r="AK904" s="76"/>
      <c r="AL904" s="137"/>
      <c r="AM904" s="139">
        <v>428.0</v>
      </c>
      <c r="AN904" s="139">
        <v>686.0</v>
      </c>
      <c r="AO904" s="140">
        <v>150.34</v>
      </c>
      <c r="AP904" s="142">
        <v>52000.0</v>
      </c>
      <c r="AQ904" s="142">
        <v>222.0</v>
      </c>
      <c r="AR904" s="143"/>
      <c r="AS904" s="144">
        <v>0.9555311394577434</v>
      </c>
      <c r="AT904" s="144">
        <v>0.02646886054225661</v>
      </c>
      <c r="AU904" s="146" t="s">
        <v>2741</v>
      </c>
      <c r="AV904" s="146" t="s">
        <v>2741</v>
      </c>
      <c r="AW904" s="148" t="s">
        <v>2741</v>
      </c>
      <c r="AX904" s="151"/>
      <c r="AY904" s="105"/>
      <c r="AZ904" s="186"/>
      <c r="BA904" s="186"/>
      <c r="BB904" s="222"/>
      <c r="BC904" s="45"/>
      <c r="BD904" s="45"/>
      <c r="BE904" s="155"/>
      <c r="BF904" s="45"/>
    </row>
    <row r="905" ht="16.5" customHeight="1">
      <c r="A905" s="111">
        <v>902.0</v>
      </c>
      <c r="B905" s="112" t="s">
        <v>1764</v>
      </c>
      <c r="C905" s="115" t="s">
        <v>60</v>
      </c>
      <c r="D905" s="117">
        <v>41957.0</v>
      </c>
      <c r="E905" s="117">
        <v>43024.0</v>
      </c>
      <c r="F905" s="79" t="s">
        <v>59</v>
      </c>
      <c r="G905" s="118">
        <v>157556.0</v>
      </c>
      <c r="H905" s="114">
        <v>147.5</v>
      </c>
      <c r="I905" s="120">
        <v>370.0</v>
      </c>
      <c r="J905" s="111" t="s">
        <v>61</v>
      </c>
      <c r="K905" s="121">
        <v>374.68</v>
      </c>
      <c r="L905" s="120" t="s">
        <v>63</v>
      </c>
      <c r="M905" s="120"/>
      <c r="N905" s="120"/>
      <c r="O905" s="124">
        <v>157556.0</v>
      </c>
      <c r="P905" s="124">
        <v>1068.0</v>
      </c>
      <c r="Q905" s="111">
        <v>223.0</v>
      </c>
      <c r="R905" s="125">
        <v>399.0</v>
      </c>
      <c r="S905" s="126">
        <v>0.939</v>
      </c>
      <c r="T905" s="127">
        <v>72772.5</v>
      </c>
      <c r="U905" s="128">
        <f t="shared" si="2"/>
        <v>0</v>
      </c>
      <c r="V905" s="79" t="s">
        <v>65</v>
      </c>
      <c r="W905" s="79" t="s">
        <v>69</v>
      </c>
      <c r="X905" s="79" t="s">
        <v>65</v>
      </c>
      <c r="Y905" s="130">
        <v>0.6</v>
      </c>
      <c r="Z905" s="111">
        <v>4.5</v>
      </c>
      <c r="AA905" s="111">
        <v>396.0</v>
      </c>
      <c r="AB905" s="111" t="s">
        <v>61</v>
      </c>
      <c r="AC905" s="111">
        <v>370.0</v>
      </c>
      <c r="AD905" s="111">
        <v>3.0</v>
      </c>
      <c r="AE905" s="133"/>
      <c r="AF905" s="111"/>
      <c r="AG905" s="147"/>
      <c r="AH905" s="73" t="s">
        <v>74</v>
      </c>
      <c r="AI905" s="135"/>
      <c r="AJ905" s="136"/>
      <c r="AK905" s="76"/>
      <c r="AL905" s="137"/>
      <c r="AM905" s="139">
        <v>401.0</v>
      </c>
      <c r="AN905" s="139">
        <v>1068.0</v>
      </c>
      <c r="AO905" s="140">
        <v>467.66</v>
      </c>
      <c r="AP905" s="142">
        <v>157556.0</v>
      </c>
      <c r="AQ905" s="142">
        <v>223.0</v>
      </c>
      <c r="AR905" s="143"/>
      <c r="AS905" s="144">
        <v>0.9356330786666458</v>
      </c>
      <c r="AT905" s="144">
        <v>0.003366921333354145</v>
      </c>
      <c r="AU905" s="146" t="s">
        <v>2742</v>
      </c>
      <c r="AV905" s="146" t="s">
        <v>2742</v>
      </c>
      <c r="AW905" s="148" t="s">
        <v>2742</v>
      </c>
      <c r="AX905" s="151"/>
      <c r="AY905" s="105"/>
      <c r="AZ905" s="186"/>
      <c r="BA905" s="186"/>
      <c r="BB905" s="222"/>
      <c r="BC905" s="45"/>
      <c r="BD905" s="45"/>
      <c r="BE905" s="155"/>
      <c r="BF905" s="45"/>
    </row>
    <row r="906" ht="16.5" customHeight="1">
      <c r="A906" s="111">
        <v>903.0</v>
      </c>
      <c r="B906" s="112" t="s">
        <v>1784</v>
      </c>
      <c r="C906" s="115" t="s">
        <v>60</v>
      </c>
      <c r="D906" s="117">
        <v>41942.0</v>
      </c>
      <c r="E906" s="117">
        <v>43026.0</v>
      </c>
      <c r="F906" s="79" t="s">
        <v>59</v>
      </c>
      <c r="G906" s="118">
        <v>110360.0</v>
      </c>
      <c r="H906" s="114">
        <v>101.7</v>
      </c>
      <c r="I906" s="120">
        <v>377.0</v>
      </c>
      <c r="J906" s="111" t="s">
        <v>61</v>
      </c>
      <c r="K906" s="121">
        <v>381.77</v>
      </c>
      <c r="L906" s="120" t="s">
        <v>63</v>
      </c>
      <c r="M906" s="120"/>
      <c r="N906" s="120"/>
      <c r="O906" s="124">
        <v>110360.0</v>
      </c>
      <c r="P906" s="124">
        <v>1085.0</v>
      </c>
      <c r="Q906" s="111">
        <v>204.0</v>
      </c>
      <c r="R906" s="125">
        <v>399.0</v>
      </c>
      <c r="S906" s="126">
        <v>0.9568</v>
      </c>
      <c r="T906" s="127">
        <v>74152.0</v>
      </c>
      <c r="U906" s="128">
        <f t="shared" si="2"/>
        <v>0</v>
      </c>
      <c r="V906" s="79"/>
      <c r="W906" s="79"/>
      <c r="X906" s="79"/>
      <c r="Y906" s="130"/>
      <c r="Z906" s="111"/>
      <c r="AA906" s="133"/>
      <c r="AB906" s="133"/>
      <c r="AC906" s="133"/>
      <c r="AD906" s="133"/>
      <c r="AE906" s="133"/>
      <c r="AF906" s="111"/>
      <c r="AG906" s="147"/>
      <c r="AH906" s="73"/>
      <c r="AI906" s="135"/>
      <c r="AJ906" s="136"/>
      <c r="AK906" s="76"/>
      <c r="AL906" s="137"/>
      <c r="AM906" s="139" t="s">
        <v>71</v>
      </c>
      <c r="AN906" s="139">
        <v>1085.0</v>
      </c>
      <c r="AO906" s="140">
        <v>296.96</v>
      </c>
      <c r="AP906" s="142">
        <v>110360.0</v>
      </c>
      <c r="AQ906" s="142">
        <v>204.0</v>
      </c>
      <c r="AR906" s="143"/>
      <c r="AS906" s="144">
        <v>0.943205141904366</v>
      </c>
      <c r="AT906" s="144">
        <v>0.013594858095633988</v>
      </c>
      <c r="AU906" s="146" t="s">
        <v>2743</v>
      </c>
      <c r="AV906" s="146" t="s">
        <v>2743</v>
      </c>
      <c r="AW906" s="148" t="s">
        <v>2743</v>
      </c>
      <c r="AX906" s="151"/>
      <c r="AY906" s="105"/>
      <c r="AZ906" s="186"/>
      <c r="BA906" s="186"/>
      <c r="BB906" s="222"/>
      <c r="BC906" s="45"/>
      <c r="BD906" s="45"/>
      <c r="BE906" s="155"/>
      <c r="BF906" s="45"/>
    </row>
    <row r="907" ht="16.5" customHeight="1">
      <c r="A907" s="111">
        <v>904.0</v>
      </c>
      <c r="B907" s="112" t="s">
        <v>1493</v>
      </c>
      <c r="C907" s="115" t="s">
        <v>60</v>
      </c>
      <c r="D907" s="117">
        <v>41629.0</v>
      </c>
      <c r="E907" s="117">
        <v>43026.0</v>
      </c>
      <c r="F907" s="79" t="s">
        <v>59</v>
      </c>
      <c r="G907" s="118">
        <v>125000.0</v>
      </c>
      <c r="H907" s="114">
        <v>89.4</v>
      </c>
      <c r="I907" s="120">
        <v>370.0</v>
      </c>
      <c r="J907" s="111" t="s">
        <v>61</v>
      </c>
      <c r="K907" s="121">
        <v>374.68</v>
      </c>
      <c r="L907" s="120" t="s">
        <v>63</v>
      </c>
      <c r="M907" s="120"/>
      <c r="N907" s="120"/>
      <c r="O907" s="124">
        <v>125000.0</v>
      </c>
      <c r="P907" s="124">
        <v>1398.0</v>
      </c>
      <c r="Q907" s="111">
        <v>206.0</v>
      </c>
      <c r="R907" s="125">
        <v>399.0</v>
      </c>
      <c r="S907" s="126">
        <v>0.939</v>
      </c>
      <c r="T907" s="127">
        <v>72772.5</v>
      </c>
      <c r="U907" s="128">
        <f t="shared" si="2"/>
        <v>0</v>
      </c>
      <c r="V907" s="79" t="s">
        <v>65</v>
      </c>
      <c r="W907" s="79" t="s">
        <v>69</v>
      </c>
      <c r="X907" s="79" t="s">
        <v>68</v>
      </c>
      <c r="Y907" s="130">
        <v>0.9</v>
      </c>
      <c r="Z907" s="111">
        <v>11.0</v>
      </c>
      <c r="AA907" s="133"/>
      <c r="AB907" s="133"/>
      <c r="AC907" s="133"/>
      <c r="AD907" s="133"/>
      <c r="AE907" s="133"/>
      <c r="AF907" s="111"/>
      <c r="AG907" s="147"/>
      <c r="AH907" s="73"/>
      <c r="AI907" s="135"/>
      <c r="AJ907" s="136"/>
      <c r="AK907" s="76"/>
      <c r="AL907" s="137"/>
      <c r="AM907" s="139" t="s">
        <v>71</v>
      </c>
      <c r="AN907" s="139">
        <v>1398.0</v>
      </c>
      <c r="AO907" s="140">
        <v>342.77</v>
      </c>
      <c r="AP907" s="142">
        <v>125000.0</v>
      </c>
      <c r="AQ907" s="142">
        <v>206.0</v>
      </c>
      <c r="AR907" s="143"/>
      <c r="AS907" s="144">
        <v>0.9408079007125264</v>
      </c>
      <c r="AT907" s="144">
        <v>-0.0018079007125264557</v>
      </c>
      <c r="AU907" s="146" t="s">
        <v>2744</v>
      </c>
      <c r="AV907" s="146" t="s">
        <v>2744</v>
      </c>
      <c r="AW907" s="148" t="s">
        <v>2744</v>
      </c>
      <c r="AX907" s="151"/>
      <c r="AY907" s="105"/>
      <c r="AZ907" s="186"/>
      <c r="BA907" s="186"/>
      <c r="BB907" s="222"/>
      <c r="BC907" s="45"/>
      <c r="BD907" s="45"/>
      <c r="BE907" s="155"/>
      <c r="BF907" s="45"/>
    </row>
    <row r="908" ht="16.5" customHeight="1">
      <c r="A908" s="111">
        <v>905.0</v>
      </c>
      <c r="B908" s="112" t="s">
        <v>1845</v>
      </c>
      <c r="C908" s="115" t="s">
        <v>60</v>
      </c>
      <c r="D908" s="117">
        <v>42887.0</v>
      </c>
      <c r="E908" s="117">
        <v>43035.0</v>
      </c>
      <c r="F908" s="79" t="s">
        <v>921</v>
      </c>
      <c r="G908" s="118">
        <v>6472.0</v>
      </c>
      <c r="H908" s="114">
        <v>43.4</v>
      </c>
      <c r="I908" s="120">
        <v>478.0</v>
      </c>
      <c r="J908" s="111" t="s">
        <v>61</v>
      </c>
      <c r="K908" s="121">
        <v>484.05</v>
      </c>
      <c r="L908" s="120" t="s">
        <v>63</v>
      </c>
      <c r="M908" s="120"/>
      <c r="N908" s="120"/>
      <c r="O908" s="124">
        <v>6472.0</v>
      </c>
      <c r="P908" s="124">
        <v>149.0</v>
      </c>
      <c r="Q908" s="111">
        <v>260.0</v>
      </c>
      <c r="R908" s="125">
        <v>488.0</v>
      </c>
      <c r="S908" s="126">
        <v>0.9919</v>
      </c>
      <c r="T908" s="127">
        <v>97602.96</v>
      </c>
      <c r="U908" s="128">
        <f t="shared" si="2"/>
        <v>0</v>
      </c>
      <c r="V908" s="79" t="s">
        <v>65</v>
      </c>
      <c r="W908" s="79" t="s">
        <v>65</v>
      </c>
      <c r="X908" s="79" t="s">
        <v>69</v>
      </c>
      <c r="Y908" s="130">
        <v>0.9</v>
      </c>
      <c r="Z908" s="111">
        <v>7.0</v>
      </c>
      <c r="AA908" s="133"/>
      <c r="AB908" s="133"/>
      <c r="AC908" s="133"/>
      <c r="AD908" s="133"/>
      <c r="AE908" s="133"/>
      <c r="AF908" s="111"/>
      <c r="AG908" s="147"/>
      <c r="AH908" s="73"/>
      <c r="AI908" s="135"/>
      <c r="AJ908" s="136"/>
      <c r="AK908" s="76"/>
      <c r="AL908" s="137"/>
      <c r="AM908" s="139" t="s">
        <v>71</v>
      </c>
      <c r="AN908" s="139">
        <v>149.0</v>
      </c>
      <c r="AO908" s="140">
        <v>17.18</v>
      </c>
      <c r="AP908" s="142">
        <v>6472.0</v>
      </c>
      <c r="AQ908" s="142">
        <v>260.0</v>
      </c>
      <c r="AR908" s="143"/>
      <c r="AS908" s="144">
        <v>0.9885275473742672</v>
      </c>
      <c r="AT908" s="144">
        <v>0.0033724526257328247</v>
      </c>
      <c r="AU908" s="146" t="s">
        <v>2745</v>
      </c>
      <c r="AV908" s="146" t="s">
        <v>2745</v>
      </c>
      <c r="AW908" s="148" t="s">
        <v>2745</v>
      </c>
      <c r="AX908" s="151"/>
      <c r="AY908" s="105"/>
      <c r="AZ908" s="186"/>
      <c r="BA908" s="186"/>
      <c r="BB908" s="222"/>
      <c r="BC908" s="45"/>
      <c r="BD908" s="45"/>
      <c r="BE908" s="155"/>
      <c r="BF908" s="45"/>
    </row>
    <row r="909" ht="16.5" customHeight="1">
      <c r="A909" s="111">
        <v>906.0</v>
      </c>
      <c r="B909" s="112" t="s">
        <v>1454</v>
      </c>
      <c r="C909" s="115" t="s">
        <v>60</v>
      </c>
      <c r="D909" s="117">
        <v>42266.0</v>
      </c>
      <c r="E909" s="117">
        <v>43036.0</v>
      </c>
      <c r="F909" s="79" t="s">
        <v>118</v>
      </c>
      <c r="G909" s="118">
        <v>45754.0</v>
      </c>
      <c r="H909" s="114">
        <v>59.3</v>
      </c>
      <c r="I909" s="120">
        <v>348.0</v>
      </c>
      <c r="J909" s="111" t="s">
        <v>61</v>
      </c>
      <c r="K909" s="121">
        <v>352.41</v>
      </c>
      <c r="L909" s="120" t="s">
        <v>63</v>
      </c>
      <c r="M909" s="120"/>
      <c r="N909" s="120"/>
      <c r="O909" s="124">
        <v>45754.0</v>
      </c>
      <c r="P909" s="124">
        <v>771.0</v>
      </c>
      <c r="Q909" s="111">
        <v>218.0</v>
      </c>
      <c r="R909" s="125">
        <v>365.0</v>
      </c>
      <c r="S909" s="126">
        <v>0.9655</v>
      </c>
      <c r="T909" s="127">
        <v>66426.40000000001</v>
      </c>
      <c r="U909" s="128">
        <f t="shared" si="2"/>
        <v>0</v>
      </c>
      <c r="V909" s="79" t="s">
        <v>64</v>
      </c>
      <c r="W909" s="79" t="s">
        <v>64</v>
      </c>
      <c r="X909" s="79" t="s">
        <v>66</v>
      </c>
      <c r="Y909" s="130">
        <v>0.9</v>
      </c>
      <c r="Z909" s="111">
        <v>11.0</v>
      </c>
      <c r="AA909" s="111">
        <v>360.0</v>
      </c>
      <c r="AB909" s="111" t="s">
        <v>62</v>
      </c>
      <c r="AC909" s="133"/>
      <c r="AD909" s="133"/>
      <c r="AE909" s="133"/>
      <c r="AF909" s="111"/>
      <c r="AG909" s="147"/>
      <c r="AH909" s="73"/>
      <c r="AI909" s="135"/>
      <c r="AJ909" s="136"/>
      <c r="AK909" s="76"/>
      <c r="AL909" s="137"/>
      <c r="AM909" s="139">
        <v>360.0</v>
      </c>
      <c r="AN909" s="139">
        <v>771.0</v>
      </c>
      <c r="AO909" s="140">
        <v>147.56</v>
      </c>
      <c r="AP909" s="142">
        <v>45754.0</v>
      </c>
      <c r="AQ909" s="142">
        <v>218.0</v>
      </c>
      <c r="AR909" s="143"/>
      <c r="AS909" s="144">
        <v>0.9576797634167404</v>
      </c>
      <c r="AT909" s="144">
        <v>0.007820236583259588</v>
      </c>
      <c r="AU909" s="146" t="s">
        <v>2746</v>
      </c>
      <c r="AV909" s="146" t="s">
        <v>2746</v>
      </c>
      <c r="AW909" s="148" t="s">
        <v>2746</v>
      </c>
      <c r="AX909" s="151"/>
      <c r="AY909" s="105"/>
      <c r="AZ909" s="186"/>
      <c r="BA909" s="186"/>
      <c r="BB909" s="222"/>
      <c r="BC909" s="45"/>
      <c r="BD909" s="45"/>
      <c r="BE909" s="155"/>
      <c r="BF909" s="45"/>
    </row>
    <row r="910" ht="16.5" customHeight="1">
      <c r="A910" s="111">
        <v>907.0</v>
      </c>
      <c r="B910" s="112" t="s">
        <v>623</v>
      </c>
      <c r="C910" s="115" t="s">
        <v>60</v>
      </c>
      <c r="D910" s="117">
        <v>41794.0</v>
      </c>
      <c r="E910" s="117">
        <v>43031.0</v>
      </c>
      <c r="F910" s="79" t="s">
        <v>59</v>
      </c>
      <c r="G910" s="118">
        <v>202506.0</v>
      </c>
      <c r="H910" s="114">
        <v>163.6</v>
      </c>
      <c r="I910" s="120">
        <v>373.0</v>
      </c>
      <c r="J910" s="111" t="s">
        <v>62</v>
      </c>
      <c r="K910" s="121">
        <v>373.0</v>
      </c>
      <c r="L910" s="120" t="s">
        <v>63</v>
      </c>
      <c r="M910" s="120"/>
      <c r="N910" s="120"/>
      <c r="O910" s="124">
        <v>202506.0</v>
      </c>
      <c r="P910" s="124">
        <v>1238.0</v>
      </c>
      <c r="Q910" s="111">
        <v>180.0</v>
      </c>
      <c r="R910" s="125">
        <v>399.0</v>
      </c>
      <c r="S910" s="126">
        <v>0.9348</v>
      </c>
      <c r="T910" s="127">
        <v>72447.0</v>
      </c>
      <c r="U910" s="128">
        <f t="shared" si="2"/>
        <v>0</v>
      </c>
      <c r="V910" s="79" t="s">
        <v>65</v>
      </c>
      <c r="W910" s="79" t="s">
        <v>69</v>
      </c>
      <c r="X910" s="79" t="s">
        <v>66</v>
      </c>
      <c r="Y910" s="130">
        <v>0.9</v>
      </c>
      <c r="Z910" s="111">
        <v>9.0</v>
      </c>
      <c r="AA910" s="111">
        <v>399.0</v>
      </c>
      <c r="AB910" s="111" t="s">
        <v>62</v>
      </c>
      <c r="AC910" s="133"/>
      <c r="AD910" s="133"/>
      <c r="AE910" s="133"/>
      <c r="AF910" s="111"/>
      <c r="AG910" s="134" t="s">
        <v>2747</v>
      </c>
      <c r="AH910" s="73"/>
      <c r="AI910" s="135"/>
      <c r="AJ910" s="136"/>
      <c r="AK910" s="76"/>
      <c r="AL910" s="137"/>
      <c r="AM910" s="139">
        <v>399.0</v>
      </c>
      <c r="AN910" s="139">
        <v>1238.0</v>
      </c>
      <c r="AO910" s="140">
        <v>486.24</v>
      </c>
      <c r="AP910" s="142">
        <v>202506.0</v>
      </c>
      <c r="AQ910" s="142">
        <v>180.0</v>
      </c>
      <c r="AR910" s="143"/>
      <c r="AS910" s="144">
        <v>0.9285859538174881</v>
      </c>
      <c r="AT910" s="144">
        <v>0.006214046182511868</v>
      </c>
      <c r="AU910" s="146" t="s">
        <v>2748</v>
      </c>
      <c r="AV910" s="146" t="s">
        <v>2748</v>
      </c>
      <c r="AW910" s="148" t="s">
        <v>2748</v>
      </c>
      <c r="AX910" s="151"/>
      <c r="AY910" s="105"/>
      <c r="AZ910" s="186"/>
      <c r="BA910" s="186"/>
      <c r="BB910" s="222"/>
      <c r="BC910" s="45"/>
      <c r="BD910" s="45"/>
      <c r="BE910" s="155"/>
      <c r="BF910" s="45"/>
    </row>
    <row r="911" ht="16.5" customHeight="1">
      <c r="A911" s="111">
        <v>908.0</v>
      </c>
      <c r="B911" s="112" t="s">
        <v>1275</v>
      </c>
      <c r="C911" s="115" t="s">
        <v>60</v>
      </c>
      <c r="D911" s="117">
        <v>42641.0</v>
      </c>
      <c r="E911" s="117">
        <v>43040.0</v>
      </c>
      <c r="F911" s="79" t="s">
        <v>683</v>
      </c>
      <c r="G911" s="118">
        <v>52783.0</v>
      </c>
      <c r="H911" s="114">
        <v>132.0</v>
      </c>
      <c r="I911" s="120">
        <v>372.0</v>
      </c>
      <c r="J911" s="111" t="s">
        <v>62</v>
      </c>
      <c r="K911" s="121">
        <v>372.0</v>
      </c>
      <c r="L911" s="120" t="s">
        <v>63</v>
      </c>
      <c r="M911" s="120"/>
      <c r="N911" s="120"/>
      <c r="O911" s="124">
        <v>52783.0</v>
      </c>
      <c r="P911" s="124">
        <v>400.0</v>
      </c>
      <c r="Q911" s="111">
        <v>289.0</v>
      </c>
      <c r="R911" s="125">
        <v>405.0</v>
      </c>
      <c r="S911" s="126">
        <v>0.9185</v>
      </c>
      <c r="T911" s="127">
        <v>75133.3</v>
      </c>
      <c r="U911" s="128">
        <f t="shared" si="2"/>
        <v>0</v>
      </c>
      <c r="V911" s="79" t="s">
        <v>64</v>
      </c>
      <c r="W911" s="79" t="s">
        <v>65</v>
      </c>
      <c r="X911" s="79" t="s">
        <v>65</v>
      </c>
      <c r="Y911" s="130">
        <v>0.8</v>
      </c>
      <c r="Z911" s="111"/>
      <c r="AA911" s="133"/>
      <c r="AB911" s="133"/>
      <c r="AC911" s="133"/>
      <c r="AD911" s="133"/>
      <c r="AE911" s="133"/>
      <c r="AF911" s="111"/>
      <c r="AG911" s="147"/>
      <c r="AH911" s="73"/>
      <c r="AI911" s="135"/>
      <c r="AJ911" s="136"/>
      <c r="AK911" s="76"/>
      <c r="AL911" s="137"/>
      <c r="AM911" s="139" t="s">
        <v>71</v>
      </c>
      <c r="AN911" s="139">
        <v>400.0</v>
      </c>
      <c r="AO911" s="140">
        <v>194.42</v>
      </c>
      <c r="AP911" s="142">
        <v>52783.0</v>
      </c>
      <c r="AQ911" s="142">
        <v>289.0</v>
      </c>
      <c r="AR911" s="143"/>
      <c r="AS911" s="144">
        <v>0.9552846795361506</v>
      </c>
      <c r="AT911" s="144">
        <v>-0.03678467953615061</v>
      </c>
      <c r="AU911" s="146" t="s">
        <v>2749</v>
      </c>
      <c r="AV911" s="146" t="s">
        <v>2749</v>
      </c>
      <c r="AW911" s="148" t="s">
        <v>2749</v>
      </c>
      <c r="AX911" s="151"/>
      <c r="AY911" s="105"/>
      <c r="AZ911" s="186"/>
      <c r="BA911" s="186"/>
      <c r="BB911" s="222"/>
      <c r="BC911" s="45"/>
      <c r="BD911" s="45"/>
      <c r="BE911" s="155"/>
      <c r="BF911" s="45"/>
    </row>
    <row r="912" ht="16.5" customHeight="1">
      <c r="A912" s="111">
        <v>909.0</v>
      </c>
      <c r="B912" s="112" t="s">
        <v>1760</v>
      </c>
      <c r="C912" s="115" t="s">
        <v>60</v>
      </c>
      <c r="D912" s="117">
        <v>42551.0</v>
      </c>
      <c r="E912" s="117">
        <v>43045.0</v>
      </c>
      <c r="F912" s="79" t="s">
        <v>305</v>
      </c>
      <c r="G912" s="118">
        <v>55961.0</v>
      </c>
      <c r="H912" s="114">
        <v>113.1</v>
      </c>
      <c r="I912" s="120">
        <v>424.0</v>
      </c>
      <c r="J912" s="111" t="s">
        <v>62</v>
      </c>
      <c r="K912" s="121">
        <v>424.0</v>
      </c>
      <c r="L912" s="120" t="s">
        <v>63</v>
      </c>
      <c r="M912" s="120"/>
      <c r="N912" s="120"/>
      <c r="O912" s="124">
        <v>55961.0</v>
      </c>
      <c r="P912" s="124">
        <v>495.0</v>
      </c>
      <c r="Q912" s="111">
        <v>213.0</v>
      </c>
      <c r="R912" s="125">
        <v>452.0</v>
      </c>
      <c r="S912" s="126">
        <v>0.9381</v>
      </c>
      <c r="T912" s="127">
        <v>76736.58</v>
      </c>
      <c r="U912" s="128">
        <f t="shared" si="2"/>
        <v>0</v>
      </c>
      <c r="V912" s="79" t="s">
        <v>80</v>
      </c>
      <c r="W912" s="79" t="s">
        <v>69</v>
      </c>
      <c r="X912" s="79" t="s">
        <v>67</v>
      </c>
      <c r="Y912" s="130">
        <v>0.5</v>
      </c>
      <c r="Z912" s="111"/>
      <c r="AA912" s="133"/>
      <c r="AB912" s="133"/>
      <c r="AC912" s="133"/>
      <c r="AD912" s="133"/>
      <c r="AE912" s="133"/>
      <c r="AF912" s="111"/>
      <c r="AG912" s="147"/>
      <c r="AH912" s="73"/>
      <c r="AI912" s="135"/>
      <c r="AJ912" s="136"/>
      <c r="AK912" s="76"/>
      <c r="AL912" s="137"/>
      <c r="AM912" s="139" t="s">
        <v>71</v>
      </c>
      <c r="AN912" s="139">
        <v>495.0</v>
      </c>
      <c r="AO912" s="140">
        <v>150.39</v>
      </c>
      <c r="AP912" s="142">
        <v>55961.0</v>
      </c>
      <c r="AQ912" s="142">
        <v>213.0</v>
      </c>
      <c r="AR912" s="143"/>
      <c r="AS912" s="144">
        <v>0.9543288680283584</v>
      </c>
      <c r="AT912" s="144">
        <v>-0.016228868028358323</v>
      </c>
      <c r="AU912" s="146" t="s">
        <v>2750</v>
      </c>
      <c r="AV912" s="146" t="s">
        <v>2750</v>
      </c>
      <c r="AW912" s="148" t="s">
        <v>2750</v>
      </c>
      <c r="AX912" s="151"/>
      <c r="AY912" s="105"/>
      <c r="AZ912" s="186"/>
      <c r="BA912" s="186"/>
      <c r="BB912" s="222"/>
      <c r="BC912" s="45"/>
      <c r="BD912" s="45"/>
      <c r="BE912" s="155"/>
      <c r="BF912" s="45"/>
    </row>
    <row r="913" ht="16.5" customHeight="1">
      <c r="A913" s="111">
        <v>910.0</v>
      </c>
      <c r="B913" s="983" t="s">
        <v>126</v>
      </c>
      <c r="C913" s="115" t="s">
        <v>60</v>
      </c>
      <c r="D913" s="117">
        <v>41527.0</v>
      </c>
      <c r="E913" s="117">
        <v>43048.0</v>
      </c>
      <c r="F913" s="79" t="s">
        <v>79</v>
      </c>
      <c r="G913" s="118">
        <v>276500.0</v>
      </c>
      <c r="H913" s="114">
        <v>181.7</v>
      </c>
      <c r="I913" s="120">
        <v>355.0</v>
      </c>
      <c r="J913" s="111" t="s">
        <v>61</v>
      </c>
      <c r="K913" s="121">
        <v>359.49</v>
      </c>
      <c r="L913" s="120" t="s">
        <v>63</v>
      </c>
      <c r="M913" s="120"/>
      <c r="N913" s="120"/>
      <c r="O913" s="124">
        <v>276500.0</v>
      </c>
      <c r="P913" s="124">
        <v>1522.0</v>
      </c>
      <c r="Q913" s="111">
        <v>212.0</v>
      </c>
      <c r="R913" s="125">
        <v>399.0</v>
      </c>
      <c r="S913" s="126">
        <v>0.901</v>
      </c>
      <c r="T913" s="127">
        <v>69827.5</v>
      </c>
      <c r="U913" s="128">
        <f t="shared" si="2"/>
        <v>0</v>
      </c>
      <c r="V913" s="79" t="s">
        <v>65</v>
      </c>
      <c r="W913" s="79" t="s">
        <v>127</v>
      </c>
      <c r="X913" s="79" t="s">
        <v>69</v>
      </c>
      <c r="Y913" s="130">
        <v>1.0</v>
      </c>
      <c r="Z913" s="111">
        <v>22.0</v>
      </c>
      <c r="AA913" s="111">
        <v>400.0</v>
      </c>
      <c r="AB913" s="111" t="s">
        <v>61</v>
      </c>
      <c r="AC913" s="111">
        <v>354.0</v>
      </c>
      <c r="AD913" s="111">
        <v>257.0</v>
      </c>
      <c r="AE913" s="111">
        <v>18.1</v>
      </c>
      <c r="AF913" s="111" t="s">
        <v>61</v>
      </c>
      <c r="AG913" s="134" t="s">
        <v>2751</v>
      </c>
      <c r="AH913" s="73">
        <v>97.0</v>
      </c>
      <c r="AI913" s="135">
        <v>98.22784810126583</v>
      </c>
      <c r="AJ913" s="136">
        <v>66.24159162371133</v>
      </c>
      <c r="AK913" s="76">
        <v>0.854730214499501</v>
      </c>
      <c r="AL913" s="137" t="s">
        <v>2752</v>
      </c>
      <c r="AM913" s="139">
        <v>405.0</v>
      </c>
      <c r="AN913" s="139">
        <v>1522.0</v>
      </c>
      <c r="AO913" s="140">
        <v>795.82</v>
      </c>
      <c r="AP913" s="142">
        <v>276500.0</v>
      </c>
      <c r="AQ913" s="142">
        <v>212.0</v>
      </c>
      <c r="AR913" s="143"/>
      <c r="AS913" s="144">
        <v>0.917016762643361</v>
      </c>
      <c r="AT913" s="144">
        <v>-0.016016762643360938</v>
      </c>
      <c r="AU913" s="146" t="s">
        <v>2753</v>
      </c>
      <c r="AV913" s="146" t="s">
        <v>2753</v>
      </c>
      <c r="AW913" s="148" t="s">
        <v>2753</v>
      </c>
      <c r="AX913" s="151"/>
      <c r="AY913" s="105"/>
      <c r="AZ913" s="186"/>
      <c r="BA913" s="186"/>
      <c r="BB913" s="222"/>
      <c r="BC913" s="45"/>
      <c r="BD913" s="45"/>
      <c r="BE913" s="155"/>
      <c r="BF913" s="45"/>
    </row>
    <row r="914" ht="16.5" customHeight="1">
      <c r="A914" s="111">
        <v>911.0</v>
      </c>
      <c r="B914" s="112" t="s">
        <v>1762</v>
      </c>
      <c r="C914" s="115" t="s">
        <v>60</v>
      </c>
      <c r="D914" s="117">
        <v>41800.0</v>
      </c>
      <c r="E914" s="117">
        <v>43021.0</v>
      </c>
      <c r="F914" s="79" t="s">
        <v>59</v>
      </c>
      <c r="G914" s="118">
        <v>100790.0</v>
      </c>
      <c r="H914" s="114">
        <v>82.5</v>
      </c>
      <c r="I914" s="120">
        <v>378.0</v>
      </c>
      <c r="J914" s="111" t="s">
        <v>61</v>
      </c>
      <c r="K914" s="121">
        <v>382.78</v>
      </c>
      <c r="L914" s="120" t="s">
        <v>63</v>
      </c>
      <c r="M914" s="120"/>
      <c r="N914" s="120"/>
      <c r="O914" s="124">
        <v>100790.0</v>
      </c>
      <c r="P914" s="124">
        <v>1222.0</v>
      </c>
      <c r="Q914" s="111">
        <v>218.0</v>
      </c>
      <c r="R914" s="125">
        <v>399.0</v>
      </c>
      <c r="S914" s="126">
        <v>0.9593</v>
      </c>
      <c r="T914" s="127">
        <v>74345.75</v>
      </c>
      <c r="U914" s="128">
        <f t="shared" si="2"/>
        <v>0</v>
      </c>
      <c r="V914" s="79" t="s">
        <v>65</v>
      </c>
      <c r="W914" s="79" t="s">
        <v>64</v>
      </c>
      <c r="X914" s="79" t="s">
        <v>68</v>
      </c>
      <c r="Y914" s="130">
        <v>0.7</v>
      </c>
      <c r="Z914" s="111">
        <v>5.0</v>
      </c>
      <c r="AA914" s="111">
        <v>388.0</v>
      </c>
      <c r="AB914" s="111" t="s">
        <v>61</v>
      </c>
      <c r="AC914" s="133"/>
      <c r="AD914" s="133"/>
      <c r="AE914" s="133"/>
      <c r="AF914" s="111"/>
      <c r="AG914" s="147"/>
      <c r="AH914" s="73"/>
      <c r="AI914" s="135"/>
      <c r="AJ914" s="136"/>
      <c r="AK914" s="76"/>
      <c r="AL914" s="137"/>
      <c r="AM914" s="139">
        <v>393.0</v>
      </c>
      <c r="AN914" s="139">
        <v>1222.0</v>
      </c>
      <c r="AO914" s="140">
        <v>289.45</v>
      </c>
      <c r="AP914" s="142">
        <v>100790.0</v>
      </c>
      <c r="AQ914" s="142">
        <v>218.0</v>
      </c>
      <c r="AR914" s="143"/>
      <c r="AS914" s="144">
        <v>0.9448255264469164</v>
      </c>
      <c r="AT914" s="144">
        <v>0.014474473553083622</v>
      </c>
      <c r="AU914" s="146" t="s">
        <v>2754</v>
      </c>
      <c r="AV914" s="146" t="s">
        <v>2754</v>
      </c>
      <c r="AW914" s="148" t="s">
        <v>2754</v>
      </c>
      <c r="AX914" s="151"/>
      <c r="AY914" s="105"/>
      <c r="AZ914" s="186"/>
      <c r="BA914" s="186"/>
      <c r="BB914" s="222"/>
      <c r="BC914" s="45"/>
      <c r="BD914" s="45"/>
      <c r="BE914" s="155"/>
      <c r="BF914" s="45"/>
    </row>
    <row r="915" ht="16.5" customHeight="1">
      <c r="A915" s="111">
        <v>912.0</v>
      </c>
      <c r="B915" s="112" t="s">
        <v>1872</v>
      </c>
      <c r="C915" s="115" t="s">
        <v>60</v>
      </c>
      <c r="D915" s="117">
        <v>42736.0</v>
      </c>
      <c r="E915" s="117">
        <v>43056.0</v>
      </c>
      <c r="F915" s="79" t="s">
        <v>629</v>
      </c>
      <c r="G915" s="118">
        <v>38288.0</v>
      </c>
      <c r="H915" s="114">
        <v>119.3</v>
      </c>
      <c r="I915" s="120">
        <v>362.0</v>
      </c>
      <c r="J915" s="111" t="s">
        <v>61</v>
      </c>
      <c r="K915" s="121">
        <v>366.58</v>
      </c>
      <c r="L915" s="120" t="s">
        <v>63</v>
      </c>
      <c r="M915" s="120"/>
      <c r="N915" s="120"/>
      <c r="O915" s="124">
        <v>38288.0</v>
      </c>
      <c r="P915" s="124">
        <v>321.0</v>
      </c>
      <c r="Q915" s="111">
        <v>206.0</v>
      </c>
      <c r="R915" s="125">
        <v>386.0</v>
      </c>
      <c r="S915" s="126">
        <v>0.9497</v>
      </c>
      <c r="T915" s="127">
        <v>68948.22</v>
      </c>
      <c r="U915" s="128">
        <f t="shared" si="2"/>
        <v>0</v>
      </c>
      <c r="V915" s="79" t="s">
        <v>67</v>
      </c>
      <c r="W915" s="79" t="s">
        <v>69</v>
      </c>
      <c r="X915" s="79" t="s">
        <v>69</v>
      </c>
      <c r="Y915" s="130"/>
      <c r="Z915" s="111"/>
      <c r="AA915" s="133"/>
      <c r="AB915" s="133"/>
      <c r="AC915" s="133"/>
      <c r="AD915" s="133"/>
      <c r="AE915" s="133"/>
      <c r="AF915" s="111"/>
      <c r="AG915" s="147"/>
      <c r="AH915" s="73"/>
      <c r="AI915" s="135"/>
      <c r="AJ915" s="136"/>
      <c r="AK915" s="76"/>
      <c r="AL915" s="137"/>
      <c r="AM915" s="139" t="s">
        <v>71</v>
      </c>
      <c r="AN915" s="139">
        <v>321.0</v>
      </c>
      <c r="AO915" s="140">
        <v>111.46</v>
      </c>
      <c r="AP915" s="142">
        <v>38288.0</v>
      </c>
      <c r="AQ915" s="142">
        <v>206.0</v>
      </c>
      <c r="AR915" s="143"/>
      <c r="AS915" s="144">
        <v>0.960786081715464</v>
      </c>
      <c r="AT915" s="144">
        <v>-0.011086081715463991</v>
      </c>
      <c r="AU915" s="146" t="s">
        <v>2755</v>
      </c>
      <c r="AV915" s="146" t="s">
        <v>2755</v>
      </c>
      <c r="AW915" s="148" t="s">
        <v>2755</v>
      </c>
      <c r="AX915" s="151"/>
      <c r="AY915" s="105"/>
      <c r="AZ915" s="186"/>
      <c r="BA915" s="186"/>
      <c r="BB915" s="222"/>
      <c r="BC915" s="45"/>
      <c r="BD915" s="45"/>
      <c r="BE915" s="155"/>
      <c r="BF915" s="45"/>
    </row>
    <row r="916" ht="16.5" customHeight="1">
      <c r="A916" s="111">
        <v>913.0</v>
      </c>
      <c r="B916" s="112" t="s">
        <v>1792</v>
      </c>
      <c r="C916" s="115" t="s">
        <v>60</v>
      </c>
      <c r="D916" s="117">
        <v>42461.0</v>
      </c>
      <c r="E916" s="117">
        <v>43058.0</v>
      </c>
      <c r="F916" s="79" t="s">
        <v>305</v>
      </c>
      <c r="G916" s="118">
        <v>37425.0</v>
      </c>
      <c r="H916" s="114">
        <v>62.6</v>
      </c>
      <c r="I916" s="120">
        <v>436.0</v>
      </c>
      <c r="J916" s="111" t="s">
        <v>61</v>
      </c>
      <c r="K916" s="121">
        <v>441.52</v>
      </c>
      <c r="L916" s="120" t="s">
        <v>63</v>
      </c>
      <c r="M916" s="120"/>
      <c r="N916" s="120"/>
      <c r="O916" s="124">
        <v>37425.0</v>
      </c>
      <c r="P916" s="124">
        <v>598.0</v>
      </c>
      <c r="Q916" s="111"/>
      <c r="R916" s="125">
        <v>452.0</v>
      </c>
      <c r="S916" s="126">
        <v>0.9768</v>
      </c>
      <c r="T916" s="127">
        <v>79902.24</v>
      </c>
      <c r="U916" s="128">
        <f t="shared" si="2"/>
        <v>1</v>
      </c>
      <c r="V916" s="79" t="s">
        <v>69</v>
      </c>
      <c r="W916" s="79" t="s">
        <v>65</v>
      </c>
      <c r="X916" s="79" t="s">
        <v>66</v>
      </c>
      <c r="Y916" s="130">
        <v>0.8</v>
      </c>
      <c r="Z916" s="111">
        <v>7.0</v>
      </c>
      <c r="AA916" s="111">
        <v>458.0</v>
      </c>
      <c r="AB916" s="111" t="s">
        <v>61</v>
      </c>
      <c r="AC916" s="133"/>
      <c r="AD916" s="133"/>
      <c r="AE916" s="133"/>
      <c r="AF916" s="111"/>
      <c r="AG916" s="134" t="s">
        <v>2756</v>
      </c>
      <c r="AH916" s="73"/>
      <c r="AI916" s="135"/>
      <c r="AJ916" s="136"/>
      <c r="AK916" s="76"/>
      <c r="AL916" s="137"/>
      <c r="AM916" s="139">
        <v>464.0</v>
      </c>
      <c r="AN916" s="139">
        <v>598.0</v>
      </c>
      <c r="AO916" s="140"/>
      <c r="AP916" s="142">
        <v>37425.0</v>
      </c>
      <c r="AQ916" s="142"/>
      <c r="AR916" s="143"/>
      <c r="AS916" s="144">
        <v>0.9611924136195241</v>
      </c>
      <c r="AT916" s="144">
        <v>0.01560758638047588</v>
      </c>
      <c r="AU916" s="146" t="s">
        <v>2757</v>
      </c>
      <c r="AV916" s="146" t="s">
        <v>2757</v>
      </c>
      <c r="AW916" s="148" t="s">
        <v>2757</v>
      </c>
      <c r="AX916" s="151"/>
      <c r="AY916" s="105"/>
      <c r="AZ916" s="186"/>
      <c r="BA916" s="186"/>
      <c r="BB916" s="222"/>
      <c r="BC916" s="45"/>
      <c r="BD916" s="45"/>
      <c r="BE916" s="155"/>
      <c r="BF916" s="45"/>
    </row>
    <row r="917" ht="16.5" customHeight="1">
      <c r="A917" s="111">
        <v>914.0</v>
      </c>
      <c r="B917" s="112" t="s">
        <v>1719</v>
      </c>
      <c r="C917" s="115" t="s">
        <v>60</v>
      </c>
      <c r="D917" s="117">
        <v>42262.0</v>
      </c>
      <c r="E917" s="117">
        <v>43058.0</v>
      </c>
      <c r="F917" s="79" t="s">
        <v>118</v>
      </c>
      <c r="G917" s="118">
        <v>102748.0</v>
      </c>
      <c r="H917" s="114">
        <v>128.9</v>
      </c>
      <c r="I917" s="120">
        <v>352.0</v>
      </c>
      <c r="J917" s="111" t="s">
        <v>62</v>
      </c>
      <c r="K917" s="121">
        <v>352.0</v>
      </c>
      <c r="L917" s="120" t="s">
        <v>63</v>
      </c>
      <c r="M917" s="120"/>
      <c r="N917" s="120"/>
      <c r="O917" s="124">
        <v>102748.0</v>
      </c>
      <c r="P917" s="124">
        <v>797.0</v>
      </c>
      <c r="Q917" s="111"/>
      <c r="R917" s="125">
        <v>365.0</v>
      </c>
      <c r="S917" s="126">
        <v>0.9644</v>
      </c>
      <c r="T917" s="127">
        <v>66350.72</v>
      </c>
      <c r="U917" s="128">
        <f t="shared" si="2"/>
        <v>1</v>
      </c>
      <c r="V917" s="79" t="s">
        <v>67</v>
      </c>
      <c r="W917" s="79" t="s">
        <v>67</v>
      </c>
      <c r="X917" s="79" t="s">
        <v>69</v>
      </c>
      <c r="Y917" s="130">
        <v>0.8</v>
      </c>
      <c r="Z917" s="111">
        <v>4.0</v>
      </c>
      <c r="AA917" s="133"/>
      <c r="AB917" s="133"/>
      <c r="AC917" s="133"/>
      <c r="AD917" s="133"/>
      <c r="AE917" s="133"/>
      <c r="AF917" s="111"/>
      <c r="AG917" s="147"/>
      <c r="AH917" s="73"/>
      <c r="AI917" s="135"/>
      <c r="AJ917" s="136"/>
      <c r="AK917" s="76"/>
      <c r="AL917" s="137"/>
      <c r="AM917" s="139" t="s">
        <v>71</v>
      </c>
      <c r="AN917" s="139">
        <v>797.0</v>
      </c>
      <c r="AO917" s="140"/>
      <c r="AP917" s="142">
        <v>102748.0</v>
      </c>
      <c r="AQ917" s="142"/>
      <c r="AR917" s="143"/>
      <c r="AS917" s="144">
        <v>0.9444892391191599</v>
      </c>
      <c r="AT917" s="144">
        <v>0.019910760880840095</v>
      </c>
      <c r="AU917" s="146" t="s">
        <v>2758</v>
      </c>
      <c r="AV917" s="146" t="s">
        <v>2758</v>
      </c>
      <c r="AW917" s="148" t="s">
        <v>2758</v>
      </c>
      <c r="AX917" s="151"/>
      <c r="AY917" s="105"/>
      <c r="AZ917" s="186"/>
      <c r="BA917" s="186"/>
      <c r="BB917" s="222"/>
      <c r="BC917" s="45"/>
      <c r="BD917" s="45"/>
      <c r="BE917" s="155"/>
      <c r="BF917" s="45"/>
    </row>
    <row r="918" ht="16.5" customHeight="1">
      <c r="A918" s="111">
        <v>915.0</v>
      </c>
      <c r="B918" s="112" t="s">
        <v>1849</v>
      </c>
      <c r="C918" s="115" t="s">
        <v>60</v>
      </c>
      <c r="D918" s="117">
        <v>42991.0</v>
      </c>
      <c r="E918" s="117">
        <v>43059.0</v>
      </c>
      <c r="F918" s="79" t="s">
        <v>675</v>
      </c>
      <c r="G918" s="118">
        <v>3200.0</v>
      </c>
      <c r="H918" s="114">
        <v>46.4</v>
      </c>
      <c r="I918" s="120">
        <v>389.0</v>
      </c>
      <c r="J918" s="111" t="s">
        <v>62</v>
      </c>
      <c r="K918" s="121">
        <v>389.0</v>
      </c>
      <c r="L918" s="120" t="s">
        <v>63</v>
      </c>
      <c r="M918" s="120"/>
      <c r="N918" s="120"/>
      <c r="O918" s="124">
        <v>3200.0</v>
      </c>
      <c r="P918" s="124">
        <v>69.0</v>
      </c>
      <c r="Q918" s="111"/>
      <c r="R918" s="125">
        <v>388.0</v>
      </c>
      <c r="S918" s="126">
        <v>1.0026</v>
      </c>
      <c r="T918" s="127">
        <v>72788.76</v>
      </c>
      <c r="U918" s="128">
        <f t="shared" si="2"/>
        <v>1</v>
      </c>
      <c r="V918" s="79"/>
      <c r="W918" s="79"/>
      <c r="X918" s="79"/>
      <c r="Y918" s="130"/>
      <c r="Z918" s="111"/>
      <c r="AA918" s="133"/>
      <c r="AB918" s="133"/>
      <c r="AC918" s="133"/>
      <c r="AD918" s="133"/>
      <c r="AE918" s="133"/>
      <c r="AF918" s="111"/>
      <c r="AG918" s="147"/>
      <c r="AH918" s="73"/>
      <c r="AI918" s="135"/>
      <c r="AJ918" s="136"/>
      <c r="AK918" s="76"/>
      <c r="AL918" s="137"/>
      <c r="AM918" s="139" t="s">
        <v>71</v>
      </c>
      <c r="AN918" s="139">
        <v>69.0</v>
      </c>
      <c r="AO918" s="140"/>
      <c r="AP918" s="142">
        <v>3200.0</v>
      </c>
      <c r="AQ918" s="142"/>
      <c r="AR918" s="143"/>
      <c r="AS918" s="144">
        <v>0.9939289983661519</v>
      </c>
      <c r="AT918" s="144">
        <v>0.008671001633848041</v>
      </c>
      <c r="AU918" s="146" t="s">
        <v>2759</v>
      </c>
      <c r="AV918" s="146" t="s">
        <v>2759</v>
      </c>
      <c r="AW918" s="148" t="s">
        <v>2759</v>
      </c>
      <c r="AX918" s="151"/>
      <c r="AY918" s="105"/>
      <c r="AZ918" s="186"/>
      <c r="BA918" s="186"/>
      <c r="BB918" s="222"/>
      <c r="BC918" s="45"/>
      <c r="BD918" s="45"/>
      <c r="BE918" s="155"/>
      <c r="BF918" s="45"/>
    </row>
    <row r="919" ht="16.5" customHeight="1">
      <c r="A919" s="111">
        <v>916.0</v>
      </c>
      <c r="B919" s="112" t="s">
        <v>1757</v>
      </c>
      <c r="C919" s="115" t="s">
        <v>60</v>
      </c>
      <c r="D919" s="237">
        <v>42621.0</v>
      </c>
      <c r="E919" s="117">
        <v>43061.0</v>
      </c>
      <c r="F919" s="79" t="s">
        <v>118</v>
      </c>
      <c r="G919" s="118">
        <v>55355.0</v>
      </c>
      <c r="H919" s="114">
        <v>125.5</v>
      </c>
      <c r="I919" s="120">
        <v>340.0</v>
      </c>
      <c r="J919" s="111" t="s">
        <v>61</v>
      </c>
      <c r="K919" s="121">
        <v>344.3</v>
      </c>
      <c r="L919" s="120" t="s">
        <v>63</v>
      </c>
      <c r="M919" s="120"/>
      <c r="N919" s="120"/>
      <c r="O919" s="124">
        <v>55355.0</v>
      </c>
      <c r="P919" s="124">
        <v>441.0</v>
      </c>
      <c r="Q919" s="111">
        <v>205.0</v>
      </c>
      <c r="R919" s="125">
        <v>365.0</v>
      </c>
      <c r="S919" s="126">
        <v>0.9433</v>
      </c>
      <c r="T919" s="127">
        <v>64899.04</v>
      </c>
      <c r="U919" s="128">
        <f t="shared" si="2"/>
        <v>0</v>
      </c>
      <c r="V919" s="79" t="s">
        <v>127</v>
      </c>
      <c r="W919" s="79" t="s">
        <v>66</v>
      </c>
      <c r="X919" s="79" t="s">
        <v>68</v>
      </c>
      <c r="Y919" s="130">
        <v>0.9</v>
      </c>
      <c r="Z919" s="111"/>
      <c r="AA919" s="111">
        <v>353.0</v>
      </c>
      <c r="AB919" s="111" t="s">
        <v>61</v>
      </c>
      <c r="AC919" s="133"/>
      <c r="AD919" s="133"/>
      <c r="AE919" s="133"/>
      <c r="AF919" s="111"/>
      <c r="AG919" s="147"/>
      <c r="AH919" s="73"/>
      <c r="AI919" s="135"/>
      <c r="AJ919" s="136"/>
      <c r="AK919" s="76"/>
      <c r="AL919" s="137"/>
      <c r="AM919" s="139">
        <v>357.0</v>
      </c>
      <c r="AN919" s="139">
        <v>441.0</v>
      </c>
      <c r="AO919" s="140">
        <v>169.77</v>
      </c>
      <c r="AP919" s="142">
        <v>55355.0</v>
      </c>
      <c r="AQ919" s="142">
        <v>205.0</v>
      </c>
      <c r="AR919" s="143"/>
      <c r="AS919" s="144">
        <v>0.9545059016831292</v>
      </c>
      <c r="AT919" s="144">
        <v>-0.011205901683129182</v>
      </c>
      <c r="AU919" s="146" t="s">
        <v>2760</v>
      </c>
      <c r="AV919" s="146" t="s">
        <v>2760</v>
      </c>
      <c r="AW919" s="148" t="s">
        <v>2760</v>
      </c>
      <c r="AX919" s="151"/>
      <c r="AY919" s="105"/>
      <c r="AZ919" s="186"/>
      <c r="BA919" s="186"/>
      <c r="BB919" s="222"/>
      <c r="BC919" s="45"/>
      <c r="BD919" s="45"/>
      <c r="BE919" s="155"/>
      <c r="BF919" s="45"/>
    </row>
    <row r="920" ht="16.5" customHeight="1">
      <c r="A920" s="111">
        <v>917.0</v>
      </c>
      <c r="B920" s="112" t="s">
        <v>1885</v>
      </c>
      <c r="C920" s="115" t="s">
        <v>60</v>
      </c>
      <c r="D920" s="117">
        <v>42948.0</v>
      </c>
      <c r="E920" s="117">
        <v>43065.0</v>
      </c>
      <c r="F920" s="79" t="s">
        <v>305</v>
      </c>
      <c r="G920" s="118">
        <v>3323.0</v>
      </c>
      <c r="H920" s="114">
        <v>28.2</v>
      </c>
      <c r="I920" s="120">
        <v>449.0</v>
      </c>
      <c r="J920" s="111" t="s">
        <v>61</v>
      </c>
      <c r="K920" s="121">
        <v>454.68</v>
      </c>
      <c r="L920" s="120" t="s">
        <v>63</v>
      </c>
      <c r="M920" s="120"/>
      <c r="N920" s="120"/>
      <c r="O920" s="124">
        <v>3323.0</v>
      </c>
      <c r="P920" s="124">
        <v>118.0</v>
      </c>
      <c r="Q920" s="111">
        <v>198.0</v>
      </c>
      <c r="R920" s="125">
        <v>452.0</v>
      </c>
      <c r="S920" s="126">
        <v>1.0059</v>
      </c>
      <c r="T920" s="127">
        <v>82282.62</v>
      </c>
      <c r="U920" s="128">
        <f t="shared" si="2"/>
        <v>0</v>
      </c>
      <c r="V920" s="79" t="s">
        <v>80</v>
      </c>
      <c r="W920" s="79" t="s">
        <v>64</v>
      </c>
      <c r="X920" s="79" t="s">
        <v>66</v>
      </c>
      <c r="Y920" s="130">
        <v>0.9</v>
      </c>
      <c r="Z920" s="111"/>
      <c r="AA920" s="111">
        <v>448.0</v>
      </c>
      <c r="AB920" s="111" t="s">
        <v>61</v>
      </c>
      <c r="AC920" s="133"/>
      <c r="AD920" s="133"/>
      <c r="AE920" s="133"/>
      <c r="AF920" s="111"/>
      <c r="AG920" s="147"/>
      <c r="AH920" s="73"/>
      <c r="AI920" s="135"/>
      <c r="AJ920" s="136"/>
      <c r="AK920" s="76"/>
      <c r="AL920" s="137"/>
      <c r="AM920" s="139">
        <v>454.0</v>
      </c>
      <c r="AN920" s="139">
        <v>118.0</v>
      </c>
      <c r="AO920" s="140">
        <v>8.02</v>
      </c>
      <c r="AP920" s="142">
        <v>3323.0</v>
      </c>
      <c r="AQ920" s="142">
        <v>198.0</v>
      </c>
      <c r="AR920" s="143"/>
      <c r="AS920" s="144">
        <v>0.9937119727452584</v>
      </c>
      <c r="AT920" s="144">
        <v>0.012188027254741662</v>
      </c>
      <c r="AU920" s="146" t="s">
        <v>2761</v>
      </c>
      <c r="AV920" s="146" t="s">
        <v>2761</v>
      </c>
      <c r="AW920" s="148" t="s">
        <v>2761</v>
      </c>
      <c r="AX920" s="151"/>
      <c r="AY920" s="105"/>
      <c r="AZ920" s="186"/>
      <c r="BA920" s="186"/>
      <c r="BB920" s="222"/>
      <c r="BC920" s="45"/>
      <c r="BD920" s="45"/>
      <c r="BE920" s="155"/>
      <c r="BF920" s="45"/>
    </row>
    <row r="921" ht="16.5" customHeight="1">
      <c r="A921" s="111">
        <v>918.0</v>
      </c>
      <c r="B921" s="112" t="s">
        <v>1628</v>
      </c>
      <c r="C921" s="115" t="s">
        <v>60</v>
      </c>
      <c r="D921" s="117">
        <v>42437.0</v>
      </c>
      <c r="E921" s="117">
        <v>43066.0</v>
      </c>
      <c r="F921" s="79" t="s">
        <v>305</v>
      </c>
      <c r="G921" s="118">
        <v>51364.0</v>
      </c>
      <c r="H921" s="114">
        <v>81.5</v>
      </c>
      <c r="I921" s="120">
        <v>431.0</v>
      </c>
      <c r="J921" s="111" t="s">
        <v>61</v>
      </c>
      <c r="K921" s="121">
        <v>436.46</v>
      </c>
      <c r="L921" s="120" t="s">
        <v>63</v>
      </c>
      <c r="M921" s="120"/>
      <c r="N921" s="120"/>
      <c r="O921" s="124">
        <v>51364.0</v>
      </c>
      <c r="P921" s="124">
        <v>630.0</v>
      </c>
      <c r="Q921" s="111">
        <v>213.0</v>
      </c>
      <c r="R921" s="125">
        <v>452.0</v>
      </c>
      <c r="S921" s="126">
        <v>0.9656</v>
      </c>
      <c r="T921" s="127">
        <v>78986.08</v>
      </c>
      <c r="U921" s="128">
        <f t="shared" si="2"/>
        <v>0</v>
      </c>
      <c r="V921" s="79" t="s">
        <v>65</v>
      </c>
      <c r="W921" s="79" t="s">
        <v>64</v>
      </c>
      <c r="X921" s="79" t="s">
        <v>69</v>
      </c>
      <c r="Y921" s="130">
        <v>0.7</v>
      </c>
      <c r="Z921" s="111">
        <v>40.0</v>
      </c>
      <c r="AA921" s="111">
        <v>448.0</v>
      </c>
      <c r="AB921" s="111" t="s">
        <v>61</v>
      </c>
      <c r="AC921" s="133"/>
      <c r="AD921" s="133"/>
      <c r="AE921" s="133"/>
      <c r="AF921" s="111"/>
      <c r="AG921" s="147"/>
      <c r="AH921" s="73"/>
      <c r="AI921" s="135"/>
      <c r="AJ921" s="136"/>
      <c r="AK921" s="76"/>
      <c r="AL921" s="137"/>
      <c r="AM921" s="139">
        <v>454.0</v>
      </c>
      <c r="AN921" s="139">
        <v>630.0</v>
      </c>
      <c r="AO921" s="140">
        <v>136.11</v>
      </c>
      <c r="AP921" s="142">
        <v>51364.0</v>
      </c>
      <c r="AQ921" s="142">
        <v>213.0</v>
      </c>
      <c r="AR921" s="143"/>
      <c r="AS921" s="144">
        <v>0.9557347567363179</v>
      </c>
      <c r="AT921" s="144">
        <v>0.0098652432636821</v>
      </c>
      <c r="AU921" s="146" t="s">
        <v>2762</v>
      </c>
      <c r="AV921" s="146" t="s">
        <v>2762</v>
      </c>
      <c r="AW921" s="148" t="s">
        <v>2762</v>
      </c>
      <c r="AX921" s="151"/>
      <c r="AY921" s="105"/>
      <c r="AZ921" s="186"/>
      <c r="BA921" s="186"/>
      <c r="BB921" s="222"/>
      <c r="BC921" s="45"/>
      <c r="BD921" s="45"/>
      <c r="BE921" s="155"/>
      <c r="BF921" s="45"/>
    </row>
    <row r="922" ht="16.5" customHeight="1">
      <c r="A922" s="111">
        <v>919.0</v>
      </c>
      <c r="B922" s="112" t="s">
        <v>1275</v>
      </c>
      <c r="C922" s="115" t="s">
        <v>60</v>
      </c>
      <c r="D922" s="117">
        <v>42641.0</v>
      </c>
      <c r="E922" s="117">
        <v>43070.0</v>
      </c>
      <c r="F922" s="79" t="s">
        <v>683</v>
      </c>
      <c r="G922" s="118">
        <v>56417.0</v>
      </c>
      <c r="H922" s="114">
        <v>131.2</v>
      </c>
      <c r="I922" s="120">
        <v>370.0</v>
      </c>
      <c r="J922" s="111" t="s">
        <v>62</v>
      </c>
      <c r="K922" s="121">
        <v>370.0</v>
      </c>
      <c r="L922" s="120" t="s">
        <v>63</v>
      </c>
      <c r="M922" s="120"/>
      <c r="N922" s="120"/>
      <c r="O922" s="124">
        <v>56417.0</v>
      </c>
      <c r="P922" s="124">
        <v>430.0</v>
      </c>
      <c r="Q922" s="111"/>
      <c r="R922" s="125">
        <v>405.0</v>
      </c>
      <c r="S922" s="126">
        <v>0.9136</v>
      </c>
      <c r="T922" s="127">
        <v>74732.48</v>
      </c>
      <c r="U922" s="128">
        <f t="shared" si="2"/>
        <v>1</v>
      </c>
      <c r="V922" s="79"/>
      <c r="W922" s="79"/>
      <c r="X922" s="79"/>
      <c r="Y922" s="130"/>
      <c r="Z922" s="111"/>
      <c r="AA922" s="133"/>
      <c r="AB922" s="133"/>
      <c r="AC922" s="133"/>
      <c r="AD922" s="133"/>
      <c r="AE922" s="133"/>
      <c r="AF922" s="111"/>
      <c r="AG922" s="147"/>
      <c r="AH922" s="73"/>
      <c r="AI922" s="135"/>
      <c r="AJ922" s="136"/>
      <c r="AK922" s="76"/>
      <c r="AL922" s="137"/>
      <c r="AM922" s="139" t="s">
        <v>71</v>
      </c>
      <c r="AN922" s="139">
        <v>430.0</v>
      </c>
      <c r="AO922" s="140"/>
      <c r="AP922" s="142">
        <v>56417.0</v>
      </c>
      <c r="AQ922" s="142"/>
      <c r="AR922" s="143"/>
      <c r="AS922" s="144">
        <v>0.954197187465204</v>
      </c>
      <c r="AT922" s="144">
        <v>-0.04059718746520402</v>
      </c>
      <c r="AU922" s="146" t="s">
        <v>2763</v>
      </c>
      <c r="AV922" s="146" t="s">
        <v>2763</v>
      </c>
      <c r="AW922" s="148" t="s">
        <v>2763</v>
      </c>
      <c r="AX922" s="151"/>
      <c r="AY922" s="105"/>
      <c r="AZ922" s="186"/>
      <c r="BA922" s="186"/>
      <c r="BB922" s="222"/>
      <c r="BC922" s="45"/>
      <c r="BD922" s="45"/>
      <c r="BE922" s="155"/>
      <c r="BF922" s="45"/>
    </row>
    <row r="923" ht="16.5" customHeight="1">
      <c r="A923" s="111">
        <v>920.0</v>
      </c>
      <c r="B923" s="112" t="s">
        <v>1127</v>
      </c>
      <c r="C923" s="115" t="s">
        <v>60</v>
      </c>
      <c r="D923" s="117">
        <v>42160.0</v>
      </c>
      <c r="E923" s="117">
        <v>43070.0</v>
      </c>
      <c r="F923" s="79" t="s">
        <v>86</v>
      </c>
      <c r="G923" s="118">
        <v>109111.0</v>
      </c>
      <c r="H923" s="114">
        <v>119.8</v>
      </c>
      <c r="I923" s="120">
        <v>410.0</v>
      </c>
      <c r="J923" s="111" t="s">
        <v>61</v>
      </c>
      <c r="K923" s="121">
        <v>415.19</v>
      </c>
      <c r="L923" s="120" t="s">
        <v>63</v>
      </c>
      <c r="M923" s="120"/>
      <c r="N923" s="120"/>
      <c r="O923" s="124">
        <v>109111.0</v>
      </c>
      <c r="P923" s="124">
        <v>911.0</v>
      </c>
      <c r="Q923" s="111">
        <v>215.0</v>
      </c>
      <c r="R923" s="125">
        <v>430.0</v>
      </c>
      <c r="S923" s="126">
        <v>0.9656</v>
      </c>
      <c r="T923" s="127">
        <v>74834.0</v>
      </c>
      <c r="U923" s="128">
        <f t="shared" si="2"/>
        <v>0</v>
      </c>
      <c r="V923" s="79" t="s">
        <v>67</v>
      </c>
      <c r="W923" s="79" t="s">
        <v>65</v>
      </c>
      <c r="X923" s="79" t="s">
        <v>69</v>
      </c>
      <c r="Y923" s="130">
        <v>0.9</v>
      </c>
      <c r="Z923" s="111">
        <v>11.0</v>
      </c>
      <c r="AA923" s="111">
        <v>418.0</v>
      </c>
      <c r="AB923" s="111" t="s">
        <v>61</v>
      </c>
      <c r="AC923" s="133"/>
      <c r="AD923" s="133"/>
      <c r="AE923" s="133"/>
      <c r="AF923" s="111"/>
      <c r="AG923" s="147"/>
      <c r="AH923" s="73"/>
      <c r="AI923" s="135"/>
      <c r="AJ923" s="136"/>
      <c r="AK923" s="76"/>
      <c r="AL923" s="137"/>
      <c r="AM923" s="139">
        <v>423.0</v>
      </c>
      <c r="AN923" s="139">
        <v>911.0</v>
      </c>
      <c r="AO923" s="140">
        <v>308.03</v>
      </c>
      <c r="AP923" s="142">
        <v>109111.0</v>
      </c>
      <c r="AQ923" s="142">
        <v>215.0</v>
      </c>
      <c r="AR923" s="143"/>
      <c r="AS923" s="144">
        <v>0.9434136168070223</v>
      </c>
      <c r="AT923" s="144">
        <v>0.02218638319297772</v>
      </c>
      <c r="AU923" s="146" t="s">
        <v>2764</v>
      </c>
      <c r="AV923" s="146" t="s">
        <v>2764</v>
      </c>
      <c r="AW923" s="148" t="s">
        <v>2764</v>
      </c>
      <c r="AX923" s="151"/>
      <c r="AY923" s="105"/>
      <c r="AZ923" s="186"/>
      <c r="BA923" s="186"/>
      <c r="BB923" s="222"/>
      <c r="BC923" s="45"/>
      <c r="BD923" s="45"/>
      <c r="BE923" s="155"/>
      <c r="BF923" s="45"/>
    </row>
    <row r="924" ht="16.5" customHeight="1">
      <c r="A924" s="111">
        <v>921.0</v>
      </c>
      <c r="B924" s="112" t="s">
        <v>1841</v>
      </c>
      <c r="C924" s="115" t="s">
        <v>60</v>
      </c>
      <c r="D924" s="117">
        <v>42309.0</v>
      </c>
      <c r="E924" s="117">
        <v>43071.0</v>
      </c>
      <c r="F924" s="79" t="s">
        <v>86</v>
      </c>
      <c r="G924" s="118">
        <v>115665.0</v>
      </c>
      <c r="H924" s="114">
        <v>151.6</v>
      </c>
      <c r="I924" s="120">
        <v>412.0</v>
      </c>
      <c r="J924" s="111" t="s">
        <v>61</v>
      </c>
      <c r="K924" s="121">
        <v>417.22</v>
      </c>
      <c r="L924" s="120" t="s">
        <v>63</v>
      </c>
      <c r="M924" s="120"/>
      <c r="N924" s="120"/>
      <c r="O924" s="124">
        <v>115665.0</v>
      </c>
      <c r="P924" s="124">
        <v>763.0</v>
      </c>
      <c r="Q924" s="111">
        <v>240.0</v>
      </c>
      <c r="R924" s="125">
        <v>430.0</v>
      </c>
      <c r="S924" s="126">
        <v>0.9703</v>
      </c>
      <c r="T924" s="127">
        <v>75198.25</v>
      </c>
      <c r="U924" s="128">
        <f t="shared" si="2"/>
        <v>0</v>
      </c>
      <c r="V924" s="79" t="s">
        <v>65</v>
      </c>
      <c r="W924" s="79" t="s">
        <v>67</v>
      </c>
      <c r="X924" s="79" t="s">
        <v>69</v>
      </c>
      <c r="Y924" s="130">
        <v>0.9</v>
      </c>
      <c r="Z924" s="111">
        <v>11.0</v>
      </c>
      <c r="AA924" s="111">
        <v>402.0</v>
      </c>
      <c r="AB924" s="111" t="s">
        <v>61</v>
      </c>
      <c r="AC924" s="133"/>
      <c r="AD924" s="133"/>
      <c r="AE924" s="133"/>
      <c r="AF924" s="111"/>
      <c r="AG924" s="147"/>
      <c r="AH924" s="73"/>
      <c r="AI924" s="135"/>
      <c r="AJ924" s="136"/>
      <c r="AK924" s="76"/>
      <c r="AL924" s="137"/>
      <c r="AM924" s="139">
        <v>407.0</v>
      </c>
      <c r="AN924" s="139">
        <v>763.0</v>
      </c>
      <c r="AO924" s="140">
        <v>363.62</v>
      </c>
      <c r="AP924" s="142">
        <v>115665.0</v>
      </c>
      <c r="AQ924" s="142">
        <v>240.0</v>
      </c>
      <c r="AR924" s="143"/>
      <c r="AS924" s="144">
        <v>0.9423275990064379</v>
      </c>
      <c r="AT924" s="144">
        <v>0.02797240099356213</v>
      </c>
      <c r="AU924" s="146" t="s">
        <v>2765</v>
      </c>
      <c r="AV924" s="146" t="s">
        <v>2765</v>
      </c>
      <c r="AW924" s="148" t="s">
        <v>2765</v>
      </c>
      <c r="AX924" s="151"/>
      <c r="AY924" s="105"/>
      <c r="AZ924" s="186"/>
      <c r="BA924" s="186"/>
      <c r="BB924" s="222"/>
      <c r="BC924" s="45"/>
      <c r="BD924" s="45"/>
      <c r="BE924" s="155"/>
      <c r="BF924" s="45"/>
    </row>
    <row r="925" ht="16.5" customHeight="1">
      <c r="A925" s="111">
        <v>922.0</v>
      </c>
      <c r="B925" s="112" t="s">
        <v>1454</v>
      </c>
      <c r="C925" s="115" t="s">
        <v>60</v>
      </c>
      <c r="D925" s="117">
        <v>42266.0</v>
      </c>
      <c r="E925" s="117">
        <v>43072.0</v>
      </c>
      <c r="F925" s="79" t="s">
        <v>118</v>
      </c>
      <c r="G925" s="118">
        <v>47832.0</v>
      </c>
      <c r="H925" s="114">
        <v>59.3</v>
      </c>
      <c r="I925" s="120">
        <v>350.0</v>
      </c>
      <c r="J925" s="111" t="s">
        <v>61</v>
      </c>
      <c r="K925" s="121">
        <v>354.43</v>
      </c>
      <c r="L925" s="120" t="s">
        <v>63</v>
      </c>
      <c r="M925" s="120"/>
      <c r="N925" s="120"/>
      <c r="O925" s="124">
        <v>47832.0</v>
      </c>
      <c r="P925" s="124">
        <v>807.0</v>
      </c>
      <c r="Q925" s="111">
        <v>218.0</v>
      </c>
      <c r="R925" s="125">
        <v>365.0</v>
      </c>
      <c r="S925" s="126">
        <v>0.971</v>
      </c>
      <c r="T925" s="127">
        <v>66804.8</v>
      </c>
      <c r="U925" s="128">
        <f t="shared" si="2"/>
        <v>0</v>
      </c>
      <c r="V925" s="79" t="s">
        <v>64</v>
      </c>
      <c r="W925" s="79" t="s">
        <v>64</v>
      </c>
      <c r="X925" s="79" t="s">
        <v>66</v>
      </c>
      <c r="Y925" s="130">
        <v>0.9</v>
      </c>
      <c r="Z925" s="111">
        <v>11.0</v>
      </c>
      <c r="AA925" s="111">
        <v>360.0</v>
      </c>
      <c r="AB925" s="111" t="s">
        <v>61</v>
      </c>
      <c r="AC925" s="133"/>
      <c r="AD925" s="133"/>
      <c r="AE925" s="133"/>
      <c r="AF925" s="111"/>
      <c r="AG925" s="147"/>
      <c r="AH925" s="73"/>
      <c r="AI925" s="135"/>
      <c r="AJ925" s="136"/>
      <c r="AK925" s="76"/>
      <c r="AL925" s="137"/>
      <c r="AM925" s="139">
        <v>365.0</v>
      </c>
      <c r="AN925" s="139">
        <v>807.0</v>
      </c>
      <c r="AO925" s="140">
        <v>153.83</v>
      </c>
      <c r="AP925" s="142">
        <v>47832.0</v>
      </c>
      <c r="AQ925" s="142">
        <v>218.0</v>
      </c>
      <c r="AR925" s="143"/>
      <c r="AS925" s="144">
        <v>0.956926026012987</v>
      </c>
      <c r="AT925" s="144">
        <v>0.014073973987012933</v>
      </c>
      <c r="AU925" s="146" t="s">
        <v>2766</v>
      </c>
      <c r="AV925" s="146" t="s">
        <v>2766</v>
      </c>
      <c r="AW925" s="148" t="s">
        <v>2766</v>
      </c>
      <c r="AX925" s="151"/>
      <c r="AY925" s="105"/>
      <c r="AZ925" s="186"/>
      <c r="BA925" s="186"/>
      <c r="BB925" s="222"/>
      <c r="BC925" s="45"/>
      <c r="BD925" s="45"/>
      <c r="BE925" s="155"/>
      <c r="BF925" s="45"/>
    </row>
    <row r="926" ht="16.5" customHeight="1">
      <c r="A926" s="111">
        <v>923.0</v>
      </c>
      <c r="B926" s="112"/>
      <c r="C926" s="115"/>
      <c r="D926" s="117"/>
      <c r="E926" s="117"/>
      <c r="F926" s="79"/>
      <c r="G926" s="118"/>
      <c r="H926" s="114"/>
      <c r="I926" s="120"/>
      <c r="J926" s="111"/>
      <c r="K926" s="121"/>
      <c r="L926" s="120"/>
      <c r="M926" s="120"/>
      <c r="N926" s="120"/>
      <c r="O926" s="124"/>
      <c r="P926" s="124"/>
      <c r="Q926" s="111"/>
      <c r="R926" s="125"/>
      <c r="S926" s="126"/>
      <c r="T926" s="127"/>
      <c r="U926" s="128" t="str">
        <f t="shared" si="2"/>
        <v/>
      </c>
      <c r="V926" s="79"/>
      <c r="W926" s="79"/>
      <c r="X926" s="79"/>
      <c r="Y926" s="130"/>
      <c r="Z926" s="111"/>
      <c r="AA926" s="133"/>
      <c r="AB926" s="133"/>
      <c r="AC926" s="133"/>
      <c r="AD926" s="133"/>
      <c r="AE926" s="133"/>
      <c r="AF926" s="111"/>
      <c r="AG926" s="147"/>
      <c r="AH926" s="73"/>
      <c r="AI926" s="135"/>
      <c r="AJ926" s="136"/>
      <c r="AK926" s="76"/>
      <c r="AL926" s="137"/>
      <c r="AM926" s="139" t="s">
        <v>71</v>
      </c>
      <c r="AN926" s="139"/>
      <c r="AO926" s="140"/>
      <c r="AP926" s="142"/>
      <c r="AQ926" s="142"/>
      <c r="AR926" s="143"/>
      <c r="AS926" s="144"/>
      <c r="AT926" s="144"/>
      <c r="AU926" s="146"/>
      <c r="AV926" s="146"/>
      <c r="AW926" s="148"/>
      <c r="AX926" s="151"/>
      <c r="AY926" s="105"/>
      <c r="AZ926" s="186"/>
      <c r="BA926" s="186"/>
      <c r="BB926" s="222"/>
      <c r="BC926" s="45"/>
      <c r="BD926" s="45"/>
      <c r="BE926" s="155"/>
      <c r="BF926" s="45"/>
    </row>
    <row r="927" ht="16.5" customHeight="1">
      <c r="A927" s="111">
        <v>924.0</v>
      </c>
      <c r="B927" s="112"/>
      <c r="C927" s="115"/>
      <c r="D927" s="117"/>
      <c r="E927" s="117"/>
      <c r="F927" s="79"/>
      <c r="G927" s="118"/>
      <c r="H927" s="114"/>
      <c r="I927" s="120"/>
      <c r="J927" s="111"/>
      <c r="K927" s="121"/>
      <c r="L927" s="120"/>
      <c r="M927" s="120"/>
      <c r="N927" s="120"/>
      <c r="O927" s="124"/>
      <c r="P927" s="124"/>
      <c r="Q927" s="111"/>
      <c r="R927" s="125"/>
      <c r="S927" s="126"/>
      <c r="T927" s="127"/>
      <c r="U927" s="128" t="str">
        <f t="shared" si="2"/>
        <v/>
      </c>
      <c r="V927" s="79"/>
      <c r="W927" s="79"/>
      <c r="X927" s="79"/>
      <c r="Y927" s="130"/>
      <c r="Z927" s="111"/>
      <c r="AA927" s="133"/>
      <c r="AB927" s="133"/>
      <c r="AC927" s="133"/>
      <c r="AD927" s="133"/>
      <c r="AE927" s="133"/>
      <c r="AF927" s="111"/>
      <c r="AG927" s="147"/>
      <c r="AH927" s="73"/>
      <c r="AI927" s="135"/>
      <c r="AJ927" s="136"/>
      <c r="AK927" s="76"/>
      <c r="AL927" s="137"/>
      <c r="AM927" s="139" t="s">
        <v>71</v>
      </c>
      <c r="AN927" s="139"/>
      <c r="AO927" s="140"/>
      <c r="AP927" s="142"/>
      <c r="AQ927" s="142"/>
      <c r="AR927" s="143"/>
      <c r="AS927" s="144"/>
      <c r="AT927" s="144"/>
      <c r="AU927" s="146"/>
      <c r="AV927" s="146"/>
      <c r="AW927" s="148"/>
      <c r="AX927" s="151"/>
      <c r="AY927" s="105"/>
      <c r="AZ927" s="186"/>
      <c r="BA927" s="186"/>
      <c r="BB927" s="222"/>
      <c r="BC927" s="45"/>
      <c r="BD927" s="45"/>
      <c r="BE927" s="155"/>
      <c r="BF927" s="45"/>
    </row>
    <row r="928" ht="16.5" customHeight="1">
      <c r="A928" s="111">
        <v>925.0</v>
      </c>
      <c r="B928" s="112"/>
      <c r="C928" s="115"/>
      <c r="D928" s="117"/>
      <c r="E928" s="117"/>
      <c r="F928" s="79"/>
      <c r="G928" s="118"/>
      <c r="H928" s="114"/>
      <c r="I928" s="120"/>
      <c r="J928" s="111"/>
      <c r="K928" s="121"/>
      <c r="L928" s="120"/>
      <c r="M928" s="120"/>
      <c r="N928" s="120"/>
      <c r="O928" s="124"/>
      <c r="P928" s="124"/>
      <c r="Q928" s="111"/>
      <c r="R928" s="125"/>
      <c r="S928" s="126"/>
      <c r="T928" s="127"/>
      <c r="U928" s="128" t="str">
        <f t="shared" si="2"/>
        <v/>
      </c>
      <c r="V928" s="79"/>
      <c r="W928" s="79"/>
      <c r="X928" s="79"/>
      <c r="Y928" s="130"/>
      <c r="Z928" s="111"/>
      <c r="AA928" s="133"/>
      <c r="AB928" s="133"/>
      <c r="AC928" s="133"/>
      <c r="AD928" s="133"/>
      <c r="AE928" s="133"/>
      <c r="AF928" s="111"/>
      <c r="AG928" s="147"/>
      <c r="AH928" s="73"/>
      <c r="AI928" s="135"/>
      <c r="AJ928" s="136"/>
      <c r="AK928" s="76"/>
      <c r="AL928" s="137"/>
      <c r="AM928" s="139" t="s">
        <v>71</v>
      </c>
      <c r="AN928" s="139"/>
      <c r="AO928" s="140"/>
      <c r="AP928" s="142"/>
      <c r="AQ928" s="142"/>
      <c r="AR928" s="143"/>
      <c r="AS928" s="144"/>
      <c r="AT928" s="144"/>
      <c r="AU928" s="146"/>
      <c r="AV928" s="146"/>
      <c r="AW928" s="148"/>
      <c r="AX928" s="151"/>
      <c r="AY928" s="105"/>
      <c r="AZ928" s="186"/>
      <c r="BA928" s="186"/>
      <c r="BB928" s="222"/>
      <c r="BC928" s="45"/>
      <c r="BD928" s="45"/>
      <c r="BE928" s="155"/>
      <c r="BF928" s="45"/>
    </row>
    <row r="929" ht="16.5" customHeight="1">
      <c r="A929" s="111">
        <v>926.0</v>
      </c>
      <c r="B929" s="112"/>
      <c r="C929" s="115"/>
      <c r="D929" s="117"/>
      <c r="E929" s="117"/>
      <c r="F929" s="79"/>
      <c r="G929" s="118"/>
      <c r="H929" s="114"/>
      <c r="I929" s="120"/>
      <c r="J929" s="111"/>
      <c r="K929" s="121"/>
      <c r="L929" s="120"/>
      <c r="M929" s="120"/>
      <c r="N929" s="120"/>
      <c r="O929" s="124"/>
      <c r="P929" s="124"/>
      <c r="Q929" s="111"/>
      <c r="R929" s="125"/>
      <c r="S929" s="126"/>
      <c r="T929" s="127"/>
      <c r="U929" s="128" t="str">
        <f t="shared" si="2"/>
        <v/>
      </c>
      <c r="V929" s="79"/>
      <c r="W929" s="79"/>
      <c r="X929" s="79"/>
      <c r="Y929" s="130"/>
      <c r="Z929" s="111"/>
      <c r="AA929" s="133"/>
      <c r="AB929" s="133"/>
      <c r="AC929" s="133"/>
      <c r="AD929" s="133"/>
      <c r="AE929" s="133"/>
      <c r="AF929" s="111"/>
      <c r="AG929" s="147"/>
      <c r="AH929" s="73"/>
      <c r="AI929" s="135"/>
      <c r="AJ929" s="136"/>
      <c r="AK929" s="76"/>
      <c r="AL929" s="137"/>
      <c r="AM929" s="139" t="s">
        <v>71</v>
      </c>
      <c r="AN929" s="139"/>
      <c r="AO929" s="140"/>
      <c r="AP929" s="142"/>
      <c r="AQ929" s="142"/>
      <c r="AR929" s="143"/>
      <c r="AS929" s="144"/>
      <c r="AT929" s="144"/>
      <c r="AU929" s="146"/>
      <c r="AV929" s="146"/>
      <c r="AW929" s="148"/>
      <c r="AX929" s="151"/>
      <c r="AY929" s="105"/>
      <c r="AZ929" s="186"/>
      <c r="BA929" s="186"/>
      <c r="BB929" s="222"/>
      <c r="BC929" s="45"/>
      <c r="BD929" s="45"/>
      <c r="BE929" s="155"/>
      <c r="BF929" s="45"/>
    </row>
    <row r="930" ht="16.5" customHeight="1">
      <c r="A930" s="111">
        <v>927.0</v>
      </c>
      <c r="B930" s="112"/>
      <c r="C930" s="115"/>
      <c r="D930" s="117"/>
      <c r="E930" s="117"/>
      <c r="F930" s="79"/>
      <c r="G930" s="118"/>
      <c r="H930" s="114"/>
      <c r="I930" s="120"/>
      <c r="J930" s="111"/>
      <c r="K930" s="121"/>
      <c r="L930" s="120"/>
      <c r="M930" s="120"/>
      <c r="N930" s="120"/>
      <c r="O930" s="124"/>
      <c r="P930" s="124"/>
      <c r="Q930" s="111"/>
      <c r="R930" s="125"/>
      <c r="S930" s="126"/>
      <c r="T930" s="127"/>
      <c r="U930" s="128" t="str">
        <f t="shared" si="2"/>
        <v/>
      </c>
      <c r="V930" s="79"/>
      <c r="W930" s="79"/>
      <c r="X930" s="79"/>
      <c r="Y930" s="130"/>
      <c r="Z930" s="111"/>
      <c r="AA930" s="133"/>
      <c r="AB930" s="133"/>
      <c r="AC930" s="133"/>
      <c r="AD930" s="133"/>
      <c r="AE930" s="133"/>
      <c r="AF930" s="111"/>
      <c r="AG930" s="147"/>
      <c r="AH930" s="73"/>
      <c r="AI930" s="135"/>
      <c r="AJ930" s="136"/>
      <c r="AK930" s="76"/>
      <c r="AL930" s="137"/>
      <c r="AM930" s="139" t="s">
        <v>71</v>
      </c>
      <c r="AN930" s="139"/>
      <c r="AO930" s="140"/>
      <c r="AP930" s="142"/>
      <c r="AQ930" s="142"/>
      <c r="AR930" s="143"/>
      <c r="AS930" s="144"/>
      <c r="AT930" s="144"/>
      <c r="AU930" s="146"/>
      <c r="AV930" s="146"/>
      <c r="AW930" s="148"/>
      <c r="AX930" s="151"/>
      <c r="AY930" s="105"/>
      <c r="AZ930" s="186"/>
      <c r="BA930" s="186"/>
      <c r="BB930" s="222"/>
      <c r="BC930" s="45"/>
      <c r="BD930" s="45"/>
      <c r="BE930" s="155"/>
      <c r="BF930" s="45"/>
    </row>
    <row r="931" ht="16.5" customHeight="1">
      <c r="A931" s="111">
        <v>928.0</v>
      </c>
      <c r="B931" s="112"/>
      <c r="C931" s="115"/>
      <c r="D931" s="117"/>
      <c r="E931" s="117"/>
      <c r="F931" s="79"/>
      <c r="G931" s="118"/>
      <c r="H931" s="114"/>
      <c r="I931" s="120"/>
      <c r="J931" s="111"/>
      <c r="K931" s="121"/>
      <c r="L931" s="120"/>
      <c r="M931" s="120"/>
      <c r="N931" s="120"/>
      <c r="O931" s="124"/>
      <c r="P931" s="124"/>
      <c r="Q931" s="111"/>
      <c r="R931" s="125"/>
      <c r="S931" s="126"/>
      <c r="T931" s="127"/>
      <c r="U931" s="128" t="str">
        <f t="shared" si="2"/>
        <v/>
      </c>
      <c r="V931" s="79"/>
      <c r="W931" s="79"/>
      <c r="X931" s="79"/>
      <c r="Y931" s="130"/>
      <c r="Z931" s="111"/>
      <c r="AA931" s="133"/>
      <c r="AB931" s="133"/>
      <c r="AC931" s="133"/>
      <c r="AD931" s="133"/>
      <c r="AE931" s="133"/>
      <c r="AF931" s="111"/>
      <c r="AG931" s="147"/>
      <c r="AH931" s="73"/>
      <c r="AI931" s="135"/>
      <c r="AJ931" s="136"/>
      <c r="AK931" s="76"/>
      <c r="AL931" s="137"/>
      <c r="AM931" s="139" t="s">
        <v>71</v>
      </c>
      <c r="AN931" s="139"/>
      <c r="AO931" s="140"/>
      <c r="AP931" s="142"/>
      <c r="AQ931" s="142"/>
      <c r="AR931" s="143"/>
      <c r="AS931" s="144"/>
      <c r="AT931" s="144"/>
      <c r="AU931" s="146"/>
      <c r="AV931" s="146"/>
      <c r="AW931" s="148"/>
      <c r="AX931" s="151"/>
      <c r="AY931" s="105"/>
      <c r="AZ931" s="186"/>
      <c r="BA931" s="186"/>
      <c r="BB931" s="222"/>
      <c r="BC931" s="45"/>
      <c r="BD931" s="45"/>
      <c r="BE931" s="155"/>
      <c r="BF931" s="45"/>
    </row>
    <row r="932" ht="16.5" customHeight="1">
      <c r="A932" s="111">
        <v>929.0</v>
      </c>
      <c r="B932" s="112"/>
      <c r="C932" s="115"/>
      <c r="D932" s="117"/>
      <c r="E932" s="117"/>
      <c r="F932" s="79"/>
      <c r="G932" s="118"/>
      <c r="H932" s="114"/>
      <c r="I932" s="120"/>
      <c r="J932" s="111"/>
      <c r="K932" s="121"/>
      <c r="L932" s="120"/>
      <c r="M932" s="120"/>
      <c r="N932" s="120"/>
      <c r="O932" s="124"/>
      <c r="P932" s="124"/>
      <c r="Q932" s="111"/>
      <c r="R932" s="125"/>
      <c r="S932" s="126"/>
      <c r="T932" s="127"/>
      <c r="U932" s="128" t="str">
        <f t="shared" si="2"/>
        <v/>
      </c>
      <c r="V932" s="79"/>
      <c r="W932" s="79"/>
      <c r="X932" s="79"/>
      <c r="Y932" s="130"/>
      <c r="Z932" s="111"/>
      <c r="AA932" s="133"/>
      <c r="AB932" s="133"/>
      <c r="AC932" s="133"/>
      <c r="AD932" s="133"/>
      <c r="AE932" s="133"/>
      <c r="AF932" s="111"/>
      <c r="AG932" s="147"/>
      <c r="AH932" s="73"/>
      <c r="AI932" s="135"/>
      <c r="AJ932" s="136"/>
      <c r="AK932" s="76"/>
      <c r="AL932" s="137"/>
      <c r="AM932" s="139" t="s">
        <v>71</v>
      </c>
      <c r="AN932" s="139"/>
      <c r="AO932" s="140"/>
      <c r="AP932" s="142"/>
      <c r="AQ932" s="142"/>
      <c r="AR932" s="143"/>
      <c r="AS932" s="144"/>
      <c r="AT932" s="144"/>
      <c r="AU932" s="146"/>
      <c r="AV932" s="146"/>
      <c r="AW932" s="148"/>
      <c r="AX932" s="151"/>
      <c r="AY932" s="105"/>
      <c r="AZ932" s="186"/>
      <c r="BA932" s="186"/>
      <c r="BB932" s="222"/>
      <c r="BC932" s="45"/>
      <c r="BD932" s="45"/>
      <c r="BE932" s="155"/>
      <c r="BF932" s="45"/>
    </row>
    <row r="933" ht="16.5" customHeight="1">
      <c r="A933" s="111">
        <v>930.0</v>
      </c>
      <c r="B933" s="112"/>
      <c r="C933" s="115"/>
      <c r="D933" s="117"/>
      <c r="E933" s="117"/>
      <c r="F933" s="79"/>
      <c r="G933" s="118"/>
      <c r="H933" s="114"/>
      <c r="I933" s="120"/>
      <c r="J933" s="111"/>
      <c r="K933" s="121"/>
      <c r="L933" s="120"/>
      <c r="M933" s="120"/>
      <c r="N933" s="120"/>
      <c r="O933" s="124"/>
      <c r="P933" s="124"/>
      <c r="Q933" s="111"/>
      <c r="R933" s="125"/>
      <c r="S933" s="126"/>
      <c r="T933" s="127"/>
      <c r="U933" s="128" t="str">
        <f t="shared" si="2"/>
        <v/>
      </c>
      <c r="V933" s="79"/>
      <c r="W933" s="79"/>
      <c r="X933" s="79"/>
      <c r="Y933" s="130"/>
      <c r="Z933" s="111"/>
      <c r="AA933" s="133"/>
      <c r="AB933" s="133"/>
      <c r="AC933" s="133"/>
      <c r="AD933" s="133"/>
      <c r="AE933" s="133"/>
      <c r="AF933" s="111"/>
      <c r="AG933" s="147"/>
      <c r="AH933" s="73"/>
      <c r="AI933" s="135"/>
      <c r="AJ933" s="136"/>
      <c r="AK933" s="76"/>
      <c r="AL933" s="137"/>
      <c r="AM933" s="139" t="s">
        <v>71</v>
      </c>
      <c r="AN933" s="139"/>
      <c r="AO933" s="140"/>
      <c r="AP933" s="142"/>
      <c r="AQ933" s="142"/>
      <c r="AR933" s="143"/>
      <c r="AS933" s="144"/>
      <c r="AT933" s="144"/>
      <c r="AU933" s="146"/>
      <c r="AV933" s="146"/>
      <c r="AW933" s="148"/>
      <c r="AX933" s="151"/>
      <c r="AY933" s="105"/>
      <c r="AZ933" s="186"/>
      <c r="BA933" s="186"/>
      <c r="BB933" s="222"/>
      <c r="BC933" s="45"/>
      <c r="BD933" s="45"/>
      <c r="BE933" s="155"/>
      <c r="BF933" s="45"/>
    </row>
    <row r="934" ht="16.5" customHeight="1">
      <c r="A934" s="111">
        <v>931.0</v>
      </c>
      <c r="B934" s="112"/>
      <c r="C934" s="115"/>
      <c r="D934" s="117"/>
      <c r="E934" s="117"/>
      <c r="F934" s="79"/>
      <c r="G934" s="118"/>
      <c r="H934" s="114"/>
      <c r="I934" s="120"/>
      <c r="J934" s="111"/>
      <c r="K934" s="121"/>
      <c r="L934" s="120"/>
      <c r="M934" s="120"/>
      <c r="N934" s="120"/>
      <c r="O934" s="124"/>
      <c r="P934" s="124"/>
      <c r="Q934" s="111"/>
      <c r="R934" s="125"/>
      <c r="S934" s="126"/>
      <c r="T934" s="127"/>
      <c r="U934" s="128" t="str">
        <f t="shared" si="2"/>
        <v/>
      </c>
      <c r="V934" s="79"/>
      <c r="W934" s="79"/>
      <c r="X934" s="79"/>
      <c r="Y934" s="130"/>
      <c r="Z934" s="111"/>
      <c r="AA934" s="133"/>
      <c r="AB934" s="133"/>
      <c r="AC934" s="133"/>
      <c r="AD934" s="133"/>
      <c r="AE934" s="133"/>
      <c r="AF934" s="111"/>
      <c r="AG934" s="147"/>
      <c r="AH934" s="73"/>
      <c r="AI934" s="135"/>
      <c r="AJ934" s="136"/>
      <c r="AK934" s="76"/>
      <c r="AL934" s="137"/>
      <c r="AM934" s="139" t="s">
        <v>71</v>
      </c>
      <c r="AN934" s="139"/>
      <c r="AO934" s="140"/>
      <c r="AP934" s="142"/>
      <c r="AQ934" s="142"/>
      <c r="AR934" s="143"/>
      <c r="AS934" s="144"/>
      <c r="AT934" s="144"/>
      <c r="AU934" s="146"/>
      <c r="AV934" s="146"/>
      <c r="AW934" s="148"/>
      <c r="AX934" s="151"/>
      <c r="AY934" s="105"/>
      <c r="AZ934" s="186"/>
      <c r="BA934" s="186"/>
      <c r="BB934" s="222"/>
      <c r="BC934" s="45"/>
      <c r="BD934" s="45"/>
      <c r="BE934" s="155"/>
      <c r="BF934" s="45"/>
    </row>
    <row r="935" ht="16.5" customHeight="1">
      <c r="A935" s="111">
        <v>932.0</v>
      </c>
      <c r="B935" s="112"/>
      <c r="C935" s="115"/>
      <c r="D935" s="117"/>
      <c r="E935" s="117"/>
      <c r="F935" s="79"/>
      <c r="G935" s="118"/>
      <c r="H935" s="114"/>
      <c r="I935" s="120"/>
      <c r="J935" s="111"/>
      <c r="K935" s="121"/>
      <c r="L935" s="120"/>
      <c r="M935" s="120"/>
      <c r="N935" s="120"/>
      <c r="O935" s="124"/>
      <c r="P935" s="124"/>
      <c r="Q935" s="111"/>
      <c r="R935" s="125"/>
      <c r="S935" s="126"/>
      <c r="T935" s="127"/>
      <c r="U935" s="128" t="str">
        <f t="shared" si="2"/>
        <v/>
      </c>
      <c r="V935" s="79"/>
      <c r="W935" s="79"/>
      <c r="X935" s="79"/>
      <c r="Y935" s="130"/>
      <c r="Z935" s="111"/>
      <c r="AA935" s="133"/>
      <c r="AB935" s="133"/>
      <c r="AC935" s="133"/>
      <c r="AD935" s="133"/>
      <c r="AE935" s="133"/>
      <c r="AF935" s="111"/>
      <c r="AG935" s="147"/>
      <c r="AH935" s="73"/>
      <c r="AI935" s="135"/>
      <c r="AJ935" s="136"/>
      <c r="AK935" s="76"/>
      <c r="AL935" s="137"/>
      <c r="AM935" s="139" t="s">
        <v>71</v>
      </c>
      <c r="AN935" s="139"/>
      <c r="AO935" s="140"/>
      <c r="AP935" s="142"/>
      <c r="AQ935" s="142"/>
      <c r="AR935" s="143"/>
      <c r="AS935" s="144"/>
      <c r="AT935" s="144"/>
      <c r="AU935" s="146"/>
      <c r="AV935" s="146"/>
      <c r="AW935" s="148"/>
      <c r="AX935" s="151"/>
      <c r="AY935" s="105"/>
      <c r="AZ935" s="186"/>
      <c r="BA935" s="186"/>
      <c r="BB935" s="222"/>
      <c r="BC935" s="45"/>
      <c r="BD935" s="45"/>
      <c r="BE935" s="155"/>
      <c r="BF935" s="45"/>
    </row>
    <row r="936" ht="16.5" customHeight="1">
      <c r="A936" s="111">
        <v>933.0</v>
      </c>
      <c r="B936" s="112"/>
      <c r="C936" s="115"/>
      <c r="D936" s="117"/>
      <c r="E936" s="117"/>
      <c r="F936" s="79"/>
      <c r="G936" s="118"/>
      <c r="H936" s="114"/>
      <c r="I936" s="120"/>
      <c r="J936" s="111"/>
      <c r="K936" s="121"/>
      <c r="L936" s="120"/>
      <c r="M936" s="120"/>
      <c r="N936" s="120"/>
      <c r="O936" s="124"/>
      <c r="P936" s="124"/>
      <c r="Q936" s="111"/>
      <c r="R936" s="125"/>
      <c r="S936" s="126"/>
      <c r="T936" s="127"/>
      <c r="U936" s="128" t="str">
        <f t="shared" si="2"/>
        <v/>
      </c>
      <c r="V936" s="79"/>
      <c r="W936" s="79"/>
      <c r="X936" s="79"/>
      <c r="Y936" s="130"/>
      <c r="Z936" s="111"/>
      <c r="AA936" s="133"/>
      <c r="AB936" s="133"/>
      <c r="AC936" s="133"/>
      <c r="AD936" s="133"/>
      <c r="AE936" s="133"/>
      <c r="AF936" s="111"/>
      <c r="AG936" s="147"/>
      <c r="AH936" s="73"/>
      <c r="AI936" s="135"/>
      <c r="AJ936" s="136"/>
      <c r="AK936" s="76"/>
      <c r="AL936" s="137"/>
      <c r="AM936" s="139" t="s">
        <v>71</v>
      </c>
      <c r="AN936" s="139"/>
      <c r="AO936" s="140"/>
      <c r="AP936" s="142"/>
      <c r="AQ936" s="142"/>
      <c r="AR936" s="143"/>
      <c r="AS936" s="144"/>
      <c r="AT936" s="144"/>
      <c r="AU936" s="146"/>
      <c r="AV936" s="146"/>
      <c r="AW936" s="148"/>
      <c r="AX936" s="151"/>
      <c r="AY936" s="105"/>
      <c r="AZ936" s="186"/>
      <c r="BA936" s="186"/>
      <c r="BB936" s="222"/>
      <c r="BC936" s="45"/>
      <c r="BD936" s="45"/>
      <c r="BE936" s="155"/>
      <c r="BF936" s="45"/>
    </row>
    <row r="937" ht="16.5" customHeight="1">
      <c r="A937" s="111">
        <v>934.0</v>
      </c>
      <c r="B937" s="112"/>
      <c r="C937" s="115"/>
      <c r="D937" s="117"/>
      <c r="E937" s="117"/>
      <c r="F937" s="79"/>
      <c r="G937" s="118"/>
      <c r="H937" s="114"/>
      <c r="I937" s="120"/>
      <c r="J937" s="111"/>
      <c r="K937" s="121"/>
      <c r="L937" s="120"/>
      <c r="M937" s="120"/>
      <c r="N937" s="120"/>
      <c r="O937" s="124"/>
      <c r="P937" s="124"/>
      <c r="Q937" s="111"/>
      <c r="R937" s="125"/>
      <c r="S937" s="126"/>
      <c r="T937" s="127"/>
      <c r="U937" s="128" t="str">
        <f t="shared" si="2"/>
        <v/>
      </c>
      <c r="V937" s="79"/>
      <c r="W937" s="79"/>
      <c r="X937" s="79"/>
      <c r="Y937" s="130"/>
      <c r="Z937" s="111"/>
      <c r="AA937" s="133"/>
      <c r="AB937" s="133"/>
      <c r="AC937" s="133"/>
      <c r="AD937" s="133"/>
      <c r="AE937" s="133"/>
      <c r="AF937" s="111"/>
      <c r="AG937" s="147"/>
      <c r="AH937" s="73"/>
      <c r="AI937" s="135"/>
      <c r="AJ937" s="136"/>
      <c r="AK937" s="76"/>
      <c r="AL937" s="137"/>
      <c r="AM937" s="139" t="s">
        <v>71</v>
      </c>
      <c r="AN937" s="139"/>
      <c r="AO937" s="140"/>
      <c r="AP937" s="142"/>
      <c r="AQ937" s="142"/>
      <c r="AR937" s="143"/>
      <c r="AS937" s="144"/>
      <c r="AT937" s="144"/>
      <c r="AU937" s="146"/>
      <c r="AV937" s="146"/>
      <c r="AW937" s="148"/>
      <c r="AX937" s="151"/>
      <c r="AY937" s="105"/>
      <c r="AZ937" s="186"/>
      <c r="BA937" s="186"/>
      <c r="BB937" s="222"/>
      <c r="BC937" s="45"/>
      <c r="BD937" s="45"/>
      <c r="BE937" s="155"/>
      <c r="BF937" s="45"/>
    </row>
    <row r="938" ht="16.5" customHeight="1">
      <c r="A938" s="111">
        <v>935.0</v>
      </c>
      <c r="B938" s="112"/>
      <c r="C938" s="115"/>
      <c r="D938" s="117"/>
      <c r="E938" s="117"/>
      <c r="F938" s="79"/>
      <c r="G938" s="118"/>
      <c r="H938" s="114"/>
      <c r="I938" s="120"/>
      <c r="J938" s="111"/>
      <c r="K938" s="121"/>
      <c r="L938" s="120"/>
      <c r="M938" s="120"/>
      <c r="N938" s="120"/>
      <c r="O938" s="124"/>
      <c r="P938" s="124"/>
      <c r="Q938" s="111"/>
      <c r="R938" s="125"/>
      <c r="S938" s="126"/>
      <c r="T938" s="127"/>
      <c r="U938" s="128" t="str">
        <f t="shared" si="2"/>
        <v/>
      </c>
      <c r="V938" s="79"/>
      <c r="W938" s="79"/>
      <c r="X938" s="79"/>
      <c r="Y938" s="130"/>
      <c r="Z938" s="111"/>
      <c r="AA938" s="133"/>
      <c r="AB938" s="133"/>
      <c r="AC938" s="133"/>
      <c r="AD938" s="133"/>
      <c r="AE938" s="133"/>
      <c r="AF938" s="111"/>
      <c r="AG938" s="147"/>
      <c r="AH938" s="73"/>
      <c r="AI938" s="135"/>
      <c r="AJ938" s="136"/>
      <c r="AK938" s="76"/>
      <c r="AL938" s="137"/>
      <c r="AM938" s="139" t="s">
        <v>71</v>
      </c>
      <c r="AN938" s="139"/>
      <c r="AO938" s="140"/>
      <c r="AP938" s="142"/>
      <c r="AQ938" s="142"/>
      <c r="AR938" s="143"/>
      <c r="AS938" s="144"/>
      <c r="AT938" s="144"/>
      <c r="AU938" s="146"/>
      <c r="AV938" s="146"/>
      <c r="AW938" s="148"/>
      <c r="AX938" s="151"/>
      <c r="AY938" s="105"/>
      <c r="AZ938" s="186"/>
      <c r="BA938" s="186"/>
      <c r="BB938" s="222"/>
      <c r="BC938" s="45"/>
      <c r="BD938" s="45"/>
      <c r="BE938" s="155"/>
      <c r="BF938" s="45"/>
    </row>
    <row r="939" ht="16.5" customHeight="1">
      <c r="A939" s="111">
        <v>936.0</v>
      </c>
      <c r="B939" s="112"/>
      <c r="C939" s="115"/>
      <c r="D939" s="117"/>
      <c r="E939" s="117"/>
      <c r="F939" s="79"/>
      <c r="G939" s="118"/>
      <c r="H939" s="114"/>
      <c r="I939" s="120"/>
      <c r="J939" s="111"/>
      <c r="K939" s="121"/>
      <c r="L939" s="120"/>
      <c r="M939" s="120"/>
      <c r="N939" s="120"/>
      <c r="O939" s="124"/>
      <c r="P939" s="124"/>
      <c r="Q939" s="111"/>
      <c r="R939" s="125"/>
      <c r="S939" s="126"/>
      <c r="T939" s="127"/>
      <c r="U939" s="128" t="str">
        <f t="shared" si="2"/>
        <v/>
      </c>
      <c r="V939" s="79"/>
      <c r="W939" s="79"/>
      <c r="X939" s="79"/>
      <c r="Y939" s="130"/>
      <c r="Z939" s="111"/>
      <c r="AA939" s="133"/>
      <c r="AB939" s="133"/>
      <c r="AC939" s="133"/>
      <c r="AD939" s="133"/>
      <c r="AE939" s="133"/>
      <c r="AF939" s="111"/>
      <c r="AG939" s="147"/>
      <c r="AH939" s="73"/>
      <c r="AI939" s="135"/>
      <c r="AJ939" s="136"/>
      <c r="AK939" s="76"/>
      <c r="AL939" s="137"/>
      <c r="AM939" s="139" t="s">
        <v>71</v>
      </c>
      <c r="AN939" s="139"/>
      <c r="AO939" s="140"/>
      <c r="AP939" s="142"/>
      <c r="AQ939" s="142"/>
      <c r="AR939" s="143"/>
      <c r="AS939" s="144"/>
      <c r="AT939" s="144"/>
      <c r="AU939" s="146"/>
      <c r="AV939" s="146"/>
      <c r="AW939" s="148"/>
      <c r="AX939" s="151"/>
      <c r="AY939" s="105"/>
      <c r="AZ939" s="186"/>
      <c r="BA939" s="186"/>
      <c r="BB939" s="222"/>
      <c r="BC939" s="45"/>
      <c r="BD939" s="45"/>
      <c r="BE939" s="155"/>
      <c r="BF939" s="45"/>
    </row>
    <row r="940" ht="16.5" customHeight="1">
      <c r="A940" s="111">
        <v>937.0</v>
      </c>
      <c r="B940" s="112"/>
      <c r="C940" s="115"/>
      <c r="D940" s="117"/>
      <c r="E940" s="117"/>
      <c r="F940" s="79"/>
      <c r="G940" s="118"/>
      <c r="H940" s="114"/>
      <c r="I940" s="120"/>
      <c r="J940" s="111"/>
      <c r="K940" s="121"/>
      <c r="L940" s="120"/>
      <c r="M940" s="120"/>
      <c r="N940" s="120"/>
      <c r="O940" s="124"/>
      <c r="P940" s="124"/>
      <c r="Q940" s="111"/>
      <c r="R940" s="125"/>
      <c r="S940" s="126"/>
      <c r="T940" s="127"/>
      <c r="U940" s="128" t="str">
        <f t="shared" si="2"/>
        <v/>
      </c>
      <c r="V940" s="79"/>
      <c r="W940" s="79"/>
      <c r="X940" s="79"/>
      <c r="Y940" s="130"/>
      <c r="Z940" s="111"/>
      <c r="AA940" s="133"/>
      <c r="AB940" s="133"/>
      <c r="AC940" s="133"/>
      <c r="AD940" s="133"/>
      <c r="AE940" s="133"/>
      <c r="AF940" s="111"/>
      <c r="AG940" s="147"/>
      <c r="AH940" s="73"/>
      <c r="AI940" s="135"/>
      <c r="AJ940" s="136"/>
      <c r="AK940" s="76"/>
      <c r="AL940" s="137"/>
      <c r="AM940" s="139" t="s">
        <v>71</v>
      </c>
      <c r="AN940" s="139"/>
      <c r="AO940" s="140"/>
      <c r="AP940" s="142"/>
      <c r="AQ940" s="142"/>
      <c r="AR940" s="143"/>
      <c r="AS940" s="144"/>
      <c r="AT940" s="144"/>
      <c r="AU940" s="146"/>
      <c r="AV940" s="146"/>
      <c r="AW940" s="148"/>
      <c r="AX940" s="151"/>
      <c r="AY940" s="105"/>
      <c r="AZ940" s="186"/>
      <c r="BA940" s="186"/>
      <c r="BB940" s="222"/>
      <c r="BC940" s="45"/>
      <c r="BD940" s="45"/>
      <c r="BE940" s="155"/>
      <c r="BF940" s="45"/>
    </row>
    <row r="941" ht="16.5" customHeight="1">
      <c r="A941" s="111">
        <v>938.0</v>
      </c>
      <c r="B941" s="112"/>
      <c r="C941" s="115"/>
      <c r="D941" s="117"/>
      <c r="E941" s="117"/>
      <c r="F941" s="79"/>
      <c r="G941" s="118"/>
      <c r="H941" s="114"/>
      <c r="I941" s="120"/>
      <c r="J941" s="111"/>
      <c r="K941" s="121"/>
      <c r="L941" s="120"/>
      <c r="M941" s="120"/>
      <c r="N941" s="120"/>
      <c r="O941" s="124"/>
      <c r="P941" s="124"/>
      <c r="Q941" s="111"/>
      <c r="R941" s="125"/>
      <c r="S941" s="126"/>
      <c r="T941" s="127"/>
      <c r="U941" s="128" t="str">
        <f t="shared" si="2"/>
        <v/>
      </c>
      <c r="V941" s="79"/>
      <c r="W941" s="79"/>
      <c r="X941" s="79"/>
      <c r="Y941" s="130"/>
      <c r="Z941" s="111"/>
      <c r="AA941" s="133"/>
      <c r="AB941" s="133"/>
      <c r="AC941" s="133"/>
      <c r="AD941" s="133"/>
      <c r="AE941" s="133"/>
      <c r="AF941" s="111"/>
      <c r="AG941" s="147"/>
      <c r="AH941" s="73"/>
      <c r="AI941" s="135"/>
      <c r="AJ941" s="136"/>
      <c r="AK941" s="76"/>
      <c r="AL941" s="137"/>
      <c r="AM941" s="139" t="s">
        <v>71</v>
      </c>
      <c r="AN941" s="139"/>
      <c r="AO941" s="140"/>
      <c r="AP941" s="142"/>
      <c r="AQ941" s="142"/>
      <c r="AR941" s="143"/>
      <c r="AS941" s="144"/>
      <c r="AT941" s="144"/>
      <c r="AU941" s="146"/>
      <c r="AV941" s="146"/>
      <c r="AW941" s="148"/>
      <c r="AX941" s="151"/>
      <c r="AY941" s="105"/>
      <c r="AZ941" s="186"/>
      <c r="BA941" s="186"/>
      <c r="BB941" s="222"/>
      <c r="BC941" s="45"/>
      <c r="BD941" s="45"/>
      <c r="BE941" s="155"/>
      <c r="BF941" s="45"/>
    </row>
    <row r="942" ht="16.5" customHeight="1">
      <c r="A942" s="111">
        <v>939.0</v>
      </c>
      <c r="B942" s="112"/>
      <c r="C942" s="115"/>
      <c r="D942" s="117"/>
      <c r="E942" s="117"/>
      <c r="F942" s="79"/>
      <c r="G942" s="118"/>
      <c r="H942" s="114"/>
      <c r="I942" s="120"/>
      <c r="J942" s="111"/>
      <c r="K942" s="121"/>
      <c r="L942" s="120"/>
      <c r="M942" s="120"/>
      <c r="N942" s="120"/>
      <c r="O942" s="124"/>
      <c r="P942" s="124"/>
      <c r="Q942" s="111"/>
      <c r="R942" s="125"/>
      <c r="S942" s="126"/>
      <c r="T942" s="127"/>
      <c r="U942" s="128" t="str">
        <f t="shared" si="2"/>
        <v/>
      </c>
      <c r="V942" s="79"/>
      <c r="W942" s="79"/>
      <c r="X942" s="79"/>
      <c r="Y942" s="130"/>
      <c r="Z942" s="111"/>
      <c r="AA942" s="133"/>
      <c r="AB942" s="133"/>
      <c r="AC942" s="133"/>
      <c r="AD942" s="133"/>
      <c r="AE942" s="133"/>
      <c r="AF942" s="111"/>
      <c r="AG942" s="147"/>
      <c r="AH942" s="73"/>
      <c r="AI942" s="135"/>
      <c r="AJ942" s="136"/>
      <c r="AK942" s="76"/>
      <c r="AL942" s="137"/>
      <c r="AM942" s="139" t="s">
        <v>71</v>
      </c>
      <c r="AN942" s="139"/>
      <c r="AO942" s="140"/>
      <c r="AP942" s="142"/>
      <c r="AQ942" s="142"/>
      <c r="AR942" s="143"/>
      <c r="AS942" s="144"/>
      <c r="AT942" s="144"/>
      <c r="AU942" s="146"/>
      <c r="AV942" s="146"/>
      <c r="AW942" s="148"/>
      <c r="AX942" s="151"/>
      <c r="AY942" s="105"/>
      <c r="AZ942" s="186"/>
      <c r="BA942" s="186"/>
      <c r="BB942" s="222"/>
      <c r="BC942" s="45"/>
      <c r="BD942" s="45"/>
      <c r="BE942" s="155"/>
      <c r="BF942" s="45"/>
    </row>
    <row r="943" ht="16.5" customHeight="1">
      <c r="A943" s="111">
        <v>940.0</v>
      </c>
      <c r="B943" s="112"/>
      <c r="C943" s="115"/>
      <c r="D943" s="117"/>
      <c r="E943" s="117"/>
      <c r="F943" s="79"/>
      <c r="G943" s="118"/>
      <c r="H943" s="114"/>
      <c r="I943" s="120"/>
      <c r="J943" s="111"/>
      <c r="K943" s="121"/>
      <c r="L943" s="120"/>
      <c r="M943" s="120"/>
      <c r="N943" s="120"/>
      <c r="O943" s="124"/>
      <c r="P943" s="124"/>
      <c r="Q943" s="111"/>
      <c r="R943" s="125"/>
      <c r="S943" s="126"/>
      <c r="T943" s="127"/>
      <c r="U943" s="128" t="str">
        <f t="shared" si="2"/>
        <v/>
      </c>
      <c r="V943" s="79"/>
      <c r="W943" s="79"/>
      <c r="X943" s="79"/>
      <c r="Y943" s="130"/>
      <c r="Z943" s="111"/>
      <c r="AA943" s="133"/>
      <c r="AB943" s="133"/>
      <c r="AC943" s="133"/>
      <c r="AD943" s="133"/>
      <c r="AE943" s="133"/>
      <c r="AF943" s="111"/>
      <c r="AG943" s="147"/>
      <c r="AH943" s="73"/>
      <c r="AI943" s="135"/>
      <c r="AJ943" s="136"/>
      <c r="AK943" s="76"/>
      <c r="AL943" s="137"/>
      <c r="AM943" s="139" t="s">
        <v>71</v>
      </c>
      <c r="AN943" s="139"/>
      <c r="AO943" s="140"/>
      <c r="AP943" s="142"/>
      <c r="AQ943" s="142"/>
      <c r="AR943" s="143"/>
      <c r="AS943" s="144"/>
      <c r="AT943" s="144"/>
      <c r="AU943" s="146"/>
      <c r="AV943" s="146"/>
      <c r="AW943" s="148"/>
      <c r="AX943" s="151"/>
      <c r="AY943" s="105"/>
      <c r="AZ943" s="186"/>
      <c r="BA943" s="186"/>
      <c r="BB943" s="222"/>
      <c r="BC943" s="45"/>
      <c r="BD943" s="45"/>
      <c r="BE943" s="155"/>
      <c r="BF943" s="45"/>
    </row>
    <row r="944" ht="16.5" customHeight="1">
      <c r="A944" s="111">
        <v>941.0</v>
      </c>
      <c r="B944" s="112"/>
      <c r="C944" s="115"/>
      <c r="D944" s="117"/>
      <c r="E944" s="117"/>
      <c r="F944" s="79"/>
      <c r="G944" s="118"/>
      <c r="H944" s="114"/>
      <c r="I944" s="120"/>
      <c r="J944" s="111"/>
      <c r="K944" s="121"/>
      <c r="L944" s="120"/>
      <c r="M944" s="120"/>
      <c r="N944" s="120"/>
      <c r="O944" s="124"/>
      <c r="P944" s="124"/>
      <c r="Q944" s="111"/>
      <c r="R944" s="125"/>
      <c r="S944" s="126"/>
      <c r="T944" s="127"/>
      <c r="U944" s="128" t="str">
        <f t="shared" si="2"/>
        <v/>
      </c>
      <c r="V944" s="79"/>
      <c r="W944" s="79"/>
      <c r="X944" s="79"/>
      <c r="Y944" s="130"/>
      <c r="Z944" s="111"/>
      <c r="AA944" s="133"/>
      <c r="AB944" s="133"/>
      <c r="AC944" s="133"/>
      <c r="AD944" s="133"/>
      <c r="AE944" s="133"/>
      <c r="AF944" s="111"/>
      <c r="AG944" s="147"/>
      <c r="AH944" s="73"/>
      <c r="AI944" s="135"/>
      <c r="AJ944" s="136"/>
      <c r="AK944" s="76"/>
      <c r="AL944" s="137"/>
      <c r="AM944" s="139" t="s">
        <v>71</v>
      </c>
      <c r="AN944" s="139"/>
      <c r="AO944" s="140"/>
      <c r="AP944" s="142"/>
      <c r="AQ944" s="142"/>
      <c r="AR944" s="143"/>
      <c r="AS944" s="144"/>
      <c r="AT944" s="144"/>
      <c r="AU944" s="146"/>
      <c r="AV944" s="146"/>
      <c r="AW944" s="148"/>
      <c r="AX944" s="151"/>
      <c r="AY944" s="105"/>
      <c r="AZ944" s="186"/>
      <c r="BA944" s="186"/>
      <c r="BB944" s="222"/>
      <c r="BC944" s="45"/>
      <c r="BD944" s="45"/>
      <c r="BE944" s="155"/>
      <c r="BF944" s="45"/>
    </row>
    <row r="945" ht="16.5" customHeight="1">
      <c r="A945" s="111">
        <v>942.0</v>
      </c>
      <c r="B945" s="112"/>
      <c r="C945" s="115"/>
      <c r="D945" s="117"/>
      <c r="E945" s="117"/>
      <c r="F945" s="79"/>
      <c r="G945" s="118"/>
      <c r="H945" s="114"/>
      <c r="I945" s="120"/>
      <c r="J945" s="111"/>
      <c r="K945" s="121"/>
      <c r="L945" s="120"/>
      <c r="M945" s="120"/>
      <c r="N945" s="120"/>
      <c r="O945" s="124"/>
      <c r="P945" s="124"/>
      <c r="Q945" s="111"/>
      <c r="R945" s="125"/>
      <c r="S945" s="126"/>
      <c r="T945" s="127"/>
      <c r="U945" s="128" t="str">
        <f t="shared" si="2"/>
        <v/>
      </c>
      <c r="V945" s="79"/>
      <c r="W945" s="79"/>
      <c r="X945" s="79"/>
      <c r="Y945" s="130"/>
      <c r="Z945" s="111"/>
      <c r="AA945" s="133"/>
      <c r="AB945" s="133"/>
      <c r="AC945" s="133"/>
      <c r="AD945" s="133"/>
      <c r="AE945" s="133"/>
      <c r="AF945" s="111"/>
      <c r="AG945" s="147"/>
      <c r="AH945" s="73"/>
      <c r="AI945" s="135"/>
      <c r="AJ945" s="136"/>
      <c r="AK945" s="76"/>
      <c r="AL945" s="137"/>
      <c r="AM945" s="139" t="s">
        <v>71</v>
      </c>
      <c r="AN945" s="139"/>
      <c r="AO945" s="140"/>
      <c r="AP945" s="142"/>
      <c r="AQ945" s="142"/>
      <c r="AR945" s="143"/>
      <c r="AS945" s="144"/>
      <c r="AT945" s="144"/>
      <c r="AU945" s="146"/>
      <c r="AV945" s="146"/>
      <c r="AW945" s="148"/>
      <c r="AX945" s="151"/>
      <c r="AY945" s="105"/>
      <c r="AZ945" s="186"/>
      <c r="BA945" s="186"/>
      <c r="BB945" s="222"/>
      <c r="BC945" s="45"/>
      <c r="BD945" s="45"/>
      <c r="BE945" s="155"/>
      <c r="BF945" s="45"/>
    </row>
    <row r="946" ht="16.5" customHeight="1">
      <c r="A946" s="111">
        <v>943.0</v>
      </c>
      <c r="B946" s="112"/>
      <c r="C946" s="115"/>
      <c r="D946" s="117"/>
      <c r="E946" s="117"/>
      <c r="F946" s="79"/>
      <c r="G946" s="118"/>
      <c r="H946" s="114"/>
      <c r="I946" s="120"/>
      <c r="J946" s="111"/>
      <c r="K946" s="121"/>
      <c r="L946" s="120"/>
      <c r="M946" s="120"/>
      <c r="N946" s="120"/>
      <c r="O946" s="124"/>
      <c r="P946" s="124"/>
      <c r="Q946" s="111"/>
      <c r="R946" s="125"/>
      <c r="S946" s="126"/>
      <c r="T946" s="127"/>
      <c r="U946" s="128" t="str">
        <f t="shared" si="2"/>
        <v/>
      </c>
      <c r="V946" s="79"/>
      <c r="W946" s="79"/>
      <c r="X946" s="79"/>
      <c r="Y946" s="130"/>
      <c r="Z946" s="111"/>
      <c r="AA946" s="133"/>
      <c r="AB946" s="133"/>
      <c r="AC946" s="133"/>
      <c r="AD946" s="133"/>
      <c r="AE946" s="133"/>
      <c r="AF946" s="111"/>
      <c r="AG946" s="147"/>
      <c r="AH946" s="73"/>
      <c r="AI946" s="135"/>
      <c r="AJ946" s="136"/>
      <c r="AK946" s="76"/>
      <c r="AL946" s="137"/>
      <c r="AM946" s="139" t="s">
        <v>71</v>
      </c>
      <c r="AN946" s="139"/>
      <c r="AO946" s="140"/>
      <c r="AP946" s="142"/>
      <c r="AQ946" s="142"/>
      <c r="AR946" s="143"/>
      <c r="AS946" s="144"/>
      <c r="AT946" s="144"/>
      <c r="AU946" s="146"/>
      <c r="AV946" s="146"/>
      <c r="AW946" s="148"/>
      <c r="AX946" s="151"/>
      <c r="AY946" s="105"/>
      <c r="AZ946" s="186"/>
      <c r="BA946" s="186"/>
      <c r="BB946" s="222"/>
      <c r="BC946" s="45"/>
      <c r="BD946" s="45"/>
      <c r="BE946" s="155"/>
      <c r="BF946" s="45"/>
    </row>
    <row r="947" ht="16.5" customHeight="1">
      <c r="A947" s="111">
        <v>944.0</v>
      </c>
      <c r="B947" s="112"/>
      <c r="C947" s="115"/>
      <c r="D947" s="117"/>
      <c r="E947" s="117"/>
      <c r="F947" s="79"/>
      <c r="G947" s="118"/>
      <c r="H947" s="114"/>
      <c r="I947" s="120"/>
      <c r="J947" s="111"/>
      <c r="K947" s="121"/>
      <c r="L947" s="120"/>
      <c r="M947" s="120"/>
      <c r="N947" s="120"/>
      <c r="O947" s="124"/>
      <c r="P947" s="124"/>
      <c r="Q947" s="111"/>
      <c r="R947" s="125"/>
      <c r="S947" s="126"/>
      <c r="T947" s="127"/>
      <c r="U947" s="128" t="str">
        <f t="shared" si="2"/>
        <v/>
      </c>
      <c r="V947" s="79"/>
      <c r="W947" s="79"/>
      <c r="X947" s="79"/>
      <c r="Y947" s="130"/>
      <c r="Z947" s="111"/>
      <c r="AA947" s="133"/>
      <c r="AB947" s="133"/>
      <c r="AC947" s="133"/>
      <c r="AD947" s="133"/>
      <c r="AE947" s="133"/>
      <c r="AF947" s="111"/>
      <c r="AG947" s="147"/>
      <c r="AH947" s="73"/>
      <c r="AI947" s="135"/>
      <c r="AJ947" s="136"/>
      <c r="AK947" s="76"/>
      <c r="AL947" s="137"/>
      <c r="AM947" s="139" t="s">
        <v>71</v>
      </c>
      <c r="AN947" s="139"/>
      <c r="AO947" s="140"/>
      <c r="AP947" s="142"/>
      <c r="AQ947" s="142"/>
      <c r="AR947" s="143"/>
      <c r="AS947" s="144"/>
      <c r="AT947" s="144"/>
      <c r="AU947" s="146"/>
      <c r="AV947" s="146"/>
      <c r="AW947" s="148"/>
      <c r="AX947" s="151"/>
      <c r="AY947" s="105"/>
      <c r="AZ947" s="186"/>
      <c r="BA947" s="186"/>
      <c r="BB947" s="222"/>
      <c r="BC947" s="45"/>
      <c r="BD947" s="45"/>
      <c r="BE947" s="155"/>
      <c r="BF947" s="45"/>
    </row>
    <row r="948" ht="16.5" customHeight="1">
      <c r="A948" s="111">
        <v>945.0</v>
      </c>
      <c r="B948" s="112"/>
      <c r="C948" s="115"/>
      <c r="D948" s="117"/>
      <c r="E948" s="117"/>
      <c r="F948" s="79"/>
      <c r="G948" s="118"/>
      <c r="H948" s="114"/>
      <c r="I948" s="120"/>
      <c r="J948" s="111"/>
      <c r="K948" s="121"/>
      <c r="L948" s="120"/>
      <c r="M948" s="120"/>
      <c r="N948" s="120"/>
      <c r="O948" s="124"/>
      <c r="P948" s="124"/>
      <c r="Q948" s="111"/>
      <c r="R948" s="125"/>
      <c r="S948" s="126"/>
      <c r="T948" s="127"/>
      <c r="U948" s="128" t="str">
        <f t="shared" si="2"/>
        <v/>
      </c>
      <c r="V948" s="79"/>
      <c r="W948" s="79"/>
      <c r="X948" s="79"/>
      <c r="Y948" s="130"/>
      <c r="Z948" s="111"/>
      <c r="AA948" s="133"/>
      <c r="AB948" s="133"/>
      <c r="AC948" s="133"/>
      <c r="AD948" s="133"/>
      <c r="AE948" s="133"/>
      <c r="AF948" s="111"/>
      <c r="AG948" s="147"/>
      <c r="AH948" s="73"/>
      <c r="AI948" s="135"/>
      <c r="AJ948" s="136"/>
      <c r="AK948" s="76"/>
      <c r="AL948" s="137"/>
      <c r="AM948" s="139" t="s">
        <v>71</v>
      </c>
      <c r="AN948" s="139"/>
      <c r="AO948" s="140"/>
      <c r="AP948" s="142"/>
      <c r="AQ948" s="142"/>
      <c r="AR948" s="143"/>
      <c r="AS948" s="144"/>
      <c r="AT948" s="144"/>
      <c r="AU948" s="146"/>
      <c r="AV948" s="146"/>
      <c r="AW948" s="148"/>
      <c r="AX948" s="151"/>
      <c r="AY948" s="105"/>
      <c r="AZ948" s="186"/>
      <c r="BA948" s="186"/>
      <c r="BB948" s="222"/>
      <c r="BC948" s="45"/>
      <c r="BD948" s="45"/>
      <c r="BE948" s="155"/>
      <c r="BF948" s="45"/>
    </row>
    <row r="949" ht="16.5" customHeight="1">
      <c r="A949" s="111">
        <v>946.0</v>
      </c>
      <c r="B949" s="112"/>
      <c r="C949" s="115"/>
      <c r="D949" s="117"/>
      <c r="E949" s="117"/>
      <c r="F949" s="79"/>
      <c r="G949" s="118"/>
      <c r="H949" s="114"/>
      <c r="I949" s="120"/>
      <c r="J949" s="111"/>
      <c r="K949" s="121"/>
      <c r="L949" s="120"/>
      <c r="M949" s="120"/>
      <c r="N949" s="120"/>
      <c r="O949" s="124"/>
      <c r="P949" s="124"/>
      <c r="Q949" s="111"/>
      <c r="R949" s="125"/>
      <c r="S949" s="126"/>
      <c r="T949" s="127"/>
      <c r="U949" s="128" t="str">
        <f t="shared" si="2"/>
        <v/>
      </c>
      <c r="V949" s="79"/>
      <c r="W949" s="79"/>
      <c r="X949" s="79"/>
      <c r="Y949" s="130"/>
      <c r="Z949" s="111"/>
      <c r="AA949" s="133"/>
      <c r="AB949" s="133"/>
      <c r="AC949" s="133"/>
      <c r="AD949" s="133"/>
      <c r="AE949" s="133"/>
      <c r="AF949" s="111"/>
      <c r="AG949" s="147"/>
      <c r="AH949" s="73"/>
      <c r="AI949" s="135"/>
      <c r="AJ949" s="136"/>
      <c r="AK949" s="76"/>
      <c r="AL949" s="137"/>
      <c r="AM949" s="139" t="s">
        <v>71</v>
      </c>
      <c r="AN949" s="139"/>
      <c r="AO949" s="140"/>
      <c r="AP949" s="142"/>
      <c r="AQ949" s="142"/>
      <c r="AR949" s="143"/>
      <c r="AS949" s="144"/>
      <c r="AT949" s="144"/>
      <c r="AU949" s="146"/>
      <c r="AV949" s="146"/>
      <c r="AW949" s="148"/>
      <c r="AX949" s="151"/>
      <c r="AY949" s="105"/>
      <c r="AZ949" s="186"/>
      <c r="BA949" s="186"/>
      <c r="BB949" s="222"/>
      <c r="BC949" s="45"/>
      <c r="BD949" s="45"/>
      <c r="BE949" s="155"/>
      <c r="BF949" s="45"/>
    </row>
    <row r="950" ht="16.5" customHeight="1">
      <c r="A950" s="111">
        <v>947.0</v>
      </c>
      <c r="B950" s="112"/>
      <c r="C950" s="115"/>
      <c r="D950" s="117"/>
      <c r="E950" s="117"/>
      <c r="F950" s="79"/>
      <c r="G950" s="118"/>
      <c r="H950" s="114"/>
      <c r="I950" s="120"/>
      <c r="J950" s="111"/>
      <c r="K950" s="121"/>
      <c r="L950" s="120"/>
      <c r="M950" s="120"/>
      <c r="N950" s="120"/>
      <c r="O950" s="124"/>
      <c r="P950" s="124"/>
      <c r="Q950" s="111"/>
      <c r="R950" s="125"/>
      <c r="S950" s="126"/>
      <c r="T950" s="127"/>
      <c r="U950" s="128" t="str">
        <f t="shared" si="2"/>
        <v/>
      </c>
      <c r="V950" s="79"/>
      <c r="W950" s="79"/>
      <c r="X950" s="79"/>
      <c r="Y950" s="130"/>
      <c r="Z950" s="111"/>
      <c r="AA950" s="133"/>
      <c r="AB950" s="133"/>
      <c r="AC950" s="133"/>
      <c r="AD950" s="133"/>
      <c r="AE950" s="133"/>
      <c r="AF950" s="111"/>
      <c r="AG950" s="147"/>
      <c r="AH950" s="73"/>
      <c r="AI950" s="135"/>
      <c r="AJ950" s="136"/>
      <c r="AK950" s="76"/>
      <c r="AL950" s="137"/>
      <c r="AM950" s="139" t="s">
        <v>71</v>
      </c>
      <c r="AN950" s="139"/>
      <c r="AO950" s="140"/>
      <c r="AP950" s="142"/>
      <c r="AQ950" s="142"/>
      <c r="AR950" s="143"/>
      <c r="AS950" s="144"/>
      <c r="AT950" s="144"/>
      <c r="AU950" s="146"/>
      <c r="AV950" s="146"/>
      <c r="AW950" s="148"/>
      <c r="AX950" s="151"/>
      <c r="AY950" s="105"/>
      <c r="AZ950" s="186"/>
      <c r="BA950" s="186"/>
      <c r="BB950" s="222"/>
      <c r="BC950" s="45"/>
      <c r="BD950" s="45"/>
      <c r="BE950" s="155"/>
      <c r="BF950" s="45"/>
    </row>
    <row r="951" ht="16.5" customHeight="1">
      <c r="A951" s="111">
        <v>948.0</v>
      </c>
      <c r="B951" s="112"/>
      <c r="C951" s="115"/>
      <c r="D951" s="117"/>
      <c r="E951" s="117"/>
      <c r="F951" s="79"/>
      <c r="G951" s="118"/>
      <c r="H951" s="114"/>
      <c r="I951" s="120"/>
      <c r="J951" s="111"/>
      <c r="K951" s="121"/>
      <c r="L951" s="120"/>
      <c r="M951" s="120"/>
      <c r="N951" s="120"/>
      <c r="O951" s="124"/>
      <c r="P951" s="124"/>
      <c r="Q951" s="111"/>
      <c r="R951" s="125"/>
      <c r="S951" s="126"/>
      <c r="T951" s="127"/>
      <c r="U951" s="128" t="str">
        <f t="shared" si="2"/>
        <v/>
      </c>
      <c r="V951" s="79"/>
      <c r="W951" s="79"/>
      <c r="X951" s="79"/>
      <c r="Y951" s="130"/>
      <c r="Z951" s="111"/>
      <c r="AA951" s="133"/>
      <c r="AB951" s="133"/>
      <c r="AC951" s="133"/>
      <c r="AD951" s="133"/>
      <c r="AE951" s="133"/>
      <c r="AF951" s="111"/>
      <c r="AG951" s="147"/>
      <c r="AH951" s="73"/>
      <c r="AI951" s="135"/>
      <c r="AJ951" s="136"/>
      <c r="AK951" s="76"/>
      <c r="AL951" s="137"/>
      <c r="AM951" s="139" t="s">
        <v>71</v>
      </c>
      <c r="AN951" s="139"/>
      <c r="AO951" s="140"/>
      <c r="AP951" s="142"/>
      <c r="AQ951" s="142"/>
      <c r="AR951" s="143"/>
      <c r="AS951" s="144"/>
      <c r="AT951" s="144"/>
      <c r="AU951" s="146"/>
      <c r="AV951" s="146"/>
      <c r="AW951" s="148"/>
      <c r="AX951" s="151"/>
      <c r="AY951" s="105"/>
      <c r="AZ951" s="186"/>
      <c r="BA951" s="186"/>
      <c r="BB951" s="222"/>
      <c r="BC951" s="45"/>
      <c r="BD951" s="45"/>
      <c r="BE951" s="155"/>
      <c r="BF951" s="45"/>
    </row>
    <row r="952" ht="16.5" customHeight="1">
      <c r="A952" s="111">
        <v>949.0</v>
      </c>
      <c r="B952" s="112"/>
      <c r="C952" s="115"/>
      <c r="D952" s="117"/>
      <c r="E952" s="117"/>
      <c r="F952" s="79"/>
      <c r="G952" s="118"/>
      <c r="H952" s="114"/>
      <c r="I952" s="120"/>
      <c r="J952" s="111"/>
      <c r="K952" s="121"/>
      <c r="L952" s="120"/>
      <c r="M952" s="120"/>
      <c r="N952" s="120"/>
      <c r="O952" s="124"/>
      <c r="P952" s="124"/>
      <c r="Q952" s="111"/>
      <c r="R952" s="125"/>
      <c r="S952" s="126"/>
      <c r="T952" s="127"/>
      <c r="U952" s="128" t="str">
        <f t="shared" si="2"/>
        <v/>
      </c>
      <c r="V952" s="79"/>
      <c r="W952" s="79"/>
      <c r="X952" s="79"/>
      <c r="Y952" s="130"/>
      <c r="Z952" s="111"/>
      <c r="AA952" s="133"/>
      <c r="AB952" s="133"/>
      <c r="AC952" s="133"/>
      <c r="AD952" s="133"/>
      <c r="AE952" s="133"/>
      <c r="AF952" s="111"/>
      <c r="AG952" s="147"/>
      <c r="AH952" s="73"/>
      <c r="AI952" s="135"/>
      <c r="AJ952" s="136"/>
      <c r="AK952" s="76"/>
      <c r="AL952" s="137"/>
      <c r="AM952" s="139" t="s">
        <v>71</v>
      </c>
      <c r="AN952" s="139"/>
      <c r="AO952" s="140"/>
      <c r="AP952" s="142"/>
      <c r="AQ952" s="142"/>
      <c r="AR952" s="143"/>
      <c r="AS952" s="144"/>
      <c r="AT952" s="144"/>
      <c r="AU952" s="146"/>
      <c r="AV952" s="146"/>
      <c r="AW952" s="148"/>
      <c r="AX952" s="151"/>
      <c r="AY952" s="105"/>
      <c r="AZ952" s="186"/>
      <c r="BA952" s="186"/>
      <c r="BB952" s="222"/>
      <c r="BC952" s="45"/>
      <c r="BD952" s="45"/>
      <c r="BE952" s="155"/>
      <c r="BF952" s="45"/>
    </row>
    <row r="953" ht="16.5" customHeight="1">
      <c r="A953" s="111">
        <v>950.0</v>
      </c>
      <c r="B953" s="112"/>
      <c r="C953" s="115"/>
      <c r="D953" s="117"/>
      <c r="E953" s="117"/>
      <c r="F953" s="79"/>
      <c r="G953" s="118"/>
      <c r="H953" s="114"/>
      <c r="I953" s="120"/>
      <c r="J953" s="111"/>
      <c r="K953" s="121"/>
      <c r="L953" s="120"/>
      <c r="M953" s="120"/>
      <c r="N953" s="120"/>
      <c r="O953" s="124"/>
      <c r="P953" s="124"/>
      <c r="Q953" s="111"/>
      <c r="R953" s="125"/>
      <c r="S953" s="126"/>
      <c r="T953" s="127"/>
      <c r="U953" s="128" t="str">
        <f t="shared" si="2"/>
        <v/>
      </c>
      <c r="V953" s="79"/>
      <c r="W953" s="79"/>
      <c r="X953" s="79"/>
      <c r="Y953" s="130"/>
      <c r="Z953" s="111"/>
      <c r="AA953" s="133"/>
      <c r="AB953" s="133"/>
      <c r="AC953" s="133"/>
      <c r="AD953" s="133"/>
      <c r="AE953" s="133"/>
      <c r="AF953" s="111"/>
      <c r="AG953" s="147"/>
      <c r="AH953" s="73"/>
      <c r="AI953" s="135"/>
      <c r="AJ953" s="136"/>
      <c r="AK953" s="76"/>
      <c r="AL953" s="137"/>
      <c r="AM953" s="139" t="s">
        <v>71</v>
      </c>
      <c r="AN953" s="139"/>
      <c r="AO953" s="140"/>
      <c r="AP953" s="142"/>
      <c r="AQ953" s="142"/>
      <c r="AR953" s="143"/>
      <c r="AS953" s="144"/>
      <c r="AT953" s="144"/>
      <c r="AU953" s="146"/>
      <c r="AV953" s="146"/>
      <c r="AW953" s="148"/>
      <c r="AX953" s="151"/>
      <c r="AY953" s="105"/>
      <c r="AZ953" s="186"/>
      <c r="BA953" s="186"/>
      <c r="BB953" s="222"/>
      <c r="BC953" s="45"/>
      <c r="BD953" s="45"/>
      <c r="BE953" s="155"/>
      <c r="BF953" s="45"/>
    </row>
    <row r="954" ht="16.5" customHeight="1">
      <c r="A954" s="111">
        <v>951.0</v>
      </c>
      <c r="B954" s="112"/>
      <c r="C954" s="115"/>
      <c r="D954" s="117"/>
      <c r="E954" s="117"/>
      <c r="F954" s="79"/>
      <c r="G954" s="118"/>
      <c r="H954" s="114"/>
      <c r="I954" s="120"/>
      <c r="J954" s="111"/>
      <c r="K954" s="121"/>
      <c r="L954" s="120"/>
      <c r="M954" s="120"/>
      <c r="N954" s="120"/>
      <c r="O954" s="124"/>
      <c r="P954" s="124"/>
      <c r="Q954" s="111"/>
      <c r="R954" s="125"/>
      <c r="S954" s="126"/>
      <c r="T954" s="127"/>
      <c r="U954" s="128" t="str">
        <f t="shared" si="2"/>
        <v/>
      </c>
      <c r="V954" s="79"/>
      <c r="W954" s="79"/>
      <c r="X954" s="79"/>
      <c r="Y954" s="130"/>
      <c r="Z954" s="111"/>
      <c r="AA954" s="133"/>
      <c r="AB954" s="133"/>
      <c r="AC954" s="133"/>
      <c r="AD954" s="133"/>
      <c r="AE954" s="133"/>
      <c r="AF954" s="111"/>
      <c r="AG954" s="147"/>
      <c r="AH954" s="73"/>
      <c r="AI954" s="135"/>
      <c r="AJ954" s="136"/>
      <c r="AK954" s="76"/>
      <c r="AL954" s="137"/>
      <c r="AM954" s="139" t="s">
        <v>71</v>
      </c>
      <c r="AN954" s="139"/>
      <c r="AO954" s="140"/>
      <c r="AP954" s="142"/>
      <c r="AQ954" s="142"/>
      <c r="AR954" s="143"/>
      <c r="AS954" s="144"/>
      <c r="AT954" s="144"/>
      <c r="AU954" s="146"/>
      <c r="AV954" s="146"/>
      <c r="AW954" s="148"/>
      <c r="AX954" s="151"/>
      <c r="AY954" s="105"/>
      <c r="AZ954" s="186"/>
      <c r="BA954" s="186"/>
      <c r="BB954" s="222"/>
      <c r="BC954" s="45"/>
      <c r="BD954" s="45"/>
      <c r="BE954" s="155"/>
      <c r="BF954" s="45"/>
    </row>
    <row r="955" ht="16.5" customHeight="1">
      <c r="A955" s="111">
        <v>952.0</v>
      </c>
      <c r="B955" s="112"/>
      <c r="C955" s="115"/>
      <c r="D955" s="117"/>
      <c r="E955" s="117"/>
      <c r="F955" s="79"/>
      <c r="G955" s="118"/>
      <c r="H955" s="114"/>
      <c r="I955" s="120"/>
      <c r="J955" s="111"/>
      <c r="K955" s="121"/>
      <c r="L955" s="120"/>
      <c r="M955" s="120"/>
      <c r="N955" s="120"/>
      <c r="O955" s="124"/>
      <c r="P955" s="124"/>
      <c r="Q955" s="111"/>
      <c r="R955" s="125"/>
      <c r="S955" s="126"/>
      <c r="T955" s="127"/>
      <c r="U955" s="128" t="str">
        <f t="shared" si="2"/>
        <v/>
      </c>
      <c r="V955" s="79"/>
      <c r="W955" s="79"/>
      <c r="X955" s="79"/>
      <c r="Y955" s="130"/>
      <c r="Z955" s="111"/>
      <c r="AA955" s="133"/>
      <c r="AB955" s="133"/>
      <c r="AC955" s="133"/>
      <c r="AD955" s="133"/>
      <c r="AE955" s="133"/>
      <c r="AF955" s="111"/>
      <c r="AG955" s="147"/>
      <c r="AH955" s="73"/>
      <c r="AI955" s="135"/>
      <c r="AJ955" s="136"/>
      <c r="AK955" s="76"/>
      <c r="AL955" s="137"/>
      <c r="AM955" s="139" t="s">
        <v>71</v>
      </c>
      <c r="AN955" s="139"/>
      <c r="AO955" s="140"/>
      <c r="AP955" s="142"/>
      <c r="AQ955" s="142"/>
      <c r="AR955" s="143"/>
      <c r="AS955" s="144"/>
      <c r="AT955" s="144"/>
      <c r="AU955" s="146"/>
      <c r="AV955" s="146"/>
      <c r="AW955" s="148"/>
      <c r="AX955" s="151"/>
      <c r="AY955" s="105"/>
      <c r="AZ955" s="186"/>
      <c r="BA955" s="186"/>
      <c r="BB955" s="222"/>
      <c r="BC955" s="45"/>
      <c r="BD955" s="45"/>
      <c r="BE955" s="155"/>
      <c r="BF955" s="45"/>
    </row>
  </sheetData>
  <mergeCells count="4">
    <mergeCell ref="AP1:AQ1"/>
    <mergeCell ref="AC1:AF1"/>
    <mergeCell ref="AA1:AB1"/>
    <mergeCell ref="AU1:BA1"/>
  </mergeCells>
  <conditionalFormatting sqref="Q187">
    <cfRule type="expression" dxfId="1" priority="1">
      <formula>$AX185="Data changed"</formula>
    </cfRule>
  </conditionalFormatting>
  <conditionalFormatting sqref="AZ4:AZ955">
    <cfRule type="expression" dxfId="0" priority="2">
      <formula>AZ4&lt;&gt;BA4</formula>
    </cfRule>
  </conditionalFormatting>
  <conditionalFormatting sqref="AX4:AX955">
    <cfRule type="notContainsBlanks" dxfId="0" priority="3">
      <formula>LEN(TRIM(AX4))&gt;0</formula>
    </cfRule>
  </conditionalFormatting>
  <conditionalFormatting sqref="A4:AX955">
    <cfRule type="expression" dxfId="1" priority="4">
      <formula>$AX4="Data changed"</formula>
    </cfRule>
  </conditionalFormatting>
  <conditionalFormatting sqref="AT4:AT955">
    <cfRule type="colorScale" priority="5">
      <colorScale>
        <cfvo type="formula" val="0"/>
        <cfvo type="formula" val="0.005"/>
        <cfvo type="max"/>
        <color rgb="FFFFFFFF"/>
        <color rgb="FF89F282"/>
        <color rgb="FF12E504"/>
      </colorScale>
    </cfRule>
  </conditionalFormatting>
  <conditionalFormatting sqref="U1:U955">
    <cfRule type="cellIs" dxfId="0" priority="6" operator="greaterThanOrEqual">
      <formula>1</formula>
    </cfRule>
  </conditionalFormatting>
  <conditionalFormatting sqref="H:H">
    <cfRule type="colorScale" priority="7">
      <colorScale>
        <cfvo type="min"/>
        <cfvo type="formula" val="300"/>
        <cfvo type="formula" val="350"/>
        <color rgb="FFFFFFFF"/>
        <color rgb="FF3C78D8"/>
        <color rgb="FFFF0000"/>
      </colorScale>
    </cfRule>
  </conditionalFormatting>
  <conditionalFormatting sqref="H:H">
    <cfRule type="containsText" dxfId="2" priority="8" operator="containsText" text="wrong">
      <formula>NOT(ISERROR(SEARCH(("wrong"),(H1))))</formula>
    </cfRule>
  </conditionalFormatting>
  <conditionalFormatting sqref="S:S AK2:AK955">
    <cfRule type="colorScale" priority="9">
      <colorScale>
        <cfvo type="min"/>
        <cfvo type="max"/>
        <color rgb="FF9CFF00"/>
        <color rgb="FF12E504"/>
      </colorScale>
    </cfRule>
  </conditionalFormatting>
  <conditionalFormatting sqref="E4:E955">
    <cfRule type="expression" dxfId="0" priority="10">
      <formula>AND(E4&lt;&gt;"",E4&lt;D4)</formula>
    </cfRule>
  </conditionalFormatting>
  <conditionalFormatting sqref="M4:N955">
    <cfRule type="expression" dxfId="7" priority="11">
      <formula>$L4="No"</formula>
    </cfRule>
  </conditionalFormatting>
  <dataValidations>
    <dataValidation type="list" allowBlank="1" showErrorMessage="1" sqref="L4:L955 AY4:AY955">
      <formula1>"Yes,No"</formula1>
    </dataValidation>
    <dataValidation type="decimal" allowBlank="1" showInputMessage="1" showErrorMessage="1" prompt="Enter a number between 200 and 1000" sqref="AA4:AA955">
      <formula1>200.0</formula1>
      <formula2>1000.0</formula2>
    </dataValidation>
    <dataValidation type="decimal" allowBlank="1" showErrorMessage="1" sqref="Q4:Q185 I4:I955 Q187:Q955">
      <formula1>1.0</formula1>
      <formula2>1000.0</formula2>
    </dataValidation>
    <dataValidation type="list" allowBlank="1" showErrorMessage="1" sqref="Y4:Y955">
      <formula1>Administrative!$Z$5:$Z$23</formula1>
    </dataValidation>
    <dataValidation type="list" allowBlank="1" showErrorMessage="1" sqref="F274:F542 F544:F843 F845:F878 F880:F955">
      <formula1>Administrative!$L$5:$L$73</formula1>
    </dataValidation>
    <dataValidation type="list" allowBlank="1" showErrorMessage="1" sqref="J4:J153 J201 J273 J335">
      <formula1>"On,Off,Unknown"</formula1>
    </dataValidation>
    <dataValidation type="list" allowBlank="1" showErrorMessage="1" sqref="J154:J200 J202:J272 J274:J334 J336:J955 AB4:AB955 AF4:AF955">
      <formula1>"On,Off"</formula1>
    </dataValidation>
    <dataValidation type="list" allowBlank="1" showErrorMessage="1" sqref="F4:F273 F543 F844 F879">
      <formula1>Administrative!$L$4:$L$73</formula1>
    </dataValidation>
    <dataValidation type="list" allowBlank="1" showErrorMessage="1" sqref="C4:C228 C253 C259 C269 C273 C302 C326 C333 C335 C354:C355 C360 C365:C366 C370 C416 C426 C475 C543 C844 C879">
      <formula1>Administrative!$M$1:$P$1</formula1>
    </dataValidation>
    <dataValidation type="decimal" allowBlank="1" showErrorMessage="1" sqref="G4:G955">
      <formula1>0.0</formula1>
      <formula2>1000000.0</formula2>
    </dataValidation>
    <dataValidation type="list" allowBlank="1" showDropDown="1" showErrorMessage="1" sqref="C1">
      <formula1>Administrative!$M$1:$P$1</formula1>
    </dataValidation>
    <dataValidation type="list" allowBlank="1" sqref="C229:C252 C254:C258 C260:C268 C270:C272 C274:C301 C303:C325 C327:C332 C334 C336:C353 C356:C359 C361:C364 C367:C369 C371:C415 C417:C425 C427:C474 C476:C542 C544:C843 C845:C878 C880:C955">
      <formula1>Administrative!$M$1:$P$1</formula1>
    </dataValidation>
    <dataValidation type="list" allowBlank="1" showErrorMessage="1" sqref="M4:M955">
      <formula1>Administrative!$AA$5:$AA$38</formula1>
    </dataValidation>
    <dataValidation type="list" allowBlank="1" showErrorMessage="1" sqref="V4:X602 V603:W603 V604:X955">
      <formula1>Administrative!$X$5:$X$23</formula1>
    </dataValidation>
  </dataValidations>
  <hyperlinks>
    <hyperlink r:id="rId1" ref="R600"/>
  </hyperlinks>
  <drawing r:id="rId2"/>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FF0000"/>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7.43"/>
    <col customWidth="1" min="2" max="2" width="18.14"/>
    <col customWidth="1" min="3" max="3" width="19.57"/>
    <col customWidth="1" min="4" max="4" width="18.43"/>
    <col customWidth="1" min="5" max="5" width="19.71"/>
    <col customWidth="1" min="6" max="6" width="19.14"/>
    <col customWidth="1" min="7" max="7" width="16.0"/>
    <col customWidth="1" min="8" max="8" width="20.86"/>
    <col customWidth="1" min="9" max="9" width="16.71"/>
    <col customWidth="1" min="10" max="10" width="12.14"/>
    <col customWidth="1" min="11" max="11" width="16.29"/>
    <col customWidth="1" min="12" max="12" width="14.43"/>
    <col customWidth="1" min="13" max="13" width="18.0"/>
    <col customWidth="1" min="14" max="14" width="16.0"/>
    <col customWidth="1" min="15" max="15" width="20.71"/>
    <col customWidth="1" min="16" max="16" width="22.43"/>
    <col customWidth="1" min="17" max="17" width="21.57"/>
    <col customWidth="1" min="18" max="19" width="16.57"/>
    <col customWidth="1" min="20" max="20" width="18.86"/>
    <col customWidth="1" min="21" max="21" width="16.57"/>
    <col customWidth="1" min="22" max="22" width="20.0"/>
    <col customWidth="1" min="23" max="23" width="20.86"/>
    <col customWidth="1" min="24" max="24" width="20.14"/>
    <col customWidth="1" min="25" max="25" width="15.0"/>
    <col customWidth="1" min="26" max="26" width="16.14"/>
    <col customWidth="1" min="27" max="27" width="16.29"/>
    <col customWidth="1" min="28" max="29" width="18.14"/>
    <col customWidth="1" min="30" max="30" width="17.14"/>
    <col customWidth="1" min="31" max="31" width="19.71"/>
    <col customWidth="1" min="32" max="32" width="18.14"/>
    <col customWidth="1" min="33" max="33" width="69.86"/>
    <col customWidth="1" min="34" max="34" width="21.57"/>
    <col customWidth="1" min="35" max="35" width="19.0"/>
    <col customWidth="1" min="36" max="36" width="23.43"/>
    <col customWidth="1" min="37" max="37" width="14.57"/>
    <col customWidth="1" min="38" max="38" width="37.57"/>
    <col customWidth="1" min="39" max="39" width="21.43"/>
    <col customWidth="1" min="40" max="40" width="18.14"/>
    <col customWidth="1" min="41" max="43" width="14.86"/>
    <col customWidth="1" min="44" max="44" width="18.14"/>
    <col customWidth="1" min="45" max="45" width="24.0"/>
    <col customWidth="1" min="46" max="46" width="18.29"/>
    <col customWidth="1" min="47" max="47" width="20.57"/>
    <col customWidth="1" min="48" max="58" width="18.14"/>
  </cols>
  <sheetData>
    <row r="1" ht="39.75" customHeight="1">
      <c r="A1" s="1" t="s">
        <v>0</v>
      </c>
      <c r="B1" s="3" t="str">
        <f>Administrative!$N$1</f>
        <v>Canada</v>
      </c>
      <c r="C1" s="9"/>
      <c r="D1" s="10" t="str">
        <f>IF(COUNTIF(AX:AX, "new data")=1,COUNTIF(AX:AX, "new data") &amp; " new entry",IF(COUNTIF(AX:AX, "new data")&gt;1,COUNTIF(AX:AX, "new data") &amp; " new entries",""))</f>
        <v/>
      </c>
      <c r="E1" s="10" t="str">
        <f>IF(COUNTIF(AX:AX, "data changed")=1,COUNTIF(AX:AX, "data changed") &amp; " entry has changed",IF(COUNTIF(AX:AX, "data changed")&gt;1,COUNTIF(AX:AX, "data changed") &amp; " entries have changed",""))</f>
        <v/>
      </c>
      <c r="F1" s="11"/>
      <c r="G1" s="12"/>
      <c r="H1" s="13" t="s">
        <v>1</v>
      </c>
      <c r="I1" s="14"/>
      <c r="J1" s="15"/>
      <c r="K1" s="16"/>
      <c r="L1" s="19"/>
      <c r="M1" s="19"/>
      <c r="N1" s="22"/>
      <c r="O1" s="18"/>
      <c r="P1" s="18"/>
      <c r="Q1" s="17" t="str">
        <f>"Average: " &amp; ROUND(AVERAGE(Q4:Q75),2) &amp;char(10)&amp;"Enter average if you don't know"</f>
        <v>Average: 212.87
Enter average if you don't know</v>
      </c>
      <c r="R1" s="21"/>
      <c r="S1" s="21"/>
      <c r="T1" s="12"/>
      <c r="U1" s="26"/>
      <c r="V1" s="26"/>
      <c r="W1" s="26"/>
      <c r="X1" s="26"/>
      <c r="Y1" s="13"/>
      <c r="Z1" s="13"/>
      <c r="AA1" s="23"/>
      <c r="AB1" s="24"/>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4"/>
      <c r="AG1" s="31"/>
      <c r="AH1" s="32" t="s">
        <v>3</v>
      </c>
      <c r="AI1" s="28"/>
      <c r="AJ1" s="28"/>
      <c r="AK1" s="28"/>
      <c r="AL1" s="24"/>
      <c r="AM1" s="34"/>
      <c r="AN1" s="34"/>
      <c r="AO1" s="35" t="s">
        <v>4</v>
      </c>
      <c r="AP1" s="37" t="s">
        <v>5</v>
      </c>
      <c r="AQ1" s="24"/>
      <c r="AR1" s="36" t="s">
        <v>6</v>
      </c>
      <c r="AS1" s="39"/>
      <c r="AT1" s="35" t="s">
        <v>7</v>
      </c>
      <c r="AU1" s="40" t="s">
        <v>8</v>
      </c>
      <c r="AV1" s="28"/>
      <c r="AW1" s="28"/>
      <c r="AX1" s="28"/>
      <c r="AY1" s="28"/>
      <c r="AZ1" s="28"/>
      <c r="BA1" s="24"/>
      <c r="BB1" s="43"/>
      <c r="BC1" s="46"/>
      <c r="BD1" s="46"/>
      <c r="BE1" s="46"/>
      <c r="BF1" s="46"/>
    </row>
    <row r="2">
      <c r="A2" s="49" t="s">
        <v>9</v>
      </c>
      <c r="B2" s="48" t="s">
        <v>10</v>
      </c>
      <c r="C2" s="48" t="s">
        <v>10</v>
      </c>
      <c r="D2" s="50" t="s">
        <v>10</v>
      </c>
      <c r="E2" s="50" t="s">
        <v>10</v>
      </c>
      <c r="F2" s="48" t="s">
        <v>10</v>
      </c>
      <c r="G2" s="52" t="s">
        <v>10</v>
      </c>
      <c r="H2" s="54" t="s">
        <v>9</v>
      </c>
      <c r="I2" s="55" t="s">
        <v>10</v>
      </c>
      <c r="J2" s="56" t="s">
        <v>10</v>
      </c>
      <c r="K2" s="60" t="s">
        <v>9</v>
      </c>
      <c r="L2" s="56" t="s">
        <v>10</v>
      </c>
      <c r="M2" s="57" t="s">
        <v>11</v>
      </c>
      <c r="N2" s="57" t="s">
        <v>11</v>
      </c>
      <c r="O2" s="54" t="s">
        <v>9</v>
      </c>
      <c r="P2" s="54" t="s">
        <v>9</v>
      </c>
      <c r="Q2" s="56" t="s">
        <v>10</v>
      </c>
      <c r="R2" s="58" t="s">
        <v>9</v>
      </c>
      <c r="S2" s="58" t="s">
        <v>9</v>
      </c>
      <c r="T2" s="58" t="s">
        <v>9</v>
      </c>
      <c r="U2" s="58" t="s">
        <v>9</v>
      </c>
      <c r="V2" s="61" t="s">
        <v>12</v>
      </c>
      <c r="W2" s="61" t="s">
        <v>12</v>
      </c>
      <c r="X2" s="61" t="s">
        <v>12</v>
      </c>
      <c r="Y2" s="64" t="s">
        <v>12</v>
      </c>
      <c r="Z2" s="63" t="s">
        <v>12</v>
      </c>
      <c r="AA2" s="64" t="s">
        <v>12</v>
      </c>
      <c r="AB2" s="64" t="s">
        <v>12</v>
      </c>
      <c r="AC2" s="64" t="s">
        <v>12</v>
      </c>
      <c r="AD2" s="64" t="s">
        <v>12</v>
      </c>
      <c r="AE2" s="64" t="s">
        <v>12</v>
      </c>
      <c r="AF2" s="64" t="s">
        <v>12</v>
      </c>
      <c r="AG2" s="66" t="s">
        <v>12</v>
      </c>
      <c r="AH2" s="54" t="s">
        <v>9</v>
      </c>
      <c r="AI2" s="67" t="s">
        <v>9</v>
      </c>
      <c r="AJ2" s="68" t="s">
        <v>9</v>
      </c>
      <c r="AK2" s="54" t="s">
        <v>9</v>
      </c>
      <c r="AL2" s="54" t="s">
        <v>9</v>
      </c>
      <c r="AM2" s="54" t="s">
        <v>9</v>
      </c>
      <c r="AN2" s="59" t="s">
        <v>9</v>
      </c>
      <c r="AO2" s="69" t="s">
        <v>9</v>
      </c>
      <c r="AP2" s="69" t="s">
        <v>9</v>
      </c>
      <c r="AQ2" s="69" t="s">
        <v>9</v>
      </c>
      <c r="AR2" s="69" t="s">
        <v>9</v>
      </c>
      <c r="AS2" s="70" t="s">
        <v>9</v>
      </c>
      <c r="AT2" s="71" t="s">
        <v>9</v>
      </c>
      <c r="AU2" s="75" t="s">
        <v>9</v>
      </c>
      <c r="AV2" s="75" t="s">
        <v>9</v>
      </c>
      <c r="AW2" s="76" t="s">
        <v>9</v>
      </c>
      <c r="AX2" s="76" t="s">
        <v>9</v>
      </c>
      <c r="AY2" s="76" t="s">
        <v>9</v>
      </c>
      <c r="AZ2" s="76" t="s">
        <v>9</v>
      </c>
      <c r="BA2" s="76" t="s">
        <v>9</v>
      </c>
      <c r="BB2" s="76" t="s">
        <v>9</v>
      </c>
      <c r="BC2" s="81"/>
      <c r="BD2" s="81"/>
      <c r="BE2" s="81"/>
      <c r="BF2" s="81"/>
    </row>
    <row r="3">
      <c r="A3" s="83" t="s">
        <v>13</v>
      </c>
      <c r="B3" s="84" t="s">
        <v>14</v>
      </c>
      <c r="C3" s="83" t="s">
        <v>15</v>
      </c>
      <c r="D3" s="85" t="s">
        <v>16</v>
      </c>
      <c r="E3" s="85" t="s">
        <v>17</v>
      </c>
      <c r="F3" s="83" t="s">
        <v>18</v>
      </c>
      <c r="G3" s="86" t="s">
        <v>19</v>
      </c>
      <c r="H3" s="87" t="str">
        <f t="array" ref="H3:H75">{"Mileage per day";IF(C4:C75="",,IF(C4:C75&lt;&gt;$B$1,"Wrong location. Select correct page below",IF(isblank(G4:G75),,IF(isblank(AN4:AN75),,Round(G4:G75/AN4:AN75,1)))))}</f>
        <v>Mileage per day</v>
      </c>
      <c r="I3" s="86" t="s">
        <v>22</v>
      </c>
      <c r="J3" s="82" t="s">
        <v>23</v>
      </c>
      <c r="K3" s="88" t="str">
        <f t="array" ref="K3:K75">{"EPA range after correction if range mode was off";IF(isblank(J4:J75),,IF(isblank(I4:I75),,IF(J4:J75="On",I4:I75,Round(IF(J4:J75="Off",I4:I75*Administrative!$AD$5,IF(J4:J75="Unknown",I4:I75*Administrative!$AD$6)),2))))}</f>
        <v>EPA range after correction if range mode was off</v>
      </c>
      <c r="L3" s="82" t="s">
        <v>26</v>
      </c>
      <c r="M3" s="82" t="s">
        <v>27</v>
      </c>
      <c r="N3" s="82" t="s">
        <v>28</v>
      </c>
      <c r="O3" s="87" t="str">
        <f t="array" ref="O3:O75">{"Mileage in km after correction if battery was replaced";if((R4:R75="")+(K4:K75="")+(G4:G75="")+(L4:L75=""),,if(L4:L75="No",G4:G75,if((M4:M75="")+(N4:N75=""),,if((R4:R75-K4:K75)*G4:G75/(R4:R75-(K4:K75-vlookup(M4:M75,Administrative!$AA$5:$AB$64,2,0)))&lt;G4:G75-N4:N75,G4:G75-N4:N75,Round((R4:R75-K4:K75)*G4:G75/(R4:R75-(K4:K75-vlookup(M4:M75,Administrative!$AA$5:$AB$64,2,0))))))))}</f>
        <v>Mileage in km after correction if battery was replaced</v>
      </c>
      <c r="P3" s="90" t="str">
        <f t="array" ref="P3:P75">{"Battery age (days) after correction if battery was replaced";if((R4:R75="")+(K4:K75="")+(AN4:AN75="")+(L4:L75=""),,if(L4:L75="No",AN4:AN75,if((M4:M75="")+(N4:N75=""),,round(if((R4:R75-K4:K75)*AN4:AN75/(R4:R75-(K4:K75-vlookup(M4:M75,Administrative!$AA$5:$AB$64,2,0)))&lt;AN4:AN75*(G4:G75-N4:N75)/G4:G75,AN4:AN75*(G4:G75-N4:N75)/G4:G75,(R4:R75-K4:K75)*AN4:AN75/(R4:R75-(K4:K75-vlookup(M4:M75,Administrative!$AA$5:$AB$64,2,0))))))))}</f>
        <v>Battery age (days) after correction if battery was replaced</v>
      </c>
      <c r="Q3" s="82" t="s">
        <v>31</v>
      </c>
      <c r="R3" s="87" t="str">
        <f>IFERROR(__xludf.DUMMYFUNCTION("{""Rated range of this model when new"";arrayformula(if((F4:F75="""")+(C4:C75=""""),,vlookup(F4:F75,{Administrative!$L$1:$L$73,filter(Administrative!$M$1:$P$73,Administrative!$M$1:$P$1=$B$1)},2,0)))}"),"Rated range of this model when new")</f>
        <v>Rated range of this model when new</v>
      </c>
      <c r="S3" s="87" t="str">
        <f t="array" ref="S3:S75">{"Remaining original range";if((K4:K75="")+(R4:R75="")+(R4:R75="unknown"),,round(K4:K75/R4:R75,4))}</f>
        <v>Remaining original range</v>
      </c>
      <c r="T3" s="87" t="str">
        <f t="array" ref="T3:T75">{"Remaining usable capacity until typical range shows zero";if((S4:S75="")+(F4:F75=""),,S4:S75*vlookup(F4:F75,{Administrative!$L$4:$L$73,Administrative!$Q$4:$Q$73},2,0))}</f>
        <v>Remaining usable capacity until typical range shows zero</v>
      </c>
      <c r="U3" s="91" t="s">
        <v>33</v>
      </c>
      <c r="V3" s="83" t="s">
        <v>34</v>
      </c>
      <c r="W3" s="83" t="s">
        <v>35</v>
      </c>
      <c r="X3" s="83" t="s">
        <v>36</v>
      </c>
      <c r="Y3" s="82" t="s">
        <v>37</v>
      </c>
      <c r="Z3" s="92" t="s">
        <v>38</v>
      </c>
      <c r="AA3" s="42" t="s">
        <v>39</v>
      </c>
      <c r="AB3" s="82" t="s">
        <v>40</v>
      </c>
      <c r="AC3" s="83" t="s">
        <v>41</v>
      </c>
      <c r="AD3" s="83" t="s">
        <v>42</v>
      </c>
      <c r="AE3" s="82" t="s">
        <v>43</v>
      </c>
      <c r="AF3" s="83" t="s">
        <v>44</v>
      </c>
      <c r="AG3" s="79" t="s">
        <v>45</v>
      </c>
      <c r="AH3" s="94" t="str">
        <f t="array" ref="AH3:AH75">{"Typical range consumption for trip";if((AC4:AC75&lt;&gt;"")*(AD4:AD75&lt;&gt;"")*(AE4:AE75&lt;&gt;"")*(AF4:AF75&lt;&gt;""),AC4:AC75-AD4:AD75,if((AC4:AC75="")*(AD4:AD75="")*(AE4:AE75="")*(AF4:AF75=""),,"Answer all trip questions"))}</f>
        <v>Typical range consumption for trip</v>
      </c>
      <c r="AI3" s="95" t="str">
        <f t="array" ref="AI3:AI75">{"Typical range after correction if range mode was off";if((AC4:AC75="")+(AD4:AD75="")+(AE4:AE75="")+(AF4:AF75=""),,if(AF4:AF75="On",AH4:AH75,if(AF4:AF75="Off",AH4:AH75*Administrative!$AD$5,"error")))}</f>
        <v>Typical range after correction if range mode was off</v>
      </c>
      <c r="AJ3" s="96" t="str">
        <f t="array" ref="AJ3:AJ75">{"Remaining usable capacity until typical range shows zero according to trip data";if((K4:K75="")+(AI4:AI75="")+(AC4:AC75="")+(AD4:AD75="")+(AE4:AE75="")+(AF4:AF75=""),,K4:K75*SUBSTITUTE(AE4:AE75,",",".")/AI4:AI75)}</f>
        <v>Remaining usable capacity until typical range shows zero according to trip data</v>
      </c>
      <c r="AK3" s="87" t="str">
        <f t="array" ref="AK3:AK75">{"Remaining original capacity";if((AJ4:AJ75="")+(F4:F75="")+(AC4:AC75="")+(AD4:AD75="")+(AE4:AE75="")+(AF4:AF75=""),,AJ4:AJ75*1000/vlookup(F4:F75,{Administrative!$L$4:$L$73,Administrative!$Q$4:$Q$73},2,0))}</f>
        <v>Remaining original capacity</v>
      </c>
      <c r="AL3" s="87" t="str">
        <f t="array" ref="AL3:AL75">{"trip based battery capacity calculation explained";if((F4:F75="")+(K4:K75="")+(AC4:AC75="")+(AD4:AD75="")+(AE4:AE75="")+(AF4:AF75="")+(AI4:AI75="")+(AK4:AK75=""),,"("&amp;round(K4:K75,2)&amp;" * "&amp;AE4:AE75&amp;" / "&amp;Round(AI4:AI75,2)&amp;") / "&amp;vlookup(F4:F75,{Administrative!$L$4:$L$73,Administrative!$Q$4:$Q$73},2,0)/1000&amp;" = "&amp;Round(AK4:AK75,4))}</f>
        <v>trip based battery capacity calculation explained</v>
      </c>
      <c r="AM3" s="95" t="str">
        <f t="array" ref="AM3:AM75">{"100% range when the car was new after range mode adjustment";if(AA4:AA75="","",round(AA4:AA75*if(AB4:AB75="off",Administrative!$AD$5,1)))}</f>
        <v>100% range when the car was new after range mode adjustment</v>
      </c>
      <c r="AN3" s="97" t="str">
        <f t="array" ref="AN3:AN75">{"Vehicle age (days)";if((E4:E75="")+(D4:D75=""),,E4:E75-D4:D75+1)}</f>
        <v>Vehicle age (days)</v>
      </c>
      <c r="AO3" s="98" t="str">
        <f t="array" ref="AO3:AO75">{"Cycles";if((O4:O75="")+(Q4:Q75=""),,round(((O4:O75*Q4:Q75)+(Administrative!$AE$5*P4:P75))/((1+S4:S75)/2*vlookup(F4:F75,{Administrative!$L$4:$L$73,Administrative!$Q$4:$Q$73},2,0)),2))}</f>
        <v>Cycles</v>
      </c>
      <c r="AP3" s="87" t="str">
        <f t="array" ref="AP3:AP75">{"Mileage in km";O4:O75}</f>
        <v>Mileage in km</v>
      </c>
      <c r="AQ3" s="87" t="str">
        <f t="array" ref="AQ3:AQ75">{"wh/km";Q4:Q75}</f>
        <v>wh/km</v>
      </c>
      <c r="AR3" s="99" t="str">
        <f t="array" ref="AR3:AR75">{Charts!$E$1;if(S4:S75="",,if(Charts!$E$1=B4:B75,S4:S75,-1))}</f>
        <v/>
      </c>
      <c r="AS3" s="100" t="str">
        <f t="array" ref="AS3:AS75">{"Average capacity of all cars at this mileage according to chart trendline";IF(ISBLANK(AP4:AP75),,Administrative!$AU$27-AP4:AP75/(Administrative!$AU$28*100)+Administrative!$AU$29*exp(-AP4:AP75/Administrative!$AU$30))}</f>
        <v>Average capacity of all cars at this mileage according to chart trendline</v>
      </c>
      <c r="AT3" s="102" t="str">
        <f t="array" ref="AT3:AT75">{"Your capacity minus chart trendline at this mileage";if((S4:S75="")+(AS4:AS75=""),,S4:S75-AS4:AS75)}</f>
        <v>Your capacity minus chart trendline at this mileage</v>
      </c>
      <c r="AU3" s="103" t="str">
        <f t="array" ref="AU3:AU75">{"Dynamic data (copy from here)";if(B4:B75="",,B4:B75&amp;"|"&amp;C4:C75&amp;"|"&amp;TEXT(D4:D75,"dd-mmm-YYYY")&amp;"|"&amp;TEXT(E4:E75,"dd-mmm-YYYY")&amp;"|"&amp;F4:F75&amp;"|"&amp;G4:G75&amp;"|"&amp;I4:I75&amp;"|"&amp;J4:J75&amp;"|"&amp;L4:L75&amp;"|"&amp;M4:M75&amp;"|"&amp;N4:N75&amp;"|"&amp;Q4:Q75&amp;"|"&amp;V4:V75&amp;"|"&amp;W4:W75&amp;"|"&amp;X4:X75&amp;"|"&amp;Y4:Y75&amp;"|"&amp;Z4:Z75&amp;"|"&amp;AA4:AA75&amp;"|"&amp;AB4:AB75&amp;"|"&amp;AC4:AC75&amp;"|"&amp;AD4:AD75&amp;"|"&amp;AE4:AE75&amp;"|"&amp;AF4:AF75&amp;"|"&amp;AG4:AG75)}</f>
        <v>Dynamic data (copy from here)</v>
      </c>
      <c r="AV3" s="104" t="s">
        <v>50</v>
      </c>
      <c r="AW3" s="103" t="str">
        <f t="array" ref="AW3:AW75">{"Mixed data";if(AX4:AX75="New data",AU4:AU75,AV4:AV75)}</f>
        <v>Mixed data</v>
      </c>
      <c r="AX3" s="95" t="str">
        <f t="array" ref="AX3:AX75">{"Data changed or new data?";if(AU4:AU75=AV4:AV75,,if((AU4&lt;&gt;"")*(AV4:AV75=""),"New data","Data changed"))}</f>
        <v>Data changed or new data?</v>
      </c>
      <c r="AY3" s="105" t="s">
        <v>51</v>
      </c>
      <c r="AZ3" s="103" t="str">
        <f>IFERROR(__xludf.DUMMYFUNCTION("{""Dynamic data changes for selected entry"";IFERROR(TRANSPOSE(SPLIT(INDEX(AU4:AY75,MATCH(""Yes"",AY4:AY75,0),1),""|"",True)))}"),"Dynamic data changes for selected entry")</f>
        <v>Dynamic data changes for selected entry</v>
      </c>
      <c r="BA3" s="103" t="str">
        <f>IFERROR(__xludf.DUMMYFUNCTION("{""Static data changes for selected entry"";IFERROR(TRANSPOSE(SPLIT(INDEX(AU4:AY75,MATCH(""Yes"",AY4:AY75,0),2),""|"",True)))}"),"Static data changes for selected entry")</f>
        <v>Static data changes for selected entry</v>
      </c>
      <c r="BB3" s="106" t="s">
        <v>52</v>
      </c>
      <c r="BC3" s="81"/>
      <c r="BD3" s="81"/>
      <c r="BE3" s="81"/>
      <c r="BF3" s="81"/>
    </row>
    <row r="4">
      <c r="A4" s="107">
        <v>1.0</v>
      </c>
      <c r="B4" s="108" t="s">
        <v>53</v>
      </c>
      <c r="C4" s="109" t="s">
        <v>55</v>
      </c>
      <c r="D4" s="110">
        <v>41761.0</v>
      </c>
      <c r="E4" s="110">
        <v>42136.0</v>
      </c>
      <c r="F4" s="107" t="s">
        <v>57</v>
      </c>
      <c r="G4" s="113">
        <v>29628.8</v>
      </c>
      <c r="H4" s="114">
        <v>78.8</v>
      </c>
      <c r="I4" s="119">
        <v>414.0</v>
      </c>
      <c r="J4" s="122" t="s">
        <v>61</v>
      </c>
      <c r="K4" s="121">
        <v>419.24</v>
      </c>
      <c r="L4" s="119" t="s">
        <v>63</v>
      </c>
      <c r="M4" s="119"/>
      <c r="N4" s="119"/>
      <c r="O4" s="124">
        <v>29628.8</v>
      </c>
      <c r="P4" s="124">
        <v>376.0</v>
      </c>
      <c r="Q4" s="122">
        <v>201.0</v>
      </c>
      <c r="R4" s="125">
        <v>433.0</v>
      </c>
      <c r="S4" s="126">
        <v>0.9682</v>
      </c>
      <c r="T4" s="127">
        <v>75035.5</v>
      </c>
      <c r="U4" s="129">
        <f t="shared" ref="U4:U75" si="1">IF(isblank(B4),,COUNTBLANK(B4:E4,F4:G4,I4:J4,L4:N4,Q4)-If(L4="No",2,0))
</f>
        <v>0</v>
      </c>
      <c r="V4" s="107" t="s">
        <v>69</v>
      </c>
      <c r="W4" s="107" t="s">
        <v>69</v>
      </c>
      <c r="X4" s="107" t="s">
        <v>69</v>
      </c>
      <c r="Y4" s="131">
        <v>0.7</v>
      </c>
      <c r="Z4" s="138"/>
      <c r="AA4" s="133"/>
      <c r="AB4" s="133"/>
      <c r="AC4" s="145">
        <v>414.0</v>
      </c>
      <c r="AD4" s="149">
        <v>-24.2</v>
      </c>
      <c r="AE4" s="150"/>
      <c r="AF4" s="122" t="s">
        <v>61</v>
      </c>
      <c r="AG4" s="134" t="s">
        <v>73</v>
      </c>
      <c r="AH4" s="73" t="s">
        <v>74</v>
      </c>
      <c r="AI4" s="135"/>
      <c r="AJ4" s="136"/>
      <c r="AK4" s="76"/>
      <c r="AL4" s="135"/>
      <c r="AM4" s="139" t="s">
        <v>71</v>
      </c>
      <c r="AN4" s="139">
        <v>376.0</v>
      </c>
      <c r="AO4" s="154">
        <v>78.1</v>
      </c>
      <c r="AP4" s="156">
        <v>29628.8</v>
      </c>
      <c r="AQ4" s="156">
        <v>201.0</v>
      </c>
      <c r="AR4" s="158">
        <v>-1.0</v>
      </c>
      <c r="AS4" s="161">
        <v>0.9654354951433226</v>
      </c>
      <c r="AT4" s="161">
        <v>0.002764504856677341</v>
      </c>
      <c r="AU4" s="146" t="s">
        <v>82</v>
      </c>
      <c r="AV4" s="163" t="s">
        <v>82</v>
      </c>
      <c r="AW4" s="166" t="s">
        <v>82</v>
      </c>
      <c r="AX4" s="151"/>
      <c r="AY4" s="168"/>
      <c r="AZ4" s="153"/>
      <c r="BA4" s="153"/>
      <c r="BB4" s="163"/>
      <c r="BC4" s="169"/>
      <c r="BD4" s="169"/>
      <c r="BE4" s="169"/>
      <c r="BF4" s="169"/>
    </row>
    <row r="5">
      <c r="A5" s="107">
        <v>2.0</v>
      </c>
      <c r="B5" s="108" t="s">
        <v>92</v>
      </c>
      <c r="C5" s="109" t="s">
        <v>55</v>
      </c>
      <c r="D5" s="110">
        <v>41984.0</v>
      </c>
      <c r="E5" s="110">
        <v>42158.0</v>
      </c>
      <c r="F5" s="107" t="s">
        <v>59</v>
      </c>
      <c r="G5" s="113">
        <v>11896.0</v>
      </c>
      <c r="H5" s="114">
        <v>68.0</v>
      </c>
      <c r="I5" s="119">
        <v>424.0</v>
      </c>
      <c r="J5" s="122" t="s">
        <v>61</v>
      </c>
      <c r="K5" s="121">
        <v>429.37</v>
      </c>
      <c r="L5" s="119" t="s">
        <v>63</v>
      </c>
      <c r="M5" s="119"/>
      <c r="N5" s="119"/>
      <c r="O5" s="124">
        <v>11896.0</v>
      </c>
      <c r="P5" s="124">
        <v>175.0</v>
      </c>
      <c r="Q5" s="122">
        <v>232.0</v>
      </c>
      <c r="R5" s="125">
        <v>433.0</v>
      </c>
      <c r="S5" s="126">
        <v>0.9916</v>
      </c>
      <c r="T5" s="127">
        <v>76849.0</v>
      </c>
      <c r="U5" s="129">
        <f t="shared" si="1"/>
        <v>0</v>
      </c>
      <c r="V5" s="107" t="s">
        <v>64</v>
      </c>
      <c r="W5" s="107" t="s">
        <v>66</v>
      </c>
      <c r="X5" s="107" t="s">
        <v>68</v>
      </c>
      <c r="Y5" s="131">
        <v>0.9</v>
      </c>
      <c r="Z5" s="138"/>
      <c r="AA5" s="133"/>
      <c r="AB5" s="133"/>
      <c r="AC5" s="171"/>
      <c r="AD5" s="171"/>
      <c r="AE5" s="171"/>
      <c r="AF5" s="122"/>
      <c r="AG5" s="147"/>
      <c r="AH5" s="73"/>
      <c r="AI5" s="135"/>
      <c r="AJ5" s="136"/>
      <c r="AK5" s="76"/>
      <c r="AL5" s="135"/>
      <c r="AM5" s="139" t="s">
        <v>71</v>
      </c>
      <c r="AN5" s="139">
        <v>175.0</v>
      </c>
      <c r="AO5" s="154">
        <v>35.77</v>
      </c>
      <c r="AP5" s="156">
        <v>11896.0</v>
      </c>
      <c r="AQ5" s="156">
        <v>232.0</v>
      </c>
      <c r="AR5" s="158">
        <v>-1.0</v>
      </c>
      <c r="AS5" s="161">
        <v>0.9810652127495131</v>
      </c>
      <c r="AT5" s="161">
        <v>0.010534787250486954</v>
      </c>
      <c r="AU5" s="146" t="s">
        <v>97</v>
      </c>
      <c r="AV5" s="172" t="s">
        <v>97</v>
      </c>
      <c r="AW5" s="166" t="s">
        <v>97</v>
      </c>
      <c r="AX5" s="151"/>
      <c r="AY5" s="168"/>
      <c r="AZ5" s="173"/>
      <c r="BA5" s="173"/>
      <c r="BB5" s="163"/>
      <c r="BC5" s="169"/>
      <c r="BD5" s="169"/>
      <c r="BE5" s="169"/>
      <c r="BF5" s="169"/>
    </row>
    <row r="6">
      <c r="A6" s="107">
        <v>3.0</v>
      </c>
      <c r="B6" s="108" t="s">
        <v>100</v>
      </c>
      <c r="C6" s="109" t="s">
        <v>55</v>
      </c>
      <c r="D6" s="110">
        <v>41492.0</v>
      </c>
      <c r="E6" s="110">
        <v>42167.0</v>
      </c>
      <c r="F6" s="107" t="s">
        <v>59</v>
      </c>
      <c r="G6" s="113">
        <v>73623.0</v>
      </c>
      <c r="H6" s="114">
        <v>108.9</v>
      </c>
      <c r="I6" s="119">
        <v>405.0</v>
      </c>
      <c r="J6" s="122" t="s">
        <v>62</v>
      </c>
      <c r="K6" s="121">
        <v>405.0</v>
      </c>
      <c r="L6" s="119" t="s">
        <v>63</v>
      </c>
      <c r="M6" s="119"/>
      <c r="N6" s="119"/>
      <c r="O6" s="124">
        <v>73623.0</v>
      </c>
      <c r="P6" s="124">
        <v>676.0</v>
      </c>
      <c r="Q6" s="122">
        <v>223.0</v>
      </c>
      <c r="R6" s="125">
        <v>433.0</v>
      </c>
      <c r="S6" s="126">
        <v>0.9353</v>
      </c>
      <c r="T6" s="127">
        <v>72485.75</v>
      </c>
      <c r="U6" s="129">
        <f t="shared" si="1"/>
        <v>0</v>
      </c>
      <c r="V6" s="107" t="s">
        <v>65</v>
      </c>
      <c r="W6" s="107" t="s">
        <v>69</v>
      </c>
      <c r="X6" s="107" t="s">
        <v>66</v>
      </c>
      <c r="Y6" s="131">
        <v>0.9</v>
      </c>
      <c r="Z6" s="138"/>
      <c r="AA6" s="111">
        <v>426.0</v>
      </c>
      <c r="AB6" s="111" t="s">
        <v>61</v>
      </c>
      <c r="AC6" s="171"/>
      <c r="AD6" s="171"/>
      <c r="AE6" s="171"/>
      <c r="AF6" s="122"/>
      <c r="AG6" s="147"/>
      <c r="AH6" s="73"/>
      <c r="AI6" s="135"/>
      <c r="AJ6" s="136"/>
      <c r="AK6" s="76"/>
      <c r="AL6" s="135"/>
      <c r="AM6" s="139">
        <v>431.0</v>
      </c>
      <c r="AN6" s="139">
        <v>676.0</v>
      </c>
      <c r="AO6" s="154">
        <v>218.96</v>
      </c>
      <c r="AP6" s="156">
        <v>73623.0</v>
      </c>
      <c r="AQ6" s="156">
        <v>223.0</v>
      </c>
      <c r="AR6" s="158">
        <v>-1.0</v>
      </c>
      <c r="AS6" s="161">
        <v>0.9499634492705957</v>
      </c>
      <c r="AT6" s="161">
        <v>-0.014663449270595708</v>
      </c>
      <c r="AU6" s="146" t="s">
        <v>105</v>
      </c>
      <c r="AV6" s="172" t="s">
        <v>105</v>
      </c>
      <c r="AW6" s="166" t="s">
        <v>105</v>
      </c>
      <c r="AX6" s="151"/>
      <c r="AY6" s="168"/>
      <c r="AZ6" s="176"/>
      <c r="BA6" s="176"/>
      <c r="BB6" s="163"/>
      <c r="BC6" s="169"/>
      <c r="BD6" s="169"/>
      <c r="BE6" s="169"/>
      <c r="BF6" s="169"/>
    </row>
    <row r="7">
      <c r="A7" s="107">
        <v>4.0</v>
      </c>
      <c r="B7" s="108" t="s">
        <v>106</v>
      </c>
      <c r="C7" s="109" t="s">
        <v>55</v>
      </c>
      <c r="D7" s="110">
        <v>41754.0</v>
      </c>
      <c r="E7" s="110">
        <v>42169.0</v>
      </c>
      <c r="F7" s="107" t="s">
        <v>79</v>
      </c>
      <c r="G7" s="113">
        <v>15425.0</v>
      </c>
      <c r="H7" s="114">
        <v>37.1</v>
      </c>
      <c r="I7" s="119">
        <v>408.0</v>
      </c>
      <c r="J7" s="122" t="s">
        <v>62</v>
      </c>
      <c r="K7" s="121">
        <v>408.0</v>
      </c>
      <c r="L7" s="119" t="s">
        <v>63</v>
      </c>
      <c r="M7" s="119"/>
      <c r="N7" s="119"/>
      <c r="O7" s="124">
        <v>15425.0</v>
      </c>
      <c r="P7" s="124">
        <v>416.0</v>
      </c>
      <c r="Q7" s="122">
        <v>194.0</v>
      </c>
      <c r="R7" s="125">
        <v>433.0</v>
      </c>
      <c r="S7" s="126">
        <v>0.9423</v>
      </c>
      <c r="T7" s="127">
        <v>73028.25</v>
      </c>
      <c r="U7" s="129">
        <f t="shared" si="1"/>
        <v>0</v>
      </c>
      <c r="V7" s="107" t="s">
        <v>69</v>
      </c>
      <c r="W7" s="107" t="s">
        <v>69</v>
      </c>
      <c r="X7" s="107" t="s">
        <v>69</v>
      </c>
      <c r="Y7" s="131">
        <v>0.7</v>
      </c>
      <c r="Z7" s="138"/>
      <c r="AA7" s="111">
        <v>430.0</v>
      </c>
      <c r="AB7" s="111" t="s">
        <v>61</v>
      </c>
      <c r="AC7" s="171"/>
      <c r="AD7" s="171"/>
      <c r="AE7" s="171"/>
      <c r="AF7" s="122"/>
      <c r="AG7" s="147"/>
      <c r="AH7" s="73"/>
      <c r="AI7" s="135"/>
      <c r="AJ7" s="136"/>
      <c r="AK7" s="76"/>
      <c r="AL7" s="135"/>
      <c r="AM7" s="139">
        <v>435.0</v>
      </c>
      <c r="AN7" s="139">
        <v>416.0</v>
      </c>
      <c r="AO7" s="154">
        <v>39.78</v>
      </c>
      <c r="AP7" s="156">
        <v>15425.0</v>
      </c>
      <c r="AQ7" s="156">
        <v>194.0</v>
      </c>
      <c r="AR7" s="158">
        <v>-1.0</v>
      </c>
      <c r="AS7" s="161">
        <v>0.9770346797845226</v>
      </c>
      <c r="AT7" s="161">
        <v>-0.034734679784522604</v>
      </c>
      <c r="AU7" s="146" t="s">
        <v>110</v>
      </c>
      <c r="AV7" s="172" t="s">
        <v>110</v>
      </c>
      <c r="AW7" s="166" t="s">
        <v>110</v>
      </c>
      <c r="AX7" s="151"/>
      <c r="AY7" s="168"/>
      <c r="AZ7" s="178"/>
      <c r="BA7" s="178"/>
      <c r="BB7" s="163"/>
      <c r="BC7" s="169"/>
      <c r="BD7" s="169"/>
      <c r="BE7" s="169"/>
      <c r="BF7" s="169"/>
    </row>
    <row r="8">
      <c r="A8" s="107">
        <v>5.0</v>
      </c>
      <c r="B8" s="108" t="s">
        <v>112</v>
      </c>
      <c r="C8" s="109" t="s">
        <v>55</v>
      </c>
      <c r="D8" s="110">
        <v>41647.0</v>
      </c>
      <c r="E8" s="110">
        <v>42182.0</v>
      </c>
      <c r="F8" s="107" t="s">
        <v>59</v>
      </c>
      <c r="G8" s="113">
        <v>45756.0</v>
      </c>
      <c r="H8" s="114">
        <v>85.4</v>
      </c>
      <c r="I8" s="119">
        <v>409.0</v>
      </c>
      <c r="J8" s="122" t="s">
        <v>62</v>
      </c>
      <c r="K8" s="121">
        <v>409.0</v>
      </c>
      <c r="L8" s="119" t="s">
        <v>63</v>
      </c>
      <c r="M8" s="119"/>
      <c r="N8" s="119"/>
      <c r="O8" s="124">
        <v>45756.0</v>
      </c>
      <c r="P8" s="124">
        <v>536.0</v>
      </c>
      <c r="Q8" s="122">
        <v>210.0</v>
      </c>
      <c r="R8" s="125">
        <v>433.0</v>
      </c>
      <c r="S8" s="126">
        <v>0.9446</v>
      </c>
      <c r="T8" s="127">
        <v>73206.5</v>
      </c>
      <c r="U8" s="129">
        <f t="shared" si="1"/>
        <v>0</v>
      </c>
      <c r="V8" s="107" t="s">
        <v>69</v>
      </c>
      <c r="W8" s="107" t="s">
        <v>69</v>
      </c>
      <c r="X8" s="107" t="s">
        <v>68</v>
      </c>
      <c r="Y8" s="131">
        <v>0.8</v>
      </c>
      <c r="Z8" s="138"/>
      <c r="AA8" s="111">
        <v>425.0</v>
      </c>
      <c r="AB8" s="111" t="s">
        <v>61</v>
      </c>
      <c r="AC8" s="145">
        <v>416.0</v>
      </c>
      <c r="AD8" s="145">
        <v>50.0</v>
      </c>
      <c r="AE8" s="150"/>
      <c r="AF8" s="122" t="s">
        <v>62</v>
      </c>
      <c r="AG8" s="134" t="s">
        <v>117</v>
      </c>
      <c r="AH8" s="73" t="s">
        <v>74</v>
      </c>
      <c r="AI8" s="135"/>
      <c r="AJ8" s="136"/>
      <c r="AK8" s="76"/>
      <c r="AL8" s="135"/>
      <c r="AM8" s="139">
        <v>430.0</v>
      </c>
      <c r="AN8" s="139">
        <v>536.0</v>
      </c>
      <c r="AO8" s="154">
        <v>127.54</v>
      </c>
      <c r="AP8" s="156">
        <v>45756.0</v>
      </c>
      <c r="AQ8" s="156">
        <v>210.0</v>
      </c>
      <c r="AR8" s="158">
        <v>-1.0</v>
      </c>
      <c r="AS8" s="161">
        <v>0.9576790174299474</v>
      </c>
      <c r="AT8" s="161">
        <v>-0.013079017429947437</v>
      </c>
      <c r="AU8" s="146" t="s">
        <v>119</v>
      </c>
      <c r="AV8" s="172" t="s">
        <v>119</v>
      </c>
      <c r="AW8" s="166" t="s">
        <v>119</v>
      </c>
      <c r="AX8" s="151"/>
      <c r="AY8" s="168"/>
      <c r="AZ8" s="173"/>
      <c r="BA8" s="173"/>
      <c r="BB8" s="163"/>
      <c r="BC8" s="169"/>
      <c r="BD8" s="169"/>
      <c r="BE8" s="169"/>
      <c r="BF8" s="169"/>
    </row>
    <row r="9">
      <c r="A9" s="107">
        <v>6.0</v>
      </c>
      <c r="B9" s="108" t="s">
        <v>120</v>
      </c>
      <c r="C9" s="115" t="s">
        <v>55</v>
      </c>
      <c r="D9" s="110">
        <v>41342.0</v>
      </c>
      <c r="E9" s="110">
        <v>42162.0</v>
      </c>
      <c r="F9" s="107" t="s">
        <v>59</v>
      </c>
      <c r="G9" s="113">
        <v>82059.0</v>
      </c>
      <c r="H9" s="114">
        <v>100.0</v>
      </c>
      <c r="I9" s="119">
        <v>389.0</v>
      </c>
      <c r="J9" s="122" t="s">
        <v>61</v>
      </c>
      <c r="K9" s="121">
        <v>393.92</v>
      </c>
      <c r="L9" s="119" t="s">
        <v>63</v>
      </c>
      <c r="M9" s="119"/>
      <c r="N9" s="119"/>
      <c r="O9" s="124">
        <v>82059.0</v>
      </c>
      <c r="P9" s="124">
        <v>821.0</v>
      </c>
      <c r="Q9" s="122">
        <v>211.0</v>
      </c>
      <c r="R9" s="125">
        <v>433.0</v>
      </c>
      <c r="S9" s="126">
        <v>0.9097</v>
      </c>
      <c r="T9" s="127">
        <v>70501.75</v>
      </c>
      <c r="U9" s="129">
        <f t="shared" si="1"/>
        <v>0</v>
      </c>
      <c r="V9" s="107" t="s">
        <v>69</v>
      </c>
      <c r="W9" s="107" t="s">
        <v>66</v>
      </c>
      <c r="X9" s="107" t="s">
        <v>68</v>
      </c>
      <c r="Y9" s="131">
        <v>0.9</v>
      </c>
      <c r="Z9" s="138"/>
      <c r="AA9" s="111">
        <v>426.0</v>
      </c>
      <c r="AB9" s="111" t="s">
        <v>61</v>
      </c>
      <c r="AC9" s="145"/>
      <c r="AD9" s="145"/>
      <c r="AE9" s="171"/>
      <c r="AF9" s="122"/>
      <c r="AG9" s="147"/>
      <c r="AH9" s="73"/>
      <c r="AI9" s="135"/>
      <c r="AJ9" s="136"/>
      <c r="AK9" s="76"/>
      <c r="AL9" s="135"/>
      <c r="AM9" s="139">
        <v>431.0</v>
      </c>
      <c r="AN9" s="139">
        <v>821.0</v>
      </c>
      <c r="AO9" s="154">
        <v>234.01</v>
      </c>
      <c r="AP9" s="156">
        <v>82059.0</v>
      </c>
      <c r="AQ9" s="156">
        <v>211.0</v>
      </c>
      <c r="AR9" s="158">
        <v>-1.0</v>
      </c>
      <c r="AS9" s="161">
        <v>0.9482397146091323</v>
      </c>
      <c r="AT9" s="161">
        <v>-0.0385397146091323</v>
      </c>
      <c r="AU9" s="146" t="s">
        <v>123</v>
      </c>
      <c r="AV9" s="172" t="s">
        <v>123</v>
      </c>
      <c r="AW9" s="166" t="s">
        <v>123</v>
      </c>
      <c r="AX9" s="151"/>
      <c r="AY9" s="168"/>
      <c r="AZ9" s="173"/>
      <c r="BA9" s="173"/>
      <c r="BB9" s="163"/>
      <c r="BC9" s="169"/>
      <c r="BD9" s="169"/>
      <c r="BE9" s="169"/>
      <c r="BF9" s="169"/>
    </row>
    <row r="10">
      <c r="A10" s="107">
        <v>7.0</v>
      </c>
      <c r="B10" s="108" t="s">
        <v>125</v>
      </c>
      <c r="C10" s="115" t="s">
        <v>55</v>
      </c>
      <c r="D10" s="110">
        <v>41607.0</v>
      </c>
      <c r="E10" s="110">
        <v>42299.0</v>
      </c>
      <c r="F10" s="107" t="s">
        <v>79</v>
      </c>
      <c r="G10" s="113">
        <v>59365.0</v>
      </c>
      <c r="H10" s="114">
        <v>85.7</v>
      </c>
      <c r="I10" s="119">
        <v>414.0</v>
      </c>
      <c r="J10" s="122" t="s">
        <v>61</v>
      </c>
      <c r="K10" s="121">
        <v>419.24</v>
      </c>
      <c r="L10" s="119" t="s">
        <v>63</v>
      </c>
      <c r="M10" s="119"/>
      <c r="N10" s="119"/>
      <c r="O10" s="124">
        <v>59365.0</v>
      </c>
      <c r="P10" s="124">
        <v>693.0</v>
      </c>
      <c r="Q10" s="122">
        <v>233.0</v>
      </c>
      <c r="R10" s="125">
        <v>433.0</v>
      </c>
      <c r="S10" s="126">
        <v>0.9682</v>
      </c>
      <c r="T10" s="127">
        <v>75035.5</v>
      </c>
      <c r="U10" s="129">
        <f t="shared" si="1"/>
        <v>0</v>
      </c>
      <c r="V10" s="107" t="s">
        <v>69</v>
      </c>
      <c r="W10" s="107" t="s">
        <v>69</v>
      </c>
      <c r="X10" s="107" t="s">
        <v>69</v>
      </c>
      <c r="Y10" s="131">
        <v>0.9</v>
      </c>
      <c r="Z10" s="180">
        <v>19.0</v>
      </c>
      <c r="AA10" s="111">
        <v>430.0</v>
      </c>
      <c r="AB10" s="111" t="s">
        <v>61</v>
      </c>
      <c r="AC10" s="171"/>
      <c r="AD10" s="171"/>
      <c r="AE10" s="171"/>
      <c r="AF10" s="122"/>
      <c r="AG10" s="147"/>
      <c r="AH10" s="73"/>
      <c r="AI10" s="135"/>
      <c r="AJ10" s="136"/>
      <c r="AK10" s="76"/>
      <c r="AL10" s="135"/>
      <c r="AM10" s="139">
        <v>435.0</v>
      </c>
      <c r="AN10" s="139">
        <v>693.0</v>
      </c>
      <c r="AO10" s="154">
        <v>181.39</v>
      </c>
      <c r="AP10" s="156">
        <v>59365.0</v>
      </c>
      <c r="AQ10" s="156">
        <v>233.0</v>
      </c>
      <c r="AR10" s="158">
        <v>-1.0</v>
      </c>
      <c r="AS10" s="161">
        <v>0.9533757245156531</v>
      </c>
      <c r="AT10" s="161">
        <v>0.014824275484346838</v>
      </c>
      <c r="AU10" s="146" t="s">
        <v>133</v>
      </c>
      <c r="AV10" s="172" t="s">
        <v>133</v>
      </c>
      <c r="AW10" s="166" t="s">
        <v>133</v>
      </c>
      <c r="AX10" s="151"/>
      <c r="AY10" s="168"/>
      <c r="AZ10" s="173"/>
      <c r="BA10" s="173"/>
      <c r="BB10" s="163"/>
      <c r="BC10" s="169"/>
      <c r="BD10" s="169"/>
      <c r="BE10" s="169"/>
      <c r="BF10" s="169"/>
    </row>
    <row r="11">
      <c r="A11" s="107">
        <v>8.0</v>
      </c>
      <c r="B11" s="108" t="s">
        <v>92</v>
      </c>
      <c r="C11" s="115" t="s">
        <v>55</v>
      </c>
      <c r="D11" s="110">
        <v>41984.0</v>
      </c>
      <c r="E11" s="110">
        <v>42304.0</v>
      </c>
      <c r="F11" s="107" t="s">
        <v>59</v>
      </c>
      <c r="G11" s="113">
        <v>19996.0</v>
      </c>
      <c r="H11" s="114">
        <v>62.3</v>
      </c>
      <c r="I11" s="119">
        <v>421.0</v>
      </c>
      <c r="J11" s="122" t="s">
        <v>61</v>
      </c>
      <c r="K11" s="121">
        <v>426.33</v>
      </c>
      <c r="L11" s="119" t="s">
        <v>63</v>
      </c>
      <c r="M11" s="119"/>
      <c r="N11" s="119"/>
      <c r="O11" s="124">
        <v>19996.0</v>
      </c>
      <c r="P11" s="124">
        <v>321.0</v>
      </c>
      <c r="Q11" s="122">
        <v>209.0</v>
      </c>
      <c r="R11" s="125">
        <v>433.0</v>
      </c>
      <c r="S11" s="126">
        <v>0.9846</v>
      </c>
      <c r="T11" s="127">
        <v>76306.5</v>
      </c>
      <c r="U11" s="129">
        <f t="shared" si="1"/>
        <v>0</v>
      </c>
      <c r="V11" s="107" t="s">
        <v>64</v>
      </c>
      <c r="W11" s="107" t="s">
        <v>66</v>
      </c>
      <c r="X11" s="107" t="s">
        <v>68</v>
      </c>
      <c r="Y11" s="131">
        <v>0.9</v>
      </c>
      <c r="Z11" s="180"/>
      <c r="AA11" s="111"/>
      <c r="AB11" s="111"/>
      <c r="AC11" s="171"/>
      <c r="AD11" s="171"/>
      <c r="AE11" s="171"/>
      <c r="AF11" s="122"/>
      <c r="AG11" s="147"/>
      <c r="AH11" s="73"/>
      <c r="AI11" s="135"/>
      <c r="AJ11" s="136"/>
      <c r="AK11" s="76"/>
      <c r="AL11" s="135"/>
      <c r="AM11" s="139" t="s">
        <v>71</v>
      </c>
      <c r="AN11" s="139">
        <v>321.0</v>
      </c>
      <c r="AO11" s="154">
        <v>54.36</v>
      </c>
      <c r="AP11" s="156">
        <v>19996.0</v>
      </c>
      <c r="AQ11" s="156">
        <v>209.0</v>
      </c>
      <c r="AR11" s="158">
        <v>-1.0</v>
      </c>
      <c r="AS11" s="161">
        <v>0.972594752387713</v>
      </c>
      <c r="AT11" s="161">
        <v>0.012005247612287051</v>
      </c>
      <c r="AU11" s="146" t="s">
        <v>137</v>
      </c>
      <c r="AV11" s="172" t="s">
        <v>137</v>
      </c>
      <c r="AW11" s="166" t="s">
        <v>137</v>
      </c>
      <c r="AX11" s="151"/>
      <c r="AY11" s="168"/>
      <c r="AZ11" s="173"/>
      <c r="BA11" s="173"/>
      <c r="BB11" s="163"/>
      <c r="BC11" s="169"/>
      <c r="BD11" s="169"/>
      <c r="BE11" s="169"/>
      <c r="BF11" s="169"/>
    </row>
    <row r="12">
      <c r="A12" s="107">
        <v>9.0</v>
      </c>
      <c r="B12" s="108" t="s">
        <v>138</v>
      </c>
      <c r="C12" s="115" t="s">
        <v>55</v>
      </c>
      <c r="D12" s="110">
        <v>42173.0</v>
      </c>
      <c r="E12" s="110">
        <v>42315.0</v>
      </c>
      <c r="F12" s="107" t="s">
        <v>86</v>
      </c>
      <c r="G12" s="113">
        <v>6900.0</v>
      </c>
      <c r="H12" s="114">
        <v>48.3</v>
      </c>
      <c r="I12" s="119">
        <v>428.0</v>
      </c>
      <c r="J12" s="122" t="s">
        <v>61</v>
      </c>
      <c r="K12" s="121">
        <v>433.42</v>
      </c>
      <c r="L12" s="119" t="s">
        <v>63</v>
      </c>
      <c r="M12" s="119"/>
      <c r="N12" s="119"/>
      <c r="O12" s="124">
        <v>6900.0</v>
      </c>
      <c r="P12" s="124">
        <v>143.0</v>
      </c>
      <c r="Q12" s="122">
        <v>209.0</v>
      </c>
      <c r="R12" s="125">
        <v>439.0</v>
      </c>
      <c r="S12" s="126">
        <v>0.9873</v>
      </c>
      <c r="T12" s="127">
        <v>76515.75</v>
      </c>
      <c r="U12" s="129">
        <f t="shared" si="1"/>
        <v>0</v>
      </c>
      <c r="V12" s="107" t="s">
        <v>64</v>
      </c>
      <c r="W12" s="107" t="s">
        <v>69</v>
      </c>
      <c r="X12" s="107" t="s">
        <v>68</v>
      </c>
      <c r="Y12" s="131">
        <v>0.9</v>
      </c>
      <c r="Z12" s="180">
        <v>8.0</v>
      </c>
      <c r="AA12" s="111">
        <v>435.0</v>
      </c>
      <c r="AB12" s="111" t="s">
        <v>61</v>
      </c>
      <c r="AC12" s="171"/>
      <c r="AD12" s="171"/>
      <c r="AE12" s="171"/>
      <c r="AF12" s="122"/>
      <c r="AG12" s="134" t="s">
        <v>142</v>
      </c>
      <c r="AH12" s="73"/>
      <c r="AI12" s="135"/>
      <c r="AJ12" s="136"/>
      <c r="AK12" s="76"/>
      <c r="AL12" s="135"/>
      <c r="AM12" s="139">
        <v>441.0</v>
      </c>
      <c r="AN12" s="139">
        <v>143.0</v>
      </c>
      <c r="AO12" s="154">
        <v>18.73</v>
      </c>
      <c r="AP12" s="156">
        <v>6900.0</v>
      </c>
      <c r="AQ12" s="156">
        <v>209.0</v>
      </c>
      <c r="AR12" s="158">
        <v>-1.0</v>
      </c>
      <c r="AS12" s="161">
        <v>0.9878750238863173</v>
      </c>
      <c r="AT12" s="161">
        <v>-5.750238863173607E-4</v>
      </c>
      <c r="AU12" s="146" t="s">
        <v>144</v>
      </c>
      <c r="AV12" s="146" t="s">
        <v>144</v>
      </c>
      <c r="AW12" s="166" t="s">
        <v>144</v>
      </c>
      <c r="AX12" s="151"/>
      <c r="AY12" s="168"/>
      <c r="AZ12" s="173"/>
      <c r="BA12" s="173"/>
      <c r="BB12" s="163"/>
      <c r="BC12" s="169"/>
      <c r="BD12" s="169"/>
      <c r="BE12" s="169"/>
      <c r="BF12" s="169"/>
    </row>
    <row r="13">
      <c r="A13" s="107">
        <v>10.0</v>
      </c>
      <c r="B13" s="108" t="s">
        <v>145</v>
      </c>
      <c r="C13" s="115" t="s">
        <v>55</v>
      </c>
      <c r="D13" s="110">
        <v>42045.0</v>
      </c>
      <c r="E13" s="110">
        <v>42342.0</v>
      </c>
      <c r="F13" s="107" t="s">
        <v>90</v>
      </c>
      <c r="G13" s="113">
        <v>19985.0</v>
      </c>
      <c r="H13" s="114">
        <v>67.1</v>
      </c>
      <c r="I13" s="119">
        <v>408.0</v>
      </c>
      <c r="J13" s="122" t="s">
        <v>61</v>
      </c>
      <c r="K13" s="121">
        <v>413.16</v>
      </c>
      <c r="L13" s="119" t="s">
        <v>63</v>
      </c>
      <c r="M13" s="119"/>
      <c r="N13" s="119"/>
      <c r="O13" s="124">
        <v>19985.0</v>
      </c>
      <c r="P13" s="124">
        <v>298.0</v>
      </c>
      <c r="Q13" s="122">
        <v>225.0</v>
      </c>
      <c r="R13" s="125">
        <v>412.0</v>
      </c>
      <c r="S13" s="126">
        <v>1.0028</v>
      </c>
      <c r="T13" s="127">
        <v>77717.0</v>
      </c>
      <c r="U13" s="129">
        <f t="shared" si="1"/>
        <v>0</v>
      </c>
      <c r="V13" s="107" t="s">
        <v>64</v>
      </c>
      <c r="W13" s="107" t="s">
        <v>64</v>
      </c>
      <c r="X13" s="107" t="s">
        <v>66</v>
      </c>
      <c r="Y13" s="131">
        <v>0.9</v>
      </c>
      <c r="Z13" s="180">
        <v>15.0</v>
      </c>
      <c r="AA13" s="111">
        <v>408.0</v>
      </c>
      <c r="AB13" s="111" t="s">
        <v>61</v>
      </c>
      <c r="AC13" s="171"/>
      <c r="AD13" s="171"/>
      <c r="AE13" s="171"/>
      <c r="AF13" s="122"/>
      <c r="AG13" s="147"/>
      <c r="AH13" s="73"/>
      <c r="AI13" s="135"/>
      <c r="AJ13" s="136"/>
      <c r="AK13" s="76"/>
      <c r="AL13" s="135"/>
      <c r="AM13" s="139">
        <v>413.0</v>
      </c>
      <c r="AN13" s="139">
        <v>298.0</v>
      </c>
      <c r="AO13" s="154">
        <v>57.95</v>
      </c>
      <c r="AP13" s="156">
        <v>19985.0</v>
      </c>
      <c r="AQ13" s="156">
        <v>225.0</v>
      </c>
      <c r="AR13" s="158">
        <v>-1.0</v>
      </c>
      <c r="AS13" s="161">
        <v>0.9726045072568803</v>
      </c>
      <c r="AT13" s="161">
        <v>0.030195492743119612</v>
      </c>
      <c r="AU13" s="146" t="s">
        <v>148</v>
      </c>
      <c r="AV13" s="146" t="s">
        <v>148</v>
      </c>
      <c r="AW13" s="166" t="s">
        <v>148</v>
      </c>
      <c r="AX13" s="151"/>
      <c r="AY13" s="168"/>
      <c r="AZ13" s="173"/>
      <c r="BA13" s="173"/>
      <c r="BB13" s="163"/>
      <c r="BC13" s="169"/>
      <c r="BD13" s="169"/>
      <c r="BE13" s="169"/>
      <c r="BF13" s="169"/>
    </row>
    <row r="14">
      <c r="A14" s="107">
        <v>11.0</v>
      </c>
      <c r="B14" s="108" t="s">
        <v>149</v>
      </c>
      <c r="C14" s="115" t="s">
        <v>55</v>
      </c>
      <c r="D14" s="110">
        <v>42094.0</v>
      </c>
      <c r="E14" s="110">
        <v>42342.0</v>
      </c>
      <c r="F14" s="107" t="s">
        <v>86</v>
      </c>
      <c r="G14" s="113">
        <v>24027.0</v>
      </c>
      <c r="H14" s="114">
        <v>96.5</v>
      </c>
      <c r="I14" s="119">
        <v>415.0</v>
      </c>
      <c r="J14" s="122" t="s">
        <v>61</v>
      </c>
      <c r="K14" s="121">
        <v>420.25</v>
      </c>
      <c r="L14" s="119" t="s">
        <v>63</v>
      </c>
      <c r="M14" s="119"/>
      <c r="N14" s="119"/>
      <c r="O14" s="124">
        <v>24027.0</v>
      </c>
      <c r="P14" s="124">
        <v>249.0</v>
      </c>
      <c r="Q14" s="122">
        <v>189.0</v>
      </c>
      <c r="R14" s="125">
        <v>439.0</v>
      </c>
      <c r="S14" s="126">
        <v>0.9573</v>
      </c>
      <c r="T14" s="127">
        <v>74190.75</v>
      </c>
      <c r="U14" s="129">
        <f t="shared" si="1"/>
        <v>0</v>
      </c>
      <c r="V14" s="107" t="s">
        <v>64</v>
      </c>
      <c r="W14" s="107" t="s">
        <v>64</v>
      </c>
      <c r="X14" s="107" t="s">
        <v>68</v>
      </c>
      <c r="Y14" s="131">
        <v>0.9</v>
      </c>
      <c r="Z14" s="138"/>
      <c r="AA14" s="111">
        <v>425.0</v>
      </c>
      <c r="AB14" s="111" t="s">
        <v>61</v>
      </c>
      <c r="AC14" s="171"/>
      <c r="AD14" s="171"/>
      <c r="AE14" s="171"/>
      <c r="AF14" s="122"/>
      <c r="AG14" s="147"/>
      <c r="AH14" s="73"/>
      <c r="AI14" s="135"/>
      <c r="AJ14" s="136"/>
      <c r="AK14" s="76"/>
      <c r="AL14" s="135"/>
      <c r="AM14" s="139">
        <v>430.0</v>
      </c>
      <c r="AN14" s="139">
        <v>249.0</v>
      </c>
      <c r="AO14" s="154">
        <v>59.88</v>
      </c>
      <c r="AP14" s="156">
        <v>24027.0</v>
      </c>
      <c r="AQ14" s="156">
        <v>189.0</v>
      </c>
      <c r="AR14" s="158">
        <v>-1.0</v>
      </c>
      <c r="AS14" s="161">
        <v>0.9692837470203646</v>
      </c>
      <c r="AT14" s="161">
        <v>-0.011983747020364532</v>
      </c>
      <c r="AU14" s="146" t="s">
        <v>152</v>
      </c>
      <c r="AV14" s="146" t="s">
        <v>152</v>
      </c>
      <c r="AW14" s="166" t="s">
        <v>152</v>
      </c>
      <c r="AX14" s="151"/>
      <c r="AY14" s="168"/>
      <c r="AZ14" s="173"/>
      <c r="BA14" s="173"/>
      <c r="BB14" s="163"/>
      <c r="BC14" s="169"/>
      <c r="BD14" s="169"/>
      <c r="BE14" s="169"/>
      <c r="BF14" s="169"/>
    </row>
    <row r="15">
      <c r="A15" s="107">
        <v>12.0</v>
      </c>
      <c r="B15" s="108" t="s">
        <v>154</v>
      </c>
      <c r="C15" s="115" t="s">
        <v>55</v>
      </c>
      <c r="D15" s="110">
        <v>41307.0</v>
      </c>
      <c r="E15" s="110">
        <v>42319.0</v>
      </c>
      <c r="F15" s="107" t="s">
        <v>59</v>
      </c>
      <c r="G15" s="113">
        <v>70000.0</v>
      </c>
      <c r="H15" s="114">
        <v>69.1</v>
      </c>
      <c r="I15" s="119">
        <v>410.0</v>
      </c>
      <c r="J15" s="122" t="s">
        <v>61</v>
      </c>
      <c r="K15" s="121">
        <v>415.19</v>
      </c>
      <c r="L15" s="119" t="s">
        <v>63</v>
      </c>
      <c r="M15" s="119"/>
      <c r="N15" s="119"/>
      <c r="O15" s="124">
        <v>70000.0</v>
      </c>
      <c r="P15" s="124">
        <v>1013.0</v>
      </c>
      <c r="Q15" s="122">
        <v>220.0</v>
      </c>
      <c r="R15" s="125">
        <v>433.0</v>
      </c>
      <c r="S15" s="126">
        <v>0.9589</v>
      </c>
      <c r="T15" s="127">
        <v>74314.75</v>
      </c>
      <c r="U15" s="129">
        <f t="shared" si="1"/>
        <v>0</v>
      </c>
      <c r="V15" s="107" t="s">
        <v>65</v>
      </c>
      <c r="W15" s="107" t="s">
        <v>65</v>
      </c>
      <c r="X15" s="107" t="s">
        <v>69</v>
      </c>
      <c r="Y15" s="131">
        <v>0.9</v>
      </c>
      <c r="Z15" s="180">
        <v>7.0</v>
      </c>
      <c r="AA15" s="111">
        <v>425.0</v>
      </c>
      <c r="AB15" s="111" t="s">
        <v>61</v>
      </c>
      <c r="AC15" s="171"/>
      <c r="AD15" s="171"/>
      <c r="AE15" s="171"/>
      <c r="AF15" s="122"/>
      <c r="AG15" s="147"/>
      <c r="AH15" s="73"/>
      <c r="AI15" s="135"/>
      <c r="AJ15" s="136"/>
      <c r="AK15" s="76"/>
      <c r="AL15" s="135"/>
      <c r="AM15" s="139">
        <v>430.0</v>
      </c>
      <c r="AN15" s="139">
        <v>1013.0</v>
      </c>
      <c r="AO15" s="154">
        <v>202.92</v>
      </c>
      <c r="AP15" s="156">
        <v>70000.0</v>
      </c>
      <c r="AQ15" s="156">
        <v>220.0</v>
      </c>
      <c r="AR15" s="158">
        <v>-1.0</v>
      </c>
      <c r="AS15" s="161">
        <v>0.9507597292562927</v>
      </c>
      <c r="AT15" s="161">
        <v>0.008140270743707267</v>
      </c>
      <c r="AU15" s="146" t="s">
        <v>158</v>
      </c>
      <c r="AV15" s="146" t="s">
        <v>158</v>
      </c>
      <c r="AW15" s="166" t="s">
        <v>158</v>
      </c>
      <c r="AX15" s="151"/>
      <c r="AY15" s="168"/>
      <c r="AZ15" s="173"/>
      <c r="BA15" s="173"/>
      <c r="BB15" s="163"/>
      <c r="BC15" s="169"/>
      <c r="BD15" s="169"/>
      <c r="BE15" s="169"/>
      <c r="BF15" s="169"/>
    </row>
    <row r="16">
      <c r="A16" s="107">
        <v>13.0</v>
      </c>
      <c r="B16" s="108" t="s">
        <v>160</v>
      </c>
      <c r="C16" s="115" t="s">
        <v>55</v>
      </c>
      <c r="D16" s="110">
        <v>42144.0</v>
      </c>
      <c r="E16" s="110">
        <v>42351.0</v>
      </c>
      <c r="F16" s="107" t="s">
        <v>86</v>
      </c>
      <c r="G16" s="113">
        <v>27000.0</v>
      </c>
      <c r="H16" s="114">
        <v>129.8</v>
      </c>
      <c r="I16" s="119">
        <v>430.0</v>
      </c>
      <c r="J16" s="122" t="s">
        <v>61</v>
      </c>
      <c r="K16" s="121">
        <v>435.44</v>
      </c>
      <c r="L16" s="119" t="s">
        <v>63</v>
      </c>
      <c r="M16" s="119"/>
      <c r="N16" s="119"/>
      <c r="O16" s="124">
        <v>27000.0</v>
      </c>
      <c r="P16" s="124">
        <v>208.0</v>
      </c>
      <c r="Q16" s="122">
        <v>195.0</v>
      </c>
      <c r="R16" s="125">
        <v>439.0</v>
      </c>
      <c r="S16" s="126">
        <v>0.9919</v>
      </c>
      <c r="T16" s="127">
        <v>76872.25</v>
      </c>
      <c r="U16" s="129">
        <f t="shared" si="1"/>
        <v>0</v>
      </c>
      <c r="V16" s="107" t="s">
        <v>64</v>
      </c>
      <c r="W16" s="107" t="s">
        <v>64</v>
      </c>
      <c r="X16" s="107" t="s">
        <v>66</v>
      </c>
      <c r="Y16" s="131">
        <v>0.9</v>
      </c>
      <c r="Z16" s="138"/>
      <c r="AA16" s="111">
        <v>436.0</v>
      </c>
      <c r="AB16" s="111" t="s">
        <v>61</v>
      </c>
      <c r="AC16" s="171"/>
      <c r="AD16" s="171"/>
      <c r="AE16" s="171"/>
      <c r="AF16" s="122"/>
      <c r="AG16" s="134" t="s">
        <v>164</v>
      </c>
      <c r="AH16" s="73"/>
      <c r="AI16" s="135"/>
      <c r="AJ16" s="136"/>
      <c r="AK16" s="76"/>
      <c r="AL16" s="135"/>
      <c r="AM16" s="139">
        <v>442.0</v>
      </c>
      <c r="AN16" s="139">
        <v>208.0</v>
      </c>
      <c r="AO16" s="154">
        <v>68.22</v>
      </c>
      <c r="AP16" s="156">
        <v>27000.0</v>
      </c>
      <c r="AQ16" s="156">
        <v>195.0</v>
      </c>
      <c r="AR16" s="158">
        <v>-1.0</v>
      </c>
      <c r="AS16" s="161">
        <v>0.9671439869277211</v>
      </c>
      <c r="AT16" s="161">
        <v>0.024756013072278926</v>
      </c>
      <c r="AU16" s="146" t="s">
        <v>165</v>
      </c>
      <c r="AV16" s="146" t="s">
        <v>165</v>
      </c>
      <c r="AW16" s="166" t="s">
        <v>165</v>
      </c>
      <c r="AX16" s="151"/>
      <c r="AY16" s="168"/>
      <c r="AZ16" s="173"/>
      <c r="BA16" s="173"/>
      <c r="BB16" s="184"/>
      <c r="BC16" s="169"/>
      <c r="BD16" s="169"/>
      <c r="BE16" s="169"/>
      <c r="BF16" s="169"/>
    </row>
    <row r="17">
      <c r="A17" s="107">
        <v>14.0</v>
      </c>
      <c r="B17" s="108" t="s">
        <v>169</v>
      </c>
      <c r="C17" s="115" t="s">
        <v>55</v>
      </c>
      <c r="D17" s="110">
        <v>41348.0</v>
      </c>
      <c r="E17" s="110">
        <v>42256.0</v>
      </c>
      <c r="F17" s="107" t="s">
        <v>59</v>
      </c>
      <c r="G17" s="113">
        <v>100000.0</v>
      </c>
      <c r="H17" s="114">
        <v>110.0</v>
      </c>
      <c r="I17" s="119">
        <v>406.0</v>
      </c>
      <c r="J17" s="122" t="s">
        <v>61</v>
      </c>
      <c r="K17" s="121">
        <v>411.14</v>
      </c>
      <c r="L17" s="119" t="s">
        <v>63</v>
      </c>
      <c r="M17" s="119"/>
      <c r="N17" s="119"/>
      <c r="O17" s="124">
        <v>100000.0</v>
      </c>
      <c r="P17" s="124">
        <v>909.0</v>
      </c>
      <c r="Q17" s="122">
        <v>227.0</v>
      </c>
      <c r="R17" s="125">
        <v>433.0</v>
      </c>
      <c r="S17" s="126">
        <v>0.9495</v>
      </c>
      <c r="T17" s="127">
        <v>73586.25</v>
      </c>
      <c r="U17" s="129">
        <f t="shared" si="1"/>
        <v>0</v>
      </c>
      <c r="V17" s="107" t="s">
        <v>67</v>
      </c>
      <c r="W17" s="170"/>
      <c r="X17" s="170"/>
      <c r="Y17" s="131"/>
      <c r="Z17" s="138"/>
      <c r="AA17" s="133"/>
      <c r="AB17" s="133"/>
      <c r="AC17" s="171"/>
      <c r="AD17" s="171"/>
      <c r="AE17" s="171"/>
      <c r="AF17" s="122"/>
      <c r="AG17" s="147"/>
      <c r="AH17" s="73"/>
      <c r="AI17" s="135"/>
      <c r="AJ17" s="136"/>
      <c r="AK17" s="76"/>
      <c r="AL17" s="135"/>
      <c r="AM17" s="139" t="s">
        <v>71</v>
      </c>
      <c r="AN17" s="139">
        <v>909.0</v>
      </c>
      <c r="AO17" s="154">
        <v>300.53</v>
      </c>
      <c r="AP17" s="156">
        <v>100000.0</v>
      </c>
      <c r="AQ17" s="156">
        <v>227.0</v>
      </c>
      <c r="AR17" s="158">
        <v>-1.0</v>
      </c>
      <c r="AS17" s="161">
        <v>0.9449620218343179</v>
      </c>
      <c r="AT17" s="161">
        <v>0.004537978165682133</v>
      </c>
      <c r="AU17" s="146" t="s">
        <v>172</v>
      </c>
      <c r="AV17" s="146" t="s">
        <v>172</v>
      </c>
      <c r="AW17" s="166" t="s">
        <v>172</v>
      </c>
      <c r="AX17" s="151"/>
      <c r="AY17" s="168"/>
      <c r="AZ17" s="173"/>
      <c r="BA17" s="173"/>
      <c r="BB17" s="184"/>
      <c r="BC17" s="169"/>
      <c r="BD17" s="169"/>
      <c r="BE17" s="169"/>
      <c r="BF17" s="169"/>
    </row>
    <row r="18">
      <c r="A18" s="107">
        <v>15.0</v>
      </c>
      <c r="B18" s="108" t="s">
        <v>169</v>
      </c>
      <c r="C18" s="115" t="s">
        <v>55</v>
      </c>
      <c r="D18" s="110">
        <v>41348.0</v>
      </c>
      <c r="E18" s="110">
        <v>42370.0</v>
      </c>
      <c r="F18" s="107" t="s">
        <v>59</v>
      </c>
      <c r="G18" s="113">
        <v>109350.0</v>
      </c>
      <c r="H18" s="114">
        <v>106.9</v>
      </c>
      <c r="I18" s="119">
        <v>396.0</v>
      </c>
      <c r="J18" s="122" t="s">
        <v>61</v>
      </c>
      <c r="K18" s="121">
        <v>401.01</v>
      </c>
      <c r="L18" s="119" t="s">
        <v>63</v>
      </c>
      <c r="M18" s="119"/>
      <c r="N18" s="119"/>
      <c r="O18" s="124">
        <v>109350.0</v>
      </c>
      <c r="P18" s="124">
        <v>1023.0</v>
      </c>
      <c r="Q18" s="122">
        <v>227.0</v>
      </c>
      <c r="R18" s="125">
        <v>433.0</v>
      </c>
      <c r="S18" s="126">
        <v>0.9261</v>
      </c>
      <c r="T18" s="127">
        <v>71772.75</v>
      </c>
      <c r="U18" s="129">
        <f t="shared" si="1"/>
        <v>0</v>
      </c>
      <c r="V18" s="107" t="s">
        <v>66</v>
      </c>
      <c r="W18" s="107" t="s">
        <v>69</v>
      </c>
      <c r="X18" s="107" t="s">
        <v>69</v>
      </c>
      <c r="Y18" s="131">
        <v>0.9</v>
      </c>
      <c r="Z18" s="180">
        <v>9.0</v>
      </c>
      <c r="AA18" s="133"/>
      <c r="AB18" s="133"/>
      <c r="AC18" s="171"/>
      <c r="AD18" s="171"/>
      <c r="AE18" s="171"/>
      <c r="AF18" s="122"/>
      <c r="AG18" s="147"/>
      <c r="AH18" s="73"/>
      <c r="AI18" s="135"/>
      <c r="AJ18" s="136"/>
      <c r="AK18" s="76"/>
      <c r="AL18" s="135"/>
      <c r="AM18" s="139" t="s">
        <v>71</v>
      </c>
      <c r="AN18" s="139">
        <v>1023.0</v>
      </c>
      <c r="AO18" s="154">
        <v>332.62</v>
      </c>
      <c r="AP18" s="156">
        <v>109350.0</v>
      </c>
      <c r="AQ18" s="156">
        <v>227.0</v>
      </c>
      <c r="AR18" s="158">
        <v>-1.0</v>
      </c>
      <c r="AS18" s="161">
        <v>0.9433736637963004</v>
      </c>
      <c r="AT18" s="161">
        <v>-0.017273663796300354</v>
      </c>
      <c r="AU18" s="146" t="s">
        <v>176</v>
      </c>
      <c r="AV18" s="146" t="s">
        <v>176</v>
      </c>
      <c r="AW18" s="166" t="s">
        <v>176</v>
      </c>
      <c r="AX18" s="151"/>
      <c r="AY18" s="168"/>
      <c r="AZ18" s="173"/>
      <c r="BA18" s="173"/>
      <c r="BB18" s="184"/>
      <c r="BC18" s="169"/>
      <c r="BD18" s="169"/>
      <c r="BE18" s="169"/>
      <c r="BF18" s="169"/>
    </row>
    <row r="19">
      <c r="A19" s="107">
        <v>16.0</v>
      </c>
      <c r="B19" s="108" t="s">
        <v>138</v>
      </c>
      <c r="C19" s="115" t="s">
        <v>55</v>
      </c>
      <c r="D19" s="110">
        <v>42173.0</v>
      </c>
      <c r="E19" s="110">
        <v>42428.0</v>
      </c>
      <c r="F19" s="107" t="s">
        <v>86</v>
      </c>
      <c r="G19" s="113">
        <v>10680.0</v>
      </c>
      <c r="H19" s="114">
        <v>41.7</v>
      </c>
      <c r="I19" s="119">
        <v>428.0</v>
      </c>
      <c r="J19" s="122" t="s">
        <v>61</v>
      </c>
      <c r="K19" s="121">
        <v>433.42</v>
      </c>
      <c r="L19" s="119" t="s">
        <v>63</v>
      </c>
      <c r="M19" s="119"/>
      <c r="N19" s="119"/>
      <c r="O19" s="124">
        <v>10680.0</v>
      </c>
      <c r="P19" s="124">
        <v>256.0</v>
      </c>
      <c r="Q19" s="122">
        <v>209.0</v>
      </c>
      <c r="R19" s="125">
        <v>439.0</v>
      </c>
      <c r="S19" s="126">
        <v>0.9873</v>
      </c>
      <c r="T19" s="127">
        <v>76515.75</v>
      </c>
      <c r="U19" s="129">
        <f t="shared" si="1"/>
        <v>0</v>
      </c>
      <c r="V19" s="107" t="s">
        <v>64</v>
      </c>
      <c r="W19" s="107" t="s">
        <v>69</v>
      </c>
      <c r="X19" s="107" t="s">
        <v>68</v>
      </c>
      <c r="Y19" s="131">
        <v>0.9</v>
      </c>
      <c r="Z19" s="180">
        <v>8.0</v>
      </c>
      <c r="AA19" s="111">
        <v>435.0</v>
      </c>
      <c r="AB19" s="111" t="s">
        <v>61</v>
      </c>
      <c r="AC19" s="171"/>
      <c r="AD19" s="171"/>
      <c r="AE19" s="171"/>
      <c r="AF19" s="122"/>
      <c r="AG19" s="134"/>
      <c r="AH19" s="73"/>
      <c r="AI19" s="135"/>
      <c r="AJ19" s="136"/>
      <c r="AK19" s="76"/>
      <c r="AL19" s="135"/>
      <c r="AM19" s="139">
        <v>441.0</v>
      </c>
      <c r="AN19" s="139">
        <v>256.0</v>
      </c>
      <c r="AO19" s="154">
        <v>29.0</v>
      </c>
      <c r="AP19" s="156">
        <v>10680.0</v>
      </c>
      <c r="AQ19" s="156">
        <v>209.0</v>
      </c>
      <c r="AR19" s="158">
        <v>-1.0</v>
      </c>
      <c r="AS19" s="161">
        <v>0.9825946099658147</v>
      </c>
      <c r="AT19" s="161">
        <v>0.004705390034185242</v>
      </c>
      <c r="AU19" s="146" t="s">
        <v>179</v>
      </c>
      <c r="AV19" s="146" t="s">
        <v>179</v>
      </c>
      <c r="AW19" s="166" t="s">
        <v>179</v>
      </c>
      <c r="AX19" s="151"/>
      <c r="AY19" s="168"/>
      <c r="AZ19" s="173"/>
      <c r="BA19" s="173"/>
      <c r="BB19" s="184"/>
      <c r="BC19" s="169"/>
      <c r="BD19" s="169"/>
      <c r="BE19" s="169"/>
      <c r="BF19" s="169"/>
    </row>
    <row r="20">
      <c r="A20" s="107">
        <v>17.0</v>
      </c>
      <c r="B20" s="108" t="s">
        <v>169</v>
      </c>
      <c r="C20" s="115" t="s">
        <v>55</v>
      </c>
      <c r="D20" s="110">
        <v>41348.0</v>
      </c>
      <c r="E20" s="110">
        <v>42482.0</v>
      </c>
      <c r="F20" s="107" t="s">
        <v>59</v>
      </c>
      <c r="G20" s="113">
        <v>117272.0</v>
      </c>
      <c r="H20" s="114">
        <v>103.3</v>
      </c>
      <c r="I20" s="119">
        <v>401.0</v>
      </c>
      <c r="J20" s="122" t="s">
        <v>61</v>
      </c>
      <c r="K20" s="121">
        <v>406.08</v>
      </c>
      <c r="L20" s="119" t="s">
        <v>63</v>
      </c>
      <c r="M20" s="119"/>
      <c r="N20" s="119"/>
      <c r="O20" s="124">
        <v>117272.0</v>
      </c>
      <c r="P20" s="124">
        <v>1135.0</v>
      </c>
      <c r="Q20" s="122">
        <v>243.0</v>
      </c>
      <c r="R20" s="125">
        <v>433.0</v>
      </c>
      <c r="S20" s="126">
        <v>0.9378</v>
      </c>
      <c r="T20" s="127">
        <v>72679.5</v>
      </c>
      <c r="U20" s="129">
        <f t="shared" si="1"/>
        <v>0</v>
      </c>
      <c r="V20" s="107" t="s">
        <v>66</v>
      </c>
      <c r="W20" s="107" t="s">
        <v>69</v>
      </c>
      <c r="X20" s="107" t="s">
        <v>69</v>
      </c>
      <c r="Y20" s="131">
        <v>0.9</v>
      </c>
      <c r="Z20" s="180">
        <v>9.0</v>
      </c>
      <c r="AA20" s="133"/>
      <c r="AB20" s="111" t="s">
        <v>61</v>
      </c>
      <c r="AC20" s="171"/>
      <c r="AD20" s="171"/>
      <c r="AE20" s="171"/>
      <c r="AF20" s="122"/>
      <c r="AG20" s="134"/>
      <c r="AH20" s="73"/>
      <c r="AI20" s="135"/>
      <c r="AJ20" s="136"/>
      <c r="AK20" s="76"/>
      <c r="AL20" s="135"/>
      <c r="AM20" s="139" t="s">
        <v>71</v>
      </c>
      <c r="AN20" s="139">
        <v>1135.0</v>
      </c>
      <c r="AO20" s="154">
        <v>379.56</v>
      </c>
      <c r="AP20" s="156">
        <v>117272.0</v>
      </c>
      <c r="AQ20" s="156">
        <v>243.0</v>
      </c>
      <c r="AR20" s="158">
        <v>-1.0</v>
      </c>
      <c r="AS20" s="161">
        <v>0.9420640018017385</v>
      </c>
      <c r="AT20" s="161">
        <v>-0.004264001801738582</v>
      </c>
      <c r="AU20" s="146" t="s">
        <v>182</v>
      </c>
      <c r="AV20" s="146" t="s">
        <v>182</v>
      </c>
      <c r="AW20" s="166" t="s">
        <v>182</v>
      </c>
      <c r="AX20" s="151"/>
      <c r="AY20" s="168"/>
      <c r="AZ20" s="173"/>
      <c r="BA20" s="173"/>
      <c r="BB20" s="184"/>
      <c r="BC20" s="169"/>
      <c r="BD20" s="169"/>
      <c r="BE20" s="169"/>
      <c r="BF20" s="169"/>
    </row>
    <row r="21">
      <c r="A21" s="107">
        <v>18.0</v>
      </c>
      <c r="B21" s="108" t="s">
        <v>169</v>
      </c>
      <c r="C21" s="115" t="s">
        <v>55</v>
      </c>
      <c r="D21" s="110">
        <v>41348.0</v>
      </c>
      <c r="E21" s="110">
        <v>42621.0</v>
      </c>
      <c r="F21" s="107" t="s">
        <v>59</v>
      </c>
      <c r="G21" s="113">
        <v>132000.0</v>
      </c>
      <c r="H21" s="114">
        <v>103.6</v>
      </c>
      <c r="I21" s="119">
        <v>400.0</v>
      </c>
      <c r="J21" s="122" t="s">
        <v>61</v>
      </c>
      <c r="K21" s="121">
        <v>405.06</v>
      </c>
      <c r="L21" s="119" t="s">
        <v>63</v>
      </c>
      <c r="M21" s="119"/>
      <c r="N21" s="119"/>
      <c r="O21" s="124">
        <v>132000.0</v>
      </c>
      <c r="P21" s="124">
        <v>1274.0</v>
      </c>
      <c r="Q21" s="122">
        <v>215.12</v>
      </c>
      <c r="R21" s="125">
        <v>433.0</v>
      </c>
      <c r="S21" s="126">
        <v>0.9355</v>
      </c>
      <c r="T21" s="127">
        <v>72501.25</v>
      </c>
      <c r="U21" s="129">
        <f t="shared" si="1"/>
        <v>0</v>
      </c>
      <c r="V21" s="107" t="s">
        <v>64</v>
      </c>
      <c r="W21" s="107" t="s">
        <v>69</v>
      </c>
      <c r="X21" s="107" t="s">
        <v>69</v>
      </c>
      <c r="Y21" s="131">
        <v>0.9</v>
      </c>
      <c r="Z21" s="180">
        <v>9.0</v>
      </c>
      <c r="AA21" s="133"/>
      <c r="AB21" s="133"/>
      <c r="AC21" s="145"/>
      <c r="AD21" s="145"/>
      <c r="AE21" s="171"/>
      <c r="AF21" s="122"/>
      <c r="AG21" s="147"/>
      <c r="AH21" s="73"/>
      <c r="AI21" s="135"/>
      <c r="AJ21" s="136"/>
      <c r="AK21" s="76"/>
      <c r="AL21" s="135"/>
      <c r="AM21" s="139" t="s">
        <v>71</v>
      </c>
      <c r="AN21" s="139">
        <v>1274.0</v>
      </c>
      <c r="AO21" s="154">
        <v>378.66</v>
      </c>
      <c r="AP21" s="156">
        <v>132000.0</v>
      </c>
      <c r="AQ21" s="156">
        <v>215.12</v>
      </c>
      <c r="AR21" s="158">
        <v>-1.0</v>
      </c>
      <c r="AS21" s="161">
        <v>0.9396829411382467</v>
      </c>
      <c r="AT21" s="161">
        <v>-0.0041829411382466875</v>
      </c>
      <c r="AU21" s="146" t="s">
        <v>188</v>
      </c>
      <c r="AV21" s="146" t="s">
        <v>188</v>
      </c>
      <c r="AW21" s="166" t="s">
        <v>188</v>
      </c>
      <c r="AX21" s="151"/>
      <c r="AY21" s="168"/>
      <c r="AZ21" s="173"/>
      <c r="BA21" s="173"/>
      <c r="BB21" s="184"/>
      <c r="BC21" s="169"/>
      <c r="BD21" s="169"/>
      <c r="BE21" s="169"/>
      <c r="BF21" s="169"/>
    </row>
    <row r="22">
      <c r="A22" s="107">
        <v>19.0</v>
      </c>
      <c r="B22" s="108" t="s">
        <v>92</v>
      </c>
      <c r="C22" s="115" t="s">
        <v>55</v>
      </c>
      <c r="D22" s="110">
        <v>41984.0</v>
      </c>
      <c r="E22" s="110">
        <v>42623.0</v>
      </c>
      <c r="F22" s="107" t="s">
        <v>59</v>
      </c>
      <c r="G22" s="113">
        <v>36474.0</v>
      </c>
      <c r="H22" s="114">
        <v>57.0</v>
      </c>
      <c r="I22" s="119">
        <v>422.0</v>
      </c>
      <c r="J22" s="122" t="s">
        <v>61</v>
      </c>
      <c r="K22" s="121">
        <v>427.34</v>
      </c>
      <c r="L22" s="119" t="s">
        <v>63</v>
      </c>
      <c r="M22" s="119"/>
      <c r="N22" s="119"/>
      <c r="O22" s="124">
        <v>36474.0</v>
      </c>
      <c r="P22" s="124">
        <v>640.0</v>
      </c>
      <c r="Q22" s="122">
        <v>204.0</v>
      </c>
      <c r="R22" s="125">
        <v>433.0</v>
      </c>
      <c r="S22" s="126">
        <v>0.9869</v>
      </c>
      <c r="T22" s="127">
        <v>76484.75</v>
      </c>
      <c r="U22" s="129">
        <f t="shared" si="1"/>
        <v>0</v>
      </c>
      <c r="V22" s="107" t="s">
        <v>64</v>
      </c>
      <c r="W22" s="107" t="s">
        <v>66</v>
      </c>
      <c r="X22" s="107" t="s">
        <v>68</v>
      </c>
      <c r="Y22" s="131">
        <v>0.9</v>
      </c>
      <c r="Z22" s="138"/>
      <c r="AA22" s="133"/>
      <c r="AB22" s="133"/>
      <c r="AC22" s="171"/>
      <c r="AD22" s="171"/>
      <c r="AE22" s="171"/>
      <c r="AF22" s="122"/>
      <c r="AG22" s="147"/>
      <c r="AH22" s="73"/>
      <c r="AI22" s="135"/>
      <c r="AJ22" s="136"/>
      <c r="AK22" s="76"/>
      <c r="AL22" s="135"/>
      <c r="AM22" s="139" t="s">
        <v>71</v>
      </c>
      <c r="AN22" s="139">
        <v>640.0</v>
      </c>
      <c r="AO22" s="154">
        <v>96.67</v>
      </c>
      <c r="AP22" s="156">
        <v>36474.0</v>
      </c>
      <c r="AQ22" s="156">
        <v>204.0</v>
      </c>
      <c r="AR22" s="158">
        <v>-1.0</v>
      </c>
      <c r="AS22" s="161">
        <v>0.9616532582270246</v>
      </c>
      <c r="AT22" s="161">
        <v>0.025246741772975367</v>
      </c>
      <c r="AU22" s="146" t="s">
        <v>193</v>
      </c>
      <c r="AV22" s="146" t="s">
        <v>193</v>
      </c>
      <c r="AW22" s="166" t="s">
        <v>193</v>
      </c>
      <c r="AX22" s="151"/>
      <c r="AY22" s="168"/>
      <c r="AZ22" s="173"/>
      <c r="BA22" s="173"/>
      <c r="BB22" s="184"/>
      <c r="BC22" s="169"/>
      <c r="BD22" s="169"/>
      <c r="BE22" s="169"/>
      <c r="BF22" s="169"/>
    </row>
    <row r="23">
      <c r="A23" s="107">
        <v>20.0</v>
      </c>
      <c r="B23" s="108" t="s">
        <v>194</v>
      </c>
      <c r="C23" s="115" t="s">
        <v>55</v>
      </c>
      <c r="D23" s="110">
        <v>41760.0</v>
      </c>
      <c r="E23" s="110">
        <v>42655.0</v>
      </c>
      <c r="F23" s="107" t="s">
        <v>109</v>
      </c>
      <c r="G23" s="113">
        <v>54401.0</v>
      </c>
      <c r="H23" s="114">
        <v>60.7</v>
      </c>
      <c r="I23" s="119">
        <v>307.0</v>
      </c>
      <c r="J23" s="122" t="s">
        <v>62</v>
      </c>
      <c r="K23" s="121">
        <v>307.0</v>
      </c>
      <c r="L23" s="119" t="s">
        <v>63</v>
      </c>
      <c r="M23" s="119"/>
      <c r="N23" s="119"/>
      <c r="O23" s="124">
        <v>54401.0</v>
      </c>
      <c r="P23" s="124">
        <v>896.0</v>
      </c>
      <c r="Q23" s="122">
        <v>190.0</v>
      </c>
      <c r="R23" s="125">
        <v>338.0</v>
      </c>
      <c r="S23" s="126">
        <v>0.9083</v>
      </c>
      <c r="T23" s="127">
        <v>53135.55</v>
      </c>
      <c r="U23" s="129">
        <f t="shared" si="1"/>
        <v>0</v>
      </c>
      <c r="V23" s="107" t="s">
        <v>69</v>
      </c>
      <c r="W23" s="107" t="s">
        <v>64</v>
      </c>
      <c r="X23" s="107" t="s">
        <v>68</v>
      </c>
      <c r="Y23" s="131">
        <v>0.8</v>
      </c>
      <c r="Z23" s="138"/>
      <c r="AA23" s="133"/>
      <c r="AB23" s="133"/>
      <c r="AC23" s="171"/>
      <c r="AD23" s="171"/>
      <c r="AE23" s="171"/>
      <c r="AF23" s="122"/>
      <c r="AG23" s="147"/>
      <c r="AH23" s="73"/>
      <c r="AI23" s="135"/>
      <c r="AJ23" s="136"/>
      <c r="AK23" s="76"/>
      <c r="AL23" s="135"/>
      <c r="AM23" s="139" t="s">
        <v>71</v>
      </c>
      <c r="AN23" s="139">
        <v>896.0</v>
      </c>
      <c r="AO23" s="154">
        <v>185.23</v>
      </c>
      <c r="AP23" s="156">
        <v>54401.0</v>
      </c>
      <c r="AQ23" s="156">
        <v>190.0</v>
      </c>
      <c r="AR23" s="158">
        <v>-1.0</v>
      </c>
      <c r="AS23" s="161">
        <v>0.9547894610139873</v>
      </c>
      <c r="AT23" s="161">
        <v>-0.04648946101398732</v>
      </c>
      <c r="AU23" s="146" t="s">
        <v>199</v>
      </c>
      <c r="AV23" s="146" t="s">
        <v>199</v>
      </c>
      <c r="AW23" s="166" t="s">
        <v>199</v>
      </c>
      <c r="AX23" s="151"/>
      <c r="AY23" s="168"/>
      <c r="AZ23" s="173"/>
      <c r="BA23" s="173"/>
      <c r="BB23" s="184"/>
      <c r="BC23" s="169"/>
      <c r="BD23" s="169"/>
      <c r="BE23" s="169"/>
      <c r="BF23" s="169"/>
    </row>
    <row r="24">
      <c r="A24" s="107">
        <v>21.0</v>
      </c>
      <c r="B24" s="108" t="s">
        <v>138</v>
      </c>
      <c r="C24" s="115" t="s">
        <v>55</v>
      </c>
      <c r="D24" s="110">
        <v>42173.0</v>
      </c>
      <c r="E24" s="110">
        <v>42659.0</v>
      </c>
      <c r="F24" s="107" t="s">
        <v>86</v>
      </c>
      <c r="G24" s="113">
        <v>19550.0</v>
      </c>
      <c r="H24" s="114">
        <v>40.1</v>
      </c>
      <c r="I24" s="119">
        <v>432.0</v>
      </c>
      <c r="J24" s="122" t="s">
        <v>61</v>
      </c>
      <c r="K24" s="121">
        <v>437.47</v>
      </c>
      <c r="L24" s="119" t="s">
        <v>63</v>
      </c>
      <c r="M24" s="119"/>
      <c r="N24" s="119"/>
      <c r="O24" s="124">
        <v>19550.0</v>
      </c>
      <c r="P24" s="124">
        <v>487.0</v>
      </c>
      <c r="Q24" s="122">
        <v>212.0</v>
      </c>
      <c r="R24" s="125">
        <v>439.0</v>
      </c>
      <c r="S24" s="126">
        <v>0.9965</v>
      </c>
      <c r="T24" s="127">
        <v>77228.75</v>
      </c>
      <c r="U24" s="129">
        <f t="shared" si="1"/>
        <v>0</v>
      </c>
      <c r="V24" s="107" t="s">
        <v>64</v>
      </c>
      <c r="W24" s="107" t="s">
        <v>64</v>
      </c>
      <c r="X24" s="107" t="s">
        <v>68</v>
      </c>
      <c r="Y24" s="131">
        <v>0.9</v>
      </c>
      <c r="Z24" s="180">
        <v>9.0</v>
      </c>
      <c r="AA24" s="111">
        <v>435.0</v>
      </c>
      <c r="AB24" s="111" t="s">
        <v>61</v>
      </c>
      <c r="AC24" s="171"/>
      <c r="AD24" s="171"/>
      <c r="AE24" s="171"/>
      <c r="AF24" s="122"/>
      <c r="AG24" s="147"/>
      <c r="AH24" s="73"/>
      <c r="AI24" s="135"/>
      <c r="AJ24" s="136"/>
      <c r="AK24" s="76"/>
      <c r="AL24" s="135"/>
      <c r="AM24" s="139">
        <v>441.0</v>
      </c>
      <c r="AN24" s="139">
        <v>487.0</v>
      </c>
      <c r="AO24" s="154">
        <v>53.59</v>
      </c>
      <c r="AP24" s="156">
        <v>19550.0</v>
      </c>
      <c r="AQ24" s="156">
        <v>212.0</v>
      </c>
      <c r="AR24" s="158">
        <v>-1.0</v>
      </c>
      <c r="AS24" s="161">
        <v>0.9729936337729688</v>
      </c>
      <c r="AT24" s="161">
        <v>0.023506366227031283</v>
      </c>
      <c r="AU24" s="146" t="s">
        <v>202</v>
      </c>
      <c r="AV24" s="146" t="s">
        <v>202</v>
      </c>
      <c r="AW24" s="166" t="s">
        <v>202</v>
      </c>
      <c r="AX24" s="151"/>
      <c r="AY24" s="168"/>
      <c r="AZ24" s="173"/>
      <c r="BA24" s="173"/>
      <c r="BB24" s="184"/>
      <c r="BC24" s="169"/>
      <c r="BD24" s="169"/>
      <c r="BE24" s="169"/>
      <c r="BF24" s="169"/>
    </row>
    <row r="25">
      <c r="A25" s="107">
        <v>22.0</v>
      </c>
      <c r="B25" s="108" t="s">
        <v>203</v>
      </c>
      <c r="C25" s="115" t="s">
        <v>55</v>
      </c>
      <c r="D25" s="110">
        <v>41685.0</v>
      </c>
      <c r="E25" s="110">
        <v>42674.0</v>
      </c>
      <c r="F25" s="107" t="s">
        <v>86</v>
      </c>
      <c r="G25" s="113">
        <v>90000.0</v>
      </c>
      <c r="H25" s="114">
        <v>90.9</v>
      </c>
      <c r="I25" s="119">
        <v>428.0</v>
      </c>
      <c r="J25" s="122" t="s">
        <v>62</v>
      </c>
      <c r="K25" s="121">
        <v>428.0</v>
      </c>
      <c r="L25" s="119" t="s">
        <v>63</v>
      </c>
      <c r="M25" s="119"/>
      <c r="N25" s="119"/>
      <c r="O25" s="124">
        <v>90000.0</v>
      </c>
      <c r="P25" s="124">
        <v>990.0</v>
      </c>
      <c r="Q25" s="122">
        <v>214.0</v>
      </c>
      <c r="R25" s="125">
        <v>439.0</v>
      </c>
      <c r="S25" s="126">
        <v>0.9749</v>
      </c>
      <c r="T25" s="127">
        <v>75554.75</v>
      </c>
      <c r="U25" s="129">
        <f t="shared" si="1"/>
        <v>0</v>
      </c>
      <c r="V25" s="107" t="s">
        <v>64</v>
      </c>
      <c r="W25" s="107" t="s">
        <v>69</v>
      </c>
      <c r="X25" s="107" t="s">
        <v>68</v>
      </c>
      <c r="Y25" s="131">
        <v>0.9</v>
      </c>
      <c r="Z25" s="180">
        <v>9.6</v>
      </c>
      <c r="AA25" s="111">
        <v>435.0</v>
      </c>
      <c r="AB25" s="111" t="s">
        <v>61</v>
      </c>
      <c r="AC25" s="171"/>
      <c r="AD25" s="171"/>
      <c r="AE25" s="171"/>
      <c r="AF25" s="122"/>
      <c r="AG25" s="134" t="s">
        <v>208</v>
      </c>
      <c r="AH25" s="73"/>
      <c r="AI25" s="135"/>
      <c r="AJ25" s="136"/>
      <c r="AK25" s="76"/>
      <c r="AL25" s="135"/>
      <c r="AM25" s="139">
        <v>441.0</v>
      </c>
      <c r="AN25" s="139">
        <v>990.0</v>
      </c>
      <c r="AO25" s="154">
        <v>251.72</v>
      </c>
      <c r="AP25" s="156">
        <v>90000.0</v>
      </c>
      <c r="AQ25" s="156">
        <v>214.0</v>
      </c>
      <c r="AR25" s="158">
        <v>-1.0</v>
      </c>
      <c r="AS25" s="161">
        <v>0.9467394813294219</v>
      </c>
      <c r="AT25" s="161">
        <v>0.028160518670578116</v>
      </c>
      <c r="AU25" s="146" t="s">
        <v>209</v>
      </c>
      <c r="AV25" s="146" t="s">
        <v>209</v>
      </c>
      <c r="AW25" s="166" t="s">
        <v>209</v>
      </c>
      <c r="AX25" s="151"/>
      <c r="AY25" s="168"/>
      <c r="AZ25" s="173"/>
      <c r="BA25" s="173"/>
      <c r="BB25" s="184"/>
      <c r="BC25" s="169"/>
      <c r="BD25" s="169"/>
      <c r="BE25" s="169"/>
      <c r="BF25" s="169"/>
    </row>
    <row r="26">
      <c r="A26" s="107">
        <v>23.0</v>
      </c>
      <c r="B26" s="108" t="s">
        <v>210</v>
      </c>
      <c r="C26" s="115" t="s">
        <v>55</v>
      </c>
      <c r="D26" s="110">
        <v>41540.0</v>
      </c>
      <c r="E26" s="110">
        <v>42678.0</v>
      </c>
      <c r="F26" s="107" t="s">
        <v>79</v>
      </c>
      <c r="G26" s="113">
        <v>111001.0</v>
      </c>
      <c r="H26" s="114">
        <v>97.5</v>
      </c>
      <c r="I26" s="119">
        <v>398.0</v>
      </c>
      <c r="J26" s="122" t="s">
        <v>61</v>
      </c>
      <c r="K26" s="121">
        <v>403.04</v>
      </c>
      <c r="L26" s="119" t="s">
        <v>63</v>
      </c>
      <c r="M26" s="119"/>
      <c r="N26" s="119"/>
      <c r="O26" s="124">
        <v>111001.0</v>
      </c>
      <c r="P26" s="124">
        <v>1139.0</v>
      </c>
      <c r="Q26" s="122">
        <v>212.0</v>
      </c>
      <c r="R26" s="125">
        <v>433.0</v>
      </c>
      <c r="S26" s="126">
        <v>0.9308</v>
      </c>
      <c r="T26" s="127">
        <v>72137.0</v>
      </c>
      <c r="U26" s="129">
        <f t="shared" si="1"/>
        <v>0</v>
      </c>
      <c r="V26" s="107" t="s">
        <v>65</v>
      </c>
      <c r="W26" s="107" t="s">
        <v>69</v>
      </c>
      <c r="X26" s="107" t="s">
        <v>66</v>
      </c>
      <c r="Y26" s="131">
        <v>0.8</v>
      </c>
      <c r="Z26" s="180">
        <v>9.6</v>
      </c>
      <c r="AA26" s="111">
        <v>425.0</v>
      </c>
      <c r="AB26" s="111" t="s">
        <v>61</v>
      </c>
      <c r="AC26" s="171"/>
      <c r="AD26" s="171"/>
      <c r="AE26" s="171"/>
      <c r="AF26" s="122"/>
      <c r="AG26" s="134" t="s">
        <v>214</v>
      </c>
      <c r="AH26" s="73"/>
      <c r="AI26" s="135"/>
      <c r="AJ26" s="136"/>
      <c r="AK26" s="76"/>
      <c r="AL26" s="135"/>
      <c r="AM26" s="139">
        <v>430.0</v>
      </c>
      <c r="AN26" s="139">
        <v>1139.0</v>
      </c>
      <c r="AO26" s="154">
        <v>314.57</v>
      </c>
      <c r="AP26" s="156">
        <v>111001.0</v>
      </c>
      <c r="AQ26" s="156">
        <v>212.0</v>
      </c>
      <c r="AR26" s="158">
        <v>-1.0</v>
      </c>
      <c r="AS26" s="161">
        <v>0.9430984472209307</v>
      </c>
      <c r="AT26" s="161">
        <v>-0.012298447220930764</v>
      </c>
      <c r="AU26" s="146" t="s">
        <v>216</v>
      </c>
      <c r="AV26" s="146" t="s">
        <v>216</v>
      </c>
      <c r="AW26" s="166" t="s">
        <v>216</v>
      </c>
      <c r="AX26" s="151"/>
      <c r="AY26" s="168"/>
      <c r="AZ26" s="173"/>
      <c r="BA26" s="173"/>
      <c r="BB26" s="184"/>
      <c r="BC26" s="169"/>
      <c r="BD26" s="169"/>
      <c r="BE26" s="169"/>
      <c r="BF26" s="169"/>
    </row>
    <row r="27">
      <c r="A27" s="107">
        <v>24.0</v>
      </c>
      <c r="B27" s="108" t="s">
        <v>169</v>
      </c>
      <c r="C27" s="115" t="s">
        <v>55</v>
      </c>
      <c r="D27" s="110">
        <v>41348.0</v>
      </c>
      <c r="E27" s="110">
        <v>42702.0</v>
      </c>
      <c r="F27" s="107" t="s">
        <v>59</v>
      </c>
      <c r="G27" s="113">
        <v>139000.0</v>
      </c>
      <c r="H27" s="114">
        <v>102.6</v>
      </c>
      <c r="I27" s="119">
        <v>388.0</v>
      </c>
      <c r="J27" s="122" t="s">
        <v>61</v>
      </c>
      <c r="K27" s="121">
        <v>392.91</v>
      </c>
      <c r="L27" s="119" t="s">
        <v>63</v>
      </c>
      <c r="M27" s="119"/>
      <c r="N27" s="119"/>
      <c r="O27" s="124">
        <v>139000.0</v>
      </c>
      <c r="P27" s="124">
        <v>1355.0</v>
      </c>
      <c r="Q27" s="122">
        <v>243.0</v>
      </c>
      <c r="R27" s="125">
        <v>433.0</v>
      </c>
      <c r="S27" s="126">
        <v>0.9074</v>
      </c>
      <c r="T27" s="127">
        <v>70323.5</v>
      </c>
      <c r="U27" s="129">
        <f t="shared" si="1"/>
        <v>0</v>
      </c>
      <c r="V27" s="107" t="s">
        <v>64</v>
      </c>
      <c r="W27" s="107" t="s">
        <v>69</v>
      </c>
      <c r="X27" s="107" t="s">
        <v>69</v>
      </c>
      <c r="Y27" s="131">
        <v>0.9</v>
      </c>
      <c r="Z27" s="180">
        <v>9.0</v>
      </c>
      <c r="AA27" s="133"/>
      <c r="AB27" s="111" t="s">
        <v>61</v>
      </c>
      <c r="AC27" s="171"/>
      <c r="AD27" s="171"/>
      <c r="AE27" s="171"/>
      <c r="AF27" s="122"/>
      <c r="AG27" s="147"/>
      <c r="AH27" s="73"/>
      <c r="AI27" s="135"/>
      <c r="AJ27" s="136"/>
      <c r="AK27" s="76"/>
      <c r="AL27" s="135"/>
      <c r="AM27" s="139" t="s">
        <v>71</v>
      </c>
      <c r="AN27" s="139">
        <v>1355.0</v>
      </c>
      <c r="AO27" s="154">
        <v>457.05</v>
      </c>
      <c r="AP27" s="156">
        <v>139000.0</v>
      </c>
      <c r="AQ27" s="156">
        <v>243.0</v>
      </c>
      <c r="AR27" s="158">
        <v>-1.0</v>
      </c>
      <c r="AS27" s="161">
        <v>0.9385666279815654</v>
      </c>
      <c r="AT27" s="161">
        <v>-0.031166627981565442</v>
      </c>
      <c r="AU27" s="146" t="s">
        <v>222</v>
      </c>
      <c r="AV27" s="146" t="s">
        <v>222</v>
      </c>
      <c r="AW27" s="166" t="s">
        <v>222</v>
      </c>
      <c r="AX27" s="151"/>
      <c r="AY27" s="168"/>
      <c r="AZ27" s="173"/>
      <c r="BA27" s="173"/>
      <c r="BB27" s="184"/>
      <c r="BC27" s="169"/>
      <c r="BD27" s="169"/>
      <c r="BE27" s="169"/>
      <c r="BF27" s="169"/>
    </row>
    <row r="28">
      <c r="A28" s="107">
        <v>25.0</v>
      </c>
      <c r="B28" s="108" t="s">
        <v>169</v>
      </c>
      <c r="C28" s="115" t="s">
        <v>55</v>
      </c>
      <c r="D28" s="110">
        <v>41348.0</v>
      </c>
      <c r="E28" s="110">
        <v>42721.0</v>
      </c>
      <c r="F28" s="107" t="s">
        <v>59</v>
      </c>
      <c r="G28" s="113">
        <v>140626.0</v>
      </c>
      <c r="H28" s="114">
        <v>102.3</v>
      </c>
      <c r="I28" s="119">
        <v>398.0</v>
      </c>
      <c r="J28" s="122" t="s">
        <v>61</v>
      </c>
      <c r="K28" s="121">
        <v>403.04</v>
      </c>
      <c r="L28" s="119" t="s">
        <v>63</v>
      </c>
      <c r="M28" s="119"/>
      <c r="N28" s="119"/>
      <c r="O28" s="124">
        <v>140626.0</v>
      </c>
      <c r="P28" s="124">
        <v>1374.0</v>
      </c>
      <c r="Q28" s="122">
        <v>214.0</v>
      </c>
      <c r="R28" s="125">
        <v>433.0</v>
      </c>
      <c r="S28" s="126">
        <v>0.9308</v>
      </c>
      <c r="T28" s="127">
        <v>72137.0</v>
      </c>
      <c r="U28" s="129">
        <f t="shared" si="1"/>
        <v>0</v>
      </c>
      <c r="V28" s="107" t="s">
        <v>64</v>
      </c>
      <c r="W28" s="107" t="s">
        <v>69</v>
      </c>
      <c r="X28" s="107" t="s">
        <v>69</v>
      </c>
      <c r="Y28" s="131">
        <v>0.9</v>
      </c>
      <c r="Z28" s="180">
        <v>9.0</v>
      </c>
      <c r="AA28" s="133"/>
      <c r="AB28" s="111" t="s">
        <v>61</v>
      </c>
      <c r="AC28" s="171"/>
      <c r="AD28" s="171"/>
      <c r="AE28" s="171"/>
      <c r="AF28" s="122"/>
      <c r="AG28" s="147"/>
      <c r="AH28" s="73"/>
      <c r="AI28" s="135"/>
      <c r="AJ28" s="136"/>
      <c r="AK28" s="76"/>
      <c r="AL28" s="135"/>
      <c r="AM28" s="139" t="s">
        <v>71</v>
      </c>
      <c r="AN28" s="139">
        <v>1374.0</v>
      </c>
      <c r="AO28" s="154">
        <v>402.29</v>
      </c>
      <c r="AP28" s="156">
        <v>140626.0</v>
      </c>
      <c r="AQ28" s="156">
        <v>214.0</v>
      </c>
      <c r="AR28" s="158">
        <v>-1.0</v>
      </c>
      <c r="AS28" s="161">
        <v>0.9383082873478509</v>
      </c>
      <c r="AT28" s="161">
        <v>-0.007508287347850917</v>
      </c>
      <c r="AU28" s="146" t="s">
        <v>228</v>
      </c>
      <c r="AV28" s="146" t="s">
        <v>228</v>
      </c>
      <c r="AW28" s="166" t="s">
        <v>228</v>
      </c>
      <c r="AX28" s="151"/>
      <c r="AY28" s="168"/>
      <c r="AZ28" s="173"/>
      <c r="BA28" s="173"/>
      <c r="BB28" s="184"/>
      <c r="BC28" s="169"/>
      <c r="BD28" s="169"/>
      <c r="BE28" s="169"/>
      <c r="BF28" s="169"/>
    </row>
    <row r="29">
      <c r="A29" s="107">
        <v>26.0</v>
      </c>
      <c r="B29" s="108" t="s">
        <v>138</v>
      </c>
      <c r="C29" s="115" t="s">
        <v>55</v>
      </c>
      <c r="D29" s="110">
        <v>42173.0</v>
      </c>
      <c r="E29" s="110">
        <v>42733.0</v>
      </c>
      <c r="F29" s="107" t="s">
        <v>86</v>
      </c>
      <c r="G29" s="113">
        <v>22611.0</v>
      </c>
      <c r="H29" s="114">
        <v>40.3</v>
      </c>
      <c r="I29" s="119">
        <v>435.0</v>
      </c>
      <c r="J29" s="122" t="s">
        <v>61</v>
      </c>
      <c r="K29" s="121">
        <v>440.51</v>
      </c>
      <c r="L29" s="119" t="s">
        <v>63</v>
      </c>
      <c r="M29" s="119"/>
      <c r="N29" s="119"/>
      <c r="O29" s="124">
        <v>22611.0</v>
      </c>
      <c r="P29" s="124">
        <v>561.0</v>
      </c>
      <c r="Q29" s="122">
        <v>218.0</v>
      </c>
      <c r="R29" s="125">
        <v>439.0</v>
      </c>
      <c r="S29" s="126">
        <v>1.0034</v>
      </c>
      <c r="T29" s="127">
        <v>77763.5</v>
      </c>
      <c r="U29" s="129">
        <f t="shared" si="1"/>
        <v>0</v>
      </c>
      <c r="V29" s="107" t="s">
        <v>69</v>
      </c>
      <c r="W29" s="107" t="s">
        <v>69</v>
      </c>
      <c r="X29" s="107" t="s">
        <v>68</v>
      </c>
      <c r="Y29" s="131">
        <v>0.9</v>
      </c>
      <c r="Z29" s="180">
        <v>8.0</v>
      </c>
      <c r="AA29" s="111">
        <v>435.0</v>
      </c>
      <c r="AB29" s="111" t="s">
        <v>61</v>
      </c>
      <c r="AC29" s="171"/>
      <c r="AD29" s="171"/>
      <c r="AE29" s="171"/>
      <c r="AF29" s="122"/>
      <c r="AG29" s="147"/>
      <c r="AH29" s="73"/>
      <c r="AI29" s="135"/>
      <c r="AJ29" s="136"/>
      <c r="AK29" s="76"/>
      <c r="AL29" s="135"/>
      <c r="AM29" s="139">
        <v>441.0</v>
      </c>
      <c r="AN29" s="139">
        <v>561.0</v>
      </c>
      <c r="AO29" s="154">
        <v>63.52</v>
      </c>
      <c r="AP29" s="156">
        <v>22611.0</v>
      </c>
      <c r="AQ29" s="156">
        <v>218.0</v>
      </c>
      <c r="AR29" s="158">
        <v>-1.0</v>
      </c>
      <c r="AS29" s="161">
        <v>0.9703893345274787</v>
      </c>
      <c r="AT29" s="161">
        <v>0.033010665472521405</v>
      </c>
      <c r="AU29" s="146" t="s">
        <v>234</v>
      </c>
      <c r="AV29" s="146" t="s">
        <v>234</v>
      </c>
      <c r="AW29" s="166" t="s">
        <v>234</v>
      </c>
      <c r="AX29" s="151"/>
      <c r="AY29" s="168"/>
      <c r="AZ29" s="173"/>
      <c r="BA29" s="173"/>
      <c r="BB29" s="184"/>
      <c r="BC29" s="169"/>
      <c r="BD29" s="169"/>
      <c r="BE29" s="169"/>
      <c r="BF29" s="169"/>
    </row>
    <row r="30">
      <c r="A30" s="107">
        <v>27.0</v>
      </c>
      <c r="B30" s="108" t="s">
        <v>210</v>
      </c>
      <c r="C30" s="115" t="s">
        <v>55</v>
      </c>
      <c r="D30" s="110">
        <v>41540.0</v>
      </c>
      <c r="E30" s="110">
        <v>42783.0</v>
      </c>
      <c r="F30" s="107" t="s">
        <v>79</v>
      </c>
      <c r="G30" s="113">
        <v>120000.0</v>
      </c>
      <c r="H30" s="114">
        <v>96.5</v>
      </c>
      <c r="I30" s="119">
        <v>403.0</v>
      </c>
      <c r="J30" s="122" t="s">
        <v>61</v>
      </c>
      <c r="K30" s="121">
        <v>408.1</v>
      </c>
      <c r="L30" s="119" t="s">
        <v>63</v>
      </c>
      <c r="M30" s="119"/>
      <c r="N30" s="119"/>
      <c r="O30" s="124">
        <v>120000.0</v>
      </c>
      <c r="P30" s="124">
        <v>1244.0</v>
      </c>
      <c r="Q30" s="122">
        <v>214.58</v>
      </c>
      <c r="R30" s="125">
        <v>433.0</v>
      </c>
      <c r="S30" s="126">
        <v>0.9425</v>
      </c>
      <c r="T30" s="127">
        <v>73043.75</v>
      </c>
      <c r="U30" s="129">
        <f t="shared" si="1"/>
        <v>0</v>
      </c>
      <c r="V30" s="107" t="s">
        <v>65</v>
      </c>
      <c r="W30" s="107" t="s">
        <v>69</v>
      </c>
      <c r="X30" s="107" t="s">
        <v>66</v>
      </c>
      <c r="Y30" s="131">
        <v>0.8</v>
      </c>
      <c r="Z30" s="180">
        <v>9.6</v>
      </c>
      <c r="AA30" s="111">
        <v>425.0</v>
      </c>
      <c r="AB30" s="111" t="s">
        <v>61</v>
      </c>
      <c r="AC30" s="171"/>
      <c r="AD30" s="171"/>
      <c r="AE30" s="171"/>
      <c r="AF30" s="122"/>
      <c r="AG30" s="147"/>
      <c r="AH30" s="73"/>
      <c r="AI30" s="135"/>
      <c r="AJ30" s="136"/>
      <c r="AK30" s="76"/>
      <c r="AL30" s="135"/>
      <c r="AM30" s="139">
        <v>430.0</v>
      </c>
      <c r="AN30" s="139">
        <v>1244.0</v>
      </c>
      <c r="AO30" s="154">
        <v>342.14</v>
      </c>
      <c r="AP30" s="156">
        <v>120000.0</v>
      </c>
      <c r="AQ30" s="156">
        <v>214.58</v>
      </c>
      <c r="AR30" s="158">
        <v>-1.0</v>
      </c>
      <c r="AS30" s="161">
        <v>0.9416185630516702</v>
      </c>
      <c r="AT30" s="161">
        <v>8.814369483297613E-4</v>
      </c>
      <c r="AU30" s="146" t="s">
        <v>238</v>
      </c>
      <c r="AV30" s="146" t="s">
        <v>238</v>
      </c>
      <c r="AW30" s="166" t="s">
        <v>238</v>
      </c>
      <c r="AX30" s="151"/>
      <c r="AY30" s="168"/>
      <c r="AZ30" s="173"/>
      <c r="BA30" s="173"/>
      <c r="BB30" s="184"/>
      <c r="BC30" s="169"/>
      <c r="BD30" s="169"/>
      <c r="BE30" s="169"/>
      <c r="BF30" s="169"/>
    </row>
    <row r="31">
      <c r="A31" s="107">
        <v>28.0</v>
      </c>
      <c r="B31" s="108" t="s">
        <v>169</v>
      </c>
      <c r="C31" s="115" t="s">
        <v>55</v>
      </c>
      <c r="D31" s="110">
        <v>41348.0</v>
      </c>
      <c r="E31" s="110">
        <v>42812.0</v>
      </c>
      <c r="F31" s="107" t="s">
        <v>59</v>
      </c>
      <c r="G31" s="113">
        <v>147433.0</v>
      </c>
      <c r="H31" s="114">
        <v>100.6</v>
      </c>
      <c r="I31" s="119">
        <v>382.0</v>
      </c>
      <c r="J31" s="122" t="s">
        <v>61</v>
      </c>
      <c r="K31" s="121">
        <v>386.84</v>
      </c>
      <c r="L31" s="119" t="s">
        <v>63</v>
      </c>
      <c r="M31" s="119"/>
      <c r="N31" s="119"/>
      <c r="O31" s="124">
        <v>147433.0</v>
      </c>
      <c r="P31" s="124">
        <v>1465.0</v>
      </c>
      <c r="Q31" s="122">
        <v>214.0</v>
      </c>
      <c r="R31" s="125">
        <v>433.0</v>
      </c>
      <c r="S31" s="126">
        <v>0.8934</v>
      </c>
      <c r="T31" s="127">
        <v>69238.5</v>
      </c>
      <c r="U31" s="129">
        <f t="shared" si="1"/>
        <v>0</v>
      </c>
      <c r="V31" s="107" t="s">
        <v>64</v>
      </c>
      <c r="W31" s="107" t="s">
        <v>69</v>
      </c>
      <c r="X31" s="107" t="s">
        <v>69</v>
      </c>
      <c r="Y31" s="131">
        <v>0.9</v>
      </c>
      <c r="Z31" s="180">
        <v>9.0</v>
      </c>
      <c r="AA31" s="133"/>
      <c r="AB31" s="111" t="s">
        <v>61</v>
      </c>
      <c r="AC31" s="171"/>
      <c r="AD31" s="171"/>
      <c r="AE31" s="171"/>
      <c r="AF31" s="122"/>
      <c r="AG31" s="147"/>
      <c r="AH31" s="73"/>
      <c r="AI31" s="135"/>
      <c r="AJ31" s="136"/>
      <c r="AK31" s="76"/>
      <c r="AL31" s="135"/>
      <c r="AM31" s="139" t="s">
        <v>71</v>
      </c>
      <c r="AN31" s="139">
        <v>1465.0</v>
      </c>
      <c r="AO31" s="154">
        <v>430.09</v>
      </c>
      <c r="AP31" s="156">
        <v>147433.0</v>
      </c>
      <c r="AQ31" s="156">
        <v>214.0</v>
      </c>
      <c r="AR31" s="158">
        <v>-1.0</v>
      </c>
      <c r="AS31" s="161">
        <v>0.9372298749058895</v>
      </c>
      <c r="AT31" s="161">
        <v>-0.04382987490588952</v>
      </c>
      <c r="AU31" s="146" t="s">
        <v>242</v>
      </c>
      <c r="AV31" s="146" t="s">
        <v>242</v>
      </c>
      <c r="AW31" s="166" t="s">
        <v>242</v>
      </c>
      <c r="AX31" s="151"/>
      <c r="AY31" s="168"/>
      <c r="AZ31" s="173"/>
      <c r="BA31" s="173"/>
      <c r="BB31" s="184"/>
      <c r="BC31" s="169"/>
      <c r="BD31" s="169"/>
      <c r="BE31" s="169"/>
      <c r="BF31" s="169"/>
    </row>
    <row r="32">
      <c r="A32" s="107">
        <v>29.0</v>
      </c>
      <c r="B32" s="108" t="s">
        <v>92</v>
      </c>
      <c r="C32" s="115" t="s">
        <v>55</v>
      </c>
      <c r="D32" s="110">
        <v>41984.0</v>
      </c>
      <c r="E32" s="110">
        <v>42813.0</v>
      </c>
      <c r="F32" s="107" t="s">
        <v>59</v>
      </c>
      <c r="G32" s="113">
        <v>46800.0</v>
      </c>
      <c r="H32" s="114">
        <v>56.4</v>
      </c>
      <c r="I32" s="119">
        <v>420.0</v>
      </c>
      <c r="J32" s="122" t="s">
        <v>62</v>
      </c>
      <c r="K32" s="121">
        <v>420.0</v>
      </c>
      <c r="L32" s="119" t="s">
        <v>63</v>
      </c>
      <c r="M32" s="119"/>
      <c r="N32" s="119"/>
      <c r="O32" s="124">
        <v>46800.0</v>
      </c>
      <c r="P32" s="124">
        <v>830.0</v>
      </c>
      <c r="Q32" s="122">
        <v>211.0</v>
      </c>
      <c r="R32" s="125">
        <v>433.0</v>
      </c>
      <c r="S32" s="126">
        <v>0.97</v>
      </c>
      <c r="T32" s="127">
        <v>75175.0</v>
      </c>
      <c r="U32" s="129">
        <f t="shared" si="1"/>
        <v>0</v>
      </c>
      <c r="V32" s="107" t="s">
        <v>64</v>
      </c>
      <c r="W32" s="107" t="s">
        <v>64</v>
      </c>
      <c r="X32" s="107" t="s">
        <v>68</v>
      </c>
      <c r="Y32" s="131">
        <v>0.9</v>
      </c>
      <c r="Z32" s="138"/>
      <c r="AA32" s="133"/>
      <c r="AB32" s="133"/>
      <c r="AC32" s="171"/>
      <c r="AD32" s="171"/>
      <c r="AE32" s="171"/>
      <c r="AF32" s="122"/>
      <c r="AG32" s="147"/>
      <c r="AH32" s="73"/>
      <c r="AI32" s="135"/>
      <c r="AJ32" s="136"/>
      <c r="AK32" s="76"/>
      <c r="AL32" s="135"/>
      <c r="AM32" s="139" t="s">
        <v>71</v>
      </c>
      <c r="AN32" s="139">
        <v>830.0</v>
      </c>
      <c r="AO32" s="154">
        <v>129.39</v>
      </c>
      <c r="AP32" s="156">
        <v>46800.0</v>
      </c>
      <c r="AQ32" s="156">
        <v>211.0</v>
      </c>
      <c r="AR32" s="158">
        <v>-1.0</v>
      </c>
      <c r="AS32" s="161">
        <v>0.9572951023347861</v>
      </c>
      <c r="AT32" s="161">
        <v>0.012704897665213877</v>
      </c>
      <c r="AU32" s="146" t="s">
        <v>247</v>
      </c>
      <c r="AV32" s="146" t="s">
        <v>247</v>
      </c>
      <c r="AW32" s="166" t="s">
        <v>247</v>
      </c>
      <c r="AX32" s="151"/>
      <c r="AY32" s="168"/>
      <c r="AZ32" s="173"/>
      <c r="BA32" s="173"/>
      <c r="BB32" s="184"/>
      <c r="BC32" s="169"/>
      <c r="BD32" s="169"/>
      <c r="BE32" s="169"/>
      <c r="BF32" s="169"/>
    </row>
    <row r="33">
      <c r="A33" s="107">
        <v>30.0</v>
      </c>
      <c r="B33" s="108" t="s">
        <v>248</v>
      </c>
      <c r="C33" s="115" t="s">
        <v>55</v>
      </c>
      <c r="D33" s="110">
        <v>42767.0</v>
      </c>
      <c r="E33" s="110">
        <v>42813.0</v>
      </c>
      <c r="F33" s="107" t="s">
        <v>250</v>
      </c>
      <c r="G33" s="113">
        <v>572.0</v>
      </c>
      <c r="H33" s="114">
        <v>12.2</v>
      </c>
      <c r="I33" s="119">
        <v>351.0</v>
      </c>
      <c r="J33" s="122" t="s">
        <v>62</v>
      </c>
      <c r="K33" s="121">
        <v>351.0</v>
      </c>
      <c r="L33" s="119" t="s">
        <v>63</v>
      </c>
      <c r="M33" s="119"/>
      <c r="N33" s="119"/>
      <c r="O33" s="124">
        <v>572.0</v>
      </c>
      <c r="P33" s="124">
        <v>47.0</v>
      </c>
      <c r="Q33" s="122">
        <v>228.0</v>
      </c>
      <c r="R33" s="125">
        <v>357.0</v>
      </c>
      <c r="S33" s="126">
        <v>0.9832</v>
      </c>
      <c r="T33" s="127">
        <v>57517.2</v>
      </c>
      <c r="U33" s="129">
        <f t="shared" si="1"/>
        <v>0</v>
      </c>
      <c r="V33" s="107" t="s">
        <v>69</v>
      </c>
      <c r="W33" s="107" t="s">
        <v>64</v>
      </c>
      <c r="X33" s="107" t="s">
        <v>68</v>
      </c>
      <c r="Y33" s="131">
        <v>0.9</v>
      </c>
      <c r="Z33" s="138"/>
      <c r="AA33" s="133"/>
      <c r="AB33" s="133"/>
      <c r="AC33" s="171"/>
      <c r="AD33" s="171"/>
      <c r="AE33" s="171"/>
      <c r="AF33" s="122"/>
      <c r="AG33" s="147"/>
      <c r="AH33" s="73"/>
      <c r="AI33" s="135"/>
      <c r="AJ33" s="136"/>
      <c r="AK33" s="76"/>
      <c r="AL33" s="135"/>
      <c r="AM33" s="139" t="s">
        <v>71</v>
      </c>
      <c r="AN33" s="139">
        <v>47.0</v>
      </c>
      <c r="AO33" s="154">
        <v>2.25</v>
      </c>
      <c r="AP33" s="156">
        <v>572.0</v>
      </c>
      <c r="AQ33" s="156">
        <v>228.0</v>
      </c>
      <c r="AR33" s="158">
        <v>-1.0</v>
      </c>
      <c r="AS33" s="161">
        <v>0.998852109099211</v>
      </c>
      <c r="AT33" s="161">
        <v>-0.015652109099210998</v>
      </c>
      <c r="AU33" s="146" t="s">
        <v>256</v>
      </c>
      <c r="AV33" s="146" t="s">
        <v>256</v>
      </c>
      <c r="AW33" s="166" t="s">
        <v>256</v>
      </c>
      <c r="AX33" s="151"/>
      <c r="AY33" s="168"/>
      <c r="AZ33" s="173"/>
      <c r="BA33" s="173"/>
      <c r="BB33" s="184"/>
      <c r="BC33" s="169"/>
      <c r="BD33" s="169"/>
      <c r="BE33" s="169"/>
      <c r="BF33" s="169"/>
    </row>
    <row r="34">
      <c r="A34" s="107">
        <v>31.0</v>
      </c>
      <c r="B34" s="108" t="s">
        <v>257</v>
      </c>
      <c r="C34" s="115" t="s">
        <v>55</v>
      </c>
      <c r="D34" s="110">
        <v>42732.0</v>
      </c>
      <c r="E34" s="110">
        <v>42815.0</v>
      </c>
      <c r="F34" s="107" t="s">
        <v>258</v>
      </c>
      <c r="G34" s="113">
        <v>3800.0</v>
      </c>
      <c r="H34" s="114">
        <v>45.2</v>
      </c>
      <c r="I34" s="119">
        <v>323.0</v>
      </c>
      <c r="J34" s="122" t="s">
        <v>62</v>
      </c>
      <c r="K34" s="121">
        <v>323.0</v>
      </c>
      <c r="L34" s="119" t="s">
        <v>63</v>
      </c>
      <c r="M34" s="119"/>
      <c r="N34" s="119"/>
      <c r="O34" s="124">
        <v>3800.0</v>
      </c>
      <c r="P34" s="124">
        <v>84.0</v>
      </c>
      <c r="Q34" s="122">
        <v>215.0</v>
      </c>
      <c r="R34" s="125">
        <v>322.0</v>
      </c>
      <c r="S34" s="126">
        <v>1.0031</v>
      </c>
      <c r="T34" s="127">
        <v>62593.44000000001</v>
      </c>
      <c r="U34" s="129">
        <f t="shared" si="1"/>
        <v>0</v>
      </c>
      <c r="V34" s="107" t="s">
        <v>65</v>
      </c>
      <c r="W34" s="107" t="s">
        <v>65</v>
      </c>
      <c r="X34" s="107" t="s">
        <v>68</v>
      </c>
      <c r="Y34" s="131">
        <v>0.8</v>
      </c>
      <c r="Z34" s="180">
        <v>8.0</v>
      </c>
      <c r="AA34" s="133"/>
      <c r="AB34" s="133"/>
      <c r="AC34" s="171"/>
      <c r="AD34" s="171"/>
      <c r="AE34" s="171"/>
      <c r="AF34" s="122"/>
      <c r="AG34" s="147"/>
      <c r="AH34" s="73"/>
      <c r="AI34" s="135"/>
      <c r="AJ34" s="136"/>
      <c r="AK34" s="76"/>
      <c r="AL34" s="135"/>
      <c r="AM34" s="139" t="s">
        <v>71</v>
      </c>
      <c r="AN34" s="139">
        <v>84.0</v>
      </c>
      <c r="AO34" s="154">
        <v>13.08</v>
      </c>
      <c r="AP34" s="156">
        <v>3800.0</v>
      </c>
      <c r="AQ34" s="156">
        <v>215.0</v>
      </c>
      <c r="AR34" s="158">
        <v>-1.0</v>
      </c>
      <c r="AS34" s="161">
        <v>0.992881100275553</v>
      </c>
      <c r="AT34" s="161">
        <v>0.010218899724447117</v>
      </c>
      <c r="AU34" s="146" t="s">
        <v>263</v>
      </c>
      <c r="AV34" s="146" t="s">
        <v>263</v>
      </c>
      <c r="AW34" s="166" t="s">
        <v>263</v>
      </c>
      <c r="AX34" s="151"/>
      <c r="AY34" s="168"/>
      <c r="AZ34" s="173"/>
      <c r="BA34" s="173"/>
      <c r="BB34" s="184"/>
      <c r="BC34" s="169"/>
      <c r="BD34" s="169"/>
      <c r="BE34" s="169"/>
      <c r="BF34" s="169"/>
    </row>
    <row r="35">
      <c r="A35" s="107">
        <v>32.0</v>
      </c>
      <c r="B35" s="108" t="s">
        <v>169</v>
      </c>
      <c r="C35" s="115" t="s">
        <v>55</v>
      </c>
      <c r="D35" s="110">
        <v>41348.0</v>
      </c>
      <c r="E35" s="110">
        <v>42819.0</v>
      </c>
      <c r="F35" s="107" t="s">
        <v>59</v>
      </c>
      <c r="G35" s="113">
        <v>147694.0</v>
      </c>
      <c r="H35" s="114">
        <v>100.3</v>
      </c>
      <c r="I35" s="119">
        <v>398.0</v>
      </c>
      <c r="J35" s="122" t="s">
        <v>61</v>
      </c>
      <c r="K35" s="121">
        <v>403.04</v>
      </c>
      <c r="L35" s="119" t="s">
        <v>63</v>
      </c>
      <c r="M35" s="119"/>
      <c r="N35" s="119"/>
      <c r="O35" s="124">
        <v>147694.0</v>
      </c>
      <c r="P35" s="124">
        <v>1472.0</v>
      </c>
      <c r="Q35" s="122">
        <v>215.0</v>
      </c>
      <c r="R35" s="125">
        <v>433.0</v>
      </c>
      <c r="S35" s="126">
        <v>0.9308</v>
      </c>
      <c r="T35" s="127">
        <v>72137.0</v>
      </c>
      <c r="U35" s="129">
        <f t="shared" si="1"/>
        <v>0</v>
      </c>
      <c r="V35" s="107" t="s">
        <v>64</v>
      </c>
      <c r="W35" s="107" t="s">
        <v>69</v>
      </c>
      <c r="X35" s="107" t="s">
        <v>69</v>
      </c>
      <c r="Y35" s="131">
        <v>0.9</v>
      </c>
      <c r="Z35" s="180">
        <v>9.0</v>
      </c>
      <c r="AA35" s="133"/>
      <c r="AB35" s="133"/>
      <c r="AC35" s="171"/>
      <c r="AD35" s="171"/>
      <c r="AE35" s="171"/>
      <c r="AF35" s="122"/>
      <c r="AG35" s="134" t="s">
        <v>268</v>
      </c>
      <c r="AH35" s="73"/>
      <c r="AI35" s="135"/>
      <c r="AJ35" s="136"/>
      <c r="AK35" s="76"/>
      <c r="AL35" s="135"/>
      <c r="AM35" s="139" t="s">
        <v>71</v>
      </c>
      <c r="AN35" s="139">
        <v>1472.0</v>
      </c>
      <c r="AO35" s="154">
        <v>424.48</v>
      </c>
      <c r="AP35" s="156">
        <v>147694.0</v>
      </c>
      <c r="AQ35" s="156">
        <v>215.0</v>
      </c>
      <c r="AR35" s="158">
        <v>-1.0</v>
      </c>
      <c r="AS35" s="161">
        <v>0.9371886120533918</v>
      </c>
      <c r="AT35" s="161">
        <v>-0.006388612053391807</v>
      </c>
      <c r="AU35" s="146" t="s">
        <v>270</v>
      </c>
      <c r="AV35" s="146" t="s">
        <v>270</v>
      </c>
      <c r="AW35" s="166" t="s">
        <v>270</v>
      </c>
      <c r="AX35" s="151"/>
      <c r="AY35" s="168"/>
      <c r="AZ35" s="173"/>
      <c r="BA35" s="173"/>
      <c r="BB35" s="184"/>
      <c r="BC35" s="169"/>
      <c r="BD35" s="169"/>
      <c r="BE35" s="169"/>
      <c r="BF35" s="169"/>
    </row>
    <row r="36">
      <c r="A36" s="107">
        <v>33.0</v>
      </c>
      <c r="B36" s="108" t="s">
        <v>138</v>
      </c>
      <c r="C36" s="115" t="s">
        <v>55</v>
      </c>
      <c r="D36" s="110">
        <v>42173.0</v>
      </c>
      <c r="E36" s="110">
        <v>42862.0</v>
      </c>
      <c r="F36" s="107" t="s">
        <v>86</v>
      </c>
      <c r="G36" s="113">
        <v>27015.0</v>
      </c>
      <c r="H36" s="114">
        <v>39.2</v>
      </c>
      <c r="I36" s="119">
        <v>433.14</v>
      </c>
      <c r="J36" s="122" t="s">
        <v>61</v>
      </c>
      <c r="K36" s="121">
        <v>438.62</v>
      </c>
      <c r="L36" s="119" t="s">
        <v>63</v>
      </c>
      <c r="M36" s="119"/>
      <c r="N36" s="119"/>
      <c r="O36" s="124">
        <v>27015.0</v>
      </c>
      <c r="P36" s="124">
        <v>690.0</v>
      </c>
      <c r="Q36" s="122">
        <v>209.0</v>
      </c>
      <c r="R36" s="125">
        <v>439.0</v>
      </c>
      <c r="S36" s="126">
        <v>0.9991</v>
      </c>
      <c r="T36" s="127">
        <v>77430.25</v>
      </c>
      <c r="U36" s="129">
        <f t="shared" si="1"/>
        <v>0</v>
      </c>
      <c r="V36" s="107" t="s">
        <v>69</v>
      </c>
      <c r="W36" s="107" t="s">
        <v>69</v>
      </c>
      <c r="X36" s="107" t="s">
        <v>68</v>
      </c>
      <c r="Y36" s="131">
        <v>0.9</v>
      </c>
      <c r="Z36" s="180">
        <v>8.0</v>
      </c>
      <c r="AA36" s="111">
        <v>435.0</v>
      </c>
      <c r="AB36" s="111" t="s">
        <v>61</v>
      </c>
      <c r="AC36" s="171"/>
      <c r="AD36" s="171"/>
      <c r="AE36" s="171"/>
      <c r="AF36" s="122"/>
      <c r="AG36" s="147"/>
      <c r="AH36" s="73"/>
      <c r="AI36" s="135"/>
      <c r="AJ36" s="136"/>
      <c r="AK36" s="76"/>
      <c r="AL36" s="135"/>
      <c r="AM36" s="139">
        <v>441.0</v>
      </c>
      <c r="AN36" s="139">
        <v>690.0</v>
      </c>
      <c r="AO36" s="154">
        <v>72.91</v>
      </c>
      <c r="AP36" s="156">
        <v>27015.0</v>
      </c>
      <c r="AQ36" s="156">
        <v>209.0</v>
      </c>
      <c r="AR36" s="158">
        <v>-1.0</v>
      </c>
      <c r="AS36" s="161">
        <v>0.9671337724845352</v>
      </c>
      <c r="AT36" s="161">
        <v>0.03196622751546474</v>
      </c>
      <c r="AU36" s="146" t="s">
        <v>276</v>
      </c>
      <c r="AV36" s="146" t="s">
        <v>276</v>
      </c>
      <c r="AW36" s="166" t="s">
        <v>276</v>
      </c>
      <c r="AX36" s="151"/>
      <c r="AY36" s="168"/>
      <c r="AZ36" s="173"/>
      <c r="BA36" s="173"/>
      <c r="BB36" s="184"/>
      <c r="BC36" s="169"/>
      <c r="BD36" s="169"/>
      <c r="BE36" s="169"/>
      <c r="BF36" s="169"/>
    </row>
    <row r="37">
      <c r="A37" s="107">
        <v>34.0</v>
      </c>
      <c r="B37" s="108" t="s">
        <v>194</v>
      </c>
      <c r="C37" s="115" t="s">
        <v>55</v>
      </c>
      <c r="D37" s="110">
        <v>41760.0</v>
      </c>
      <c r="E37" s="110">
        <v>42911.0</v>
      </c>
      <c r="F37" s="107" t="s">
        <v>109</v>
      </c>
      <c r="G37" s="113">
        <v>64423.0</v>
      </c>
      <c r="H37" s="114">
        <v>55.9</v>
      </c>
      <c r="I37" s="119">
        <v>306.0</v>
      </c>
      <c r="J37" s="122" t="s">
        <v>62</v>
      </c>
      <c r="K37" s="121">
        <v>306.0</v>
      </c>
      <c r="L37" s="119" t="s">
        <v>63</v>
      </c>
      <c r="M37" s="119"/>
      <c r="N37" s="119"/>
      <c r="O37" s="124">
        <v>64423.0</v>
      </c>
      <c r="P37" s="124">
        <v>1152.0</v>
      </c>
      <c r="Q37" s="122">
        <v>224.0</v>
      </c>
      <c r="R37" s="125">
        <v>338.0</v>
      </c>
      <c r="S37" s="126">
        <v>0.9053</v>
      </c>
      <c r="T37" s="127">
        <v>52960.05</v>
      </c>
      <c r="U37" s="129">
        <f t="shared" si="1"/>
        <v>0</v>
      </c>
      <c r="V37" s="107" t="s">
        <v>69</v>
      </c>
      <c r="W37" s="107" t="s">
        <v>69</v>
      </c>
      <c r="X37" s="107" t="s">
        <v>68</v>
      </c>
      <c r="Y37" s="131">
        <v>0.9</v>
      </c>
      <c r="Z37" s="180">
        <v>6.0</v>
      </c>
      <c r="AA37" s="133"/>
      <c r="AB37" s="111" t="s">
        <v>62</v>
      </c>
      <c r="AC37" s="171"/>
      <c r="AD37" s="171"/>
      <c r="AE37" s="171"/>
      <c r="AF37" s="122"/>
      <c r="AG37" s="147"/>
      <c r="AH37" s="73"/>
      <c r="AI37" s="135"/>
      <c r="AJ37" s="136"/>
      <c r="AK37" s="76"/>
      <c r="AL37" s="135"/>
      <c r="AM37" s="139" t="s">
        <v>71</v>
      </c>
      <c r="AN37" s="139">
        <v>1152.0</v>
      </c>
      <c r="AO37" s="154">
        <v>259.01</v>
      </c>
      <c r="AP37" s="156">
        <v>64423.0</v>
      </c>
      <c r="AQ37" s="156">
        <v>224.0</v>
      </c>
      <c r="AR37" s="158">
        <v>-1.0</v>
      </c>
      <c r="AS37" s="161">
        <v>0.9520719743391189</v>
      </c>
      <c r="AT37" s="161">
        <v>-0.04677197433911895</v>
      </c>
      <c r="AU37" s="146" t="s">
        <v>280</v>
      </c>
      <c r="AV37" s="146" t="s">
        <v>280</v>
      </c>
      <c r="AW37" s="166" t="s">
        <v>280</v>
      </c>
      <c r="AX37" s="151"/>
      <c r="AY37" s="168"/>
      <c r="AZ37" s="173"/>
      <c r="BA37" s="173"/>
      <c r="BB37" s="184"/>
      <c r="BC37" s="169"/>
      <c r="BD37" s="169"/>
      <c r="BE37" s="169"/>
      <c r="BF37" s="169"/>
    </row>
    <row r="38">
      <c r="A38" s="107">
        <v>35.0</v>
      </c>
      <c r="B38" s="108" t="s">
        <v>169</v>
      </c>
      <c r="C38" s="115" t="s">
        <v>55</v>
      </c>
      <c r="D38" s="110">
        <v>41348.0</v>
      </c>
      <c r="E38" s="110">
        <v>42920.0</v>
      </c>
      <c r="F38" s="107" t="s">
        <v>59</v>
      </c>
      <c r="G38" s="113">
        <v>159750.0</v>
      </c>
      <c r="H38" s="114">
        <v>101.6</v>
      </c>
      <c r="I38" s="119">
        <v>400.0</v>
      </c>
      <c r="J38" s="122" t="s">
        <v>61</v>
      </c>
      <c r="K38" s="121">
        <v>405.06</v>
      </c>
      <c r="L38" s="119" t="s">
        <v>63</v>
      </c>
      <c r="M38" s="119"/>
      <c r="N38" s="119"/>
      <c r="O38" s="124">
        <v>159750.0</v>
      </c>
      <c r="P38" s="124">
        <v>1573.0</v>
      </c>
      <c r="Q38" s="122">
        <v>220.0</v>
      </c>
      <c r="R38" s="125">
        <v>433.0</v>
      </c>
      <c r="S38" s="126">
        <v>0.9355</v>
      </c>
      <c r="T38" s="127">
        <v>72501.25</v>
      </c>
      <c r="U38" s="129">
        <f t="shared" si="1"/>
        <v>0</v>
      </c>
      <c r="V38" s="107" t="s">
        <v>64</v>
      </c>
      <c r="W38" s="107" t="s">
        <v>64</v>
      </c>
      <c r="X38" s="107" t="s">
        <v>69</v>
      </c>
      <c r="Y38" s="131">
        <v>0.9</v>
      </c>
      <c r="Z38" s="180">
        <v>9.0</v>
      </c>
      <c r="AA38" s="133"/>
      <c r="AB38" s="133"/>
      <c r="AC38" s="171"/>
      <c r="AD38" s="171"/>
      <c r="AE38" s="171"/>
      <c r="AF38" s="122"/>
      <c r="AG38" s="147"/>
      <c r="AH38" s="73"/>
      <c r="AI38" s="135"/>
      <c r="AJ38" s="136"/>
      <c r="AK38" s="76"/>
      <c r="AL38" s="135"/>
      <c r="AM38" s="139" t="s">
        <v>71</v>
      </c>
      <c r="AN38" s="139">
        <v>1573.0</v>
      </c>
      <c r="AO38" s="154">
        <v>468.66</v>
      </c>
      <c r="AP38" s="156">
        <v>159750.0</v>
      </c>
      <c r="AQ38" s="156">
        <v>220.0</v>
      </c>
      <c r="AR38" s="158">
        <v>-1.0</v>
      </c>
      <c r="AS38" s="161">
        <v>0.9352878066525494</v>
      </c>
      <c r="AT38" s="161">
        <v>2.1219334745059548E-4</v>
      </c>
      <c r="AU38" s="146" t="s">
        <v>284</v>
      </c>
      <c r="AV38" s="146" t="s">
        <v>284</v>
      </c>
      <c r="AW38" s="166" t="s">
        <v>284</v>
      </c>
      <c r="AX38" s="151"/>
      <c r="AY38" s="168"/>
      <c r="AZ38" s="173"/>
      <c r="BA38" s="173"/>
      <c r="BB38" s="184"/>
      <c r="BC38" s="169"/>
      <c r="BD38" s="169"/>
      <c r="BE38" s="169"/>
      <c r="BF38" s="169"/>
    </row>
    <row r="39">
      <c r="A39" s="107">
        <v>36.0</v>
      </c>
      <c r="B39" s="108" t="s">
        <v>138</v>
      </c>
      <c r="C39" s="115" t="s">
        <v>55</v>
      </c>
      <c r="D39" s="110">
        <v>42173.0</v>
      </c>
      <c r="E39" s="110">
        <v>42952.0</v>
      </c>
      <c r="F39" s="107" t="s">
        <v>86</v>
      </c>
      <c r="G39" s="113">
        <v>31589.0</v>
      </c>
      <c r="H39" s="114">
        <v>40.5</v>
      </c>
      <c r="I39" s="119">
        <v>435.0</v>
      </c>
      <c r="J39" s="122" t="s">
        <v>61</v>
      </c>
      <c r="K39" s="121">
        <v>440.51</v>
      </c>
      <c r="L39" s="119" t="s">
        <v>63</v>
      </c>
      <c r="M39" s="119"/>
      <c r="N39" s="119"/>
      <c r="O39" s="124">
        <v>31589.0</v>
      </c>
      <c r="P39" s="124">
        <v>780.0</v>
      </c>
      <c r="Q39" s="122">
        <v>206.0</v>
      </c>
      <c r="R39" s="125">
        <v>439.0</v>
      </c>
      <c r="S39" s="126">
        <v>1.0034</v>
      </c>
      <c r="T39" s="127">
        <v>77763.5</v>
      </c>
      <c r="U39" s="129">
        <f t="shared" si="1"/>
        <v>0</v>
      </c>
      <c r="V39" s="107" t="s">
        <v>69</v>
      </c>
      <c r="W39" s="107" t="s">
        <v>69</v>
      </c>
      <c r="X39" s="107" t="s">
        <v>68</v>
      </c>
      <c r="Y39" s="131">
        <v>0.9</v>
      </c>
      <c r="Z39" s="180">
        <v>8.0</v>
      </c>
      <c r="AA39" s="111">
        <v>435.0</v>
      </c>
      <c r="AB39" s="111" t="s">
        <v>61</v>
      </c>
      <c r="AC39" s="171"/>
      <c r="AD39" s="171"/>
      <c r="AE39" s="171"/>
      <c r="AF39" s="122"/>
      <c r="AG39" s="147"/>
      <c r="AH39" s="73"/>
      <c r="AI39" s="135"/>
      <c r="AJ39" s="136"/>
      <c r="AK39" s="76"/>
      <c r="AL39" s="135"/>
      <c r="AM39" s="139">
        <v>441.0</v>
      </c>
      <c r="AN39" s="139">
        <v>780.0</v>
      </c>
      <c r="AO39" s="154">
        <v>83.86</v>
      </c>
      <c r="AP39" s="156">
        <v>31589.0</v>
      </c>
      <c r="AQ39" s="156">
        <v>206.0</v>
      </c>
      <c r="AR39" s="158">
        <v>-1.0</v>
      </c>
      <c r="AS39" s="161">
        <v>0.964261033251273</v>
      </c>
      <c r="AT39" s="161">
        <v>0.03913896674872708</v>
      </c>
      <c r="AU39" s="146" t="s">
        <v>291</v>
      </c>
      <c r="AV39" s="146" t="s">
        <v>291</v>
      </c>
      <c r="AW39" s="166" t="s">
        <v>291</v>
      </c>
      <c r="AX39" s="151"/>
      <c r="AY39" s="168"/>
      <c r="AZ39" s="173"/>
      <c r="BA39" s="173"/>
      <c r="BB39" s="184"/>
      <c r="BC39" s="169"/>
      <c r="BD39" s="169"/>
      <c r="BE39" s="169"/>
      <c r="BF39" s="169"/>
    </row>
    <row r="40">
      <c r="A40" s="107">
        <v>37.0</v>
      </c>
      <c r="B40" s="108" t="s">
        <v>292</v>
      </c>
      <c r="C40" s="115" t="s">
        <v>55</v>
      </c>
      <c r="D40" s="110">
        <v>41475.0</v>
      </c>
      <c r="E40" s="110">
        <v>42970.0</v>
      </c>
      <c r="F40" s="107" t="s">
        <v>79</v>
      </c>
      <c r="G40" s="113">
        <v>60113.0</v>
      </c>
      <c r="H40" s="114">
        <v>40.2</v>
      </c>
      <c r="I40" s="119">
        <v>418.0</v>
      </c>
      <c r="J40" s="122" t="s">
        <v>62</v>
      </c>
      <c r="K40" s="121">
        <v>418.0</v>
      </c>
      <c r="L40" s="119" t="s">
        <v>63</v>
      </c>
      <c r="M40" s="119"/>
      <c r="N40" s="119"/>
      <c r="O40" s="124">
        <v>60113.0</v>
      </c>
      <c r="P40" s="124">
        <v>1496.0</v>
      </c>
      <c r="Q40" s="122">
        <v>176.0</v>
      </c>
      <c r="R40" s="125">
        <v>433.0</v>
      </c>
      <c r="S40" s="126">
        <v>0.9654</v>
      </c>
      <c r="T40" s="127">
        <v>74818.5</v>
      </c>
      <c r="U40" s="129">
        <f t="shared" si="1"/>
        <v>0</v>
      </c>
      <c r="V40" s="107" t="s">
        <v>65</v>
      </c>
      <c r="W40" s="107" t="s">
        <v>66</v>
      </c>
      <c r="X40" s="107" t="s">
        <v>68</v>
      </c>
      <c r="Y40" s="131">
        <v>0.6</v>
      </c>
      <c r="Z40" s="180">
        <v>6.0</v>
      </c>
      <c r="AA40" s="111">
        <v>425.0</v>
      </c>
      <c r="AB40" s="111" t="s">
        <v>62</v>
      </c>
      <c r="AC40" s="171"/>
      <c r="AD40" s="171"/>
      <c r="AE40" s="171"/>
      <c r="AF40" s="122"/>
      <c r="AG40" s="147"/>
      <c r="AH40" s="73"/>
      <c r="AI40" s="135"/>
      <c r="AJ40" s="136"/>
      <c r="AK40" s="76"/>
      <c r="AL40" s="135"/>
      <c r="AM40" s="139">
        <v>425.0</v>
      </c>
      <c r="AN40" s="139">
        <v>1496.0</v>
      </c>
      <c r="AO40" s="154">
        <v>138.98</v>
      </c>
      <c r="AP40" s="156">
        <v>60113.0</v>
      </c>
      <c r="AQ40" s="156">
        <v>176.0</v>
      </c>
      <c r="AR40" s="158">
        <v>-1.0</v>
      </c>
      <c r="AS40" s="161">
        <v>0.9531749956324814</v>
      </c>
      <c r="AT40" s="161">
        <v>0.01222500436751861</v>
      </c>
      <c r="AU40" s="146" t="s">
        <v>297</v>
      </c>
      <c r="AV40" s="146" t="s">
        <v>297</v>
      </c>
      <c r="AW40" s="166" t="s">
        <v>297</v>
      </c>
      <c r="AX40" s="151"/>
      <c r="AY40" s="168"/>
      <c r="AZ40" s="173"/>
      <c r="BA40" s="173"/>
      <c r="BB40" s="184"/>
      <c r="BC40" s="169"/>
      <c r="BD40" s="169"/>
      <c r="BE40" s="169"/>
      <c r="BF40" s="169"/>
    </row>
    <row r="41">
      <c r="A41" s="107">
        <v>38.0</v>
      </c>
      <c r="B41" s="108" t="s">
        <v>299</v>
      </c>
      <c r="C41" s="115" t="s">
        <v>55</v>
      </c>
      <c r="D41" s="110">
        <v>41685.0</v>
      </c>
      <c r="E41" s="110">
        <v>42984.0</v>
      </c>
      <c r="F41" s="107" t="s">
        <v>109</v>
      </c>
      <c r="G41" s="113">
        <v>92242.0</v>
      </c>
      <c r="H41" s="114">
        <v>71.0</v>
      </c>
      <c r="I41" s="119">
        <v>298.0</v>
      </c>
      <c r="J41" s="122" t="s">
        <v>61</v>
      </c>
      <c r="K41" s="121">
        <v>301.77</v>
      </c>
      <c r="L41" s="119" t="s">
        <v>63</v>
      </c>
      <c r="M41" s="119"/>
      <c r="N41" s="119"/>
      <c r="O41" s="124">
        <v>92242.0</v>
      </c>
      <c r="P41" s="124">
        <v>1300.0</v>
      </c>
      <c r="Q41" s="122">
        <v>220.0</v>
      </c>
      <c r="R41" s="125">
        <v>338.0</v>
      </c>
      <c r="S41" s="126">
        <v>0.8928</v>
      </c>
      <c r="T41" s="127">
        <v>52228.8</v>
      </c>
      <c r="U41" s="129">
        <f t="shared" si="1"/>
        <v>0</v>
      </c>
      <c r="V41" s="107" t="s">
        <v>64</v>
      </c>
      <c r="W41" s="107" t="s">
        <v>64</v>
      </c>
      <c r="X41" s="107" t="s">
        <v>69</v>
      </c>
      <c r="Y41" s="131">
        <v>0.9</v>
      </c>
      <c r="Z41" s="180">
        <v>5.0</v>
      </c>
      <c r="AA41" s="111">
        <v>335.0</v>
      </c>
      <c r="AB41" s="111" t="s">
        <v>61</v>
      </c>
      <c r="AC41" s="171"/>
      <c r="AD41" s="171"/>
      <c r="AE41" s="171"/>
      <c r="AF41" s="122"/>
      <c r="AG41" s="147"/>
      <c r="AH41" s="73"/>
      <c r="AI41" s="135"/>
      <c r="AJ41" s="136"/>
      <c r="AK41" s="76"/>
      <c r="AL41" s="135"/>
      <c r="AM41" s="139">
        <v>339.0</v>
      </c>
      <c r="AN41" s="139">
        <v>1300.0</v>
      </c>
      <c r="AO41" s="154">
        <v>366.61</v>
      </c>
      <c r="AP41" s="156">
        <v>92242.0</v>
      </c>
      <c r="AQ41" s="156">
        <v>220.0</v>
      </c>
      <c r="AR41" s="158">
        <v>-1.0</v>
      </c>
      <c r="AS41" s="161">
        <v>0.9463318330259983</v>
      </c>
      <c r="AT41" s="161">
        <v>-0.05353183302599829</v>
      </c>
      <c r="AU41" s="146" t="s">
        <v>302</v>
      </c>
      <c r="AV41" s="146" t="s">
        <v>302</v>
      </c>
      <c r="AW41" s="166" t="s">
        <v>302</v>
      </c>
      <c r="AX41" s="151"/>
      <c r="AY41" s="168"/>
      <c r="AZ41" s="173"/>
      <c r="BA41" s="173"/>
      <c r="BB41" s="184"/>
      <c r="BC41" s="169"/>
      <c r="BD41" s="169"/>
      <c r="BE41" s="169"/>
      <c r="BF41" s="169"/>
    </row>
    <row r="42">
      <c r="A42" s="107">
        <v>39.0</v>
      </c>
      <c r="B42" s="108" t="s">
        <v>304</v>
      </c>
      <c r="C42" s="115" t="s">
        <v>55</v>
      </c>
      <c r="D42" s="110">
        <v>42781.0</v>
      </c>
      <c r="E42" s="110">
        <v>43037.0</v>
      </c>
      <c r="F42" s="107" t="s">
        <v>305</v>
      </c>
      <c r="G42" s="113">
        <v>5704.0</v>
      </c>
      <c r="H42" s="114">
        <v>22.2</v>
      </c>
      <c r="I42" s="119">
        <v>469.0</v>
      </c>
      <c r="J42" s="122" t="s">
        <v>61</v>
      </c>
      <c r="K42" s="121">
        <v>474.94</v>
      </c>
      <c r="L42" s="119" t="s">
        <v>63</v>
      </c>
      <c r="M42" s="119"/>
      <c r="N42" s="119"/>
      <c r="O42" s="124">
        <v>5704.0</v>
      </c>
      <c r="P42" s="124">
        <v>257.0</v>
      </c>
      <c r="Q42" s="122">
        <v>197.0</v>
      </c>
      <c r="R42" s="125">
        <v>475.0</v>
      </c>
      <c r="S42" s="126">
        <v>0.9999</v>
      </c>
      <c r="T42" s="127">
        <v>81791.82</v>
      </c>
      <c r="U42" s="129">
        <f t="shared" si="1"/>
        <v>0</v>
      </c>
      <c r="V42" s="107" t="s">
        <v>65</v>
      </c>
      <c r="W42" s="107" t="s">
        <v>64</v>
      </c>
      <c r="X42" s="107" t="s">
        <v>68</v>
      </c>
      <c r="Y42" s="131">
        <v>0.6</v>
      </c>
      <c r="Z42" s="138"/>
      <c r="AA42" s="111">
        <v>473.0</v>
      </c>
      <c r="AB42" s="111" t="s">
        <v>61</v>
      </c>
      <c r="AC42" s="145">
        <v>266.0</v>
      </c>
      <c r="AD42" s="145">
        <v>123.0</v>
      </c>
      <c r="AE42" s="145">
        <v>24.8</v>
      </c>
      <c r="AF42" s="122" t="s">
        <v>61</v>
      </c>
      <c r="AG42" s="147"/>
      <c r="AH42" s="73">
        <v>143.0</v>
      </c>
      <c r="AI42" s="135">
        <v>144.81012658227849</v>
      </c>
      <c r="AJ42" s="136">
        <v>81.33762657342658</v>
      </c>
      <c r="AK42" s="76">
        <v>0.9943475131225743</v>
      </c>
      <c r="AL42" s="135" t="s">
        <v>309</v>
      </c>
      <c r="AM42" s="139">
        <v>479.0</v>
      </c>
      <c r="AN42" s="139">
        <v>257.0</v>
      </c>
      <c r="AO42" s="154">
        <v>13.75</v>
      </c>
      <c r="AP42" s="156">
        <v>5704.0</v>
      </c>
      <c r="AQ42" s="156">
        <v>197.0</v>
      </c>
      <c r="AR42" s="158">
        <v>-1.0</v>
      </c>
      <c r="AS42" s="161">
        <v>0.9897285348130883</v>
      </c>
      <c r="AT42" s="161">
        <v>0.010171465186911699</v>
      </c>
      <c r="AU42" s="146" t="s">
        <v>310</v>
      </c>
      <c r="AV42" s="146" t="s">
        <v>310</v>
      </c>
      <c r="AW42" s="166" t="s">
        <v>310</v>
      </c>
      <c r="AX42" s="151"/>
      <c r="AY42" s="168"/>
      <c r="AZ42" s="173"/>
      <c r="BA42" s="173"/>
      <c r="BB42" s="184"/>
      <c r="BC42" s="169"/>
      <c r="BD42" s="169"/>
      <c r="BE42" s="169"/>
      <c r="BF42" s="169"/>
    </row>
    <row r="43">
      <c r="A43" s="107">
        <v>40.0</v>
      </c>
      <c r="B43" s="108" t="s">
        <v>304</v>
      </c>
      <c r="C43" s="115" t="s">
        <v>55</v>
      </c>
      <c r="D43" s="110">
        <v>42781.0</v>
      </c>
      <c r="E43" s="110">
        <v>42994.0</v>
      </c>
      <c r="F43" s="107" t="s">
        <v>305</v>
      </c>
      <c r="G43" s="113">
        <v>2647.0</v>
      </c>
      <c r="H43" s="114">
        <v>12.4</v>
      </c>
      <c r="I43" s="119">
        <v>472.0</v>
      </c>
      <c r="J43" s="122" t="s">
        <v>61</v>
      </c>
      <c r="K43" s="121">
        <v>477.97</v>
      </c>
      <c r="L43" s="119" t="s">
        <v>63</v>
      </c>
      <c r="M43" s="119"/>
      <c r="N43" s="119"/>
      <c r="O43" s="124">
        <v>2647.0</v>
      </c>
      <c r="P43" s="124">
        <v>214.0</v>
      </c>
      <c r="Q43" s="122">
        <v>195.0</v>
      </c>
      <c r="R43" s="125">
        <v>475.0</v>
      </c>
      <c r="S43" s="126">
        <v>1.0063</v>
      </c>
      <c r="T43" s="127">
        <v>82315.34</v>
      </c>
      <c r="U43" s="129">
        <f t="shared" si="1"/>
        <v>0</v>
      </c>
      <c r="V43" s="107" t="s">
        <v>65</v>
      </c>
      <c r="W43" s="107" t="s">
        <v>64</v>
      </c>
      <c r="X43" s="107" t="s">
        <v>68</v>
      </c>
      <c r="Y43" s="131">
        <v>0.6</v>
      </c>
      <c r="Z43" s="138"/>
      <c r="AA43" s="111">
        <v>473.0</v>
      </c>
      <c r="AB43" s="111" t="s">
        <v>61</v>
      </c>
      <c r="AC43" s="145">
        <v>466.0</v>
      </c>
      <c r="AD43" s="145">
        <v>90.0</v>
      </c>
      <c r="AE43" s="145">
        <v>65.0</v>
      </c>
      <c r="AF43" s="122" t="s">
        <v>61</v>
      </c>
      <c r="AG43" s="147"/>
      <c r="AH43" s="73">
        <v>376.0</v>
      </c>
      <c r="AI43" s="135">
        <v>380.7594936708861</v>
      </c>
      <c r="AJ43" s="136">
        <v>81.5949451462766</v>
      </c>
      <c r="AK43" s="76">
        <v>0.9974932169471468</v>
      </c>
      <c r="AL43" s="135" t="s">
        <v>317</v>
      </c>
      <c r="AM43" s="139">
        <v>479.0</v>
      </c>
      <c r="AN43" s="139">
        <v>214.0</v>
      </c>
      <c r="AO43" s="154">
        <v>6.3</v>
      </c>
      <c r="AP43" s="156">
        <v>2647.0</v>
      </c>
      <c r="AQ43" s="156">
        <v>195.0</v>
      </c>
      <c r="AR43" s="158">
        <v>-1.0</v>
      </c>
      <c r="AS43" s="161">
        <v>0.9949190477280074</v>
      </c>
      <c r="AT43" s="161">
        <v>0.01138095227199254</v>
      </c>
      <c r="AU43" s="146" t="s">
        <v>318</v>
      </c>
      <c r="AV43" s="146" t="s">
        <v>318</v>
      </c>
      <c r="AW43" s="166" t="s">
        <v>318</v>
      </c>
      <c r="AX43" s="151"/>
      <c r="AY43" s="168"/>
      <c r="AZ43" s="173"/>
      <c r="BA43" s="173"/>
      <c r="BB43" s="184"/>
      <c r="BC43" s="169"/>
      <c r="BD43" s="169"/>
      <c r="BE43" s="169"/>
      <c r="BF43" s="169"/>
    </row>
    <row r="44">
      <c r="A44" s="107">
        <v>41.0</v>
      </c>
      <c r="B44" s="108" t="s">
        <v>92</v>
      </c>
      <c r="C44" s="115" t="s">
        <v>55</v>
      </c>
      <c r="D44" s="110">
        <v>41984.0</v>
      </c>
      <c r="E44" s="110">
        <v>43057.0</v>
      </c>
      <c r="F44" s="107" t="s">
        <v>319</v>
      </c>
      <c r="G44" s="113">
        <v>53900.0</v>
      </c>
      <c r="H44" s="114">
        <v>50.2</v>
      </c>
      <c r="I44" s="119">
        <v>452.0</v>
      </c>
      <c r="J44" s="122" t="s">
        <v>62</v>
      </c>
      <c r="K44" s="121">
        <v>452.0</v>
      </c>
      <c r="L44" s="119" t="s">
        <v>195</v>
      </c>
      <c r="M44" s="119" t="s">
        <v>320</v>
      </c>
      <c r="N44" s="119">
        <v>53800.0</v>
      </c>
      <c r="O44" s="124">
        <v>100.0</v>
      </c>
      <c r="P44" s="124">
        <v>2.0</v>
      </c>
      <c r="Q44" s="122">
        <v>204.0</v>
      </c>
      <c r="R44" s="125">
        <v>451.0</v>
      </c>
      <c r="S44" s="126">
        <v>1.0022</v>
      </c>
      <c r="T44" s="127">
        <v>81979.95999999999</v>
      </c>
      <c r="U44" s="129">
        <f t="shared" si="1"/>
        <v>0</v>
      </c>
      <c r="V44" s="107" t="s">
        <v>64</v>
      </c>
      <c r="W44" s="107" t="s">
        <v>69</v>
      </c>
      <c r="X44" s="107" t="s">
        <v>66</v>
      </c>
      <c r="Y44" s="131">
        <v>0.9</v>
      </c>
      <c r="Z44" s="138"/>
      <c r="AA44" s="133"/>
      <c r="AB44" s="133"/>
      <c r="AC44" s="171"/>
      <c r="AD44" s="171"/>
      <c r="AE44" s="171"/>
      <c r="AF44" s="122"/>
      <c r="AG44" s="134" t="s">
        <v>325</v>
      </c>
      <c r="AH44" s="73"/>
      <c r="AI44" s="135"/>
      <c r="AJ44" s="136"/>
      <c r="AK44" s="76"/>
      <c r="AL44" s="135"/>
      <c r="AM44" s="139" t="s">
        <v>71</v>
      </c>
      <c r="AN44" s="139">
        <v>1074.0</v>
      </c>
      <c r="AO44" s="154">
        <v>0.25</v>
      </c>
      <c r="AP44" s="156">
        <v>100.0</v>
      </c>
      <c r="AQ44" s="156">
        <v>204.0</v>
      </c>
      <c r="AR44" s="158">
        <v>-1.0</v>
      </c>
      <c r="AS44" s="161">
        <v>0.9997972537910739</v>
      </c>
      <c r="AT44" s="161">
        <v>0.00240274620892611</v>
      </c>
      <c r="AU44" s="146" t="s">
        <v>326</v>
      </c>
      <c r="AV44" s="146" t="s">
        <v>326</v>
      </c>
      <c r="AW44" s="166" t="s">
        <v>326</v>
      </c>
      <c r="AX44" s="151"/>
      <c r="AY44" s="168"/>
      <c r="AZ44" s="173"/>
      <c r="BA44" s="173"/>
      <c r="BB44" s="184"/>
      <c r="BC44" s="169"/>
      <c r="BD44" s="169"/>
      <c r="BE44" s="169"/>
      <c r="BF44" s="169"/>
    </row>
    <row r="45">
      <c r="A45" s="107">
        <v>42.0</v>
      </c>
      <c r="B45" s="188"/>
      <c r="C45" s="115"/>
      <c r="D45" s="189"/>
      <c r="E45" s="189"/>
      <c r="F45" s="107"/>
      <c r="G45" s="113"/>
      <c r="H45" s="114"/>
      <c r="I45" s="119"/>
      <c r="J45" s="191"/>
      <c r="K45" s="121"/>
      <c r="L45" s="119"/>
      <c r="M45" s="119"/>
      <c r="N45" s="119"/>
      <c r="O45" s="124"/>
      <c r="P45" s="124"/>
      <c r="Q45" s="191"/>
      <c r="R45" s="125"/>
      <c r="S45" s="126"/>
      <c r="T45" s="127"/>
      <c r="U45" s="129" t="str">
        <f t="shared" si="1"/>
        <v/>
      </c>
      <c r="V45" s="170"/>
      <c r="W45" s="170"/>
      <c r="X45" s="170"/>
      <c r="Y45" s="131"/>
      <c r="Z45" s="138"/>
      <c r="AA45" s="133"/>
      <c r="AB45" s="133"/>
      <c r="AC45" s="171"/>
      <c r="AD45" s="171"/>
      <c r="AE45" s="171"/>
      <c r="AF45" s="122"/>
      <c r="AG45" s="147"/>
      <c r="AH45" s="73"/>
      <c r="AI45" s="135"/>
      <c r="AJ45" s="136"/>
      <c r="AK45" s="76"/>
      <c r="AL45" s="135"/>
      <c r="AM45" s="139" t="s">
        <v>71</v>
      </c>
      <c r="AN45" s="139"/>
      <c r="AO45" s="154"/>
      <c r="AP45" s="156"/>
      <c r="AQ45" s="156"/>
      <c r="AR45" s="158"/>
      <c r="AS45" s="161"/>
      <c r="AT45" s="161"/>
      <c r="AU45" s="146"/>
      <c r="AV45" s="146"/>
      <c r="AW45" s="166"/>
      <c r="AX45" s="151"/>
      <c r="AY45" s="168"/>
      <c r="AZ45" s="173"/>
      <c r="BA45" s="173"/>
      <c r="BB45" s="184"/>
      <c r="BC45" s="169"/>
      <c r="BD45" s="169"/>
      <c r="BE45" s="169"/>
      <c r="BF45" s="169"/>
    </row>
    <row r="46">
      <c r="A46" s="107">
        <v>43.0</v>
      </c>
      <c r="B46" s="188"/>
      <c r="C46" s="115"/>
      <c r="D46" s="189"/>
      <c r="E46" s="189"/>
      <c r="F46" s="107"/>
      <c r="G46" s="113"/>
      <c r="H46" s="114"/>
      <c r="I46" s="194"/>
      <c r="J46" s="122"/>
      <c r="K46" s="121"/>
      <c r="L46" s="119"/>
      <c r="M46" s="119"/>
      <c r="N46" s="119"/>
      <c r="O46" s="124"/>
      <c r="P46" s="124"/>
      <c r="Q46" s="191"/>
      <c r="R46" s="125"/>
      <c r="S46" s="126"/>
      <c r="T46" s="127"/>
      <c r="U46" s="129" t="str">
        <f t="shared" si="1"/>
        <v/>
      </c>
      <c r="V46" s="170"/>
      <c r="W46" s="170"/>
      <c r="X46" s="170"/>
      <c r="Y46" s="131"/>
      <c r="Z46" s="138"/>
      <c r="AA46" s="133"/>
      <c r="AB46" s="133"/>
      <c r="AC46" s="171"/>
      <c r="AD46" s="171"/>
      <c r="AE46" s="171"/>
      <c r="AF46" s="122"/>
      <c r="AG46" s="147"/>
      <c r="AH46" s="73"/>
      <c r="AI46" s="135"/>
      <c r="AJ46" s="136"/>
      <c r="AK46" s="76"/>
      <c r="AL46" s="135"/>
      <c r="AM46" s="139" t="s">
        <v>71</v>
      </c>
      <c r="AN46" s="139"/>
      <c r="AO46" s="154"/>
      <c r="AP46" s="156"/>
      <c r="AQ46" s="156"/>
      <c r="AR46" s="158"/>
      <c r="AS46" s="161"/>
      <c r="AT46" s="161"/>
      <c r="AU46" s="146"/>
      <c r="AV46" s="146"/>
      <c r="AW46" s="166"/>
      <c r="AX46" s="151"/>
      <c r="AY46" s="168"/>
      <c r="AZ46" s="173"/>
      <c r="BA46" s="173"/>
      <c r="BB46" s="184"/>
      <c r="BC46" s="169"/>
      <c r="BD46" s="169"/>
      <c r="BE46" s="169"/>
      <c r="BF46" s="169"/>
    </row>
    <row r="47">
      <c r="A47" s="107">
        <v>44.0</v>
      </c>
      <c r="B47" s="188"/>
      <c r="C47" s="115"/>
      <c r="D47" s="189"/>
      <c r="E47" s="189"/>
      <c r="F47" s="107"/>
      <c r="G47" s="113"/>
      <c r="H47" s="114"/>
      <c r="I47" s="119"/>
      <c r="J47" s="191"/>
      <c r="K47" s="121"/>
      <c r="L47" s="119"/>
      <c r="M47" s="119"/>
      <c r="N47" s="119"/>
      <c r="O47" s="124"/>
      <c r="P47" s="124"/>
      <c r="Q47" s="191"/>
      <c r="R47" s="125"/>
      <c r="S47" s="126"/>
      <c r="T47" s="127"/>
      <c r="U47" s="129" t="str">
        <f t="shared" si="1"/>
        <v/>
      </c>
      <c r="V47" s="170"/>
      <c r="W47" s="170"/>
      <c r="X47" s="170"/>
      <c r="Y47" s="131"/>
      <c r="Z47" s="138"/>
      <c r="AA47" s="133"/>
      <c r="AB47" s="133"/>
      <c r="AC47" s="171"/>
      <c r="AD47" s="171"/>
      <c r="AE47" s="171"/>
      <c r="AF47" s="122"/>
      <c r="AG47" s="147"/>
      <c r="AH47" s="73"/>
      <c r="AI47" s="135"/>
      <c r="AJ47" s="136"/>
      <c r="AK47" s="76"/>
      <c r="AL47" s="135"/>
      <c r="AM47" s="139" t="s">
        <v>71</v>
      </c>
      <c r="AN47" s="139"/>
      <c r="AO47" s="154"/>
      <c r="AP47" s="156"/>
      <c r="AQ47" s="156"/>
      <c r="AR47" s="158"/>
      <c r="AS47" s="161"/>
      <c r="AT47" s="161"/>
      <c r="AU47" s="146"/>
      <c r="AV47" s="146"/>
      <c r="AW47" s="166"/>
      <c r="AX47" s="151"/>
      <c r="AY47" s="168"/>
      <c r="AZ47" s="173"/>
      <c r="BA47" s="173"/>
      <c r="BB47" s="184"/>
      <c r="BC47" s="169"/>
      <c r="BD47" s="169"/>
      <c r="BE47" s="169"/>
      <c r="BF47" s="169"/>
    </row>
    <row r="48">
      <c r="A48" s="107">
        <v>45.0</v>
      </c>
      <c r="B48" s="188"/>
      <c r="C48" s="115"/>
      <c r="D48" s="189"/>
      <c r="E48" s="189"/>
      <c r="F48" s="107"/>
      <c r="G48" s="113"/>
      <c r="H48" s="114"/>
      <c r="I48" s="194"/>
      <c r="J48" s="122"/>
      <c r="K48" s="121"/>
      <c r="L48" s="119"/>
      <c r="M48" s="119"/>
      <c r="N48" s="119"/>
      <c r="O48" s="124"/>
      <c r="P48" s="124"/>
      <c r="Q48" s="191"/>
      <c r="R48" s="125"/>
      <c r="S48" s="126"/>
      <c r="T48" s="127"/>
      <c r="U48" s="129" t="str">
        <f t="shared" si="1"/>
        <v/>
      </c>
      <c r="V48" s="170"/>
      <c r="W48" s="170"/>
      <c r="X48" s="170"/>
      <c r="Y48" s="131"/>
      <c r="Z48" s="138"/>
      <c r="AA48" s="133"/>
      <c r="AB48" s="133"/>
      <c r="AC48" s="171"/>
      <c r="AD48" s="171"/>
      <c r="AE48" s="171"/>
      <c r="AF48" s="122"/>
      <c r="AG48" s="147"/>
      <c r="AH48" s="73"/>
      <c r="AI48" s="135"/>
      <c r="AJ48" s="136"/>
      <c r="AK48" s="76"/>
      <c r="AL48" s="135"/>
      <c r="AM48" s="139" t="s">
        <v>71</v>
      </c>
      <c r="AN48" s="139"/>
      <c r="AO48" s="154"/>
      <c r="AP48" s="156"/>
      <c r="AQ48" s="156"/>
      <c r="AR48" s="158"/>
      <c r="AS48" s="161"/>
      <c r="AT48" s="161"/>
      <c r="AU48" s="146"/>
      <c r="AV48" s="146"/>
      <c r="AW48" s="166"/>
      <c r="AX48" s="151"/>
      <c r="AY48" s="168"/>
      <c r="AZ48" s="173"/>
      <c r="BA48" s="173"/>
      <c r="BB48" s="184"/>
      <c r="BC48" s="169"/>
      <c r="BD48" s="169"/>
      <c r="BE48" s="169"/>
      <c r="BF48" s="169"/>
    </row>
    <row r="49">
      <c r="A49" s="107">
        <v>46.0</v>
      </c>
      <c r="B49" s="188"/>
      <c r="C49" s="115"/>
      <c r="D49" s="189"/>
      <c r="E49" s="189"/>
      <c r="F49" s="107"/>
      <c r="G49" s="113"/>
      <c r="H49" s="114"/>
      <c r="I49" s="119"/>
      <c r="J49" s="191"/>
      <c r="K49" s="121"/>
      <c r="L49" s="119"/>
      <c r="M49" s="119"/>
      <c r="N49" s="119"/>
      <c r="O49" s="124"/>
      <c r="P49" s="124"/>
      <c r="Q49" s="191"/>
      <c r="R49" s="125"/>
      <c r="S49" s="126"/>
      <c r="T49" s="127"/>
      <c r="U49" s="129" t="str">
        <f t="shared" si="1"/>
        <v/>
      </c>
      <c r="V49" s="170"/>
      <c r="W49" s="170"/>
      <c r="X49" s="170"/>
      <c r="Y49" s="131"/>
      <c r="Z49" s="138"/>
      <c r="AA49" s="133"/>
      <c r="AB49" s="133"/>
      <c r="AC49" s="171"/>
      <c r="AD49" s="171"/>
      <c r="AE49" s="171"/>
      <c r="AF49" s="122"/>
      <c r="AG49" s="147"/>
      <c r="AH49" s="73"/>
      <c r="AI49" s="135"/>
      <c r="AJ49" s="136"/>
      <c r="AK49" s="76"/>
      <c r="AL49" s="135"/>
      <c r="AM49" s="139" t="s">
        <v>71</v>
      </c>
      <c r="AN49" s="139"/>
      <c r="AO49" s="154"/>
      <c r="AP49" s="156"/>
      <c r="AQ49" s="156"/>
      <c r="AR49" s="158"/>
      <c r="AS49" s="161"/>
      <c r="AT49" s="161"/>
      <c r="AU49" s="146"/>
      <c r="AV49" s="146"/>
      <c r="AW49" s="166"/>
      <c r="AX49" s="151"/>
      <c r="AY49" s="168"/>
      <c r="AZ49" s="173"/>
      <c r="BA49" s="173"/>
      <c r="BB49" s="184"/>
      <c r="BC49" s="169"/>
      <c r="BD49" s="169"/>
      <c r="BE49" s="169"/>
      <c r="BF49" s="169"/>
    </row>
    <row r="50">
      <c r="A50" s="107">
        <v>47.0</v>
      </c>
      <c r="B50" s="188"/>
      <c r="C50" s="115"/>
      <c r="D50" s="189"/>
      <c r="E50" s="189"/>
      <c r="F50" s="107"/>
      <c r="G50" s="113"/>
      <c r="H50" s="114"/>
      <c r="I50" s="194"/>
      <c r="J50" s="122"/>
      <c r="K50" s="121"/>
      <c r="L50" s="119"/>
      <c r="M50" s="119"/>
      <c r="N50" s="119"/>
      <c r="O50" s="124"/>
      <c r="P50" s="124"/>
      <c r="Q50" s="191"/>
      <c r="R50" s="125"/>
      <c r="S50" s="126"/>
      <c r="T50" s="127"/>
      <c r="U50" s="129" t="str">
        <f t="shared" si="1"/>
        <v/>
      </c>
      <c r="V50" s="170"/>
      <c r="W50" s="170"/>
      <c r="X50" s="170"/>
      <c r="Y50" s="131"/>
      <c r="Z50" s="138"/>
      <c r="AA50" s="133"/>
      <c r="AB50" s="133"/>
      <c r="AC50" s="171"/>
      <c r="AD50" s="171"/>
      <c r="AE50" s="171"/>
      <c r="AF50" s="122"/>
      <c r="AG50" s="147"/>
      <c r="AH50" s="73"/>
      <c r="AI50" s="135"/>
      <c r="AJ50" s="136"/>
      <c r="AK50" s="76"/>
      <c r="AL50" s="135"/>
      <c r="AM50" s="139" t="s">
        <v>71</v>
      </c>
      <c r="AN50" s="139"/>
      <c r="AO50" s="154"/>
      <c r="AP50" s="156"/>
      <c r="AQ50" s="156"/>
      <c r="AR50" s="158"/>
      <c r="AS50" s="161"/>
      <c r="AT50" s="161"/>
      <c r="AU50" s="146"/>
      <c r="AV50" s="146"/>
      <c r="AW50" s="166"/>
      <c r="AX50" s="151"/>
      <c r="AY50" s="168"/>
      <c r="AZ50" s="173"/>
      <c r="BA50" s="173"/>
      <c r="BB50" s="184"/>
      <c r="BC50" s="169"/>
      <c r="BD50" s="169"/>
      <c r="BE50" s="169"/>
      <c r="BF50" s="169"/>
    </row>
    <row r="51">
      <c r="A51" s="107">
        <v>48.0</v>
      </c>
      <c r="B51" s="188"/>
      <c r="C51" s="115"/>
      <c r="D51" s="189"/>
      <c r="E51" s="189"/>
      <c r="F51" s="107"/>
      <c r="G51" s="113"/>
      <c r="H51" s="114"/>
      <c r="I51" s="119"/>
      <c r="J51" s="191"/>
      <c r="K51" s="121"/>
      <c r="L51" s="119"/>
      <c r="M51" s="119"/>
      <c r="N51" s="119"/>
      <c r="O51" s="124"/>
      <c r="P51" s="124"/>
      <c r="Q51" s="191"/>
      <c r="R51" s="125"/>
      <c r="S51" s="126"/>
      <c r="T51" s="127"/>
      <c r="U51" s="129" t="str">
        <f t="shared" si="1"/>
        <v/>
      </c>
      <c r="V51" s="170"/>
      <c r="W51" s="170"/>
      <c r="X51" s="170"/>
      <c r="Y51" s="131"/>
      <c r="Z51" s="138"/>
      <c r="AA51" s="133"/>
      <c r="AB51" s="133"/>
      <c r="AC51" s="171"/>
      <c r="AD51" s="171"/>
      <c r="AE51" s="171"/>
      <c r="AF51" s="122"/>
      <c r="AG51" s="147"/>
      <c r="AH51" s="73"/>
      <c r="AI51" s="135"/>
      <c r="AJ51" s="136"/>
      <c r="AK51" s="76"/>
      <c r="AL51" s="135"/>
      <c r="AM51" s="139" t="s">
        <v>71</v>
      </c>
      <c r="AN51" s="139"/>
      <c r="AO51" s="154"/>
      <c r="AP51" s="156"/>
      <c r="AQ51" s="156"/>
      <c r="AR51" s="158"/>
      <c r="AS51" s="161"/>
      <c r="AT51" s="161"/>
      <c r="AU51" s="146"/>
      <c r="AV51" s="146"/>
      <c r="AW51" s="166"/>
      <c r="AX51" s="151"/>
      <c r="AY51" s="168"/>
      <c r="AZ51" s="173"/>
      <c r="BA51" s="173"/>
      <c r="BB51" s="184"/>
      <c r="BC51" s="169"/>
      <c r="BD51" s="169"/>
      <c r="BE51" s="169"/>
      <c r="BF51" s="169"/>
    </row>
    <row r="52">
      <c r="A52" s="107">
        <v>49.0</v>
      </c>
      <c r="B52" s="188"/>
      <c r="C52" s="115"/>
      <c r="D52" s="189"/>
      <c r="E52" s="189"/>
      <c r="F52" s="107"/>
      <c r="G52" s="113"/>
      <c r="H52" s="114"/>
      <c r="I52" s="194"/>
      <c r="J52" s="122"/>
      <c r="K52" s="121"/>
      <c r="L52" s="119"/>
      <c r="M52" s="119"/>
      <c r="N52" s="119"/>
      <c r="O52" s="124"/>
      <c r="P52" s="124"/>
      <c r="Q52" s="191"/>
      <c r="R52" s="125"/>
      <c r="S52" s="126"/>
      <c r="T52" s="127"/>
      <c r="U52" s="129" t="str">
        <f t="shared" si="1"/>
        <v/>
      </c>
      <c r="V52" s="170"/>
      <c r="W52" s="170"/>
      <c r="X52" s="170"/>
      <c r="Y52" s="131"/>
      <c r="Z52" s="138"/>
      <c r="AA52" s="133"/>
      <c r="AB52" s="133"/>
      <c r="AC52" s="171"/>
      <c r="AD52" s="171"/>
      <c r="AE52" s="171"/>
      <c r="AF52" s="122"/>
      <c r="AG52" s="147"/>
      <c r="AH52" s="73"/>
      <c r="AI52" s="135"/>
      <c r="AJ52" s="136"/>
      <c r="AK52" s="76"/>
      <c r="AL52" s="135"/>
      <c r="AM52" s="139" t="s">
        <v>71</v>
      </c>
      <c r="AN52" s="139"/>
      <c r="AO52" s="154"/>
      <c r="AP52" s="156"/>
      <c r="AQ52" s="156"/>
      <c r="AR52" s="158"/>
      <c r="AS52" s="161"/>
      <c r="AT52" s="161"/>
      <c r="AU52" s="146"/>
      <c r="AV52" s="146"/>
      <c r="AW52" s="166"/>
      <c r="AX52" s="151"/>
      <c r="AY52" s="168"/>
      <c r="AZ52" s="173"/>
      <c r="BA52" s="173"/>
      <c r="BB52" s="184"/>
      <c r="BC52" s="169"/>
      <c r="BD52" s="169"/>
      <c r="BE52" s="169"/>
      <c r="BF52" s="169"/>
    </row>
    <row r="53">
      <c r="A53" s="107">
        <v>50.0</v>
      </c>
      <c r="B53" s="188"/>
      <c r="C53" s="115"/>
      <c r="D53" s="189"/>
      <c r="E53" s="189"/>
      <c r="F53" s="107"/>
      <c r="G53" s="113"/>
      <c r="H53" s="114"/>
      <c r="I53" s="119"/>
      <c r="J53" s="191"/>
      <c r="K53" s="121"/>
      <c r="L53" s="119"/>
      <c r="M53" s="119"/>
      <c r="N53" s="119"/>
      <c r="O53" s="124"/>
      <c r="P53" s="124"/>
      <c r="Q53" s="191"/>
      <c r="R53" s="125"/>
      <c r="S53" s="126"/>
      <c r="T53" s="127"/>
      <c r="U53" s="129" t="str">
        <f t="shared" si="1"/>
        <v/>
      </c>
      <c r="V53" s="170"/>
      <c r="W53" s="170"/>
      <c r="X53" s="170"/>
      <c r="Y53" s="131"/>
      <c r="Z53" s="138"/>
      <c r="AA53" s="133"/>
      <c r="AB53" s="133"/>
      <c r="AC53" s="171"/>
      <c r="AD53" s="171"/>
      <c r="AE53" s="171"/>
      <c r="AF53" s="122"/>
      <c r="AG53" s="147"/>
      <c r="AH53" s="73"/>
      <c r="AI53" s="135"/>
      <c r="AJ53" s="136"/>
      <c r="AK53" s="76"/>
      <c r="AL53" s="135"/>
      <c r="AM53" s="139" t="s">
        <v>71</v>
      </c>
      <c r="AN53" s="139"/>
      <c r="AO53" s="154"/>
      <c r="AP53" s="156"/>
      <c r="AQ53" s="156"/>
      <c r="AR53" s="158"/>
      <c r="AS53" s="161"/>
      <c r="AT53" s="161"/>
      <c r="AU53" s="146"/>
      <c r="AV53" s="146"/>
      <c r="AW53" s="166"/>
      <c r="AX53" s="151"/>
      <c r="AY53" s="168"/>
      <c r="AZ53" s="173"/>
      <c r="BA53" s="173"/>
      <c r="BB53" s="184"/>
      <c r="BC53" s="169"/>
      <c r="BD53" s="169"/>
      <c r="BE53" s="169"/>
      <c r="BF53" s="169"/>
    </row>
    <row r="54">
      <c r="A54" s="107">
        <v>51.0</v>
      </c>
      <c r="B54" s="188"/>
      <c r="C54" s="115"/>
      <c r="D54" s="189"/>
      <c r="E54" s="189"/>
      <c r="F54" s="107"/>
      <c r="G54" s="113"/>
      <c r="H54" s="114"/>
      <c r="I54" s="194"/>
      <c r="J54" s="122"/>
      <c r="K54" s="121"/>
      <c r="L54" s="119"/>
      <c r="M54" s="119"/>
      <c r="N54" s="119"/>
      <c r="O54" s="124"/>
      <c r="P54" s="124"/>
      <c r="Q54" s="191"/>
      <c r="R54" s="125"/>
      <c r="S54" s="126"/>
      <c r="T54" s="127"/>
      <c r="U54" s="129" t="str">
        <f t="shared" si="1"/>
        <v/>
      </c>
      <c r="V54" s="170"/>
      <c r="W54" s="170"/>
      <c r="X54" s="170"/>
      <c r="Y54" s="131"/>
      <c r="Z54" s="138"/>
      <c r="AA54" s="133"/>
      <c r="AB54" s="133"/>
      <c r="AC54" s="171"/>
      <c r="AD54" s="171"/>
      <c r="AE54" s="171"/>
      <c r="AF54" s="122"/>
      <c r="AG54" s="147"/>
      <c r="AH54" s="73"/>
      <c r="AI54" s="135"/>
      <c r="AJ54" s="136"/>
      <c r="AK54" s="76"/>
      <c r="AL54" s="135"/>
      <c r="AM54" s="139" t="s">
        <v>71</v>
      </c>
      <c r="AN54" s="139"/>
      <c r="AO54" s="154"/>
      <c r="AP54" s="156"/>
      <c r="AQ54" s="156"/>
      <c r="AR54" s="158"/>
      <c r="AS54" s="161"/>
      <c r="AT54" s="161"/>
      <c r="AU54" s="146"/>
      <c r="AV54" s="146"/>
      <c r="AW54" s="166"/>
      <c r="AX54" s="151"/>
      <c r="AY54" s="168"/>
      <c r="AZ54" s="173"/>
      <c r="BA54" s="173"/>
      <c r="BB54" s="184"/>
      <c r="BC54" s="169"/>
      <c r="BD54" s="169"/>
      <c r="BE54" s="169"/>
      <c r="BF54" s="169"/>
    </row>
    <row r="55">
      <c r="A55" s="107">
        <v>52.0</v>
      </c>
      <c r="B55" s="188"/>
      <c r="C55" s="115"/>
      <c r="D55" s="189"/>
      <c r="E55" s="189"/>
      <c r="F55" s="107"/>
      <c r="G55" s="113"/>
      <c r="H55" s="114"/>
      <c r="I55" s="119"/>
      <c r="J55" s="191"/>
      <c r="K55" s="121"/>
      <c r="L55" s="119"/>
      <c r="M55" s="119"/>
      <c r="N55" s="119"/>
      <c r="O55" s="124"/>
      <c r="P55" s="124"/>
      <c r="Q55" s="191"/>
      <c r="R55" s="125"/>
      <c r="S55" s="126"/>
      <c r="T55" s="127"/>
      <c r="U55" s="129" t="str">
        <f t="shared" si="1"/>
        <v/>
      </c>
      <c r="V55" s="170"/>
      <c r="W55" s="170"/>
      <c r="X55" s="170"/>
      <c r="Y55" s="131"/>
      <c r="Z55" s="138"/>
      <c r="AA55" s="133"/>
      <c r="AB55" s="133"/>
      <c r="AC55" s="171"/>
      <c r="AD55" s="171"/>
      <c r="AE55" s="171"/>
      <c r="AF55" s="122"/>
      <c r="AG55" s="147"/>
      <c r="AH55" s="73"/>
      <c r="AI55" s="135"/>
      <c r="AJ55" s="136"/>
      <c r="AK55" s="76"/>
      <c r="AL55" s="135"/>
      <c r="AM55" s="139" t="s">
        <v>71</v>
      </c>
      <c r="AN55" s="139"/>
      <c r="AO55" s="154"/>
      <c r="AP55" s="156"/>
      <c r="AQ55" s="156"/>
      <c r="AR55" s="158"/>
      <c r="AS55" s="161"/>
      <c r="AT55" s="161"/>
      <c r="AU55" s="146"/>
      <c r="AV55" s="146"/>
      <c r="AW55" s="166"/>
      <c r="AX55" s="151"/>
      <c r="AY55" s="168"/>
      <c r="AZ55" s="173"/>
      <c r="BA55" s="173"/>
      <c r="BB55" s="184"/>
      <c r="BC55" s="169"/>
      <c r="BD55" s="169"/>
      <c r="BE55" s="169"/>
      <c r="BF55" s="169"/>
    </row>
    <row r="56">
      <c r="A56" s="107">
        <v>53.0</v>
      </c>
      <c r="B56" s="188"/>
      <c r="C56" s="115"/>
      <c r="D56" s="189"/>
      <c r="E56" s="189"/>
      <c r="F56" s="107"/>
      <c r="G56" s="113"/>
      <c r="H56" s="114"/>
      <c r="I56" s="119"/>
      <c r="J56" s="191"/>
      <c r="K56" s="121"/>
      <c r="L56" s="119"/>
      <c r="M56" s="119"/>
      <c r="N56" s="119"/>
      <c r="O56" s="124"/>
      <c r="P56" s="124"/>
      <c r="Q56" s="191"/>
      <c r="R56" s="125"/>
      <c r="S56" s="126"/>
      <c r="T56" s="127"/>
      <c r="U56" s="129" t="str">
        <f t="shared" si="1"/>
        <v/>
      </c>
      <c r="V56" s="170"/>
      <c r="W56" s="170"/>
      <c r="X56" s="170"/>
      <c r="Y56" s="131"/>
      <c r="Z56" s="138"/>
      <c r="AA56" s="133"/>
      <c r="AB56" s="133"/>
      <c r="AC56" s="171"/>
      <c r="AD56" s="171"/>
      <c r="AE56" s="171"/>
      <c r="AF56" s="122"/>
      <c r="AG56" s="147"/>
      <c r="AH56" s="73"/>
      <c r="AI56" s="135"/>
      <c r="AJ56" s="136"/>
      <c r="AK56" s="76"/>
      <c r="AL56" s="135"/>
      <c r="AM56" s="139" t="s">
        <v>71</v>
      </c>
      <c r="AN56" s="139"/>
      <c r="AO56" s="154"/>
      <c r="AP56" s="156"/>
      <c r="AQ56" s="156"/>
      <c r="AR56" s="158"/>
      <c r="AS56" s="161"/>
      <c r="AT56" s="161"/>
      <c r="AU56" s="146"/>
      <c r="AV56" s="146"/>
      <c r="AW56" s="166"/>
      <c r="AX56" s="151"/>
      <c r="AY56" s="168"/>
      <c r="AZ56" s="173"/>
      <c r="BA56" s="173"/>
      <c r="BB56" s="184"/>
      <c r="BC56" s="169"/>
      <c r="BD56" s="169"/>
      <c r="BE56" s="169"/>
      <c r="BF56" s="169"/>
    </row>
    <row r="57">
      <c r="A57" s="107">
        <v>54.0</v>
      </c>
      <c r="B57" s="188"/>
      <c r="C57" s="115"/>
      <c r="D57" s="189"/>
      <c r="E57" s="189"/>
      <c r="F57" s="107"/>
      <c r="G57" s="113"/>
      <c r="H57" s="114"/>
      <c r="I57" s="194"/>
      <c r="J57" s="122"/>
      <c r="K57" s="121"/>
      <c r="L57" s="119"/>
      <c r="M57" s="119"/>
      <c r="N57" s="119"/>
      <c r="O57" s="124"/>
      <c r="P57" s="124"/>
      <c r="Q57" s="191"/>
      <c r="R57" s="125"/>
      <c r="S57" s="126"/>
      <c r="T57" s="127"/>
      <c r="U57" s="129" t="str">
        <f t="shared" si="1"/>
        <v/>
      </c>
      <c r="V57" s="170"/>
      <c r="W57" s="170"/>
      <c r="X57" s="170"/>
      <c r="Y57" s="131"/>
      <c r="Z57" s="138"/>
      <c r="AA57" s="133"/>
      <c r="AB57" s="133"/>
      <c r="AC57" s="171"/>
      <c r="AD57" s="171"/>
      <c r="AE57" s="171"/>
      <c r="AF57" s="122"/>
      <c r="AG57" s="147"/>
      <c r="AH57" s="73"/>
      <c r="AI57" s="135"/>
      <c r="AJ57" s="136"/>
      <c r="AK57" s="76"/>
      <c r="AL57" s="135"/>
      <c r="AM57" s="139" t="s">
        <v>71</v>
      </c>
      <c r="AN57" s="139"/>
      <c r="AO57" s="154"/>
      <c r="AP57" s="156"/>
      <c r="AQ57" s="156"/>
      <c r="AR57" s="158"/>
      <c r="AS57" s="161"/>
      <c r="AT57" s="161"/>
      <c r="AU57" s="146"/>
      <c r="AV57" s="146"/>
      <c r="AW57" s="166"/>
      <c r="AX57" s="151"/>
      <c r="AY57" s="168"/>
      <c r="AZ57" s="173"/>
      <c r="BA57" s="173"/>
      <c r="BB57" s="184"/>
      <c r="BC57" s="169"/>
      <c r="BD57" s="169"/>
      <c r="BE57" s="169"/>
      <c r="BF57" s="169"/>
    </row>
    <row r="58">
      <c r="A58" s="107">
        <v>55.0</v>
      </c>
      <c r="B58" s="188"/>
      <c r="C58" s="115"/>
      <c r="D58" s="189"/>
      <c r="E58" s="189"/>
      <c r="F58" s="107"/>
      <c r="G58" s="113"/>
      <c r="H58" s="114"/>
      <c r="I58" s="119"/>
      <c r="J58" s="191"/>
      <c r="K58" s="121"/>
      <c r="L58" s="119"/>
      <c r="M58" s="119"/>
      <c r="N58" s="119"/>
      <c r="O58" s="124"/>
      <c r="P58" s="124"/>
      <c r="Q58" s="191"/>
      <c r="R58" s="125"/>
      <c r="S58" s="126"/>
      <c r="T58" s="127"/>
      <c r="U58" s="129" t="str">
        <f t="shared" si="1"/>
        <v/>
      </c>
      <c r="V58" s="170"/>
      <c r="W58" s="170"/>
      <c r="X58" s="170"/>
      <c r="Y58" s="131"/>
      <c r="Z58" s="138"/>
      <c r="AA58" s="133"/>
      <c r="AB58" s="133"/>
      <c r="AC58" s="171"/>
      <c r="AD58" s="171"/>
      <c r="AE58" s="171"/>
      <c r="AF58" s="122"/>
      <c r="AG58" s="147"/>
      <c r="AH58" s="73"/>
      <c r="AI58" s="135"/>
      <c r="AJ58" s="136"/>
      <c r="AK58" s="76"/>
      <c r="AL58" s="135"/>
      <c r="AM58" s="139" t="s">
        <v>71</v>
      </c>
      <c r="AN58" s="139"/>
      <c r="AO58" s="154"/>
      <c r="AP58" s="156"/>
      <c r="AQ58" s="156"/>
      <c r="AR58" s="158"/>
      <c r="AS58" s="161"/>
      <c r="AT58" s="161"/>
      <c r="AU58" s="146"/>
      <c r="AV58" s="146"/>
      <c r="AW58" s="166"/>
      <c r="AX58" s="151"/>
      <c r="AY58" s="168"/>
      <c r="AZ58" s="173"/>
      <c r="BA58" s="173"/>
      <c r="BB58" s="184"/>
      <c r="BC58" s="169"/>
      <c r="BD58" s="169"/>
      <c r="BE58" s="169"/>
      <c r="BF58" s="169"/>
    </row>
    <row r="59">
      <c r="A59" s="107">
        <v>56.0</v>
      </c>
      <c r="B59" s="188"/>
      <c r="C59" s="115"/>
      <c r="D59" s="189"/>
      <c r="E59" s="189"/>
      <c r="F59" s="107"/>
      <c r="G59" s="113"/>
      <c r="H59" s="114"/>
      <c r="I59" s="119"/>
      <c r="J59" s="191"/>
      <c r="K59" s="121"/>
      <c r="L59" s="119"/>
      <c r="M59" s="119"/>
      <c r="N59" s="119"/>
      <c r="O59" s="124"/>
      <c r="P59" s="124"/>
      <c r="Q59" s="191"/>
      <c r="R59" s="125"/>
      <c r="S59" s="126"/>
      <c r="T59" s="127"/>
      <c r="U59" s="129" t="str">
        <f t="shared" si="1"/>
        <v/>
      </c>
      <c r="V59" s="170"/>
      <c r="W59" s="170"/>
      <c r="X59" s="170"/>
      <c r="Y59" s="131"/>
      <c r="Z59" s="138"/>
      <c r="AA59" s="133"/>
      <c r="AB59" s="133"/>
      <c r="AC59" s="171"/>
      <c r="AD59" s="171"/>
      <c r="AE59" s="171"/>
      <c r="AF59" s="122"/>
      <c r="AG59" s="147"/>
      <c r="AH59" s="73"/>
      <c r="AI59" s="135"/>
      <c r="AJ59" s="136"/>
      <c r="AK59" s="76"/>
      <c r="AL59" s="135"/>
      <c r="AM59" s="139" t="s">
        <v>71</v>
      </c>
      <c r="AN59" s="139"/>
      <c r="AO59" s="154"/>
      <c r="AP59" s="156"/>
      <c r="AQ59" s="156"/>
      <c r="AR59" s="158"/>
      <c r="AS59" s="161"/>
      <c r="AT59" s="161"/>
      <c r="AU59" s="146"/>
      <c r="AV59" s="146"/>
      <c r="AW59" s="166"/>
      <c r="AX59" s="151"/>
      <c r="AY59" s="168"/>
      <c r="AZ59" s="173"/>
      <c r="BA59" s="173"/>
      <c r="BB59" s="184"/>
      <c r="BC59" s="169"/>
      <c r="BD59" s="169"/>
      <c r="BE59" s="169"/>
      <c r="BF59" s="169"/>
    </row>
    <row r="60">
      <c r="A60" s="107">
        <v>57.0</v>
      </c>
      <c r="B60" s="188"/>
      <c r="C60" s="115"/>
      <c r="D60" s="189"/>
      <c r="E60" s="189"/>
      <c r="F60" s="107"/>
      <c r="G60" s="113"/>
      <c r="H60" s="114"/>
      <c r="I60" s="194"/>
      <c r="J60" s="122"/>
      <c r="K60" s="121"/>
      <c r="L60" s="119"/>
      <c r="M60" s="119"/>
      <c r="N60" s="119"/>
      <c r="O60" s="124"/>
      <c r="P60" s="124"/>
      <c r="Q60" s="191"/>
      <c r="R60" s="125"/>
      <c r="S60" s="126"/>
      <c r="T60" s="127"/>
      <c r="U60" s="129" t="str">
        <f t="shared" si="1"/>
        <v/>
      </c>
      <c r="V60" s="170"/>
      <c r="W60" s="170"/>
      <c r="X60" s="170"/>
      <c r="Y60" s="131"/>
      <c r="Z60" s="138"/>
      <c r="AA60" s="133"/>
      <c r="AB60" s="133"/>
      <c r="AC60" s="171"/>
      <c r="AD60" s="171"/>
      <c r="AE60" s="171"/>
      <c r="AF60" s="122"/>
      <c r="AG60" s="147"/>
      <c r="AH60" s="73"/>
      <c r="AI60" s="135"/>
      <c r="AJ60" s="136"/>
      <c r="AK60" s="76"/>
      <c r="AL60" s="135"/>
      <c r="AM60" s="139" t="s">
        <v>71</v>
      </c>
      <c r="AN60" s="139"/>
      <c r="AO60" s="154"/>
      <c r="AP60" s="156"/>
      <c r="AQ60" s="156"/>
      <c r="AR60" s="158"/>
      <c r="AS60" s="161"/>
      <c r="AT60" s="161"/>
      <c r="AU60" s="146"/>
      <c r="AV60" s="146"/>
      <c r="AW60" s="166"/>
      <c r="AX60" s="151"/>
      <c r="AY60" s="168"/>
      <c r="AZ60" s="173"/>
      <c r="BA60" s="173"/>
      <c r="BB60" s="184"/>
      <c r="BC60" s="169"/>
      <c r="BD60" s="169"/>
      <c r="BE60" s="169"/>
      <c r="BF60" s="169"/>
    </row>
    <row r="61">
      <c r="A61" s="107">
        <v>58.0</v>
      </c>
      <c r="B61" s="188"/>
      <c r="C61" s="115"/>
      <c r="D61" s="189"/>
      <c r="E61" s="189"/>
      <c r="F61" s="107"/>
      <c r="G61" s="113"/>
      <c r="H61" s="114"/>
      <c r="I61" s="119"/>
      <c r="J61" s="191"/>
      <c r="K61" s="121"/>
      <c r="L61" s="119"/>
      <c r="M61" s="119"/>
      <c r="N61" s="119"/>
      <c r="O61" s="124"/>
      <c r="P61" s="124"/>
      <c r="Q61" s="191"/>
      <c r="R61" s="125"/>
      <c r="S61" s="126"/>
      <c r="T61" s="127"/>
      <c r="U61" s="129" t="str">
        <f t="shared" si="1"/>
        <v/>
      </c>
      <c r="V61" s="170"/>
      <c r="W61" s="170"/>
      <c r="X61" s="170"/>
      <c r="Y61" s="131"/>
      <c r="Z61" s="138"/>
      <c r="AA61" s="133"/>
      <c r="AB61" s="133"/>
      <c r="AC61" s="171"/>
      <c r="AD61" s="171"/>
      <c r="AE61" s="171"/>
      <c r="AF61" s="122"/>
      <c r="AG61" s="147"/>
      <c r="AH61" s="73"/>
      <c r="AI61" s="135"/>
      <c r="AJ61" s="136"/>
      <c r="AK61" s="76"/>
      <c r="AL61" s="135"/>
      <c r="AM61" s="139" t="s">
        <v>71</v>
      </c>
      <c r="AN61" s="139"/>
      <c r="AO61" s="154"/>
      <c r="AP61" s="156"/>
      <c r="AQ61" s="156"/>
      <c r="AR61" s="158"/>
      <c r="AS61" s="161"/>
      <c r="AT61" s="161"/>
      <c r="AU61" s="146"/>
      <c r="AV61" s="146"/>
      <c r="AW61" s="166"/>
      <c r="AX61" s="151"/>
      <c r="AY61" s="168"/>
      <c r="AZ61" s="173"/>
      <c r="BA61" s="173"/>
      <c r="BB61" s="184"/>
      <c r="BC61" s="169"/>
      <c r="BD61" s="169"/>
      <c r="BE61" s="169"/>
      <c r="BF61" s="169"/>
    </row>
    <row r="62">
      <c r="A62" s="107">
        <v>59.0</v>
      </c>
      <c r="B62" s="188"/>
      <c r="C62" s="115"/>
      <c r="D62" s="189"/>
      <c r="E62" s="189"/>
      <c r="F62" s="107"/>
      <c r="G62" s="113"/>
      <c r="H62" s="114"/>
      <c r="I62" s="119"/>
      <c r="J62" s="191"/>
      <c r="K62" s="121"/>
      <c r="L62" s="119"/>
      <c r="M62" s="119"/>
      <c r="N62" s="119"/>
      <c r="O62" s="124"/>
      <c r="P62" s="124"/>
      <c r="Q62" s="191"/>
      <c r="R62" s="125"/>
      <c r="S62" s="126"/>
      <c r="T62" s="127"/>
      <c r="U62" s="129" t="str">
        <f t="shared" si="1"/>
        <v/>
      </c>
      <c r="V62" s="170"/>
      <c r="W62" s="170"/>
      <c r="X62" s="170"/>
      <c r="Y62" s="131"/>
      <c r="Z62" s="138"/>
      <c r="AA62" s="133"/>
      <c r="AB62" s="133"/>
      <c r="AC62" s="171"/>
      <c r="AD62" s="171"/>
      <c r="AE62" s="171"/>
      <c r="AF62" s="122"/>
      <c r="AG62" s="147"/>
      <c r="AH62" s="73"/>
      <c r="AI62" s="135"/>
      <c r="AJ62" s="136"/>
      <c r="AK62" s="76"/>
      <c r="AL62" s="135"/>
      <c r="AM62" s="139" t="s">
        <v>71</v>
      </c>
      <c r="AN62" s="139"/>
      <c r="AO62" s="154"/>
      <c r="AP62" s="156"/>
      <c r="AQ62" s="156"/>
      <c r="AR62" s="158"/>
      <c r="AS62" s="161"/>
      <c r="AT62" s="161"/>
      <c r="AU62" s="146"/>
      <c r="AV62" s="146"/>
      <c r="AW62" s="166"/>
      <c r="AX62" s="151"/>
      <c r="AY62" s="168"/>
      <c r="AZ62" s="173"/>
      <c r="BA62" s="173"/>
      <c r="BB62" s="184"/>
      <c r="BC62" s="169"/>
      <c r="BD62" s="169"/>
      <c r="BE62" s="169"/>
      <c r="BF62" s="169"/>
    </row>
    <row r="63">
      <c r="A63" s="107">
        <v>60.0</v>
      </c>
      <c r="B63" s="188"/>
      <c r="C63" s="115"/>
      <c r="D63" s="189"/>
      <c r="E63" s="189"/>
      <c r="F63" s="107"/>
      <c r="G63" s="113"/>
      <c r="H63" s="114"/>
      <c r="I63" s="194"/>
      <c r="J63" s="122"/>
      <c r="K63" s="121"/>
      <c r="L63" s="119"/>
      <c r="M63" s="119"/>
      <c r="N63" s="119"/>
      <c r="O63" s="124"/>
      <c r="P63" s="124"/>
      <c r="Q63" s="191"/>
      <c r="R63" s="125"/>
      <c r="S63" s="126"/>
      <c r="T63" s="127"/>
      <c r="U63" s="129" t="str">
        <f t="shared" si="1"/>
        <v/>
      </c>
      <c r="V63" s="170"/>
      <c r="W63" s="170"/>
      <c r="X63" s="170"/>
      <c r="Y63" s="131"/>
      <c r="Z63" s="138"/>
      <c r="AA63" s="133"/>
      <c r="AB63" s="133"/>
      <c r="AC63" s="171"/>
      <c r="AD63" s="171"/>
      <c r="AE63" s="171"/>
      <c r="AF63" s="122"/>
      <c r="AG63" s="147"/>
      <c r="AH63" s="73"/>
      <c r="AI63" s="135"/>
      <c r="AJ63" s="136"/>
      <c r="AK63" s="76"/>
      <c r="AL63" s="135"/>
      <c r="AM63" s="139" t="s">
        <v>71</v>
      </c>
      <c r="AN63" s="139"/>
      <c r="AO63" s="154"/>
      <c r="AP63" s="156"/>
      <c r="AQ63" s="156"/>
      <c r="AR63" s="158"/>
      <c r="AS63" s="161"/>
      <c r="AT63" s="161"/>
      <c r="AU63" s="146"/>
      <c r="AV63" s="146"/>
      <c r="AW63" s="166"/>
      <c r="AX63" s="151"/>
      <c r="AY63" s="168"/>
      <c r="AZ63" s="173"/>
      <c r="BA63" s="173"/>
      <c r="BB63" s="184"/>
      <c r="BC63" s="169"/>
      <c r="BD63" s="169"/>
      <c r="BE63" s="169"/>
      <c r="BF63" s="169"/>
    </row>
    <row r="64">
      <c r="A64" s="107">
        <v>61.0</v>
      </c>
      <c r="B64" s="188"/>
      <c r="C64" s="115"/>
      <c r="D64" s="189"/>
      <c r="E64" s="189"/>
      <c r="F64" s="107"/>
      <c r="G64" s="113"/>
      <c r="H64" s="114"/>
      <c r="I64" s="119"/>
      <c r="J64" s="191"/>
      <c r="K64" s="121"/>
      <c r="L64" s="119"/>
      <c r="M64" s="119"/>
      <c r="N64" s="119"/>
      <c r="O64" s="124"/>
      <c r="P64" s="124"/>
      <c r="Q64" s="191"/>
      <c r="R64" s="125"/>
      <c r="S64" s="126"/>
      <c r="T64" s="127"/>
      <c r="U64" s="129" t="str">
        <f t="shared" si="1"/>
        <v/>
      </c>
      <c r="V64" s="170"/>
      <c r="W64" s="170"/>
      <c r="X64" s="170"/>
      <c r="Y64" s="131"/>
      <c r="Z64" s="138"/>
      <c r="AA64" s="133"/>
      <c r="AB64" s="133"/>
      <c r="AC64" s="171"/>
      <c r="AD64" s="171"/>
      <c r="AE64" s="171"/>
      <c r="AF64" s="122"/>
      <c r="AG64" s="147"/>
      <c r="AH64" s="73"/>
      <c r="AI64" s="135"/>
      <c r="AJ64" s="136"/>
      <c r="AK64" s="76"/>
      <c r="AL64" s="135"/>
      <c r="AM64" s="139" t="s">
        <v>71</v>
      </c>
      <c r="AN64" s="139"/>
      <c r="AO64" s="154"/>
      <c r="AP64" s="156"/>
      <c r="AQ64" s="156"/>
      <c r="AR64" s="158"/>
      <c r="AS64" s="161"/>
      <c r="AT64" s="161"/>
      <c r="AU64" s="146"/>
      <c r="AV64" s="146"/>
      <c r="AW64" s="166"/>
      <c r="AX64" s="151"/>
      <c r="AY64" s="168"/>
      <c r="AZ64" s="173"/>
      <c r="BA64" s="173"/>
      <c r="BB64" s="184"/>
      <c r="BC64" s="169"/>
      <c r="BD64" s="169"/>
      <c r="BE64" s="169"/>
      <c r="BF64" s="169"/>
    </row>
    <row r="65">
      <c r="A65" s="107">
        <v>62.0</v>
      </c>
      <c r="B65" s="188"/>
      <c r="C65" s="115"/>
      <c r="D65" s="189"/>
      <c r="E65" s="189"/>
      <c r="F65" s="107"/>
      <c r="G65" s="113"/>
      <c r="H65" s="114"/>
      <c r="I65" s="119"/>
      <c r="J65" s="191"/>
      <c r="K65" s="121"/>
      <c r="L65" s="119"/>
      <c r="M65" s="119"/>
      <c r="N65" s="119"/>
      <c r="O65" s="124"/>
      <c r="P65" s="124"/>
      <c r="Q65" s="191"/>
      <c r="R65" s="125"/>
      <c r="S65" s="126"/>
      <c r="T65" s="127"/>
      <c r="U65" s="129" t="str">
        <f t="shared" si="1"/>
        <v/>
      </c>
      <c r="V65" s="170"/>
      <c r="W65" s="170"/>
      <c r="X65" s="170"/>
      <c r="Y65" s="131"/>
      <c r="Z65" s="138"/>
      <c r="AA65" s="133"/>
      <c r="AB65" s="133"/>
      <c r="AC65" s="171"/>
      <c r="AD65" s="171"/>
      <c r="AE65" s="171"/>
      <c r="AF65" s="122"/>
      <c r="AG65" s="147"/>
      <c r="AH65" s="73"/>
      <c r="AI65" s="135"/>
      <c r="AJ65" s="136"/>
      <c r="AK65" s="76"/>
      <c r="AL65" s="135"/>
      <c r="AM65" s="139" t="s">
        <v>71</v>
      </c>
      <c r="AN65" s="139"/>
      <c r="AO65" s="154"/>
      <c r="AP65" s="156"/>
      <c r="AQ65" s="156"/>
      <c r="AR65" s="158"/>
      <c r="AS65" s="161"/>
      <c r="AT65" s="161"/>
      <c r="AU65" s="146"/>
      <c r="AV65" s="146"/>
      <c r="AW65" s="166"/>
      <c r="AX65" s="151"/>
      <c r="AY65" s="168"/>
      <c r="AZ65" s="173"/>
      <c r="BA65" s="173"/>
      <c r="BB65" s="184"/>
      <c r="BC65" s="169"/>
      <c r="BD65" s="169"/>
      <c r="BE65" s="169"/>
      <c r="BF65" s="169"/>
    </row>
    <row r="66">
      <c r="A66" s="107">
        <v>63.0</v>
      </c>
      <c r="B66" s="188"/>
      <c r="C66" s="115"/>
      <c r="D66" s="189"/>
      <c r="E66" s="189"/>
      <c r="F66" s="107"/>
      <c r="G66" s="113"/>
      <c r="H66" s="114"/>
      <c r="I66" s="194"/>
      <c r="J66" s="122"/>
      <c r="K66" s="121"/>
      <c r="L66" s="119"/>
      <c r="M66" s="119"/>
      <c r="N66" s="119"/>
      <c r="O66" s="124"/>
      <c r="P66" s="124"/>
      <c r="Q66" s="191"/>
      <c r="R66" s="125"/>
      <c r="S66" s="126"/>
      <c r="T66" s="127"/>
      <c r="U66" s="129" t="str">
        <f t="shared" si="1"/>
        <v/>
      </c>
      <c r="V66" s="170"/>
      <c r="W66" s="170"/>
      <c r="X66" s="170"/>
      <c r="Y66" s="131"/>
      <c r="Z66" s="138"/>
      <c r="AA66" s="133"/>
      <c r="AB66" s="133"/>
      <c r="AC66" s="171"/>
      <c r="AD66" s="171"/>
      <c r="AE66" s="171"/>
      <c r="AF66" s="122"/>
      <c r="AG66" s="147"/>
      <c r="AH66" s="73"/>
      <c r="AI66" s="135"/>
      <c r="AJ66" s="136"/>
      <c r="AK66" s="76"/>
      <c r="AL66" s="135"/>
      <c r="AM66" s="139" t="s">
        <v>71</v>
      </c>
      <c r="AN66" s="139"/>
      <c r="AO66" s="154"/>
      <c r="AP66" s="156"/>
      <c r="AQ66" s="156"/>
      <c r="AR66" s="158"/>
      <c r="AS66" s="161"/>
      <c r="AT66" s="161"/>
      <c r="AU66" s="146"/>
      <c r="AV66" s="146"/>
      <c r="AW66" s="166"/>
      <c r="AX66" s="151"/>
      <c r="AY66" s="168"/>
      <c r="AZ66" s="173"/>
      <c r="BA66" s="173"/>
      <c r="BB66" s="184"/>
      <c r="BC66" s="169"/>
      <c r="BD66" s="169"/>
      <c r="BE66" s="169"/>
      <c r="BF66" s="169"/>
    </row>
    <row r="67">
      <c r="A67" s="107">
        <v>64.0</v>
      </c>
      <c r="B67" s="188"/>
      <c r="C67" s="115"/>
      <c r="D67" s="189"/>
      <c r="E67" s="189"/>
      <c r="F67" s="107"/>
      <c r="G67" s="113"/>
      <c r="H67" s="114"/>
      <c r="I67" s="119"/>
      <c r="J67" s="191"/>
      <c r="K67" s="121"/>
      <c r="L67" s="119"/>
      <c r="M67" s="119"/>
      <c r="N67" s="119"/>
      <c r="O67" s="124"/>
      <c r="P67" s="124"/>
      <c r="Q67" s="191"/>
      <c r="R67" s="125"/>
      <c r="S67" s="126"/>
      <c r="T67" s="127"/>
      <c r="U67" s="129" t="str">
        <f t="shared" si="1"/>
        <v/>
      </c>
      <c r="V67" s="170"/>
      <c r="W67" s="170"/>
      <c r="X67" s="170"/>
      <c r="Y67" s="131"/>
      <c r="Z67" s="138"/>
      <c r="AA67" s="133"/>
      <c r="AB67" s="133"/>
      <c r="AC67" s="171"/>
      <c r="AD67" s="171"/>
      <c r="AE67" s="171"/>
      <c r="AF67" s="122"/>
      <c r="AG67" s="147"/>
      <c r="AH67" s="73"/>
      <c r="AI67" s="135"/>
      <c r="AJ67" s="136"/>
      <c r="AK67" s="76"/>
      <c r="AL67" s="135"/>
      <c r="AM67" s="139" t="s">
        <v>71</v>
      </c>
      <c r="AN67" s="139"/>
      <c r="AO67" s="154"/>
      <c r="AP67" s="156"/>
      <c r="AQ67" s="156"/>
      <c r="AR67" s="158"/>
      <c r="AS67" s="161"/>
      <c r="AT67" s="161"/>
      <c r="AU67" s="146"/>
      <c r="AV67" s="146"/>
      <c r="AW67" s="166"/>
      <c r="AX67" s="151"/>
      <c r="AY67" s="168"/>
      <c r="AZ67" s="173"/>
      <c r="BA67" s="173"/>
      <c r="BB67" s="184"/>
      <c r="BC67" s="169"/>
      <c r="BD67" s="169"/>
      <c r="BE67" s="169"/>
      <c r="BF67" s="169"/>
    </row>
    <row r="68">
      <c r="A68" s="107">
        <v>65.0</v>
      </c>
      <c r="B68" s="188"/>
      <c r="C68" s="115"/>
      <c r="D68" s="189"/>
      <c r="E68" s="189"/>
      <c r="F68" s="107"/>
      <c r="G68" s="113"/>
      <c r="H68" s="114"/>
      <c r="I68" s="119"/>
      <c r="J68" s="191"/>
      <c r="K68" s="121"/>
      <c r="L68" s="119"/>
      <c r="M68" s="119"/>
      <c r="N68" s="119"/>
      <c r="O68" s="124"/>
      <c r="P68" s="124"/>
      <c r="Q68" s="191"/>
      <c r="R68" s="125"/>
      <c r="S68" s="126"/>
      <c r="T68" s="127"/>
      <c r="U68" s="129" t="str">
        <f t="shared" si="1"/>
        <v/>
      </c>
      <c r="V68" s="170"/>
      <c r="W68" s="170"/>
      <c r="X68" s="170"/>
      <c r="Y68" s="131"/>
      <c r="Z68" s="138"/>
      <c r="AA68" s="133"/>
      <c r="AB68" s="133"/>
      <c r="AC68" s="171"/>
      <c r="AD68" s="171"/>
      <c r="AE68" s="171"/>
      <c r="AF68" s="122"/>
      <c r="AG68" s="147"/>
      <c r="AH68" s="73"/>
      <c r="AI68" s="135"/>
      <c r="AJ68" s="136"/>
      <c r="AK68" s="76"/>
      <c r="AL68" s="135"/>
      <c r="AM68" s="139" t="s">
        <v>71</v>
      </c>
      <c r="AN68" s="139"/>
      <c r="AO68" s="154"/>
      <c r="AP68" s="156"/>
      <c r="AQ68" s="156"/>
      <c r="AR68" s="158"/>
      <c r="AS68" s="161"/>
      <c r="AT68" s="161"/>
      <c r="AU68" s="146"/>
      <c r="AV68" s="146"/>
      <c r="AW68" s="166"/>
      <c r="AX68" s="151"/>
      <c r="AY68" s="168"/>
      <c r="AZ68" s="173"/>
      <c r="BA68" s="173"/>
      <c r="BB68" s="184"/>
      <c r="BC68" s="169"/>
      <c r="BD68" s="169"/>
      <c r="BE68" s="169"/>
      <c r="BF68" s="169"/>
    </row>
    <row r="69">
      <c r="A69" s="107">
        <v>66.0</v>
      </c>
      <c r="B69" s="188"/>
      <c r="C69" s="115"/>
      <c r="D69" s="189"/>
      <c r="E69" s="189"/>
      <c r="F69" s="107"/>
      <c r="G69" s="113"/>
      <c r="H69" s="114"/>
      <c r="I69" s="194"/>
      <c r="J69" s="122"/>
      <c r="K69" s="121"/>
      <c r="L69" s="119"/>
      <c r="M69" s="119"/>
      <c r="N69" s="119"/>
      <c r="O69" s="124"/>
      <c r="P69" s="124"/>
      <c r="Q69" s="191"/>
      <c r="R69" s="125"/>
      <c r="S69" s="126"/>
      <c r="T69" s="127"/>
      <c r="U69" s="129" t="str">
        <f t="shared" si="1"/>
        <v/>
      </c>
      <c r="V69" s="170"/>
      <c r="W69" s="170"/>
      <c r="X69" s="170"/>
      <c r="Y69" s="131"/>
      <c r="Z69" s="138"/>
      <c r="AA69" s="133"/>
      <c r="AB69" s="133"/>
      <c r="AC69" s="171"/>
      <c r="AD69" s="171"/>
      <c r="AE69" s="171"/>
      <c r="AF69" s="122"/>
      <c r="AG69" s="147"/>
      <c r="AH69" s="73"/>
      <c r="AI69" s="135"/>
      <c r="AJ69" s="136"/>
      <c r="AK69" s="76"/>
      <c r="AL69" s="135"/>
      <c r="AM69" s="139" t="s">
        <v>71</v>
      </c>
      <c r="AN69" s="139"/>
      <c r="AO69" s="154"/>
      <c r="AP69" s="156"/>
      <c r="AQ69" s="156"/>
      <c r="AR69" s="158"/>
      <c r="AS69" s="161"/>
      <c r="AT69" s="161"/>
      <c r="AU69" s="146"/>
      <c r="AV69" s="146"/>
      <c r="AW69" s="166"/>
      <c r="AX69" s="151"/>
      <c r="AY69" s="168"/>
      <c r="AZ69" s="173"/>
      <c r="BA69" s="173"/>
      <c r="BB69" s="184"/>
      <c r="BC69" s="169"/>
      <c r="BD69" s="169"/>
      <c r="BE69" s="169"/>
      <c r="BF69" s="169"/>
    </row>
    <row r="70">
      <c r="A70" s="107">
        <v>67.0</v>
      </c>
      <c r="B70" s="188"/>
      <c r="C70" s="115"/>
      <c r="D70" s="189"/>
      <c r="E70" s="189"/>
      <c r="F70" s="107"/>
      <c r="G70" s="113"/>
      <c r="H70" s="114"/>
      <c r="I70" s="119"/>
      <c r="J70" s="191"/>
      <c r="K70" s="121"/>
      <c r="L70" s="119"/>
      <c r="M70" s="119"/>
      <c r="N70" s="119"/>
      <c r="O70" s="124"/>
      <c r="P70" s="124"/>
      <c r="Q70" s="191"/>
      <c r="R70" s="125"/>
      <c r="S70" s="126"/>
      <c r="T70" s="127"/>
      <c r="U70" s="129" t="str">
        <f t="shared" si="1"/>
        <v/>
      </c>
      <c r="V70" s="170"/>
      <c r="W70" s="170"/>
      <c r="X70" s="170"/>
      <c r="Y70" s="131"/>
      <c r="Z70" s="138"/>
      <c r="AA70" s="133"/>
      <c r="AB70" s="133"/>
      <c r="AC70" s="171"/>
      <c r="AD70" s="171"/>
      <c r="AE70" s="171"/>
      <c r="AF70" s="122"/>
      <c r="AG70" s="147"/>
      <c r="AH70" s="73"/>
      <c r="AI70" s="135"/>
      <c r="AJ70" s="136"/>
      <c r="AK70" s="76"/>
      <c r="AL70" s="135"/>
      <c r="AM70" s="139" t="s">
        <v>71</v>
      </c>
      <c r="AN70" s="139"/>
      <c r="AO70" s="154"/>
      <c r="AP70" s="156"/>
      <c r="AQ70" s="156"/>
      <c r="AR70" s="158"/>
      <c r="AS70" s="161"/>
      <c r="AT70" s="161"/>
      <c r="AU70" s="146"/>
      <c r="AV70" s="146"/>
      <c r="AW70" s="166"/>
      <c r="AX70" s="151"/>
      <c r="AY70" s="168"/>
      <c r="AZ70" s="173"/>
      <c r="BA70" s="173"/>
      <c r="BB70" s="184"/>
      <c r="BC70" s="169"/>
      <c r="BD70" s="169"/>
      <c r="BE70" s="169"/>
      <c r="BF70" s="169"/>
    </row>
    <row r="71">
      <c r="A71" s="107">
        <v>68.0</v>
      </c>
      <c r="B71" s="188"/>
      <c r="C71" s="115"/>
      <c r="D71" s="189"/>
      <c r="E71" s="189"/>
      <c r="F71" s="107"/>
      <c r="G71" s="113"/>
      <c r="H71" s="114"/>
      <c r="I71" s="119"/>
      <c r="J71" s="191"/>
      <c r="K71" s="121"/>
      <c r="L71" s="119"/>
      <c r="M71" s="119"/>
      <c r="N71" s="119"/>
      <c r="O71" s="124"/>
      <c r="P71" s="124"/>
      <c r="Q71" s="191"/>
      <c r="R71" s="125"/>
      <c r="S71" s="126"/>
      <c r="T71" s="127"/>
      <c r="U71" s="129" t="str">
        <f t="shared" si="1"/>
        <v/>
      </c>
      <c r="V71" s="170"/>
      <c r="W71" s="170"/>
      <c r="X71" s="170"/>
      <c r="Y71" s="131"/>
      <c r="Z71" s="138"/>
      <c r="AA71" s="133"/>
      <c r="AB71" s="133"/>
      <c r="AC71" s="171"/>
      <c r="AD71" s="171"/>
      <c r="AE71" s="171"/>
      <c r="AF71" s="122"/>
      <c r="AG71" s="147"/>
      <c r="AH71" s="73"/>
      <c r="AI71" s="135"/>
      <c r="AJ71" s="136"/>
      <c r="AK71" s="76"/>
      <c r="AL71" s="135"/>
      <c r="AM71" s="139" t="s">
        <v>71</v>
      </c>
      <c r="AN71" s="139"/>
      <c r="AO71" s="154"/>
      <c r="AP71" s="156"/>
      <c r="AQ71" s="156"/>
      <c r="AR71" s="158"/>
      <c r="AS71" s="161"/>
      <c r="AT71" s="161"/>
      <c r="AU71" s="146"/>
      <c r="AV71" s="146"/>
      <c r="AW71" s="166"/>
      <c r="AX71" s="151"/>
      <c r="AY71" s="168"/>
      <c r="AZ71" s="173"/>
      <c r="BA71" s="173"/>
      <c r="BB71" s="184"/>
      <c r="BC71" s="169"/>
      <c r="BD71" s="169"/>
      <c r="BE71" s="169"/>
      <c r="BF71" s="169"/>
    </row>
    <row r="72">
      <c r="A72" s="107">
        <v>69.0</v>
      </c>
      <c r="B72" s="188"/>
      <c r="C72" s="115"/>
      <c r="D72" s="189"/>
      <c r="E72" s="189"/>
      <c r="F72" s="107"/>
      <c r="G72" s="113"/>
      <c r="H72" s="114"/>
      <c r="I72" s="194"/>
      <c r="J72" s="122"/>
      <c r="K72" s="121"/>
      <c r="L72" s="119"/>
      <c r="M72" s="119"/>
      <c r="N72" s="119"/>
      <c r="O72" s="124"/>
      <c r="P72" s="124"/>
      <c r="Q72" s="191"/>
      <c r="R72" s="125"/>
      <c r="S72" s="126"/>
      <c r="T72" s="127"/>
      <c r="U72" s="129" t="str">
        <f t="shared" si="1"/>
        <v/>
      </c>
      <c r="V72" s="170"/>
      <c r="W72" s="170"/>
      <c r="X72" s="170"/>
      <c r="Y72" s="131"/>
      <c r="Z72" s="138"/>
      <c r="AA72" s="133"/>
      <c r="AB72" s="133"/>
      <c r="AC72" s="171"/>
      <c r="AD72" s="171"/>
      <c r="AE72" s="171"/>
      <c r="AF72" s="122"/>
      <c r="AG72" s="147"/>
      <c r="AH72" s="73"/>
      <c r="AI72" s="135"/>
      <c r="AJ72" s="136"/>
      <c r="AK72" s="76"/>
      <c r="AL72" s="135"/>
      <c r="AM72" s="139" t="s">
        <v>71</v>
      </c>
      <c r="AN72" s="139"/>
      <c r="AO72" s="154"/>
      <c r="AP72" s="156"/>
      <c r="AQ72" s="156"/>
      <c r="AR72" s="158"/>
      <c r="AS72" s="161"/>
      <c r="AT72" s="161"/>
      <c r="AU72" s="146"/>
      <c r="AV72" s="146"/>
      <c r="AW72" s="166"/>
      <c r="AX72" s="151"/>
      <c r="AY72" s="168"/>
      <c r="AZ72" s="173"/>
      <c r="BA72" s="173"/>
      <c r="BB72" s="184"/>
      <c r="BC72" s="169"/>
      <c r="BD72" s="169"/>
      <c r="BE72" s="169"/>
      <c r="BF72" s="169"/>
    </row>
    <row r="73">
      <c r="A73" s="107">
        <v>70.0</v>
      </c>
      <c r="B73" s="188"/>
      <c r="C73" s="115"/>
      <c r="D73" s="189"/>
      <c r="E73" s="189"/>
      <c r="F73" s="107"/>
      <c r="G73" s="113"/>
      <c r="H73" s="114"/>
      <c r="I73" s="119"/>
      <c r="J73" s="191"/>
      <c r="K73" s="121"/>
      <c r="L73" s="119"/>
      <c r="M73" s="119"/>
      <c r="N73" s="119"/>
      <c r="O73" s="124"/>
      <c r="P73" s="124"/>
      <c r="Q73" s="191"/>
      <c r="R73" s="125"/>
      <c r="S73" s="126"/>
      <c r="T73" s="127"/>
      <c r="U73" s="129" t="str">
        <f t="shared" si="1"/>
        <v/>
      </c>
      <c r="V73" s="170"/>
      <c r="W73" s="170"/>
      <c r="X73" s="170"/>
      <c r="Y73" s="131"/>
      <c r="Z73" s="138"/>
      <c r="AA73" s="133"/>
      <c r="AB73" s="133"/>
      <c r="AC73" s="171"/>
      <c r="AD73" s="171"/>
      <c r="AE73" s="171"/>
      <c r="AF73" s="122"/>
      <c r="AG73" s="147"/>
      <c r="AH73" s="73"/>
      <c r="AI73" s="135"/>
      <c r="AJ73" s="136"/>
      <c r="AK73" s="76"/>
      <c r="AL73" s="135"/>
      <c r="AM73" s="139" t="s">
        <v>71</v>
      </c>
      <c r="AN73" s="139"/>
      <c r="AO73" s="154"/>
      <c r="AP73" s="156"/>
      <c r="AQ73" s="156"/>
      <c r="AR73" s="158"/>
      <c r="AS73" s="161"/>
      <c r="AT73" s="161"/>
      <c r="AU73" s="146"/>
      <c r="AV73" s="146"/>
      <c r="AW73" s="166"/>
      <c r="AX73" s="151"/>
      <c r="AY73" s="168"/>
      <c r="AZ73" s="173"/>
      <c r="BA73" s="173"/>
      <c r="BB73" s="184"/>
      <c r="BC73" s="169"/>
      <c r="BD73" s="169"/>
      <c r="BE73" s="169"/>
      <c r="BF73" s="169"/>
    </row>
    <row r="74">
      <c r="A74" s="107">
        <v>71.0</v>
      </c>
      <c r="B74" s="188"/>
      <c r="C74" s="115"/>
      <c r="D74" s="189"/>
      <c r="E74" s="189"/>
      <c r="F74" s="107"/>
      <c r="G74" s="113"/>
      <c r="H74" s="114"/>
      <c r="I74" s="119"/>
      <c r="J74" s="191"/>
      <c r="K74" s="121"/>
      <c r="L74" s="119"/>
      <c r="M74" s="119"/>
      <c r="N74" s="119"/>
      <c r="O74" s="124"/>
      <c r="P74" s="124"/>
      <c r="Q74" s="191"/>
      <c r="R74" s="125"/>
      <c r="S74" s="126"/>
      <c r="T74" s="127"/>
      <c r="U74" s="129" t="str">
        <f t="shared" si="1"/>
        <v/>
      </c>
      <c r="V74" s="170"/>
      <c r="W74" s="170"/>
      <c r="X74" s="170"/>
      <c r="Y74" s="131"/>
      <c r="Z74" s="138"/>
      <c r="AA74" s="133"/>
      <c r="AB74" s="133"/>
      <c r="AC74" s="171"/>
      <c r="AD74" s="171"/>
      <c r="AE74" s="171"/>
      <c r="AF74" s="122"/>
      <c r="AG74" s="147"/>
      <c r="AH74" s="73"/>
      <c r="AI74" s="135"/>
      <c r="AJ74" s="136"/>
      <c r="AK74" s="76"/>
      <c r="AL74" s="135"/>
      <c r="AM74" s="139" t="s">
        <v>71</v>
      </c>
      <c r="AN74" s="139"/>
      <c r="AO74" s="154"/>
      <c r="AP74" s="156"/>
      <c r="AQ74" s="156"/>
      <c r="AR74" s="158"/>
      <c r="AS74" s="161"/>
      <c r="AT74" s="161"/>
      <c r="AU74" s="146"/>
      <c r="AV74" s="146"/>
      <c r="AW74" s="166"/>
      <c r="AX74" s="151"/>
      <c r="AY74" s="168"/>
      <c r="AZ74" s="173"/>
      <c r="BA74" s="173"/>
      <c r="BB74" s="184"/>
      <c r="BC74" s="169"/>
      <c r="BD74" s="169"/>
      <c r="BE74" s="169"/>
      <c r="BF74" s="169"/>
    </row>
    <row r="75">
      <c r="A75" s="107">
        <v>72.0</v>
      </c>
      <c r="B75" s="188"/>
      <c r="C75" s="115"/>
      <c r="D75" s="189"/>
      <c r="E75" s="189"/>
      <c r="F75" s="107"/>
      <c r="G75" s="113"/>
      <c r="H75" s="114"/>
      <c r="I75" s="194"/>
      <c r="J75" s="122"/>
      <c r="K75" s="121"/>
      <c r="L75" s="119"/>
      <c r="M75" s="119"/>
      <c r="N75" s="119"/>
      <c r="O75" s="124"/>
      <c r="P75" s="124"/>
      <c r="Q75" s="191"/>
      <c r="R75" s="125"/>
      <c r="S75" s="126"/>
      <c r="T75" s="127"/>
      <c r="U75" s="129" t="str">
        <f t="shared" si="1"/>
        <v/>
      </c>
      <c r="V75" s="170"/>
      <c r="W75" s="170"/>
      <c r="X75" s="170"/>
      <c r="Y75" s="131"/>
      <c r="Z75" s="138"/>
      <c r="AA75" s="133"/>
      <c r="AB75" s="133"/>
      <c r="AC75" s="171"/>
      <c r="AD75" s="171"/>
      <c r="AE75" s="171"/>
      <c r="AF75" s="122"/>
      <c r="AG75" s="147"/>
      <c r="AH75" s="73"/>
      <c r="AI75" s="135"/>
      <c r="AJ75" s="136"/>
      <c r="AK75" s="76"/>
      <c r="AL75" s="135"/>
      <c r="AM75" s="139" t="s">
        <v>71</v>
      </c>
      <c r="AN75" s="139"/>
      <c r="AO75" s="154"/>
      <c r="AP75" s="156"/>
      <c r="AQ75" s="156"/>
      <c r="AR75" s="158"/>
      <c r="AS75" s="161"/>
      <c r="AT75" s="161"/>
      <c r="AU75" s="146"/>
      <c r="AV75" s="146"/>
      <c r="AW75" s="166"/>
      <c r="AX75" s="151"/>
      <c r="AY75" s="168"/>
      <c r="AZ75" s="173"/>
      <c r="BA75" s="173"/>
      <c r="BB75" s="184"/>
      <c r="BC75" s="169"/>
      <c r="BD75" s="169"/>
      <c r="BE75" s="169"/>
      <c r="BF75" s="169"/>
    </row>
  </sheetData>
  <mergeCells count="5">
    <mergeCell ref="AH1:AL1"/>
    <mergeCell ref="AP1:AQ1"/>
    <mergeCell ref="AC1:AF1"/>
    <mergeCell ref="AA1:AB1"/>
    <mergeCell ref="AU1:BA1"/>
  </mergeCells>
  <conditionalFormatting sqref="AZ4:AZ75">
    <cfRule type="expression" dxfId="0" priority="1">
      <formula>AZ4&lt;&gt;BA4</formula>
    </cfRule>
  </conditionalFormatting>
  <conditionalFormatting sqref="AX4:AX75">
    <cfRule type="notContainsBlanks" dxfId="0" priority="2">
      <formula>LEN(TRIM(AX4))&gt;0</formula>
    </cfRule>
  </conditionalFormatting>
  <conditionalFormatting sqref="A4:AX75">
    <cfRule type="expression" dxfId="1" priority="3">
      <formula>$AX4="Data changed"</formula>
    </cfRule>
  </conditionalFormatting>
  <conditionalFormatting sqref="AT4:AT75">
    <cfRule type="colorScale" priority="4">
      <colorScale>
        <cfvo type="formula" val="0"/>
        <cfvo type="formula" val="0.005"/>
        <cfvo type="max"/>
        <color rgb="FFFFFFFF"/>
        <color rgb="FF89F282"/>
        <color rgb="FF12E504"/>
      </colorScale>
    </cfRule>
  </conditionalFormatting>
  <conditionalFormatting sqref="U1:U75">
    <cfRule type="cellIs" dxfId="0" priority="5" operator="greaterThanOrEqual">
      <formula>1</formula>
    </cfRule>
  </conditionalFormatting>
  <conditionalFormatting sqref="H:H">
    <cfRule type="colorScale" priority="6">
      <colorScale>
        <cfvo type="min"/>
        <cfvo type="formula" val="300"/>
        <cfvo type="formula" val="350"/>
        <color rgb="FFFFFFFF"/>
        <color rgb="FF3C78D8"/>
        <color rgb="FFFF0000"/>
      </colorScale>
    </cfRule>
  </conditionalFormatting>
  <conditionalFormatting sqref="H:H">
    <cfRule type="containsText" dxfId="2" priority="7" operator="containsText" text="wrong">
      <formula>NOT(ISERROR(SEARCH(("wrong"),(H1))))</formula>
    </cfRule>
  </conditionalFormatting>
  <conditionalFormatting sqref="S:S AK:AK">
    <cfRule type="colorScale" priority="8">
      <colorScale>
        <cfvo type="min"/>
        <cfvo type="max"/>
        <color rgb="FF9CFF00"/>
        <color rgb="FF12E504"/>
      </colorScale>
    </cfRule>
  </conditionalFormatting>
  <conditionalFormatting sqref="E4:E75">
    <cfRule type="expression" dxfId="0" priority="9">
      <formula>AND(E4&lt;&gt;"",E4&lt;D4)</formula>
    </cfRule>
  </conditionalFormatting>
  <conditionalFormatting sqref="M4:N75">
    <cfRule type="expression" dxfId="3" priority="10">
      <formula>$L4="No"</formula>
    </cfRule>
  </conditionalFormatting>
  <dataValidations>
    <dataValidation type="list" allowBlank="1" showErrorMessage="1" sqref="C4:C8">
      <formula1>Administrative!$M$1:$P$1</formula1>
    </dataValidation>
    <dataValidation type="list" allowBlank="1" showErrorMessage="1" sqref="L4:L75 AY4:AY75">
      <formula1>"Yes,No"</formula1>
    </dataValidation>
    <dataValidation type="decimal" allowBlank="1" showInputMessage="1" showErrorMessage="1" prompt="Enter a number between 200 and 1000" sqref="AA4:AA75">
      <formula1>200.0</formula1>
      <formula2>1000.0</formula2>
    </dataValidation>
    <dataValidation type="decimal" allowBlank="1" showErrorMessage="1" sqref="I4:I75 Q4:Q75">
      <formula1>1.0</formula1>
      <formula2>1000.0</formula2>
    </dataValidation>
    <dataValidation type="decimal" allowBlank="1" showErrorMessage="1" sqref="G4:G75">
      <formula1>0.0</formula1>
      <formula2>1000000.0</formula2>
    </dataValidation>
    <dataValidation type="list" allowBlank="1" showErrorMessage="1" sqref="F4:F75">
      <formula1>Administrative!$L$5:$L$73</formula1>
    </dataValidation>
    <dataValidation type="list" allowBlank="1" showErrorMessage="1" sqref="Y4:Y75">
      <formula1>Administrative!$Z$5:$Z$23</formula1>
    </dataValidation>
    <dataValidation type="list" allowBlank="1" sqref="C9:C75">
      <formula1>Administrative!$M$1:$P$1</formula1>
    </dataValidation>
    <dataValidation type="list" allowBlank="1" showErrorMessage="1" sqref="J4:J75 AB4:AB75 AF4:AF75">
      <formula1>"On,Off"</formula1>
    </dataValidation>
    <dataValidation type="list" allowBlank="1" showErrorMessage="1" sqref="M4:M75">
      <formula1>Administrative!$AA$5:$AA$38</formula1>
    </dataValidation>
    <dataValidation type="list" allowBlank="1" showErrorMessage="1" sqref="V4:X75">
      <formula1>Administrative!$X$5:$X$23</formula1>
    </dataValidation>
  </dataValidations>
  <drawing r:id="rId1"/>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3C78D8"/>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7.29"/>
    <col customWidth="1" min="2" max="2" width="18.14"/>
    <col customWidth="1" min="3" max="3" width="19.71"/>
    <col customWidth="1" min="4" max="5" width="17.43"/>
    <col customWidth="1" min="6" max="6" width="15.43"/>
    <col customWidth="1" min="7" max="7" width="14.29"/>
    <col customWidth="1" min="8" max="8" width="20.57"/>
    <col customWidth="1" min="9" max="9" width="16.0"/>
    <col customWidth="1" min="10" max="10" width="13.71"/>
    <col customWidth="1" min="11" max="11" width="17.14"/>
    <col customWidth="1" min="12" max="12" width="14.14"/>
    <col customWidth="1" min="13" max="13" width="18.0"/>
    <col customWidth="1" min="14" max="14" width="14.86"/>
    <col customWidth="1" min="15" max="15" width="20.57"/>
    <col customWidth="1" min="16" max="16" width="22.14"/>
    <col customWidth="1" min="17" max="17" width="21.14"/>
    <col customWidth="1" min="18" max="18" width="15.57"/>
    <col customWidth="1" min="19" max="20" width="18.14"/>
    <col customWidth="1" min="21" max="21" width="15.86"/>
    <col customWidth="1" min="22" max="22" width="18.14"/>
    <col customWidth="1" min="23" max="23" width="19.57"/>
    <col customWidth="1" min="24" max="24" width="20.71"/>
    <col customWidth="1" min="25" max="25" width="14.14"/>
    <col customWidth="1" min="26" max="26" width="16.29"/>
    <col customWidth="1" min="27" max="27" width="16.14"/>
    <col customWidth="1" min="28" max="28" width="17.29"/>
    <col customWidth="1" min="29" max="30" width="17.57"/>
    <col customWidth="1" min="31" max="31" width="20.14"/>
    <col customWidth="1" min="32" max="32" width="17.57"/>
    <col customWidth="1" min="33" max="33" width="69.43"/>
    <col customWidth="1" min="34" max="34" width="21.14"/>
    <col customWidth="1" min="35" max="35" width="18.29"/>
    <col customWidth="1" min="36" max="36" width="24.14"/>
    <col customWidth="1" min="37" max="37" width="14.43"/>
    <col customWidth="1" min="38" max="38" width="33.71"/>
    <col customWidth="1" min="39" max="39" width="22.43"/>
    <col customWidth="1" min="40" max="40" width="17.57"/>
    <col customWidth="1" min="41" max="43" width="14.57"/>
    <col customWidth="1" min="44" max="44" width="15.14"/>
    <col customWidth="1" min="45" max="45" width="24.71"/>
    <col customWidth="1" min="46" max="46" width="18.0"/>
    <col customWidth="1" min="47" max="58" width="18.14"/>
  </cols>
  <sheetData>
    <row r="1" ht="39.75" customHeight="1">
      <c r="A1" s="2" t="s">
        <v>0</v>
      </c>
      <c r="B1" s="5" t="str">
        <f>Administrative!$M$1</f>
        <v>USA</v>
      </c>
      <c r="C1" s="7"/>
      <c r="D1" s="10" t="str">
        <f>IF(COUNTIF(AX:AX, "new data")=1,COUNTIF(AX:AX, "new data") &amp; " new entry",IF(COUNTIF(AX:AX, "new data")&gt;1,COUNTIF(AX:AX, "new data") &amp; " new entries",""))</f>
        <v/>
      </c>
      <c r="E1" s="10" t="str">
        <f>IF(COUNTIF(AX:AX, "data changed")=1,COUNTIF(AX:AX, "data changed") &amp; " entry has changed",IF(COUNTIF(AX:AX, "data changed")&gt;1,COUNTIF(AX:AX, "data changed") &amp; " entries have changed",""))</f>
        <v/>
      </c>
      <c r="F1" s="11"/>
      <c r="G1" s="12"/>
      <c r="H1" s="13" t="s">
        <v>1</v>
      </c>
      <c r="I1" s="14"/>
      <c r="J1" s="15"/>
      <c r="K1" s="16"/>
      <c r="L1" s="17"/>
      <c r="M1" s="17"/>
      <c r="N1" s="17"/>
      <c r="O1" s="18"/>
      <c r="P1" s="18"/>
      <c r="Q1" s="17" t="str">
        <f>"Average: " &amp; ROUND(AVERAGE(Q4:Q216),0) &amp;char(10)&amp;"Enter average if you don't know"</f>
        <v>Average: 316
Enter average if you don't know</v>
      </c>
      <c r="R1" s="20"/>
      <c r="S1" s="21"/>
      <c r="T1" s="12"/>
      <c r="U1" s="17"/>
      <c r="V1" s="17"/>
      <c r="W1" s="17"/>
      <c r="X1" s="17"/>
      <c r="Y1" s="13"/>
      <c r="Z1" s="13"/>
      <c r="AA1" s="23"/>
      <c r="AB1" s="24"/>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4"/>
      <c r="AG1" s="30"/>
      <c r="AH1" s="32" t="s">
        <v>3</v>
      </c>
      <c r="AI1" s="28"/>
      <c r="AJ1" s="28"/>
      <c r="AK1" s="28"/>
      <c r="AL1" s="24"/>
      <c r="AM1" s="34"/>
      <c r="AN1" s="34"/>
      <c r="AO1" s="35" t="s">
        <v>4</v>
      </c>
      <c r="AP1" s="36"/>
      <c r="AQ1" s="41"/>
      <c r="AR1" s="36" t="s">
        <v>6</v>
      </c>
      <c r="AS1" s="39"/>
      <c r="AT1" s="35" t="s">
        <v>7</v>
      </c>
      <c r="AU1" s="40" t="s">
        <v>8</v>
      </c>
      <c r="AV1" s="28"/>
      <c r="AW1" s="28"/>
      <c r="AX1" s="28"/>
      <c r="AY1" s="28"/>
      <c r="AZ1" s="28"/>
      <c r="BA1" s="24"/>
      <c r="BB1" s="43"/>
      <c r="BC1" s="51"/>
      <c r="BD1" s="51"/>
      <c r="BE1" s="51"/>
      <c r="BF1" s="51"/>
    </row>
    <row r="2">
      <c r="A2" s="53" t="s">
        <v>9</v>
      </c>
      <c r="B2" s="48" t="s">
        <v>10</v>
      </c>
      <c r="C2" s="48" t="s">
        <v>10</v>
      </c>
      <c r="D2" s="50" t="s">
        <v>10</v>
      </c>
      <c r="E2" s="50" t="s">
        <v>10</v>
      </c>
      <c r="F2" s="48" t="s">
        <v>10</v>
      </c>
      <c r="G2" s="52" t="s">
        <v>10</v>
      </c>
      <c r="H2" s="54" t="s">
        <v>9</v>
      </c>
      <c r="I2" s="55" t="s">
        <v>10</v>
      </c>
      <c r="J2" s="56" t="s">
        <v>10</v>
      </c>
      <c r="K2" s="54" t="s">
        <v>9</v>
      </c>
      <c r="L2" s="56" t="s">
        <v>10</v>
      </c>
      <c r="M2" s="57" t="s">
        <v>11</v>
      </c>
      <c r="N2" s="57" t="s">
        <v>11</v>
      </c>
      <c r="O2" s="54" t="s">
        <v>9</v>
      </c>
      <c r="P2" s="54" t="s">
        <v>9</v>
      </c>
      <c r="Q2" s="56" t="s">
        <v>10</v>
      </c>
      <c r="R2" s="59" t="s">
        <v>9</v>
      </c>
      <c r="S2" s="58" t="s">
        <v>9</v>
      </c>
      <c r="T2" s="58" t="s">
        <v>9</v>
      </c>
      <c r="U2" s="58" t="s">
        <v>9</v>
      </c>
      <c r="V2" s="61" t="s">
        <v>12</v>
      </c>
      <c r="W2" s="61" t="s">
        <v>12</v>
      </c>
      <c r="X2" s="61" t="s">
        <v>12</v>
      </c>
      <c r="Y2" s="62" t="s">
        <v>12</v>
      </c>
      <c r="Z2" s="63" t="s">
        <v>12</v>
      </c>
      <c r="AA2" s="64" t="s">
        <v>12</v>
      </c>
      <c r="AB2" s="64" t="s">
        <v>12</v>
      </c>
      <c r="AC2" s="64" t="s">
        <v>12</v>
      </c>
      <c r="AD2" s="64" t="s">
        <v>12</v>
      </c>
      <c r="AE2" s="64" t="s">
        <v>12</v>
      </c>
      <c r="AF2" s="64" t="s">
        <v>12</v>
      </c>
      <c r="AG2" s="66" t="s">
        <v>12</v>
      </c>
      <c r="AH2" s="54" t="s">
        <v>9</v>
      </c>
      <c r="AI2" s="54" t="s">
        <v>9</v>
      </c>
      <c r="AJ2" s="68" t="s">
        <v>9</v>
      </c>
      <c r="AK2" s="54" t="s">
        <v>9</v>
      </c>
      <c r="AL2" s="54" t="s">
        <v>9</v>
      </c>
      <c r="AM2" s="54" t="s">
        <v>9</v>
      </c>
      <c r="AN2" s="59" t="s">
        <v>9</v>
      </c>
      <c r="AO2" s="69" t="s">
        <v>9</v>
      </c>
      <c r="AP2" s="69" t="s">
        <v>9</v>
      </c>
      <c r="AQ2" s="72" t="s">
        <v>9</v>
      </c>
      <c r="AR2" s="69" t="s">
        <v>9</v>
      </c>
      <c r="AS2" s="74" t="s">
        <v>9</v>
      </c>
      <c r="AT2" s="75" t="s">
        <v>9</v>
      </c>
      <c r="AU2" s="75" t="s">
        <v>9</v>
      </c>
      <c r="AV2" s="75" t="s">
        <v>9</v>
      </c>
      <c r="AW2" s="75" t="s">
        <v>9</v>
      </c>
      <c r="AX2" s="75" t="s">
        <v>9</v>
      </c>
      <c r="AY2" s="76" t="s">
        <v>9</v>
      </c>
      <c r="AZ2" s="76" t="s">
        <v>9</v>
      </c>
      <c r="BA2" s="76" t="s">
        <v>9</v>
      </c>
      <c r="BB2" s="76" t="s">
        <v>9</v>
      </c>
      <c r="BC2" s="77"/>
      <c r="BD2" s="77"/>
      <c r="BE2" s="77"/>
      <c r="BF2" s="77"/>
    </row>
    <row r="3">
      <c r="A3" s="79" t="s">
        <v>13</v>
      </c>
      <c r="B3" s="84" t="s">
        <v>14</v>
      </c>
      <c r="C3" s="83" t="s">
        <v>15</v>
      </c>
      <c r="D3" s="85" t="s">
        <v>16</v>
      </c>
      <c r="E3" s="85" t="s">
        <v>20</v>
      </c>
      <c r="F3" s="83" t="s">
        <v>18</v>
      </c>
      <c r="G3" s="86" t="s">
        <v>21</v>
      </c>
      <c r="H3" s="87" t="str">
        <f t="array" ref="H3:H216">{"Mileage per day";IF(C4:C216="",,IF(C4:C216&lt;&gt;$B$1,"Wrong location. Select correct page below",IF(isblank(G4:G216),,IF(isblank(AN4:AN216),,Round(G4:G216/AN4:AN216,1)))))}</f>
        <v>Mileage per day</v>
      </c>
      <c r="I3" s="86" t="s">
        <v>24</v>
      </c>
      <c r="J3" s="82" t="s">
        <v>23</v>
      </c>
      <c r="K3" s="89" t="str">
        <f t="array" ref="K3:K216">{"EPA range after correction if range mode was off";IF(isblank(J4:J216),,IF(isblank(I4:I216),,IF(J4:J216="On",I4:I216,Round(IF(J4:J216="Off",I4:I216*Administrative!$AD$5,IF(J4:J216="Unknown",I4:I216*Administrative!$AD$6)),2))))}</f>
        <v>EPA range after correction if range mode was off</v>
      </c>
      <c r="L3" s="82" t="s">
        <v>26</v>
      </c>
      <c r="M3" s="82" t="s">
        <v>27</v>
      </c>
      <c r="N3" s="82" t="s">
        <v>30</v>
      </c>
      <c r="O3" s="87" t="str">
        <f t="array" ref="O3:O216">{"Mileage in mi after correction if battery was replaced";if((R4:R216="")+(K4:K216="")+(G4:G216="")+(L4:L216=""),,if(L4:L216="No",G4:G216,if((M4:M216="")+(N4:N216=""),,if((R4:R216-K4:K216)*G4:G216/(R4:R216-(K4:K216-vlookup(M4:M216,Administrative!$AA$5:$AB$64,2,0)))&lt;G4:G216-N4:N216,G4:G216-N4:N216,Round((R4:R216-K4:K216)*G4:G216/(R4:R216-(K4:K216-vlookup(M4:M216,Administrative!$AA$5:$AB$64,2,0))))))))}</f>
        <v>Mileage in mi after correction if battery was replaced</v>
      </c>
      <c r="P3" s="90" t="str">
        <f t="array" ref="P3:P216">{"Battery age (days) after correction if battery was replaced";if((R4:R216="")+(K4:K216="")+(AN4:AN216="")+(L4:L216=""),,if(L4:L216="No",AN4:AN216,if((M4:M216="")+(N4:N216=""),,round(if((R4:R216-K4:K216)*AN4:AN216/(R4:R216-(K4:K216-vlookup(M4:M216,Administrative!$AA$5:$AB$64,2,0)))&lt;AN4:AN216*(G4:G216-N4:N216)/G4:G216,AN4:AN216*(G4:G216-N4:N216)/G4:G216,(R4:R216-K4:K216)*AN4:AN216/(R4:R216-(K4:K216-vlookup(M4:M216,Administrative!$AA$5:$AB$64,2,0))))))))}</f>
        <v>Battery age (days) after correction if battery was replaced</v>
      </c>
      <c r="Q3" s="82" t="s">
        <v>32</v>
      </c>
      <c r="R3" s="87" t="str">
        <f>IFERROR(__xludf.DUMMYFUNCTION("{""Rated range of this model when new"";arrayformula(if((F4:F216="""")+(C4:C216=""""),,vlookup(F4:F216,{Administrative!$L$1:$L$73,filter(Administrative!$M$1:$P$73,Administrative!$M$1:$P$1=$B$1)},2,0)))}"),"Rated range of this model when new")</f>
        <v>Rated range of this model when new</v>
      </c>
      <c r="S3" s="87" t="str">
        <f t="array" ref="S3:S216">{"Remaining original range";if((K4:K216="")+(R4:R216="")+(R4:R216="unknown"),,round(K4:K216/R4:R216,4))}</f>
        <v>Remaining original range</v>
      </c>
      <c r="T3" s="87" t="str">
        <f t="array" ref="T3:T216">{"Remaining usable capacity until typical range shows zero";if((S4:S216="")+(F4:F216=""),,S4:S216*vlookup(F4:F216,{Administrative!$L$4:$L$73,Administrative!$Q$4:$Q$73},2,0))}</f>
        <v>Remaining usable capacity until typical range shows zero</v>
      </c>
      <c r="U3" s="93" t="s">
        <v>33</v>
      </c>
      <c r="V3" s="83" t="s">
        <v>34</v>
      </c>
      <c r="W3" s="83" t="s">
        <v>35</v>
      </c>
      <c r="X3" s="83" t="s">
        <v>46</v>
      </c>
      <c r="Y3" s="82" t="s">
        <v>37</v>
      </c>
      <c r="Z3" s="92" t="s">
        <v>38</v>
      </c>
      <c r="AA3" s="42" t="s">
        <v>39</v>
      </c>
      <c r="AB3" s="82" t="s">
        <v>40</v>
      </c>
      <c r="AC3" s="83" t="s">
        <v>41</v>
      </c>
      <c r="AD3" s="83" t="s">
        <v>42</v>
      </c>
      <c r="AE3" s="82" t="s">
        <v>43</v>
      </c>
      <c r="AF3" s="83" t="s">
        <v>44</v>
      </c>
      <c r="AG3" s="79" t="s">
        <v>45</v>
      </c>
      <c r="AH3" s="94" t="str">
        <f t="array" ref="AH3:AH216">{"Typical range consumption for trip";if((AC4:AC216&lt;&gt;"")*(AD4:AD216&lt;&gt;"")*(AE4:AE216&lt;&gt;"")*(AF4:AF216&lt;&gt;""),AC4:AC216-AD4:AD216,if((AC4:AC216="")*(AD4:AD216="")*(AE4:AE216="")*(AF4:AF216=""),,"Answer all trip questions"))}</f>
        <v>Typical range consumption for trip</v>
      </c>
      <c r="AI3" s="95" t="str">
        <f t="array" ref="AI3:AI216">{"Typical range after correction if range mode was off";if((AC4:AC216="")+(AD4:AD216="")+(AE4:AE216="")+(AF4:AF216=""),,if(AF4:AF216="On",AH4:AH216,if(AF4:AF216="Off",AH4:AH216*Administrative!$AD$5,"error")))}</f>
        <v>Typical range after correction if range mode was off</v>
      </c>
      <c r="AJ3" s="96" t="str">
        <f t="array" ref="AJ3:AJ216">{"Remaining usable capacity until typical range shows zero according to trip data";if((K4:K216="")+(AI4:AI216="")+(AC4:AC216="")+(AD4:AD216="")+(AE4:AE216="")+(AF4:AF216=""),,K4:K216*SUBSTITUTE(AE4:AE216,",",".")/AI4:AI216)}</f>
        <v>Remaining usable capacity until typical range shows zero according to trip data</v>
      </c>
      <c r="AK3" s="87" t="str">
        <f t="array" ref="AK3:AK216">{"Remaining original capacity";if((AJ4:AJ216="")+(F4:F216="")+(AC4:AC216="")+(AD4:AD216="")+(AE4:AE216="")+(AF4:AF216=""),,AJ4:AJ216*1000/vlookup(F4:F216,{Administrative!$L$4:$L$73,Administrative!$Q$4:$Q$73},2,0))}</f>
        <v>Remaining original capacity</v>
      </c>
      <c r="AL3" s="87" t="str">
        <f t="array" ref="AL3:AL216">{"trip based battery capacity calculation explained";if((F4:F216="")+(K4:K216="")+(AC4:AC216="")+(AD4:AD216="")+(AE4:AE216="")+(AF4:AF216="")+(AI4:AI216="")+(AK4:AK216=""),,"("&amp;round(K4:K216,2)&amp;" * "&amp;AE4:AE216&amp;" / "&amp;Round(AI4:AI216,2)&amp;") / "&amp;vlookup(F4:F216,{Administrative!$L$4:$L$73,Administrative!$Q$4:$Q$73},2,0)/1000&amp;" = "&amp;Round(AK4:AK216,4))}</f>
        <v>trip based battery capacity calculation explained</v>
      </c>
      <c r="AM3" s="95" t="str">
        <f t="array" ref="AM3:AM216">{"100% range when the car was new after range mode adjustment";if(AA4:AA216="","",round(AA4:AA216*if(AB4:AB216="off",Administrative!$AD$5,1)))}</f>
        <v>100% range when the car was new after range mode adjustment</v>
      </c>
      <c r="AN3" s="97" t="str">
        <f t="array" ref="AN3:AN216">{"Vehicle age (days)";if((E4:E216="")+(D4:D216=""),,E4:E216-D4:D216+1)}</f>
        <v>Vehicle age (days)</v>
      </c>
      <c r="AO3" s="98" t="str">
        <f t="array" ref="AO3:AO216">{"Cycles";if((O4:O216="")+(Q4:Q216=""),,round(((O4:O216*Q4:Q216)+(Administrative!$AE$5*P4:P216))/((1+S4:S216)/2*vlookup(F4:F216,{Administrative!$L$4:$L$73,Administrative!$Q$4:$Q$73},2,0)),2))}</f>
        <v>Cycles</v>
      </c>
      <c r="AP3" s="87" t="str">
        <f t="array" ref="AP3:AP216">{"Mileage in km";if(O4:O216="",,round(CONVERT(O4:O216,"mi","km")))}</f>
        <v>Mileage in km</v>
      </c>
      <c r="AQ3" s="90" t="str">
        <f t="array" ref="AQ3:AQ216">{"wh/mi to wh/km";if(Q4:Q216="",,round(Q4:Q216*0.621371192))}</f>
        <v>wh/mi to wh/km</v>
      </c>
      <c r="AR3" s="99" t="str">
        <f t="array" ref="AR3:AR216">{Charts!$E$1;if(S4:S216="",,if(Charts!$E$1=B4:B216,S4:S216,-1))}</f>
        <v/>
      </c>
      <c r="AS3" s="101" t="str">
        <f t="array" ref="AS3:AS216">{"Average capacity of all cars at this mileage according to chart trendline";IF(ISBLANK(AP4:AP216),,Administrative!$AU$27-AP4:AP216/(Administrative!$AU$28*100)+Administrative!$AU$29*exp(-AP4:AP216/Administrative!$AU$30))}</f>
        <v>Average capacity of all cars at this mileage according to chart trendline</v>
      </c>
      <c r="AT3" s="102" t="str">
        <f t="array" ref="AT3:AT216">{"Your capacity minus chart trendline at this mileage";if((S4:S216="")+(AS4:AS216=""),,S4:S216-AS4:AS216)}</f>
        <v>Your capacity minus chart trendline at this mileage</v>
      </c>
      <c r="AU3" s="103" t="str">
        <f t="array" ref="AU3:AU216">{"Dynamic data (copy from here)";if(B4:B216="",,B4:B216&amp;"|"&amp;C4:C216&amp;"|"&amp;TEXT(D4:D216,"dd-mmm-YYYY")&amp;"|"&amp;TEXT(E4:E216,"dd-mmm-YYYY")&amp;"|"&amp;F4:F216&amp;"|"&amp;G4:G216&amp;"|"&amp;I4:I216&amp;"|"&amp;J4:J216&amp;"|"&amp;L4:L216&amp;"|"&amp;M4:M216&amp;"|"&amp;N4:N216&amp;"|"&amp;Q4:Q216&amp;"|"&amp;V4:V216&amp;"|"&amp;W4:W216&amp;"|"&amp;X4:X216&amp;"|"&amp;Y4:Y216&amp;"|"&amp;Z4:Z216&amp;"|"&amp;AA4:AA216&amp;"|"&amp;AB4:AB216&amp;"|"&amp;AC4:AC216&amp;"|"&amp;AD4:AD216&amp;"|"&amp;AE4:AE216&amp;"|"&amp;AF4:AF216&amp;"|"&amp;AG4:AG216)}</f>
        <v>Dynamic data (copy from here)</v>
      </c>
      <c r="AV3" s="104" t="s">
        <v>50</v>
      </c>
      <c r="AW3" s="103" t="str">
        <f t="array" ref="AW3:AW216">{"Mixed data";if(AX4:AX216="New data",AU4:AU216,AV4:AV216)}</f>
        <v>Mixed data</v>
      </c>
      <c r="AX3" s="95" t="str">
        <f t="array" ref="AX3:AX216">{"Data changed or new data?";if(AU4:AU216=AV4:AV216,,if((AU4&lt;&gt;"")*(AV4:AV216=""),"New data","Data changed"))}</f>
        <v>Data changed or new data?</v>
      </c>
      <c r="AY3" s="105" t="s">
        <v>51</v>
      </c>
      <c r="AZ3" s="103" t="str">
        <f>IFERROR(__xludf.DUMMYFUNCTION("{""Dynamic data changes for selected entry"";IFERROR(TRANSPOSE(SPLIT(INDEX(AU4:AY216,MATCH(""Yes"",AY4:AY216,0),1),""|"",True)))}"),"Dynamic data changes for selected entry")</f>
        <v>Dynamic data changes for selected entry</v>
      </c>
      <c r="BA3" s="103" t="str">
        <f>IFERROR(__xludf.DUMMYFUNCTION("{""Static data changes for selected entry"";IFERROR(TRANSPOSE(SPLIT(INDEX(AU4:AY216,MATCH(""Yes"",AY4:AY216,0),2),""|"",True)))}"),"Static data changes for selected entry")</f>
        <v>Static data changes for selected entry</v>
      </c>
      <c r="BB3" s="106" t="s">
        <v>52</v>
      </c>
      <c r="BC3" s="77"/>
      <c r="BD3" s="77"/>
      <c r="BE3" s="77"/>
      <c r="BF3" s="77"/>
    </row>
    <row r="4">
      <c r="A4" s="79">
        <v>1.0</v>
      </c>
      <c r="B4" s="108" t="s">
        <v>54</v>
      </c>
      <c r="C4" s="109" t="s">
        <v>56</v>
      </c>
      <c r="D4" s="110">
        <v>41720.0</v>
      </c>
      <c r="E4" s="110">
        <v>41737.0</v>
      </c>
      <c r="F4" s="107" t="s">
        <v>59</v>
      </c>
      <c r="G4" s="113">
        <v>2000.0</v>
      </c>
      <c r="H4" s="114">
        <v>111.1</v>
      </c>
      <c r="I4" s="119">
        <v>271.0</v>
      </c>
      <c r="J4" s="122" t="s">
        <v>62</v>
      </c>
      <c r="K4" s="121">
        <v>271.0</v>
      </c>
      <c r="L4" s="119" t="s">
        <v>63</v>
      </c>
      <c r="M4" s="119"/>
      <c r="N4" s="119"/>
      <c r="O4" s="124">
        <v>2000.0</v>
      </c>
      <c r="P4" s="124">
        <v>18.0</v>
      </c>
      <c r="Q4" s="122">
        <v>303.0</v>
      </c>
      <c r="R4" s="125">
        <v>269.0</v>
      </c>
      <c r="S4" s="126">
        <v>1.0074</v>
      </c>
      <c r="T4" s="127">
        <v>78073.5</v>
      </c>
      <c r="U4" s="128">
        <f>IF(isblank(B4),,COUNTBLANK(B4:E4,F4:G4,I4:J4,L4:N4,Q4)-If(L4="No",2,0))
</f>
        <v>0</v>
      </c>
      <c r="V4" s="107" t="s">
        <v>64</v>
      </c>
      <c r="W4" s="107" t="s">
        <v>66</v>
      </c>
      <c r="X4" s="107" t="s">
        <v>68</v>
      </c>
      <c r="Y4" s="131">
        <v>0.7</v>
      </c>
      <c r="Z4" s="132"/>
      <c r="AA4" s="133"/>
      <c r="AB4" s="133"/>
      <c r="AC4" s="141"/>
      <c r="AD4" s="141"/>
      <c r="AE4" s="141"/>
      <c r="AF4" s="122"/>
      <c r="AG4" s="147"/>
      <c r="AH4" s="73"/>
      <c r="AI4" s="135"/>
      <c r="AJ4" s="136"/>
      <c r="AK4" s="76"/>
      <c r="AL4" s="135"/>
      <c r="AM4" s="139" t="s">
        <v>71</v>
      </c>
      <c r="AN4" s="139">
        <v>18.0</v>
      </c>
      <c r="AO4" s="140">
        <v>7.79</v>
      </c>
      <c r="AP4" s="152">
        <v>3219.0</v>
      </c>
      <c r="AQ4" s="152">
        <v>188.0</v>
      </c>
      <c r="AR4" s="143">
        <v>-1.0</v>
      </c>
      <c r="AS4" s="144">
        <v>0.9938953990887425</v>
      </c>
      <c r="AT4" s="144">
        <v>0.013504600911257603</v>
      </c>
      <c r="AU4" s="146" t="s">
        <v>75</v>
      </c>
      <c r="AV4" s="146" t="s">
        <v>75</v>
      </c>
      <c r="AW4" s="148" t="s">
        <v>75</v>
      </c>
      <c r="AX4" s="151"/>
      <c r="AY4" s="105"/>
      <c r="AZ4" s="153"/>
      <c r="BA4" s="153"/>
      <c r="BB4" s="146"/>
      <c r="BC4" s="45"/>
      <c r="BD4" s="45"/>
      <c r="BE4" s="45"/>
      <c r="BF4" s="45"/>
    </row>
    <row r="5">
      <c r="A5" s="79">
        <v>2.0</v>
      </c>
      <c r="B5" s="108" t="s">
        <v>54</v>
      </c>
      <c r="C5" s="109" t="s">
        <v>56</v>
      </c>
      <c r="D5" s="110">
        <v>41720.0</v>
      </c>
      <c r="E5" s="110">
        <v>42110.0</v>
      </c>
      <c r="F5" s="107" t="s">
        <v>59</v>
      </c>
      <c r="G5" s="113">
        <v>21000.0</v>
      </c>
      <c r="H5" s="114">
        <v>53.7</v>
      </c>
      <c r="I5" s="119">
        <v>256.0</v>
      </c>
      <c r="J5" s="122" t="s">
        <v>62</v>
      </c>
      <c r="K5" s="121">
        <v>256.0</v>
      </c>
      <c r="L5" s="119" t="s">
        <v>63</v>
      </c>
      <c r="M5" s="119"/>
      <c r="N5" s="119"/>
      <c r="O5" s="124">
        <v>21000.0</v>
      </c>
      <c r="P5" s="124">
        <v>391.0</v>
      </c>
      <c r="Q5" s="122">
        <v>303.0</v>
      </c>
      <c r="R5" s="125">
        <v>269.0</v>
      </c>
      <c r="S5" s="126">
        <v>0.9517</v>
      </c>
      <c r="T5" s="127">
        <v>73756.75</v>
      </c>
      <c r="U5" s="128">
        <f>IF(isblank(B5),,COUNTBLANK(B5:E5,F5:G5,I5:J5,L5:N5,Q4)-If(L5="No",2,0))
</f>
        <v>0</v>
      </c>
      <c r="V5" s="107" t="s">
        <v>64</v>
      </c>
      <c r="W5" s="107" t="s">
        <v>66</v>
      </c>
      <c r="X5" s="107" t="s">
        <v>68</v>
      </c>
      <c r="Y5" s="131">
        <v>0.7</v>
      </c>
      <c r="Z5" s="132"/>
      <c r="AA5" s="111"/>
      <c r="AB5" s="133"/>
      <c r="AC5" s="141"/>
      <c r="AD5" s="141"/>
      <c r="AE5" s="141"/>
      <c r="AF5" s="122"/>
      <c r="AG5" s="134"/>
      <c r="AH5" s="73"/>
      <c r="AI5" s="135"/>
      <c r="AJ5" s="136"/>
      <c r="AK5" s="76"/>
      <c r="AL5" s="135"/>
      <c r="AM5" s="139" t="s">
        <v>71</v>
      </c>
      <c r="AN5" s="139">
        <v>391.0</v>
      </c>
      <c r="AO5" s="140">
        <v>84.15</v>
      </c>
      <c r="AP5" s="152">
        <v>33796.0</v>
      </c>
      <c r="AQ5" s="152">
        <v>188.0</v>
      </c>
      <c r="AR5" s="143">
        <v>-1.0</v>
      </c>
      <c r="AS5" s="144">
        <v>0.9630301025095638</v>
      </c>
      <c r="AT5" s="144">
        <v>-0.011330102509563789</v>
      </c>
      <c r="AU5" s="146" t="s">
        <v>77</v>
      </c>
      <c r="AV5" s="146" t="s">
        <v>77</v>
      </c>
      <c r="AW5" s="148" t="s">
        <v>77</v>
      </c>
      <c r="AX5" s="151"/>
      <c r="AY5" s="105"/>
      <c r="AZ5" s="153"/>
      <c r="BA5" s="153"/>
      <c r="BB5" s="146"/>
      <c r="BC5" s="45"/>
      <c r="BD5" s="45"/>
      <c r="BE5" s="45"/>
      <c r="BF5" s="45"/>
    </row>
    <row r="6">
      <c r="A6" s="79">
        <v>3.0</v>
      </c>
      <c r="B6" s="108" t="s">
        <v>78</v>
      </c>
      <c r="C6" s="109" t="s">
        <v>56</v>
      </c>
      <c r="D6" s="110">
        <v>41432.0</v>
      </c>
      <c r="E6" s="110">
        <v>42135.0</v>
      </c>
      <c r="F6" s="107" t="s">
        <v>79</v>
      </c>
      <c r="G6" s="113">
        <v>43715.0</v>
      </c>
      <c r="H6" s="114">
        <v>62.1</v>
      </c>
      <c r="I6" s="119">
        <v>251.0</v>
      </c>
      <c r="J6" s="122" t="s">
        <v>61</v>
      </c>
      <c r="K6" s="121">
        <v>254.18</v>
      </c>
      <c r="L6" s="119" t="s">
        <v>63</v>
      </c>
      <c r="M6" s="119"/>
      <c r="N6" s="119"/>
      <c r="O6" s="124">
        <v>43715.0</v>
      </c>
      <c r="P6" s="124">
        <v>704.0</v>
      </c>
      <c r="Q6" s="122">
        <v>304.0</v>
      </c>
      <c r="R6" s="125">
        <v>269.0</v>
      </c>
      <c r="S6" s="126">
        <v>0.9449</v>
      </c>
      <c r="T6" s="127">
        <v>73229.75</v>
      </c>
      <c r="U6" s="128">
        <f t="shared" ref="U6:U133" si="1">IF(isblank(B6),,COUNTBLANK(B6:E6,F6:G6,I6:J6,L6:N6,Q6)-If(L6="No",2,0))
</f>
        <v>0</v>
      </c>
      <c r="V6" s="107" t="s">
        <v>67</v>
      </c>
      <c r="W6" s="107" t="s">
        <v>69</v>
      </c>
      <c r="X6" s="107" t="s">
        <v>66</v>
      </c>
      <c r="Y6" s="131">
        <v>0.9</v>
      </c>
      <c r="Z6" s="160">
        <v>7.3</v>
      </c>
      <c r="AA6" s="111">
        <v>260.0</v>
      </c>
      <c r="AB6" s="111" t="s">
        <v>61</v>
      </c>
      <c r="AC6" s="141"/>
      <c r="AD6" s="141"/>
      <c r="AE6" s="141"/>
      <c r="AF6" s="122"/>
      <c r="AG6" s="134"/>
      <c r="AH6" s="73"/>
      <c r="AI6" s="135"/>
      <c r="AJ6" s="136"/>
      <c r="AK6" s="76"/>
      <c r="AL6" s="135"/>
      <c r="AM6" s="139">
        <v>263.0</v>
      </c>
      <c r="AN6" s="139">
        <v>704.0</v>
      </c>
      <c r="AO6" s="140">
        <v>176.36</v>
      </c>
      <c r="AP6" s="152">
        <v>70352.0</v>
      </c>
      <c r="AQ6" s="152">
        <v>189.0</v>
      </c>
      <c r="AR6" s="143">
        <v>-1.0</v>
      </c>
      <c r="AS6" s="144">
        <v>0.9506806023603563</v>
      </c>
      <c r="AT6" s="144">
        <v>-0.005780602360356379</v>
      </c>
      <c r="AU6" s="146" t="s">
        <v>81</v>
      </c>
      <c r="AV6" s="146" t="s">
        <v>81</v>
      </c>
      <c r="AW6" s="148" t="s">
        <v>81</v>
      </c>
      <c r="AX6" s="151"/>
      <c r="AY6" s="105"/>
      <c r="AZ6" s="164"/>
      <c r="BA6" s="164"/>
      <c r="BB6" s="146"/>
      <c r="BC6" s="45"/>
      <c r="BD6" s="45"/>
      <c r="BE6" s="45"/>
      <c r="BF6" s="45"/>
    </row>
    <row r="7">
      <c r="A7" s="79">
        <v>4.0</v>
      </c>
      <c r="B7" s="108" t="s">
        <v>85</v>
      </c>
      <c r="C7" s="109" t="s">
        <v>56</v>
      </c>
      <c r="D7" s="110">
        <v>42063.0</v>
      </c>
      <c r="E7" s="110">
        <v>42135.0</v>
      </c>
      <c r="F7" s="107" t="s">
        <v>86</v>
      </c>
      <c r="G7" s="113">
        <v>13679.0</v>
      </c>
      <c r="H7" s="114">
        <v>187.4</v>
      </c>
      <c r="I7" s="119">
        <v>269.0</v>
      </c>
      <c r="J7" s="122" t="s">
        <v>61</v>
      </c>
      <c r="K7" s="121">
        <v>272.41</v>
      </c>
      <c r="L7" s="119" t="s">
        <v>63</v>
      </c>
      <c r="M7" s="119"/>
      <c r="N7" s="119"/>
      <c r="O7" s="124">
        <v>13679.0</v>
      </c>
      <c r="P7" s="124">
        <v>73.0</v>
      </c>
      <c r="Q7" s="122">
        <v>324.0</v>
      </c>
      <c r="R7" s="125">
        <v>273.0</v>
      </c>
      <c r="S7" s="126">
        <v>0.9978</v>
      </c>
      <c r="T7" s="127">
        <v>77329.5</v>
      </c>
      <c r="U7" s="128">
        <f t="shared" si="1"/>
        <v>0</v>
      </c>
      <c r="V7" s="107" t="s">
        <v>65</v>
      </c>
      <c r="W7" s="107" t="s">
        <v>65</v>
      </c>
      <c r="X7" s="107" t="s">
        <v>68</v>
      </c>
      <c r="Y7" s="131">
        <v>0.8</v>
      </c>
      <c r="Z7" s="132"/>
      <c r="AA7" s="111"/>
      <c r="AB7" s="133"/>
      <c r="AC7" s="141"/>
      <c r="AD7" s="141"/>
      <c r="AE7" s="141"/>
      <c r="AF7" s="122"/>
      <c r="AG7" s="134" t="s">
        <v>87</v>
      </c>
      <c r="AH7" s="73"/>
      <c r="AI7" s="135"/>
      <c r="AJ7" s="136"/>
      <c r="AK7" s="76"/>
      <c r="AL7" s="135"/>
      <c r="AM7" s="139" t="s">
        <v>71</v>
      </c>
      <c r="AN7" s="139">
        <v>73.0</v>
      </c>
      <c r="AO7" s="140">
        <v>57.25</v>
      </c>
      <c r="AP7" s="152">
        <v>22014.0</v>
      </c>
      <c r="AQ7" s="152">
        <v>201.0</v>
      </c>
      <c r="AR7" s="143">
        <v>-1.0</v>
      </c>
      <c r="AS7" s="144">
        <v>0.9708735281065376</v>
      </c>
      <c r="AT7" s="144">
        <v>0.026926471893462423</v>
      </c>
      <c r="AU7" s="146" t="s">
        <v>88</v>
      </c>
      <c r="AV7" s="146" t="s">
        <v>88</v>
      </c>
      <c r="AW7" s="148" t="s">
        <v>88</v>
      </c>
      <c r="AX7" s="151"/>
      <c r="AY7" s="105"/>
      <c r="AZ7" s="164"/>
      <c r="BA7" s="164"/>
      <c r="BB7" s="146"/>
      <c r="BC7" s="45"/>
      <c r="BD7" s="45"/>
      <c r="BE7" s="45"/>
      <c r="BF7" s="45"/>
    </row>
    <row r="8">
      <c r="A8" s="79">
        <v>5.0</v>
      </c>
      <c r="B8" s="108" t="s">
        <v>89</v>
      </c>
      <c r="C8" s="109" t="s">
        <v>56</v>
      </c>
      <c r="D8" s="110">
        <v>42131.0</v>
      </c>
      <c r="E8" s="110">
        <v>42152.0</v>
      </c>
      <c r="F8" s="107" t="s">
        <v>90</v>
      </c>
      <c r="G8" s="113">
        <v>1061.0</v>
      </c>
      <c r="H8" s="114">
        <v>48.2</v>
      </c>
      <c r="I8" s="119">
        <v>253.0</v>
      </c>
      <c r="J8" s="122" t="s">
        <v>62</v>
      </c>
      <c r="K8" s="121">
        <v>253.0</v>
      </c>
      <c r="L8" s="119" t="s">
        <v>63</v>
      </c>
      <c r="M8" s="119"/>
      <c r="N8" s="119"/>
      <c r="O8" s="124">
        <v>1061.0</v>
      </c>
      <c r="P8" s="124">
        <v>22.0</v>
      </c>
      <c r="Q8" s="122">
        <v>389.0</v>
      </c>
      <c r="R8" s="125">
        <v>256.0</v>
      </c>
      <c r="S8" s="126">
        <v>0.9883</v>
      </c>
      <c r="T8" s="127">
        <v>76593.25</v>
      </c>
      <c r="U8" s="128">
        <f t="shared" si="1"/>
        <v>0</v>
      </c>
      <c r="V8" s="107" t="s">
        <v>67</v>
      </c>
      <c r="W8" s="107" t="s">
        <v>68</v>
      </c>
      <c r="X8" s="107" t="s">
        <v>68</v>
      </c>
      <c r="Y8" s="131">
        <v>0.8</v>
      </c>
      <c r="Z8" s="132"/>
      <c r="AA8" s="111"/>
      <c r="AB8" s="133"/>
      <c r="AC8" s="141"/>
      <c r="AD8" s="141"/>
      <c r="AE8" s="141"/>
      <c r="AF8" s="122"/>
      <c r="AG8" s="134" t="s">
        <v>91</v>
      </c>
      <c r="AH8" s="73"/>
      <c r="AI8" s="135"/>
      <c r="AJ8" s="136"/>
      <c r="AK8" s="76"/>
      <c r="AL8" s="135"/>
      <c r="AM8" s="139" t="s">
        <v>71</v>
      </c>
      <c r="AN8" s="139">
        <v>22.0</v>
      </c>
      <c r="AO8" s="140">
        <v>5.36</v>
      </c>
      <c r="AP8" s="152">
        <v>1708.0</v>
      </c>
      <c r="AQ8" s="152">
        <v>242.0</v>
      </c>
      <c r="AR8" s="143">
        <v>-1.0</v>
      </c>
      <c r="AS8" s="144">
        <v>0.9966551994999296</v>
      </c>
      <c r="AT8" s="144">
        <v>-0.008355199499929689</v>
      </c>
      <c r="AU8" s="146" t="s">
        <v>93</v>
      </c>
      <c r="AV8" s="146" t="s">
        <v>93</v>
      </c>
      <c r="AW8" s="148" t="s">
        <v>93</v>
      </c>
      <c r="AX8" s="151"/>
      <c r="AY8" s="105"/>
      <c r="AZ8" s="153"/>
      <c r="BA8" s="153"/>
      <c r="BB8" s="146"/>
      <c r="BC8" s="45"/>
      <c r="BD8" s="45"/>
      <c r="BE8" s="45"/>
      <c r="BF8" s="45"/>
    </row>
    <row r="9">
      <c r="A9" s="79">
        <v>6.0</v>
      </c>
      <c r="B9" s="108" t="s">
        <v>94</v>
      </c>
      <c r="C9" s="109" t="s">
        <v>56</v>
      </c>
      <c r="D9" s="110">
        <v>41365.0</v>
      </c>
      <c r="E9" s="110">
        <v>42155.0</v>
      </c>
      <c r="F9" s="107" t="s">
        <v>59</v>
      </c>
      <c r="G9" s="113">
        <v>60350.0</v>
      </c>
      <c r="H9" s="114">
        <v>76.3</v>
      </c>
      <c r="I9" s="119">
        <v>250.0</v>
      </c>
      <c r="J9" s="122" t="s">
        <v>61</v>
      </c>
      <c r="K9" s="121">
        <v>253.16</v>
      </c>
      <c r="L9" s="119" t="s">
        <v>63</v>
      </c>
      <c r="M9" s="119"/>
      <c r="N9" s="119"/>
      <c r="O9" s="124">
        <v>60350.0</v>
      </c>
      <c r="P9" s="124">
        <v>791.0</v>
      </c>
      <c r="Q9" s="122">
        <v>336.0</v>
      </c>
      <c r="R9" s="125">
        <v>269.0</v>
      </c>
      <c r="S9" s="126">
        <v>0.9411</v>
      </c>
      <c r="T9" s="127">
        <v>72935.25</v>
      </c>
      <c r="U9" s="128">
        <f t="shared" si="1"/>
        <v>0</v>
      </c>
      <c r="V9" s="170"/>
      <c r="W9" s="107" t="s">
        <v>68</v>
      </c>
      <c r="X9" s="170"/>
      <c r="Y9" s="131"/>
      <c r="Z9" s="132"/>
      <c r="AA9" s="133"/>
      <c r="AB9" s="133"/>
      <c r="AC9" s="141"/>
      <c r="AD9" s="141"/>
      <c r="AE9" s="141"/>
      <c r="AF9" s="122"/>
      <c r="AG9" s="147"/>
      <c r="AH9" s="73"/>
      <c r="AI9" s="135"/>
      <c r="AJ9" s="136"/>
      <c r="AK9" s="76"/>
      <c r="AL9" s="135"/>
      <c r="AM9" s="139" t="s">
        <v>71</v>
      </c>
      <c r="AN9" s="139">
        <v>791.0</v>
      </c>
      <c r="AO9" s="140">
        <v>269.62</v>
      </c>
      <c r="AP9" s="152">
        <v>97124.0</v>
      </c>
      <c r="AQ9" s="152">
        <v>209.0</v>
      </c>
      <c r="AR9" s="143">
        <v>-1.0</v>
      </c>
      <c r="AS9" s="144">
        <v>0.9454632467038298</v>
      </c>
      <c r="AT9" s="144">
        <v>-0.004363246703829704</v>
      </c>
      <c r="AU9" s="146" t="s">
        <v>98</v>
      </c>
      <c r="AV9" s="146" t="s">
        <v>98</v>
      </c>
      <c r="AW9" s="148" t="s">
        <v>98</v>
      </c>
      <c r="AX9" s="151"/>
      <c r="AY9" s="105"/>
      <c r="AZ9" s="153"/>
      <c r="BA9" s="153"/>
      <c r="BB9" s="146"/>
      <c r="BC9" s="45"/>
      <c r="BD9" s="45"/>
      <c r="BE9" s="45"/>
      <c r="BF9" s="45"/>
    </row>
    <row r="10">
      <c r="A10" s="79">
        <v>7.0</v>
      </c>
      <c r="B10" s="108" t="s">
        <v>102</v>
      </c>
      <c r="C10" s="109" t="s">
        <v>56</v>
      </c>
      <c r="D10" s="110">
        <v>41495.0</v>
      </c>
      <c r="E10" s="110">
        <v>42155.0</v>
      </c>
      <c r="F10" s="107" t="s">
        <v>59</v>
      </c>
      <c r="G10" s="113">
        <v>46335.0</v>
      </c>
      <c r="H10" s="114">
        <v>70.1</v>
      </c>
      <c r="I10" s="119">
        <v>252.0</v>
      </c>
      <c r="J10" s="122" t="s">
        <v>61</v>
      </c>
      <c r="K10" s="121">
        <v>255.19</v>
      </c>
      <c r="L10" s="119" t="s">
        <v>63</v>
      </c>
      <c r="M10" s="119"/>
      <c r="N10" s="119"/>
      <c r="O10" s="124">
        <v>46335.0</v>
      </c>
      <c r="P10" s="124">
        <v>661.0</v>
      </c>
      <c r="Q10" s="175">
        <v>318.0</v>
      </c>
      <c r="R10" s="125">
        <v>269.0</v>
      </c>
      <c r="S10" s="126">
        <v>0.9487</v>
      </c>
      <c r="T10" s="127">
        <v>73524.25</v>
      </c>
      <c r="U10" s="128">
        <f t="shared" si="1"/>
        <v>0</v>
      </c>
      <c r="V10" s="170"/>
      <c r="W10" s="170"/>
      <c r="X10" s="170"/>
      <c r="Y10" s="131"/>
      <c r="Z10" s="132"/>
      <c r="AA10" s="133"/>
      <c r="AB10" s="133"/>
      <c r="AC10" s="141"/>
      <c r="AD10" s="141"/>
      <c r="AE10" s="141"/>
      <c r="AF10" s="122"/>
      <c r="AG10" s="134"/>
      <c r="AH10" s="73"/>
      <c r="AI10" s="135"/>
      <c r="AJ10" s="136"/>
      <c r="AK10" s="76"/>
      <c r="AL10" s="135"/>
      <c r="AM10" s="139" t="s">
        <v>71</v>
      </c>
      <c r="AN10" s="139">
        <v>661.0</v>
      </c>
      <c r="AO10" s="140">
        <v>195.16</v>
      </c>
      <c r="AP10" s="152">
        <v>74569.0</v>
      </c>
      <c r="AQ10" s="152">
        <v>198.0</v>
      </c>
      <c r="AR10" s="143">
        <v>-1.0</v>
      </c>
      <c r="AS10" s="144">
        <v>0.9497617276238225</v>
      </c>
      <c r="AT10" s="144">
        <v>-0.001061727623822506</v>
      </c>
      <c r="AU10" s="146" t="s">
        <v>107</v>
      </c>
      <c r="AV10" s="146" t="s">
        <v>107</v>
      </c>
      <c r="AW10" s="148" t="s">
        <v>107</v>
      </c>
      <c r="AX10" s="151"/>
      <c r="AY10" s="105"/>
      <c r="AZ10" s="153"/>
      <c r="BA10" s="153"/>
      <c r="BB10" s="146"/>
      <c r="BC10" s="45"/>
      <c r="BD10" s="45"/>
      <c r="BE10" s="45"/>
      <c r="BF10" s="45"/>
    </row>
    <row r="11">
      <c r="A11" s="79">
        <v>8.0</v>
      </c>
      <c r="B11" s="108" t="s">
        <v>108</v>
      </c>
      <c r="C11" s="109" t="s">
        <v>56</v>
      </c>
      <c r="D11" s="110">
        <v>41760.0</v>
      </c>
      <c r="E11" s="110">
        <v>42125.0</v>
      </c>
      <c r="F11" s="107" t="s">
        <v>109</v>
      </c>
      <c r="G11" s="113">
        <v>24903.0</v>
      </c>
      <c r="H11" s="114">
        <v>68.0</v>
      </c>
      <c r="I11" s="119">
        <v>190.0</v>
      </c>
      <c r="J11" s="122" t="s">
        <v>62</v>
      </c>
      <c r="K11" s="121">
        <v>190.0</v>
      </c>
      <c r="L11" s="119" t="s">
        <v>63</v>
      </c>
      <c r="M11" s="119"/>
      <c r="N11" s="119"/>
      <c r="O11" s="124">
        <v>24903.0</v>
      </c>
      <c r="P11" s="124">
        <v>366.0</v>
      </c>
      <c r="Q11" s="122">
        <v>316.0</v>
      </c>
      <c r="R11" s="125">
        <v>210.0</v>
      </c>
      <c r="S11" s="126">
        <v>0.9048</v>
      </c>
      <c r="T11" s="127">
        <v>52930.8</v>
      </c>
      <c r="U11" s="128">
        <f t="shared" si="1"/>
        <v>0</v>
      </c>
      <c r="V11" s="107" t="s">
        <v>65</v>
      </c>
      <c r="W11" s="107" t="s">
        <v>65</v>
      </c>
      <c r="X11" s="107" t="s">
        <v>66</v>
      </c>
      <c r="Y11" s="131">
        <v>0.9</v>
      </c>
      <c r="Z11" s="132"/>
      <c r="AA11" s="133"/>
      <c r="AB11" s="133"/>
      <c r="AC11" s="141"/>
      <c r="AD11" s="141"/>
      <c r="AE11" s="141"/>
      <c r="AF11" s="122"/>
      <c r="AG11" s="147"/>
      <c r="AH11" s="73"/>
      <c r="AI11" s="135"/>
      <c r="AJ11" s="136"/>
      <c r="AK11" s="76"/>
      <c r="AL11" s="135"/>
      <c r="AM11" s="139" t="s">
        <v>71</v>
      </c>
      <c r="AN11" s="139">
        <v>366.0</v>
      </c>
      <c r="AO11" s="140">
        <v>141.26</v>
      </c>
      <c r="AP11" s="152">
        <v>40077.0</v>
      </c>
      <c r="AQ11" s="152">
        <v>196.0</v>
      </c>
      <c r="AR11" s="143">
        <v>-1.0</v>
      </c>
      <c r="AS11" s="144">
        <v>0.9599777506770351</v>
      </c>
      <c r="AT11" s="144">
        <v>-0.05517775067703501</v>
      </c>
      <c r="AU11" s="146" t="s">
        <v>115</v>
      </c>
      <c r="AV11" s="146" t="s">
        <v>115</v>
      </c>
      <c r="AW11" s="148" t="s">
        <v>115</v>
      </c>
      <c r="AX11" s="151"/>
      <c r="AY11" s="105"/>
      <c r="AZ11" s="153"/>
      <c r="BA11" s="153"/>
      <c r="BB11" s="146"/>
      <c r="BC11" s="45"/>
      <c r="BD11" s="45"/>
      <c r="BE11" s="45"/>
      <c r="BF11" s="45"/>
    </row>
    <row r="12">
      <c r="A12" s="79">
        <v>9.0</v>
      </c>
      <c r="B12" s="108" t="s">
        <v>116</v>
      </c>
      <c r="C12" s="109" t="s">
        <v>56</v>
      </c>
      <c r="D12" s="110">
        <v>42156.0</v>
      </c>
      <c r="E12" s="110">
        <v>42157.0</v>
      </c>
      <c r="F12" s="107" t="s">
        <v>118</v>
      </c>
      <c r="G12" s="113">
        <v>50.0</v>
      </c>
      <c r="H12" s="114">
        <v>25.0</v>
      </c>
      <c r="I12" s="119">
        <v>240.0</v>
      </c>
      <c r="J12" s="122" t="s">
        <v>61</v>
      </c>
      <c r="K12" s="121">
        <v>243.04</v>
      </c>
      <c r="L12" s="119" t="s">
        <v>63</v>
      </c>
      <c r="M12" s="119"/>
      <c r="N12" s="119"/>
      <c r="O12" s="124">
        <v>50.0</v>
      </c>
      <c r="P12" s="124">
        <v>2.0</v>
      </c>
      <c r="Q12" s="122">
        <v>335.0</v>
      </c>
      <c r="R12" s="125">
        <v>243.0</v>
      </c>
      <c r="S12" s="126">
        <v>1.0002</v>
      </c>
      <c r="T12" s="127">
        <v>68813.76</v>
      </c>
      <c r="U12" s="128">
        <f t="shared" si="1"/>
        <v>0</v>
      </c>
      <c r="V12" s="107" t="s">
        <v>69</v>
      </c>
      <c r="W12" s="107" t="s">
        <v>66</v>
      </c>
      <c r="X12" s="107" t="s">
        <v>66</v>
      </c>
      <c r="Y12" s="131"/>
      <c r="Z12" s="132"/>
      <c r="AA12" s="133"/>
      <c r="AB12" s="133"/>
      <c r="AC12" s="141"/>
      <c r="AD12" s="141"/>
      <c r="AE12" s="141"/>
      <c r="AF12" s="122"/>
      <c r="AG12" s="147"/>
      <c r="AH12" s="73"/>
      <c r="AI12" s="135"/>
      <c r="AJ12" s="136"/>
      <c r="AK12" s="76"/>
      <c r="AL12" s="135"/>
      <c r="AM12" s="139" t="s">
        <v>71</v>
      </c>
      <c r="AN12" s="139">
        <v>2.0</v>
      </c>
      <c r="AO12" s="140">
        <v>0.24</v>
      </c>
      <c r="AP12" s="152">
        <v>80.0</v>
      </c>
      <c r="AQ12" s="152">
        <v>208.0</v>
      </c>
      <c r="AR12" s="143">
        <v>-1.0</v>
      </c>
      <c r="AS12" s="144">
        <v>0.999837732456903</v>
      </c>
      <c r="AT12" s="144">
        <v>3.622675430969835E-4</v>
      </c>
      <c r="AU12" s="146" t="s">
        <v>121</v>
      </c>
      <c r="AV12" s="146" t="s">
        <v>121</v>
      </c>
      <c r="AW12" s="148" t="s">
        <v>121</v>
      </c>
      <c r="AX12" s="151"/>
      <c r="AY12" s="105"/>
      <c r="AZ12" s="153"/>
      <c r="BA12" s="153"/>
      <c r="BB12" s="146"/>
      <c r="BC12" s="45"/>
      <c r="BD12" s="45"/>
      <c r="BE12" s="45"/>
      <c r="BF12" s="45"/>
    </row>
    <row r="13">
      <c r="A13" s="79">
        <v>10.0</v>
      </c>
      <c r="B13" s="108" t="s">
        <v>122</v>
      </c>
      <c r="C13" s="109" t="s">
        <v>56</v>
      </c>
      <c r="D13" s="110">
        <v>41727.0</v>
      </c>
      <c r="E13" s="110">
        <v>42157.0</v>
      </c>
      <c r="F13" s="107" t="s">
        <v>59</v>
      </c>
      <c r="G13" s="113">
        <v>27744.0</v>
      </c>
      <c r="H13" s="114">
        <v>64.4</v>
      </c>
      <c r="I13" s="119">
        <v>261.0</v>
      </c>
      <c r="J13" s="122" t="s">
        <v>61</v>
      </c>
      <c r="K13" s="121">
        <v>264.3</v>
      </c>
      <c r="L13" s="119" t="s">
        <v>63</v>
      </c>
      <c r="M13" s="119"/>
      <c r="N13" s="119"/>
      <c r="O13" s="124">
        <v>27744.0</v>
      </c>
      <c r="P13" s="124">
        <v>431.0</v>
      </c>
      <c r="Q13" s="122">
        <v>329.0</v>
      </c>
      <c r="R13" s="125">
        <v>269.0</v>
      </c>
      <c r="S13" s="126">
        <v>0.9825</v>
      </c>
      <c r="T13" s="127">
        <v>76143.75</v>
      </c>
      <c r="U13" s="128">
        <f t="shared" si="1"/>
        <v>0</v>
      </c>
      <c r="V13" s="107" t="s">
        <v>65</v>
      </c>
      <c r="W13" s="107" t="s">
        <v>69</v>
      </c>
      <c r="X13" s="107" t="s">
        <v>68</v>
      </c>
      <c r="Y13" s="131"/>
      <c r="Z13" s="132"/>
      <c r="AA13" s="111"/>
      <c r="AB13" s="133"/>
      <c r="AC13" s="141"/>
      <c r="AD13" s="141"/>
      <c r="AE13" s="141"/>
      <c r="AF13" s="122"/>
      <c r="AG13" s="134"/>
      <c r="AH13" s="73"/>
      <c r="AI13" s="135"/>
      <c r="AJ13" s="136"/>
      <c r="AK13" s="76"/>
      <c r="AL13" s="135"/>
      <c r="AM13" s="139" t="s">
        <v>71</v>
      </c>
      <c r="AN13" s="139">
        <v>431.0</v>
      </c>
      <c r="AO13" s="140">
        <v>118.84</v>
      </c>
      <c r="AP13" s="152">
        <v>44650.0</v>
      </c>
      <c r="AQ13" s="152">
        <v>204.0</v>
      </c>
      <c r="AR13" s="143">
        <v>-1.0</v>
      </c>
      <c r="AS13" s="144">
        <v>0.9580978977819378</v>
      </c>
      <c r="AT13" s="144">
        <v>0.02440210221806227</v>
      </c>
      <c r="AU13" s="146" t="s">
        <v>129</v>
      </c>
      <c r="AV13" s="146" t="s">
        <v>129</v>
      </c>
      <c r="AW13" s="148" t="s">
        <v>129</v>
      </c>
      <c r="AX13" s="151"/>
      <c r="AY13" s="105"/>
      <c r="AZ13" s="153"/>
      <c r="BA13" s="153"/>
      <c r="BB13" s="146"/>
      <c r="BC13" s="45"/>
      <c r="BD13" s="45"/>
      <c r="BE13" s="45"/>
      <c r="BF13" s="45"/>
    </row>
    <row r="14">
      <c r="A14" s="79">
        <v>11.0</v>
      </c>
      <c r="B14" s="108" t="s">
        <v>131</v>
      </c>
      <c r="C14" s="109" t="s">
        <v>56</v>
      </c>
      <c r="D14" s="110">
        <v>41332.0</v>
      </c>
      <c r="E14" s="110">
        <v>42160.0</v>
      </c>
      <c r="F14" s="107" t="s">
        <v>109</v>
      </c>
      <c r="G14" s="113">
        <v>50300.0</v>
      </c>
      <c r="H14" s="114">
        <v>60.7</v>
      </c>
      <c r="I14" s="119">
        <v>199.0</v>
      </c>
      <c r="J14" s="122" t="s">
        <v>62</v>
      </c>
      <c r="K14" s="121">
        <v>199.0</v>
      </c>
      <c r="L14" s="119" t="s">
        <v>63</v>
      </c>
      <c r="M14" s="119"/>
      <c r="N14" s="119"/>
      <c r="O14" s="124">
        <v>50300.0</v>
      </c>
      <c r="P14" s="124">
        <v>829.0</v>
      </c>
      <c r="Q14" s="122">
        <v>298.0</v>
      </c>
      <c r="R14" s="125">
        <v>210.0</v>
      </c>
      <c r="S14" s="126">
        <v>0.9476</v>
      </c>
      <c r="T14" s="127">
        <v>55434.6</v>
      </c>
      <c r="U14" s="128">
        <f t="shared" si="1"/>
        <v>0</v>
      </c>
      <c r="V14" s="107" t="s">
        <v>65</v>
      </c>
      <c r="W14" s="107" t="s">
        <v>65</v>
      </c>
      <c r="X14" s="107" t="s">
        <v>66</v>
      </c>
      <c r="Y14" s="131">
        <v>0.8</v>
      </c>
      <c r="Z14" s="132"/>
      <c r="AA14" s="133"/>
      <c r="AB14" s="133"/>
      <c r="AC14" s="141"/>
      <c r="AD14" s="141"/>
      <c r="AE14" s="141"/>
      <c r="AF14" s="122"/>
      <c r="AG14" s="147"/>
      <c r="AH14" s="73"/>
      <c r="AI14" s="135"/>
      <c r="AJ14" s="136"/>
      <c r="AK14" s="76"/>
      <c r="AL14" s="135"/>
      <c r="AM14" s="139" t="s">
        <v>71</v>
      </c>
      <c r="AN14" s="139">
        <v>829.0</v>
      </c>
      <c r="AO14" s="140">
        <v>263.17</v>
      </c>
      <c r="AP14" s="152">
        <v>80950.0</v>
      </c>
      <c r="AQ14" s="152">
        <v>185.0</v>
      </c>
      <c r="AR14" s="143">
        <v>-1.0</v>
      </c>
      <c r="AS14" s="144">
        <v>0.9484575778505585</v>
      </c>
      <c r="AT14" s="144">
        <v>-8.575778505585108E-4</v>
      </c>
      <c r="AU14" s="146" t="s">
        <v>134</v>
      </c>
      <c r="AV14" s="146" t="s">
        <v>134</v>
      </c>
      <c r="AW14" s="148" t="s">
        <v>134</v>
      </c>
      <c r="AX14" s="151"/>
      <c r="AY14" s="105"/>
      <c r="AZ14" s="153"/>
      <c r="BA14" s="153"/>
      <c r="BB14" s="146"/>
      <c r="BC14" s="45"/>
      <c r="BD14" s="45"/>
      <c r="BE14" s="45"/>
      <c r="BF14" s="45"/>
    </row>
    <row r="15">
      <c r="A15" s="79">
        <v>12.0</v>
      </c>
      <c r="B15" s="108" t="s">
        <v>136</v>
      </c>
      <c r="C15" s="109" t="s">
        <v>56</v>
      </c>
      <c r="D15" s="110">
        <v>41726.0</v>
      </c>
      <c r="E15" s="110">
        <v>42160.0</v>
      </c>
      <c r="F15" s="107" t="s">
        <v>109</v>
      </c>
      <c r="G15" s="113">
        <v>36800.0</v>
      </c>
      <c r="H15" s="114">
        <v>84.6</v>
      </c>
      <c r="I15" s="119">
        <v>178.0</v>
      </c>
      <c r="J15" s="122" t="s">
        <v>62</v>
      </c>
      <c r="K15" s="121">
        <v>178.0</v>
      </c>
      <c r="L15" s="119" t="s">
        <v>63</v>
      </c>
      <c r="M15" s="119"/>
      <c r="N15" s="119"/>
      <c r="O15" s="124">
        <v>36800.0</v>
      </c>
      <c r="P15" s="124">
        <v>435.0</v>
      </c>
      <c r="Q15" s="122">
        <v>300.0</v>
      </c>
      <c r="R15" s="125">
        <v>210.0</v>
      </c>
      <c r="S15" s="126">
        <v>0.8476</v>
      </c>
      <c r="T15" s="127">
        <v>49584.6</v>
      </c>
      <c r="U15" s="128">
        <f t="shared" si="1"/>
        <v>0</v>
      </c>
      <c r="V15" s="107" t="s">
        <v>64</v>
      </c>
      <c r="W15" s="107" t="s">
        <v>67</v>
      </c>
      <c r="X15" s="107" t="s">
        <v>69</v>
      </c>
      <c r="Y15" s="131">
        <v>0.9</v>
      </c>
      <c r="Z15" s="132"/>
      <c r="AA15" s="133"/>
      <c r="AB15" s="133"/>
      <c r="AC15" s="141"/>
      <c r="AD15" s="141"/>
      <c r="AE15" s="141"/>
      <c r="AF15" s="122"/>
      <c r="AG15" s="147"/>
      <c r="AH15" s="73"/>
      <c r="AI15" s="135"/>
      <c r="AJ15" s="136"/>
      <c r="AK15" s="76"/>
      <c r="AL15" s="135"/>
      <c r="AM15" s="139" t="s">
        <v>71</v>
      </c>
      <c r="AN15" s="139">
        <v>435.0</v>
      </c>
      <c r="AO15" s="140">
        <v>204.31</v>
      </c>
      <c r="AP15" s="152">
        <v>59224.0</v>
      </c>
      <c r="AQ15" s="152">
        <v>186.0</v>
      </c>
      <c r="AR15" s="143">
        <v>-1.0</v>
      </c>
      <c r="AS15" s="144">
        <v>0.9534138963596102</v>
      </c>
      <c r="AT15" s="144">
        <v>-0.10581389635961014</v>
      </c>
      <c r="AU15" s="146" t="s">
        <v>141</v>
      </c>
      <c r="AV15" s="146" t="s">
        <v>141</v>
      </c>
      <c r="AW15" s="148" t="s">
        <v>141</v>
      </c>
      <c r="AX15" s="151"/>
      <c r="AY15" s="105"/>
      <c r="AZ15" s="153"/>
      <c r="BA15" s="153"/>
      <c r="BB15" s="146"/>
      <c r="BC15" s="45"/>
      <c r="BD15" s="45"/>
      <c r="BE15" s="45"/>
      <c r="BF15" s="45"/>
    </row>
    <row r="16">
      <c r="A16" s="79">
        <v>13.0</v>
      </c>
      <c r="B16" s="108" t="s">
        <v>143</v>
      </c>
      <c r="C16" s="109" t="s">
        <v>56</v>
      </c>
      <c r="D16" s="110">
        <v>41724.0</v>
      </c>
      <c r="E16" s="110">
        <v>42164.0</v>
      </c>
      <c r="F16" s="107" t="s">
        <v>59</v>
      </c>
      <c r="G16" s="113">
        <v>49700.0</v>
      </c>
      <c r="H16" s="114">
        <v>112.7</v>
      </c>
      <c r="I16" s="119">
        <v>253.0</v>
      </c>
      <c r="J16" s="122" t="s">
        <v>61</v>
      </c>
      <c r="K16" s="121">
        <v>256.2</v>
      </c>
      <c r="L16" s="119" t="s">
        <v>63</v>
      </c>
      <c r="M16" s="119"/>
      <c r="N16" s="119"/>
      <c r="O16" s="124">
        <v>49700.0</v>
      </c>
      <c r="P16" s="124">
        <v>441.0</v>
      </c>
      <c r="Q16" s="122">
        <v>321.0</v>
      </c>
      <c r="R16" s="125">
        <v>269.0</v>
      </c>
      <c r="S16" s="126">
        <v>0.9524</v>
      </c>
      <c r="T16" s="127">
        <v>73811.0</v>
      </c>
      <c r="U16" s="128">
        <f t="shared" si="1"/>
        <v>0</v>
      </c>
      <c r="V16" s="107" t="s">
        <v>67</v>
      </c>
      <c r="W16" s="107" t="s">
        <v>64</v>
      </c>
      <c r="X16" s="107" t="s">
        <v>69</v>
      </c>
      <c r="Y16" s="131">
        <v>0.8</v>
      </c>
      <c r="Z16" s="160">
        <v>10.0</v>
      </c>
      <c r="AA16" s="111">
        <v>271.0</v>
      </c>
      <c r="AB16" s="111" t="s">
        <v>61</v>
      </c>
      <c r="AC16" s="141"/>
      <c r="AD16" s="141"/>
      <c r="AE16" s="141"/>
      <c r="AF16" s="122"/>
      <c r="AG16" s="147"/>
      <c r="AH16" s="73"/>
      <c r="AI16" s="135"/>
      <c r="AJ16" s="136"/>
      <c r="AK16" s="76"/>
      <c r="AL16" s="135"/>
      <c r="AM16" s="139">
        <v>274.0</v>
      </c>
      <c r="AN16" s="139">
        <v>441.0</v>
      </c>
      <c r="AO16" s="140">
        <v>210.89</v>
      </c>
      <c r="AP16" s="152">
        <v>79984.0</v>
      </c>
      <c r="AQ16" s="152">
        <v>199.0</v>
      </c>
      <c r="AR16" s="143">
        <v>-1.0</v>
      </c>
      <c r="AS16" s="144">
        <v>0.9486492921200292</v>
      </c>
      <c r="AT16" s="144">
        <v>0.0037507078799707827</v>
      </c>
      <c r="AU16" s="146" t="s">
        <v>150</v>
      </c>
      <c r="AV16" s="146" t="s">
        <v>150</v>
      </c>
      <c r="AW16" s="148" t="s">
        <v>150</v>
      </c>
      <c r="AX16" s="151"/>
      <c r="AY16" s="105"/>
      <c r="AZ16" s="153"/>
      <c r="BA16" s="153"/>
      <c r="BB16" s="146"/>
      <c r="BC16" s="45"/>
      <c r="BD16" s="45"/>
      <c r="BE16" s="45"/>
      <c r="BF16" s="45"/>
    </row>
    <row r="17">
      <c r="A17" s="79">
        <v>14.0</v>
      </c>
      <c r="B17" s="108" t="s">
        <v>143</v>
      </c>
      <c r="C17" s="109" t="s">
        <v>56</v>
      </c>
      <c r="D17" s="110">
        <v>41724.0</v>
      </c>
      <c r="E17" s="110">
        <v>41725.0</v>
      </c>
      <c r="F17" s="107" t="s">
        <v>59</v>
      </c>
      <c r="G17" s="113">
        <v>50.0</v>
      </c>
      <c r="H17" s="114">
        <v>25.0</v>
      </c>
      <c r="I17" s="119">
        <v>271.0</v>
      </c>
      <c r="J17" s="122" t="s">
        <v>61</v>
      </c>
      <c r="K17" s="121">
        <v>274.43</v>
      </c>
      <c r="L17" s="119" t="s">
        <v>63</v>
      </c>
      <c r="M17" s="119"/>
      <c r="N17" s="119"/>
      <c r="O17" s="124">
        <v>50.0</v>
      </c>
      <c r="P17" s="124">
        <v>2.0</v>
      </c>
      <c r="Q17" s="122">
        <v>310.0</v>
      </c>
      <c r="R17" s="125">
        <v>269.0</v>
      </c>
      <c r="S17" s="126">
        <v>1.0202</v>
      </c>
      <c r="T17" s="127">
        <v>79065.5</v>
      </c>
      <c r="U17" s="128">
        <f t="shared" si="1"/>
        <v>0</v>
      </c>
      <c r="V17" s="170"/>
      <c r="W17" s="170"/>
      <c r="X17" s="170"/>
      <c r="Y17" s="131"/>
      <c r="Z17" s="160">
        <v>10.0</v>
      </c>
      <c r="AA17" s="111">
        <v>271.0</v>
      </c>
      <c r="AB17" s="111" t="s">
        <v>61</v>
      </c>
      <c r="AC17" s="182">
        <v>270.0</v>
      </c>
      <c r="AD17" s="182">
        <v>0.0</v>
      </c>
      <c r="AE17" s="182" t="s">
        <v>156</v>
      </c>
      <c r="AF17" s="122" t="s">
        <v>62</v>
      </c>
      <c r="AG17" s="147"/>
      <c r="AH17" s="73">
        <v>270.0</v>
      </c>
      <c r="AI17" s="135">
        <v>270.0</v>
      </c>
      <c r="AJ17" s="136">
        <v>77.75516666666667</v>
      </c>
      <c r="AK17" s="76">
        <v>1.0032924731182797</v>
      </c>
      <c r="AL17" s="135" t="s">
        <v>157</v>
      </c>
      <c r="AM17" s="139">
        <v>274.0</v>
      </c>
      <c r="AN17" s="139">
        <v>2.0</v>
      </c>
      <c r="AO17" s="140">
        <v>0.2</v>
      </c>
      <c r="AP17" s="152">
        <v>80.0</v>
      </c>
      <c r="AQ17" s="152">
        <v>193.0</v>
      </c>
      <c r="AR17" s="143">
        <v>-1.0</v>
      </c>
      <c r="AS17" s="144">
        <v>0.999837732456903</v>
      </c>
      <c r="AT17" s="144">
        <v>0.020362267543097</v>
      </c>
      <c r="AU17" s="146" t="s">
        <v>159</v>
      </c>
      <c r="AV17" s="146" t="s">
        <v>159</v>
      </c>
      <c r="AW17" s="148" t="s">
        <v>159</v>
      </c>
      <c r="AX17" s="151"/>
      <c r="AY17" s="105"/>
      <c r="AZ17" s="153"/>
      <c r="BA17" s="153"/>
      <c r="BB17" s="146"/>
      <c r="BC17" s="45"/>
      <c r="BD17" s="45"/>
      <c r="BE17" s="45"/>
      <c r="BF17" s="45"/>
    </row>
    <row r="18">
      <c r="A18" s="79">
        <v>15.0</v>
      </c>
      <c r="B18" s="108" t="s">
        <v>161</v>
      </c>
      <c r="C18" s="109" t="s">
        <v>56</v>
      </c>
      <c r="D18" s="110">
        <v>41310.0</v>
      </c>
      <c r="E18" s="110">
        <v>42174.0</v>
      </c>
      <c r="F18" s="107" t="s">
        <v>59</v>
      </c>
      <c r="G18" s="113">
        <v>32660.0</v>
      </c>
      <c r="H18" s="114">
        <v>37.8</v>
      </c>
      <c r="I18" s="119">
        <v>254.0</v>
      </c>
      <c r="J18" s="122" t="s">
        <v>62</v>
      </c>
      <c r="K18" s="121">
        <v>254.0</v>
      </c>
      <c r="L18" s="119" t="s">
        <v>63</v>
      </c>
      <c r="M18" s="119"/>
      <c r="N18" s="119"/>
      <c r="O18" s="124">
        <v>32660.0</v>
      </c>
      <c r="P18" s="124">
        <v>865.0</v>
      </c>
      <c r="Q18" s="122">
        <v>299.0</v>
      </c>
      <c r="R18" s="125">
        <v>269.0</v>
      </c>
      <c r="S18" s="126">
        <v>0.9442</v>
      </c>
      <c r="T18" s="127">
        <v>73175.5</v>
      </c>
      <c r="U18" s="128">
        <f t="shared" si="1"/>
        <v>0</v>
      </c>
      <c r="V18" s="107" t="s">
        <v>64</v>
      </c>
      <c r="W18" s="107" t="s">
        <v>69</v>
      </c>
      <c r="X18" s="107" t="s">
        <v>69</v>
      </c>
      <c r="Y18" s="131">
        <v>0.9</v>
      </c>
      <c r="Z18" s="160">
        <v>1.0</v>
      </c>
      <c r="AA18" s="111">
        <v>270.0</v>
      </c>
      <c r="AB18" s="111" t="s">
        <v>61</v>
      </c>
      <c r="AC18" s="141"/>
      <c r="AD18" s="141"/>
      <c r="AE18" s="141"/>
      <c r="AF18" s="122"/>
      <c r="AG18" s="134" t="s">
        <v>166</v>
      </c>
      <c r="AH18" s="73"/>
      <c r="AI18" s="135"/>
      <c r="AJ18" s="136"/>
      <c r="AK18" s="76"/>
      <c r="AL18" s="135"/>
      <c r="AM18" s="139">
        <v>273.0</v>
      </c>
      <c r="AN18" s="139">
        <v>865.0</v>
      </c>
      <c r="AO18" s="140">
        <v>129.66</v>
      </c>
      <c r="AP18" s="152">
        <v>52561.0</v>
      </c>
      <c r="AQ18" s="152">
        <v>186.0</v>
      </c>
      <c r="AR18" s="143">
        <v>-1.0</v>
      </c>
      <c r="AS18" s="144">
        <v>0.9553540929031087</v>
      </c>
      <c r="AT18" s="144">
        <v>-0.011154092903108648</v>
      </c>
      <c r="AU18" s="146" t="s">
        <v>167</v>
      </c>
      <c r="AV18" s="146" t="s">
        <v>167</v>
      </c>
      <c r="AW18" s="148" t="s">
        <v>167</v>
      </c>
      <c r="AX18" s="151"/>
      <c r="AY18" s="105"/>
      <c r="AZ18" s="153"/>
      <c r="BA18" s="153"/>
      <c r="BB18" s="146"/>
      <c r="BC18" s="45"/>
      <c r="BD18" s="45"/>
      <c r="BE18" s="45"/>
      <c r="BF18" s="45"/>
    </row>
    <row r="19">
      <c r="A19" s="79">
        <v>16.0</v>
      </c>
      <c r="B19" s="108" t="s">
        <v>168</v>
      </c>
      <c r="C19" s="109" t="s">
        <v>56</v>
      </c>
      <c r="D19" s="110">
        <v>41512.0</v>
      </c>
      <c r="E19" s="110">
        <v>42220.0</v>
      </c>
      <c r="F19" s="107" t="s">
        <v>79</v>
      </c>
      <c r="G19" s="113">
        <v>27319.0</v>
      </c>
      <c r="H19" s="114">
        <v>38.5</v>
      </c>
      <c r="I19" s="119">
        <v>258.0</v>
      </c>
      <c r="J19" s="122" t="s">
        <v>62</v>
      </c>
      <c r="K19" s="121">
        <v>258.0</v>
      </c>
      <c r="L19" s="119" t="s">
        <v>63</v>
      </c>
      <c r="M19" s="119"/>
      <c r="N19" s="119"/>
      <c r="O19" s="124">
        <v>27319.0</v>
      </c>
      <c r="P19" s="124">
        <v>709.0</v>
      </c>
      <c r="Q19" s="122">
        <v>294.0</v>
      </c>
      <c r="R19" s="125">
        <v>269.0</v>
      </c>
      <c r="S19" s="126">
        <v>0.9591</v>
      </c>
      <c r="T19" s="127">
        <v>74330.25</v>
      </c>
      <c r="U19" s="128">
        <f t="shared" si="1"/>
        <v>0</v>
      </c>
      <c r="V19" s="107" t="s">
        <v>69</v>
      </c>
      <c r="W19" s="107" t="s">
        <v>69</v>
      </c>
      <c r="X19" s="107" t="s">
        <v>69</v>
      </c>
      <c r="Y19" s="131">
        <v>0.9</v>
      </c>
      <c r="Z19" s="132"/>
      <c r="AA19" s="111"/>
      <c r="AB19" s="133"/>
      <c r="AC19" s="141"/>
      <c r="AD19" s="141"/>
      <c r="AE19" s="141"/>
      <c r="AF19" s="122"/>
      <c r="AG19" s="147"/>
      <c r="AH19" s="73"/>
      <c r="AI19" s="135"/>
      <c r="AJ19" s="136"/>
      <c r="AK19" s="76"/>
      <c r="AL19" s="135"/>
      <c r="AM19" s="139" t="s">
        <v>71</v>
      </c>
      <c r="AN19" s="139">
        <v>709.0</v>
      </c>
      <c r="AO19" s="140">
        <v>105.83</v>
      </c>
      <c r="AP19" s="152">
        <v>43966.0</v>
      </c>
      <c r="AQ19" s="152">
        <v>183.0</v>
      </c>
      <c r="AR19" s="143">
        <v>-1.0</v>
      </c>
      <c r="AS19" s="144">
        <v>0.9583635012111115</v>
      </c>
      <c r="AT19" s="144">
        <v>7.364987888884844E-4</v>
      </c>
      <c r="AU19" s="146" t="s">
        <v>173</v>
      </c>
      <c r="AV19" s="146" t="s">
        <v>173</v>
      </c>
      <c r="AW19" s="148" t="s">
        <v>173</v>
      </c>
      <c r="AX19" s="151"/>
      <c r="AY19" s="105"/>
      <c r="AZ19" s="153"/>
      <c r="BA19" s="153"/>
      <c r="BB19" s="146"/>
      <c r="BC19" s="45"/>
      <c r="BD19" s="45"/>
      <c r="BE19" s="45"/>
      <c r="BF19" s="45"/>
    </row>
    <row r="20">
      <c r="A20" s="79">
        <v>17.0</v>
      </c>
      <c r="B20" s="108" t="s">
        <v>174</v>
      </c>
      <c r="C20" s="109" t="s">
        <v>56</v>
      </c>
      <c r="D20" s="110">
        <v>41930.0</v>
      </c>
      <c r="E20" s="110">
        <v>42181.0</v>
      </c>
      <c r="F20" s="107" t="s">
        <v>59</v>
      </c>
      <c r="G20" s="113">
        <v>25714.0</v>
      </c>
      <c r="H20" s="114">
        <v>102.0</v>
      </c>
      <c r="I20" s="119">
        <v>255.0</v>
      </c>
      <c r="J20" s="122" t="s">
        <v>62</v>
      </c>
      <c r="K20" s="121">
        <v>255.0</v>
      </c>
      <c r="L20" s="119" t="s">
        <v>63</v>
      </c>
      <c r="M20" s="119"/>
      <c r="N20" s="119"/>
      <c r="O20" s="124">
        <v>25714.0</v>
      </c>
      <c r="P20" s="124">
        <v>252.0</v>
      </c>
      <c r="Q20" s="122">
        <v>278.0</v>
      </c>
      <c r="R20" s="125">
        <v>269.0</v>
      </c>
      <c r="S20" s="126">
        <v>0.948</v>
      </c>
      <c r="T20" s="127">
        <v>73470.0</v>
      </c>
      <c r="U20" s="128">
        <f t="shared" si="1"/>
        <v>0</v>
      </c>
      <c r="V20" s="107" t="s">
        <v>64</v>
      </c>
      <c r="W20" s="107" t="s">
        <v>69</v>
      </c>
      <c r="X20" s="107" t="s">
        <v>69</v>
      </c>
      <c r="Y20" s="131">
        <v>0.9</v>
      </c>
      <c r="Z20" s="132"/>
      <c r="AA20" s="111">
        <v>265.0</v>
      </c>
      <c r="AB20" s="183"/>
      <c r="AC20" s="141"/>
      <c r="AD20" s="141"/>
      <c r="AE20" s="141"/>
      <c r="AF20" s="122"/>
      <c r="AG20" s="147"/>
      <c r="AH20" s="73"/>
      <c r="AI20" s="135"/>
      <c r="AJ20" s="136"/>
      <c r="AK20" s="76"/>
      <c r="AL20" s="135"/>
      <c r="AM20" s="139">
        <v>265.0</v>
      </c>
      <c r="AN20" s="139">
        <v>252.0</v>
      </c>
      <c r="AO20" s="140">
        <v>94.71</v>
      </c>
      <c r="AP20" s="152">
        <v>41383.0</v>
      </c>
      <c r="AQ20" s="152">
        <v>173.0</v>
      </c>
      <c r="AR20" s="143">
        <v>-1.0</v>
      </c>
      <c r="AS20" s="144">
        <v>0.9594148737925495</v>
      </c>
      <c r="AT20" s="144">
        <v>-0.011414873792549574</v>
      </c>
      <c r="AU20" s="146" t="s">
        <v>178</v>
      </c>
      <c r="AV20" s="146" t="s">
        <v>178</v>
      </c>
      <c r="AW20" s="148" t="s">
        <v>178</v>
      </c>
      <c r="AX20" s="151"/>
      <c r="AY20" s="105"/>
      <c r="AZ20" s="153"/>
      <c r="BA20" s="153"/>
      <c r="BB20" s="146"/>
      <c r="BC20" s="45"/>
      <c r="BD20" s="45"/>
      <c r="BE20" s="45"/>
      <c r="BF20" s="45"/>
    </row>
    <row r="21">
      <c r="A21" s="79">
        <v>18.0</v>
      </c>
      <c r="B21" s="108" t="s">
        <v>122</v>
      </c>
      <c r="C21" s="109" t="s">
        <v>56</v>
      </c>
      <c r="D21" s="110">
        <v>41727.0</v>
      </c>
      <c r="E21" s="110">
        <v>42188.0</v>
      </c>
      <c r="F21" s="107" t="s">
        <v>59</v>
      </c>
      <c r="G21" s="113">
        <v>32016.0</v>
      </c>
      <c r="H21" s="114">
        <v>69.3</v>
      </c>
      <c r="I21" s="119">
        <v>262.0</v>
      </c>
      <c r="J21" s="122" t="s">
        <v>61</v>
      </c>
      <c r="K21" s="121">
        <v>265.32</v>
      </c>
      <c r="L21" s="119" t="s">
        <v>63</v>
      </c>
      <c r="M21" s="119"/>
      <c r="N21" s="119"/>
      <c r="O21" s="124">
        <v>32016.0</v>
      </c>
      <c r="P21" s="124">
        <v>462.0</v>
      </c>
      <c r="Q21" s="122">
        <v>329.0</v>
      </c>
      <c r="R21" s="125">
        <v>269.0</v>
      </c>
      <c r="S21" s="126">
        <v>0.9863</v>
      </c>
      <c r="T21" s="127">
        <v>76438.25</v>
      </c>
      <c r="U21" s="128">
        <f t="shared" si="1"/>
        <v>0</v>
      </c>
      <c r="V21" s="107" t="s">
        <v>65</v>
      </c>
      <c r="W21" s="107" t="s">
        <v>69</v>
      </c>
      <c r="X21" s="107" t="s">
        <v>68</v>
      </c>
      <c r="Y21" s="131"/>
      <c r="Z21" s="132"/>
      <c r="AA21" s="111"/>
      <c r="AB21" s="133"/>
      <c r="AC21" s="141"/>
      <c r="AD21" s="141"/>
      <c r="AE21" s="141"/>
      <c r="AF21" s="122"/>
      <c r="AG21" s="134" t="s">
        <v>183</v>
      </c>
      <c r="AH21" s="73"/>
      <c r="AI21" s="135"/>
      <c r="AJ21" s="136"/>
      <c r="AK21" s="76"/>
      <c r="AL21" s="135"/>
      <c r="AM21" s="139" t="s">
        <v>71</v>
      </c>
      <c r="AN21" s="139">
        <v>462.0</v>
      </c>
      <c r="AO21" s="140">
        <v>136.87</v>
      </c>
      <c r="AP21" s="152">
        <v>51525.0</v>
      </c>
      <c r="AQ21" s="152">
        <v>204.0</v>
      </c>
      <c r="AR21" s="143">
        <v>-1.0</v>
      </c>
      <c r="AS21" s="144">
        <v>0.9556829158802067</v>
      </c>
      <c r="AT21" s="144">
        <v>0.030617084119793248</v>
      </c>
      <c r="AU21" s="146" t="s">
        <v>184</v>
      </c>
      <c r="AV21" s="146" t="s">
        <v>184</v>
      </c>
      <c r="AW21" s="148" t="s">
        <v>184</v>
      </c>
      <c r="AX21" s="151"/>
      <c r="AY21" s="105"/>
      <c r="AZ21" s="153"/>
      <c r="BA21" s="153"/>
      <c r="BB21" s="146"/>
      <c r="BC21" s="45"/>
      <c r="BD21" s="45"/>
      <c r="BE21" s="45"/>
      <c r="BF21" s="45"/>
    </row>
    <row r="22">
      <c r="A22" s="79">
        <v>19.0</v>
      </c>
      <c r="B22" s="108" t="s">
        <v>187</v>
      </c>
      <c r="C22" s="115" t="s">
        <v>56</v>
      </c>
      <c r="D22" s="110">
        <v>42185.0</v>
      </c>
      <c r="E22" s="110">
        <v>42192.0</v>
      </c>
      <c r="F22" s="107" t="s">
        <v>86</v>
      </c>
      <c r="G22" s="113">
        <v>400.0</v>
      </c>
      <c r="H22" s="114">
        <v>50.0</v>
      </c>
      <c r="I22" s="119">
        <v>270.0</v>
      </c>
      <c r="J22" s="122" t="s">
        <v>62</v>
      </c>
      <c r="K22" s="121">
        <v>270.0</v>
      </c>
      <c r="L22" s="119" t="s">
        <v>63</v>
      </c>
      <c r="M22" s="119"/>
      <c r="N22" s="119"/>
      <c r="O22" s="124">
        <v>400.0</v>
      </c>
      <c r="P22" s="124">
        <v>8.0</v>
      </c>
      <c r="Q22" s="175">
        <v>318.0</v>
      </c>
      <c r="R22" s="125">
        <v>273.0</v>
      </c>
      <c r="S22" s="126">
        <v>0.989</v>
      </c>
      <c r="T22" s="127">
        <v>76647.5</v>
      </c>
      <c r="U22" s="128">
        <f t="shared" si="1"/>
        <v>0</v>
      </c>
      <c r="V22" s="107"/>
      <c r="W22" s="170"/>
      <c r="X22" s="107"/>
      <c r="Y22" s="131"/>
      <c r="Z22" s="132"/>
      <c r="AA22" s="133"/>
      <c r="AB22" s="133"/>
      <c r="AC22" s="141"/>
      <c r="AD22" s="141"/>
      <c r="AE22" s="141"/>
      <c r="AF22" s="122"/>
      <c r="AG22" s="134"/>
      <c r="AH22" s="73"/>
      <c r="AI22" s="135"/>
      <c r="AJ22" s="136"/>
      <c r="AK22" s="76"/>
      <c r="AL22" s="135"/>
      <c r="AM22" s="139" t="s">
        <v>71</v>
      </c>
      <c r="AN22" s="139">
        <v>8.0</v>
      </c>
      <c r="AO22" s="140">
        <v>1.65</v>
      </c>
      <c r="AP22" s="152">
        <v>644.0</v>
      </c>
      <c r="AQ22" s="152">
        <v>198.0</v>
      </c>
      <c r="AR22" s="143">
        <v>-1.0</v>
      </c>
      <c r="AS22" s="144">
        <v>0.9987096316256546</v>
      </c>
      <c r="AT22" s="144">
        <v>-0.009709631625654636</v>
      </c>
      <c r="AU22" s="146" t="s">
        <v>189</v>
      </c>
      <c r="AV22" s="146" t="s">
        <v>189</v>
      </c>
      <c r="AW22" s="148" t="s">
        <v>189</v>
      </c>
      <c r="AX22" s="151"/>
      <c r="AY22" s="105"/>
      <c r="AZ22" s="153"/>
      <c r="BA22" s="153"/>
      <c r="BB22" s="146"/>
      <c r="BC22" s="45"/>
      <c r="BD22" s="45"/>
      <c r="BE22" s="45"/>
      <c r="BF22" s="45"/>
    </row>
    <row r="23">
      <c r="A23" s="79">
        <v>20.0</v>
      </c>
      <c r="B23" s="108" t="s">
        <v>190</v>
      </c>
      <c r="C23" s="115" t="s">
        <v>56</v>
      </c>
      <c r="D23" s="110">
        <v>41963.0</v>
      </c>
      <c r="E23" s="110">
        <v>42202.0</v>
      </c>
      <c r="F23" s="107" t="s">
        <v>109</v>
      </c>
      <c r="G23" s="113">
        <v>17200.0</v>
      </c>
      <c r="H23" s="114">
        <v>71.7</v>
      </c>
      <c r="I23" s="119">
        <v>191.0</v>
      </c>
      <c r="J23" s="122" t="s">
        <v>61</v>
      </c>
      <c r="K23" s="121">
        <v>193.42</v>
      </c>
      <c r="L23" s="119" t="s">
        <v>63</v>
      </c>
      <c r="M23" s="119"/>
      <c r="N23" s="119"/>
      <c r="O23" s="124">
        <v>17200.0</v>
      </c>
      <c r="P23" s="124">
        <v>240.0</v>
      </c>
      <c r="Q23" s="122">
        <v>311.0</v>
      </c>
      <c r="R23" s="125">
        <v>210.0</v>
      </c>
      <c r="S23" s="126">
        <v>0.921</v>
      </c>
      <c r="T23" s="127">
        <v>53878.5</v>
      </c>
      <c r="U23" s="128">
        <f t="shared" si="1"/>
        <v>0</v>
      </c>
      <c r="V23" s="107" t="s">
        <v>68</v>
      </c>
      <c r="W23" s="107" t="s">
        <v>69</v>
      </c>
      <c r="X23" s="107" t="s">
        <v>69</v>
      </c>
      <c r="Y23" s="131">
        <v>0.9</v>
      </c>
      <c r="Z23" s="132"/>
      <c r="AA23" s="111">
        <v>205.0</v>
      </c>
      <c r="AB23" s="111" t="s">
        <v>61</v>
      </c>
      <c r="AC23" s="141"/>
      <c r="AD23" s="141"/>
      <c r="AE23" s="141"/>
      <c r="AF23" s="122"/>
      <c r="AG23" s="147"/>
      <c r="AH23" s="73"/>
      <c r="AI23" s="135"/>
      <c r="AJ23" s="136"/>
      <c r="AK23" s="76"/>
      <c r="AL23" s="135"/>
      <c r="AM23" s="139">
        <v>208.0</v>
      </c>
      <c r="AN23" s="139">
        <v>240.0</v>
      </c>
      <c r="AO23" s="140">
        <v>95.21</v>
      </c>
      <c r="AP23" s="152">
        <v>27681.0</v>
      </c>
      <c r="AQ23" s="152">
        <v>193.0</v>
      </c>
      <c r="AR23" s="143">
        <v>-1.0</v>
      </c>
      <c r="AS23" s="144">
        <v>0.9666858043090426</v>
      </c>
      <c r="AT23" s="144">
        <v>-0.045685804309042566</v>
      </c>
      <c r="AU23" s="146" t="s">
        <v>197</v>
      </c>
      <c r="AV23" s="146" t="s">
        <v>197</v>
      </c>
      <c r="AW23" s="148" t="s">
        <v>197</v>
      </c>
      <c r="AX23" s="151"/>
      <c r="AY23" s="105"/>
      <c r="AZ23" s="153"/>
      <c r="BA23" s="153"/>
      <c r="BB23" s="146"/>
      <c r="BC23" s="45"/>
      <c r="BD23" s="45"/>
      <c r="BE23" s="45"/>
      <c r="BF23" s="45"/>
    </row>
    <row r="24">
      <c r="A24" s="79">
        <v>21.0</v>
      </c>
      <c r="B24" s="108" t="s">
        <v>161</v>
      </c>
      <c r="C24" s="115" t="s">
        <v>56</v>
      </c>
      <c r="D24" s="110">
        <v>41310.0</v>
      </c>
      <c r="E24" s="110">
        <v>42202.0</v>
      </c>
      <c r="F24" s="107" t="s">
        <v>59</v>
      </c>
      <c r="G24" s="113">
        <v>34622.0</v>
      </c>
      <c r="H24" s="114">
        <v>38.8</v>
      </c>
      <c r="I24" s="119">
        <v>254.0</v>
      </c>
      <c r="J24" s="122" t="s">
        <v>62</v>
      </c>
      <c r="K24" s="121">
        <v>254.0</v>
      </c>
      <c r="L24" s="119" t="s">
        <v>63</v>
      </c>
      <c r="M24" s="119"/>
      <c r="N24" s="119"/>
      <c r="O24" s="124">
        <v>34622.0</v>
      </c>
      <c r="P24" s="124">
        <v>893.0</v>
      </c>
      <c r="Q24" s="122">
        <v>299.0</v>
      </c>
      <c r="R24" s="125">
        <v>269.0</v>
      </c>
      <c r="S24" s="126">
        <v>0.9442</v>
      </c>
      <c r="T24" s="127">
        <v>73175.5</v>
      </c>
      <c r="U24" s="128">
        <f t="shared" si="1"/>
        <v>0</v>
      </c>
      <c r="V24" s="107" t="s">
        <v>64</v>
      </c>
      <c r="W24" s="107" t="s">
        <v>69</v>
      </c>
      <c r="X24" s="107" t="s">
        <v>69</v>
      </c>
      <c r="Y24" s="131">
        <v>0.9</v>
      </c>
      <c r="Z24" s="160">
        <v>1.0</v>
      </c>
      <c r="AA24" s="111">
        <v>270.0</v>
      </c>
      <c r="AB24" s="111" t="s">
        <v>61</v>
      </c>
      <c r="AC24" s="182"/>
      <c r="AD24" s="182"/>
      <c r="AE24" s="182"/>
      <c r="AF24" s="122"/>
      <c r="AG24" s="134" t="s">
        <v>166</v>
      </c>
      <c r="AH24" s="73"/>
      <c r="AI24" s="135"/>
      <c r="AJ24" s="136"/>
      <c r="AK24" s="76"/>
      <c r="AL24" s="135"/>
      <c r="AM24" s="139">
        <v>273.0</v>
      </c>
      <c r="AN24" s="139">
        <v>893.0</v>
      </c>
      <c r="AO24" s="140">
        <v>137.45</v>
      </c>
      <c r="AP24" s="152">
        <v>55719.0</v>
      </c>
      <c r="AQ24" s="152">
        <v>186.0</v>
      </c>
      <c r="AR24" s="143">
        <v>-1.0</v>
      </c>
      <c r="AS24" s="144">
        <v>0.9543992827419342</v>
      </c>
      <c r="AT24" s="144">
        <v>-0.010199282741934157</v>
      </c>
      <c r="AU24" s="146" t="s">
        <v>204</v>
      </c>
      <c r="AV24" s="146" t="s">
        <v>204</v>
      </c>
      <c r="AW24" s="148" t="s">
        <v>204</v>
      </c>
      <c r="AX24" s="151"/>
      <c r="AY24" s="105"/>
      <c r="AZ24" s="153"/>
      <c r="BA24" s="153"/>
      <c r="BB24" s="146"/>
      <c r="BC24" s="45"/>
      <c r="BD24" s="45"/>
      <c r="BE24" s="45"/>
      <c r="BF24" s="45"/>
    </row>
    <row r="25">
      <c r="A25" s="79">
        <v>22.0</v>
      </c>
      <c r="B25" s="108" t="s">
        <v>206</v>
      </c>
      <c r="C25" s="115" t="s">
        <v>56</v>
      </c>
      <c r="D25" s="110">
        <v>41782.0</v>
      </c>
      <c r="E25" s="110">
        <v>42212.0</v>
      </c>
      <c r="F25" s="107" t="s">
        <v>59</v>
      </c>
      <c r="G25" s="113">
        <v>20240.0</v>
      </c>
      <c r="H25" s="114">
        <v>47.0</v>
      </c>
      <c r="I25" s="119">
        <v>260.0</v>
      </c>
      <c r="J25" s="122" t="s">
        <v>61</v>
      </c>
      <c r="K25" s="121">
        <v>263.29</v>
      </c>
      <c r="L25" s="119" t="s">
        <v>63</v>
      </c>
      <c r="M25" s="119"/>
      <c r="N25" s="119"/>
      <c r="O25" s="124">
        <v>20240.0</v>
      </c>
      <c r="P25" s="124">
        <v>431.0</v>
      </c>
      <c r="Q25" s="122">
        <v>289.0</v>
      </c>
      <c r="R25" s="125">
        <v>269.0</v>
      </c>
      <c r="S25" s="126">
        <v>0.9788</v>
      </c>
      <c r="T25" s="127">
        <v>75857.0</v>
      </c>
      <c r="U25" s="128">
        <f t="shared" si="1"/>
        <v>0</v>
      </c>
      <c r="V25" s="107" t="s">
        <v>67</v>
      </c>
      <c r="W25" s="107" t="s">
        <v>69</v>
      </c>
      <c r="X25" s="107" t="s">
        <v>68</v>
      </c>
      <c r="Y25" s="131">
        <v>0.6</v>
      </c>
      <c r="Z25" s="132"/>
      <c r="AA25" s="111">
        <v>266.0</v>
      </c>
      <c r="AB25" s="111" t="s">
        <v>61</v>
      </c>
      <c r="AC25" s="141"/>
      <c r="AD25" s="141"/>
      <c r="AE25" s="141"/>
      <c r="AF25" s="122"/>
      <c r="AG25" s="147"/>
      <c r="AH25" s="73"/>
      <c r="AI25" s="135"/>
      <c r="AJ25" s="136"/>
      <c r="AK25" s="76"/>
      <c r="AL25" s="135"/>
      <c r="AM25" s="139">
        <v>269.0</v>
      </c>
      <c r="AN25" s="139">
        <v>431.0</v>
      </c>
      <c r="AO25" s="140">
        <v>76.3</v>
      </c>
      <c r="AP25" s="152">
        <v>32573.0</v>
      </c>
      <c r="AQ25" s="152">
        <v>180.0</v>
      </c>
      <c r="AR25" s="143">
        <v>-1.0</v>
      </c>
      <c r="AS25" s="144">
        <v>0.9637008053449019</v>
      </c>
      <c r="AT25" s="144">
        <v>0.015099194655098125</v>
      </c>
      <c r="AU25" s="146" t="s">
        <v>213</v>
      </c>
      <c r="AV25" s="146" t="s">
        <v>213</v>
      </c>
      <c r="AW25" s="148" t="s">
        <v>213</v>
      </c>
      <c r="AX25" s="151"/>
      <c r="AY25" s="105"/>
      <c r="AZ25" s="153"/>
      <c r="BA25" s="153"/>
      <c r="BB25" s="146"/>
      <c r="BC25" s="45"/>
      <c r="BD25" s="45"/>
      <c r="BE25" s="45"/>
      <c r="BF25" s="45"/>
    </row>
    <row r="26">
      <c r="A26" s="79">
        <v>23.0</v>
      </c>
      <c r="B26" s="108" t="s">
        <v>215</v>
      </c>
      <c r="C26" s="115" t="s">
        <v>56</v>
      </c>
      <c r="D26" s="110">
        <v>42068.0</v>
      </c>
      <c r="E26" s="110">
        <v>42214.0</v>
      </c>
      <c r="F26" s="107" t="s">
        <v>90</v>
      </c>
      <c r="G26" s="113">
        <v>9100.0</v>
      </c>
      <c r="H26" s="114">
        <v>61.9</v>
      </c>
      <c r="I26" s="119">
        <v>254.0</v>
      </c>
      <c r="J26" s="122" t="s">
        <v>62</v>
      </c>
      <c r="K26" s="121">
        <v>254.0</v>
      </c>
      <c r="L26" s="119" t="s">
        <v>63</v>
      </c>
      <c r="M26" s="119"/>
      <c r="N26" s="119"/>
      <c r="O26" s="124">
        <v>9100.0</v>
      </c>
      <c r="P26" s="124">
        <v>147.0</v>
      </c>
      <c r="Q26" s="122">
        <v>316.0</v>
      </c>
      <c r="R26" s="125">
        <v>256.0</v>
      </c>
      <c r="S26" s="126">
        <v>0.9922</v>
      </c>
      <c r="T26" s="127">
        <v>76895.5</v>
      </c>
      <c r="U26" s="128">
        <f t="shared" si="1"/>
        <v>0</v>
      </c>
      <c r="V26" s="107" t="s">
        <v>65</v>
      </c>
      <c r="W26" s="107" t="s">
        <v>64</v>
      </c>
      <c r="X26" s="107" t="s">
        <v>68</v>
      </c>
      <c r="Y26" s="131">
        <v>0.9</v>
      </c>
      <c r="Z26" s="132"/>
      <c r="AA26" s="111">
        <v>255.0</v>
      </c>
      <c r="AB26" s="111" t="s">
        <v>62</v>
      </c>
      <c r="AC26" s="141"/>
      <c r="AD26" s="141"/>
      <c r="AE26" s="141"/>
      <c r="AF26" s="122"/>
      <c r="AG26" s="134" t="s">
        <v>219</v>
      </c>
      <c r="AH26" s="73"/>
      <c r="AI26" s="135"/>
      <c r="AJ26" s="136"/>
      <c r="AK26" s="76"/>
      <c r="AL26" s="135"/>
      <c r="AM26" s="139">
        <v>255.0</v>
      </c>
      <c r="AN26" s="139">
        <v>147.0</v>
      </c>
      <c r="AO26" s="140">
        <v>37.26</v>
      </c>
      <c r="AP26" s="152">
        <v>14645.0</v>
      </c>
      <c r="AQ26" s="152">
        <v>196.0</v>
      </c>
      <c r="AR26" s="143">
        <v>-1.0</v>
      </c>
      <c r="AS26" s="144">
        <v>0.9778764692847994</v>
      </c>
      <c r="AT26" s="144">
        <v>0.014323530715200539</v>
      </c>
      <c r="AU26" s="146" t="s">
        <v>220</v>
      </c>
      <c r="AV26" s="146" t="s">
        <v>220</v>
      </c>
      <c r="AW26" s="148" t="s">
        <v>220</v>
      </c>
      <c r="AX26" s="151"/>
      <c r="AY26" s="105"/>
      <c r="AZ26" s="153"/>
      <c r="BA26" s="153"/>
      <c r="BB26" s="146"/>
      <c r="BC26" s="45"/>
      <c r="BD26" s="45"/>
      <c r="BE26" s="45"/>
      <c r="BF26" s="45"/>
    </row>
    <row r="27">
      <c r="A27" s="79">
        <v>24.0</v>
      </c>
      <c r="B27" s="108" t="s">
        <v>221</v>
      </c>
      <c r="C27" s="115" t="s">
        <v>56</v>
      </c>
      <c r="D27" s="110">
        <v>42114.0</v>
      </c>
      <c r="E27" s="110">
        <v>42230.0</v>
      </c>
      <c r="F27" s="107" t="s">
        <v>86</v>
      </c>
      <c r="G27" s="113">
        <v>12500.0</v>
      </c>
      <c r="H27" s="114">
        <v>106.8</v>
      </c>
      <c r="I27" s="119">
        <v>261.0</v>
      </c>
      <c r="J27" s="122" t="s">
        <v>61</v>
      </c>
      <c r="K27" s="121">
        <v>264.3</v>
      </c>
      <c r="L27" s="119" t="s">
        <v>63</v>
      </c>
      <c r="M27" s="119"/>
      <c r="N27" s="119"/>
      <c r="O27" s="124">
        <v>12500.0</v>
      </c>
      <c r="P27" s="124">
        <v>117.0</v>
      </c>
      <c r="Q27" s="122">
        <v>298.0</v>
      </c>
      <c r="R27" s="125">
        <v>273.0</v>
      </c>
      <c r="S27" s="126">
        <v>0.9681</v>
      </c>
      <c r="T27" s="127">
        <v>75027.75</v>
      </c>
      <c r="U27" s="128">
        <f t="shared" si="1"/>
        <v>0</v>
      </c>
      <c r="V27" s="107" t="s">
        <v>65</v>
      </c>
      <c r="W27" s="107" t="s">
        <v>64</v>
      </c>
      <c r="X27" s="107" t="s">
        <v>68</v>
      </c>
      <c r="Y27" s="131">
        <v>0.8</v>
      </c>
      <c r="Z27" s="160">
        <v>10.0</v>
      </c>
      <c r="AA27" s="111">
        <v>270.0</v>
      </c>
      <c r="AB27" s="111" t="s">
        <v>61</v>
      </c>
      <c r="AC27" s="141"/>
      <c r="AD27" s="141"/>
      <c r="AE27" s="141"/>
      <c r="AF27" s="122"/>
      <c r="AG27" s="147"/>
      <c r="AH27" s="73"/>
      <c r="AI27" s="135"/>
      <c r="AJ27" s="136"/>
      <c r="AK27" s="76"/>
      <c r="AL27" s="135"/>
      <c r="AM27" s="139">
        <v>273.0</v>
      </c>
      <c r="AN27" s="139">
        <v>117.0</v>
      </c>
      <c r="AO27" s="140">
        <v>48.85</v>
      </c>
      <c r="AP27" s="152">
        <v>20117.0</v>
      </c>
      <c r="AQ27" s="152">
        <v>185.0</v>
      </c>
      <c r="AR27" s="143">
        <v>-1.0</v>
      </c>
      <c r="AS27" s="144">
        <v>0.9724877234546476</v>
      </c>
      <c r="AT27" s="144">
        <v>-0.004387723454647663</v>
      </c>
      <c r="AU27" s="146" t="s">
        <v>226</v>
      </c>
      <c r="AV27" s="146" t="s">
        <v>226</v>
      </c>
      <c r="AW27" s="148" t="s">
        <v>226</v>
      </c>
      <c r="AX27" s="151"/>
      <c r="AY27" s="105"/>
      <c r="AZ27" s="153"/>
      <c r="BA27" s="153"/>
      <c r="BB27" s="146"/>
      <c r="BC27" s="45"/>
      <c r="BD27" s="45"/>
      <c r="BE27" s="45"/>
      <c r="BF27" s="45"/>
    </row>
    <row r="28">
      <c r="A28" s="79">
        <v>25.0</v>
      </c>
      <c r="B28" s="108" t="s">
        <v>227</v>
      </c>
      <c r="C28" s="115" t="s">
        <v>56</v>
      </c>
      <c r="D28" s="110">
        <v>41958.0</v>
      </c>
      <c r="E28" s="110">
        <v>42230.0</v>
      </c>
      <c r="F28" s="107" t="s">
        <v>59</v>
      </c>
      <c r="G28" s="113">
        <v>13734.0</v>
      </c>
      <c r="H28" s="114">
        <v>50.3</v>
      </c>
      <c r="I28" s="119">
        <v>262.0</v>
      </c>
      <c r="J28" s="122" t="s">
        <v>61</v>
      </c>
      <c r="K28" s="121">
        <v>265.32</v>
      </c>
      <c r="L28" s="119" t="s">
        <v>63</v>
      </c>
      <c r="M28" s="119"/>
      <c r="N28" s="119"/>
      <c r="O28" s="124">
        <v>13734.0</v>
      </c>
      <c r="P28" s="124">
        <v>273.0</v>
      </c>
      <c r="Q28" s="122">
        <v>307.0</v>
      </c>
      <c r="R28" s="125">
        <v>269.0</v>
      </c>
      <c r="S28" s="126">
        <v>0.9863</v>
      </c>
      <c r="T28" s="127">
        <v>76438.25</v>
      </c>
      <c r="U28" s="128">
        <f t="shared" si="1"/>
        <v>0</v>
      </c>
      <c r="V28" s="107" t="s">
        <v>65</v>
      </c>
      <c r="W28" s="107" t="s">
        <v>65</v>
      </c>
      <c r="X28" s="107" t="s">
        <v>66</v>
      </c>
      <c r="Y28" s="131">
        <v>0.8</v>
      </c>
      <c r="Z28" s="160" t="s">
        <v>232</v>
      </c>
      <c r="AA28" s="111">
        <v>265.0</v>
      </c>
      <c r="AB28" s="111" t="s">
        <v>61</v>
      </c>
      <c r="AC28" s="141"/>
      <c r="AD28" s="141"/>
      <c r="AE28" s="141"/>
      <c r="AF28" s="122"/>
      <c r="AG28" s="134" t="s">
        <v>233</v>
      </c>
      <c r="AH28" s="73"/>
      <c r="AI28" s="135"/>
      <c r="AJ28" s="136"/>
      <c r="AK28" s="76"/>
      <c r="AL28" s="135"/>
      <c r="AM28" s="139">
        <v>268.0</v>
      </c>
      <c r="AN28" s="139">
        <v>273.0</v>
      </c>
      <c r="AO28" s="140">
        <v>54.79</v>
      </c>
      <c r="AP28" s="152">
        <v>22103.0</v>
      </c>
      <c r="AQ28" s="152">
        <v>191.0</v>
      </c>
      <c r="AR28" s="143">
        <v>-1.0</v>
      </c>
      <c r="AS28" s="144">
        <v>0.9708006446998138</v>
      </c>
      <c r="AT28" s="144">
        <v>0.015499355300186202</v>
      </c>
      <c r="AU28" s="146" t="s">
        <v>235</v>
      </c>
      <c r="AV28" s="146" t="s">
        <v>235</v>
      </c>
      <c r="AW28" s="148" t="s">
        <v>235</v>
      </c>
      <c r="AX28" s="151"/>
      <c r="AY28" s="105"/>
      <c r="AZ28" s="186"/>
      <c r="BA28" s="186"/>
      <c r="BB28" s="146"/>
      <c r="BC28" s="45"/>
      <c r="BD28" s="45"/>
      <c r="BE28" s="45"/>
      <c r="BF28" s="45"/>
    </row>
    <row r="29">
      <c r="A29" s="79">
        <v>26.0</v>
      </c>
      <c r="B29" s="108" t="s">
        <v>161</v>
      </c>
      <c r="C29" s="115" t="s">
        <v>56</v>
      </c>
      <c r="D29" s="110">
        <v>41310.0</v>
      </c>
      <c r="E29" s="110">
        <v>42244.0</v>
      </c>
      <c r="F29" s="107" t="s">
        <v>59</v>
      </c>
      <c r="G29" s="113">
        <v>36269.0</v>
      </c>
      <c r="H29" s="114">
        <v>38.8</v>
      </c>
      <c r="I29" s="119">
        <v>254.0</v>
      </c>
      <c r="J29" s="122" t="s">
        <v>62</v>
      </c>
      <c r="K29" s="121">
        <v>254.0</v>
      </c>
      <c r="L29" s="119" t="s">
        <v>63</v>
      </c>
      <c r="M29" s="119"/>
      <c r="N29" s="119"/>
      <c r="O29" s="124">
        <v>36269.0</v>
      </c>
      <c r="P29" s="124">
        <v>935.0</v>
      </c>
      <c r="Q29" s="122">
        <v>299.0</v>
      </c>
      <c r="R29" s="125">
        <v>269.0</v>
      </c>
      <c r="S29" s="126">
        <v>0.9442</v>
      </c>
      <c r="T29" s="127">
        <v>73175.5</v>
      </c>
      <c r="U29" s="128">
        <f t="shared" si="1"/>
        <v>0</v>
      </c>
      <c r="V29" s="107" t="s">
        <v>64</v>
      </c>
      <c r="W29" s="107" t="s">
        <v>69</v>
      </c>
      <c r="X29" s="107" t="s">
        <v>69</v>
      </c>
      <c r="Y29" s="131">
        <v>0.9</v>
      </c>
      <c r="Z29" s="160">
        <v>1.0</v>
      </c>
      <c r="AA29" s="111">
        <v>270.0</v>
      </c>
      <c r="AB29" s="111" t="s">
        <v>61</v>
      </c>
      <c r="AC29" s="141"/>
      <c r="AD29" s="141"/>
      <c r="AE29" s="141"/>
      <c r="AF29" s="122"/>
      <c r="AG29" s="134" t="s">
        <v>166</v>
      </c>
      <c r="AH29" s="73"/>
      <c r="AI29" s="135"/>
      <c r="AJ29" s="136"/>
      <c r="AK29" s="76"/>
      <c r="AL29" s="135"/>
      <c r="AM29" s="139">
        <v>273.0</v>
      </c>
      <c r="AN29" s="139">
        <v>935.0</v>
      </c>
      <c r="AO29" s="140">
        <v>143.98</v>
      </c>
      <c r="AP29" s="152">
        <v>58369.0</v>
      </c>
      <c r="AQ29" s="152">
        <v>186.0</v>
      </c>
      <c r="AR29" s="143">
        <v>-1.0</v>
      </c>
      <c r="AS29" s="144">
        <v>0.9536476955111343</v>
      </c>
      <c r="AT29" s="144">
        <v>-0.009447695511134224</v>
      </c>
      <c r="AU29" s="146" t="s">
        <v>243</v>
      </c>
      <c r="AV29" s="146" t="s">
        <v>243</v>
      </c>
      <c r="AW29" s="148" t="s">
        <v>243</v>
      </c>
      <c r="AX29" s="151"/>
      <c r="AY29" s="105"/>
      <c r="AZ29" s="186"/>
      <c r="BA29" s="186"/>
      <c r="BB29" s="146"/>
      <c r="BC29" s="45"/>
      <c r="BD29" s="45"/>
      <c r="BE29" s="45"/>
      <c r="BF29" s="45"/>
    </row>
    <row r="30">
      <c r="A30" s="79">
        <v>27.0</v>
      </c>
      <c r="B30" s="108" t="s">
        <v>244</v>
      </c>
      <c r="C30" s="115" t="s">
        <v>56</v>
      </c>
      <c r="D30" s="110">
        <v>41800.0</v>
      </c>
      <c r="E30" s="110">
        <v>42246.0</v>
      </c>
      <c r="F30" s="107" t="s">
        <v>109</v>
      </c>
      <c r="G30" s="113">
        <v>25500.0</v>
      </c>
      <c r="H30" s="114">
        <v>57.0</v>
      </c>
      <c r="I30" s="119">
        <v>186.0</v>
      </c>
      <c r="J30" s="122" t="s">
        <v>62</v>
      </c>
      <c r="K30" s="121">
        <v>186.0</v>
      </c>
      <c r="L30" s="119" t="s">
        <v>63</v>
      </c>
      <c r="M30" s="119"/>
      <c r="N30" s="119"/>
      <c r="O30" s="124">
        <v>25500.0</v>
      </c>
      <c r="P30" s="124">
        <v>447.0</v>
      </c>
      <c r="Q30" s="122">
        <v>266.0</v>
      </c>
      <c r="R30" s="125">
        <v>210.0</v>
      </c>
      <c r="S30" s="126">
        <v>0.8857</v>
      </c>
      <c r="T30" s="127">
        <v>51813.450000000004</v>
      </c>
      <c r="U30" s="128">
        <f t="shared" si="1"/>
        <v>0</v>
      </c>
      <c r="V30" s="107" t="s">
        <v>65</v>
      </c>
      <c r="W30" s="107" t="s">
        <v>64</v>
      </c>
      <c r="X30" s="107" t="s">
        <v>66</v>
      </c>
      <c r="Y30" s="131">
        <v>0.8</v>
      </c>
      <c r="Z30" s="160" t="s">
        <v>249</v>
      </c>
      <c r="AA30" s="133"/>
      <c r="AB30" s="133"/>
      <c r="AC30" s="141"/>
      <c r="AD30" s="141"/>
      <c r="AE30" s="141"/>
      <c r="AF30" s="122"/>
      <c r="AG30" s="134" t="s">
        <v>251</v>
      </c>
      <c r="AH30" s="73"/>
      <c r="AI30" s="135"/>
      <c r="AJ30" s="136"/>
      <c r="AK30" s="76"/>
      <c r="AL30" s="135"/>
      <c r="AM30" s="139" t="s">
        <v>71</v>
      </c>
      <c r="AN30" s="139">
        <v>447.0</v>
      </c>
      <c r="AO30" s="140">
        <v>123.0</v>
      </c>
      <c r="AP30" s="152">
        <v>41038.0</v>
      </c>
      <c r="AQ30" s="152">
        <v>165.0</v>
      </c>
      <c r="AR30" s="143">
        <v>-1.0</v>
      </c>
      <c r="AS30" s="144">
        <v>0.9595614290923036</v>
      </c>
      <c r="AT30" s="144">
        <v>-0.07386142909230353</v>
      </c>
      <c r="AU30" s="146" t="s">
        <v>252</v>
      </c>
      <c r="AV30" s="146" t="s">
        <v>252</v>
      </c>
      <c r="AW30" s="148" t="s">
        <v>252</v>
      </c>
      <c r="AX30" s="151"/>
      <c r="AY30" s="105"/>
      <c r="AZ30" s="186"/>
      <c r="BA30" s="186"/>
      <c r="BB30" s="146"/>
      <c r="BC30" s="45"/>
      <c r="BD30" s="45"/>
      <c r="BE30" s="45"/>
      <c r="BF30" s="45"/>
    </row>
    <row r="31">
      <c r="A31" s="79">
        <v>28.0</v>
      </c>
      <c r="B31" s="108" t="s">
        <v>253</v>
      </c>
      <c r="C31" s="115" t="s">
        <v>56</v>
      </c>
      <c r="D31" s="110">
        <v>41974.0</v>
      </c>
      <c r="E31" s="110">
        <v>42249.0</v>
      </c>
      <c r="F31" s="107" t="s">
        <v>59</v>
      </c>
      <c r="G31" s="113">
        <v>12000.0</v>
      </c>
      <c r="H31" s="114">
        <v>43.5</v>
      </c>
      <c r="I31" s="119">
        <v>263.0</v>
      </c>
      <c r="J31" s="122" t="s">
        <v>62</v>
      </c>
      <c r="K31" s="121">
        <v>263.0</v>
      </c>
      <c r="L31" s="119" t="s">
        <v>63</v>
      </c>
      <c r="M31" s="119"/>
      <c r="N31" s="119"/>
      <c r="O31" s="124">
        <v>12000.0</v>
      </c>
      <c r="P31" s="124">
        <v>276.0</v>
      </c>
      <c r="Q31" s="122">
        <v>314.0</v>
      </c>
      <c r="R31" s="125">
        <v>269.0</v>
      </c>
      <c r="S31" s="126">
        <v>0.9777</v>
      </c>
      <c r="T31" s="127">
        <v>75771.75</v>
      </c>
      <c r="U31" s="128">
        <f t="shared" si="1"/>
        <v>0</v>
      </c>
      <c r="V31" s="107" t="s">
        <v>64</v>
      </c>
      <c r="W31" s="107" t="s">
        <v>65</v>
      </c>
      <c r="X31" s="107" t="s">
        <v>68</v>
      </c>
      <c r="Y31" s="131">
        <v>0.8</v>
      </c>
      <c r="Z31" s="132"/>
      <c r="AA31" s="111">
        <v>265.0</v>
      </c>
      <c r="AB31" s="133"/>
      <c r="AC31" s="141"/>
      <c r="AD31" s="141"/>
      <c r="AE31" s="141"/>
      <c r="AF31" s="122"/>
      <c r="AG31" s="147"/>
      <c r="AH31" s="73"/>
      <c r="AI31" s="135"/>
      <c r="AJ31" s="136"/>
      <c r="AK31" s="76"/>
      <c r="AL31" s="135"/>
      <c r="AM31" s="139">
        <v>265.0</v>
      </c>
      <c r="AN31" s="139">
        <v>276.0</v>
      </c>
      <c r="AO31" s="140">
        <v>49.18</v>
      </c>
      <c r="AP31" s="152">
        <v>19312.0</v>
      </c>
      <c r="AQ31" s="152">
        <v>195.0</v>
      </c>
      <c r="AR31" s="143">
        <v>-1.0</v>
      </c>
      <c r="AS31" s="144">
        <v>0.9732093440275803</v>
      </c>
      <c r="AT31" s="144">
        <v>0.00449065597241971</v>
      </c>
      <c r="AU31" s="146" t="s">
        <v>260</v>
      </c>
      <c r="AV31" s="146" t="s">
        <v>260</v>
      </c>
      <c r="AW31" s="148" t="s">
        <v>260</v>
      </c>
      <c r="AX31" s="151"/>
      <c r="AY31" s="105"/>
      <c r="AZ31" s="186"/>
      <c r="BA31" s="186"/>
      <c r="BB31" s="146"/>
      <c r="BC31" s="45"/>
      <c r="BD31" s="45"/>
      <c r="BE31" s="45"/>
      <c r="BF31" s="45"/>
    </row>
    <row r="32">
      <c r="A32" s="79">
        <v>29.0</v>
      </c>
      <c r="B32" s="108" t="s">
        <v>262</v>
      </c>
      <c r="C32" s="115" t="s">
        <v>56</v>
      </c>
      <c r="D32" s="110">
        <v>41379.0</v>
      </c>
      <c r="E32" s="110">
        <v>42249.0</v>
      </c>
      <c r="F32" s="107" t="s">
        <v>109</v>
      </c>
      <c r="G32" s="113">
        <v>28000.0</v>
      </c>
      <c r="H32" s="114">
        <v>32.1</v>
      </c>
      <c r="I32" s="119">
        <v>197.0</v>
      </c>
      <c r="J32" s="122" t="s">
        <v>62</v>
      </c>
      <c r="K32" s="121">
        <v>197.0</v>
      </c>
      <c r="L32" s="119" t="s">
        <v>63</v>
      </c>
      <c r="M32" s="119"/>
      <c r="N32" s="119"/>
      <c r="O32" s="124">
        <v>28000.0</v>
      </c>
      <c r="P32" s="124">
        <v>871.0</v>
      </c>
      <c r="Q32" s="122">
        <v>275.0</v>
      </c>
      <c r="R32" s="125">
        <v>210.0</v>
      </c>
      <c r="S32" s="126">
        <v>0.9381</v>
      </c>
      <c r="T32" s="127">
        <v>54878.850000000006</v>
      </c>
      <c r="U32" s="128">
        <f t="shared" si="1"/>
        <v>0</v>
      </c>
      <c r="V32" s="107" t="s">
        <v>68</v>
      </c>
      <c r="W32" s="107" t="s">
        <v>68</v>
      </c>
      <c r="X32" s="107" t="s">
        <v>69</v>
      </c>
      <c r="Y32" s="131">
        <v>0.7</v>
      </c>
      <c r="Z32" s="160">
        <v>10.0</v>
      </c>
      <c r="AA32" s="111">
        <v>209.0</v>
      </c>
      <c r="AB32" s="111" t="s">
        <v>62</v>
      </c>
      <c r="AC32" s="141"/>
      <c r="AD32" s="141"/>
      <c r="AE32" s="141"/>
      <c r="AF32" s="122"/>
      <c r="AG32" s="147"/>
      <c r="AH32" s="73"/>
      <c r="AI32" s="135"/>
      <c r="AJ32" s="136"/>
      <c r="AK32" s="76"/>
      <c r="AL32" s="135"/>
      <c r="AM32" s="139">
        <v>209.0</v>
      </c>
      <c r="AN32" s="139">
        <v>871.0</v>
      </c>
      <c r="AO32" s="140">
        <v>135.88</v>
      </c>
      <c r="AP32" s="152">
        <v>45062.0</v>
      </c>
      <c r="AQ32" s="152">
        <v>171.0</v>
      </c>
      <c r="AR32" s="143">
        <v>-1.0</v>
      </c>
      <c r="AS32" s="144">
        <v>0.9579403560268893</v>
      </c>
      <c r="AT32" s="144">
        <v>-0.019840356026889272</v>
      </c>
      <c r="AU32" s="146" t="s">
        <v>266</v>
      </c>
      <c r="AV32" s="146" t="s">
        <v>266</v>
      </c>
      <c r="AW32" s="148" t="s">
        <v>266</v>
      </c>
      <c r="AX32" s="151"/>
      <c r="AY32" s="105"/>
      <c r="AZ32" s="186"/>
      <c r="BA32" s="186"/>
      <c r="BB32" s="146"/>
      <c r="BC32" s="45"/>
      <c r="BD32" s="45"/>
      <c r="BE32" s="45"/>
      <c r="BF32" s="45"/>
    </row>
    <row r="33">
      <c r="A33" s="79">
        <v>30.0</v>
      </c>
      <c r="B33" s="108" t="s">
        <v>267</v>
      </c>
      <c r="C33" s="115" t="s">
        <v>56</v>
      </c>
      <c r="D33" s="110">
        <v>42139.0</v>
      </c>
      <c r="E33" s="110">
        <v>42256.0</v>
      </c>
      <c r="F33" s="107" t="s">
        <v>118</v>
      </c>
      <c r="G33" s="113">
        <v>4674.0</v>
      </c>
      <c r="H33" s="114">
        <v>39.6</v>
      </c>
      <c r="I33" s="119">
        <v>237.0</v>
      </c>
      <c r="J33" s="122" t="s">
        <v>62</v>
      </c>
      <c r="K33" s="121">
        <v>237.0</v>
      </c>
      <c r="L33" s="119" t="s">
        <v>63</v>
      </c>
      <c r="M33" s="119"/>
      <c r="N33" s="119"/>
      <c r="O33" s="124">
        <v>4674.0</v>
      </c>
      <c r="P33" s="124">
        <v>118.0</v>
      </c>
      <c r="Q33" s="122">
        <v>281.0</v>
      </c>
      <c r="R33" s="125">
        <v>243.0</v>
      </c>
      <c r="S33" s="126">
        <v>0.9753</v>
      </c>
      <c r="T33" s="127">
        <v>67100.64</v>
      </c>
      <c r="U33" s="128">
        <f t="shared" si="1"/>
        <v>0</v>
      </c>
      <c r="V33" s="107" t="s">
        <v>65</v>
      </c>
      <c r="W33" s="107" t="s">
        <v>68</v>
      </c>
      <c r="X33" s="107" t="s">
        <v>68</v>
      </c>
      <c r="Y33" s="131">
        <v>0.9</v>
      </c>
      <c r="Z33" s="160" t="s">
        <v>272</v>
      </c>
      <c r="AA33" s="111">
        <v>240.0</v>
      </c>
      <c r="AB33" s="111" t="s">
        <v>61</v>
      </c>
      <c r="AC33" s="141"/>
      <c r="AD33" s="141"/>
      <c r="AE33" s="141"/>
      <c r="AF33" s="122"/>
      <c r="AG33" s="134" t="s">
        <v>274</v>
      </c>
      <c r="AH33" s="73"/>
      <c r="AI33" s="135"/>
      <c r="AJ33" s="136"/>
      <c r="AK33" s="76"/>
      <c r="AL33" s="135"/>
      <c r="AM33" s="139">
        <v>243.0</v>
      </c>
      <c r="AN33" s="139">
        <v>118.0</v>
      </c>
      <c r="AO33" s="140">
        <v>19.33</v>
      </c>
      <c r="AP33" s="152">
        <v>7522.0</v>
      </c>
      <c r="AQ33" s="152">
        <v>175.0</v>
      </c>
      <c r="AR33" s="143">
        <v>-1.0</v>
      </c>
      <c r="AS33" s="144">
        <v>0.9869475318038543</v>
      </c>
      <c r="AT33" s="144">
        <v>-0.01164753180385436</v>
      </c>
      <c r="AU33" s="146" t="s">
        <v>275</v>
      </c>
      <c r="AV33" s="146" t="s">
        <v>275</v>
      </c>
      <c r="AW33" s="148" t="s">
        <v>275</v>
      </c>
      <c r="AX33" s="151"/>
      <c r="AY33" s="105"/>
      <c r="AZ33" s="186"/>
      <c r="BA33" s="186"/>
      <c r="BB33" s="146"/>
      <c r="BC33" s="45"/>
      <c r="BD33" s="45"/>
      <c r="BE33" s="45"/>
      <c r="BF33" s="45"/>
    </row>
    <row r="34">
      <c r="A34" s="79">
        <v>31.0</v>
      </c>
      <c r="B34" s="108" t="s">
        <v>161</v>
      </c>
      <c r="C34" s="115" t="s">
        <v>56</v>
      </c>
      <c r="D34" s="110">
        <v>41310.0</v>
      </c>
      <c r="E34" s="110">
        <v>42258.0</v>
      </c>
      <c r="F34" s="107" t="s">
        <v>59</v>
      </c>
      <c r="G34" s="113">
        <v>36771.0</v>
      </c>
      <c r="H34" s="114">
        <v>38.7</v>
      </c>
      <c r="I34" s="119">
        <v>253.0</v>
      </c>
      <c r="J34" s="122" t="s">
        <v>62</v>
      </c>
      <c r="K34" s="121">
        <v>253.0</v>
      </c>
      <c r="L34" s="119" t="s">
        <v>63</v>
      </c>
      <c r="M34" s="119"/>
      <c r="N34" s="119"/>
      <c r="O34" s="124">
        <v>36771.0</v>
      </c>
      <c r="P34" s="124">
        <v>949.0</v>
      </c>
      <c r="Q34" s="122">
        <v>299.0</v>
      </c>
      <c r="R34" s="125">
        <v>269.0</v>
      </c>
      <c r="S34" s="126">
        <v>0.9405</v>
      </c>
      <c r="T34" s="127">
        <v>72888.75</v>
      </c>
      <c r="U34" s="128">
        <f t="shared" si="1"/>
        <v>0</v>
      </c>
      <c r="V34" s="107" t="s">
        <v>64</v>
      </c>
      <c r="W34" s="107" t="s">
        <v>69</v>
      </c>
      <c r="X34" s="107" t="s">
        <v>69</v>
      </c>
      <c r="Y34" s="131">
        <v>0.9</v>
      </c>
      <c r="Z34" s="160">
        <v>1.0</v>
      </c>
      <c r="AA34" s="111">
        <v>270.0</v>
      </c>
      <c r="AB34" s="111" t="s">
        <v>61</v>
      </c>
      <c r="AC34" s="141"/>
      <c r="AD34" s="141"/>
      <c r="AE34" s="141"/>
      <c r="AF34" s="122"/>
      <c r="AG34" s="134" t="s">
        <v>166</v>
      </c>
      <c r="AH34" s="73"/>
      <c r="AI34" s="135"/>
      <c r="AJ34" s="136"/>
      <c r="AK34" s="76"/>
      <c r="AL34" s="135"/>
      <c r="AM34" s="139">
        <v>273.0</v>
      </c>
      <c r="AN34" s="139">
        <v>949.0</v>
      </c>
      <c r="AO34" s="140">
        <v>146.26</v>
      </c>
      <c r="AP34" s="152">
        <v>59177.0</v>
      </c>
      <c r="AQ34" s="152">
        <v>186.0</v>
      </c>
      <c r="AR34" s="143">
        <v>-1.0</v>
      </c>
      <c r="AS34" s="144">
        <v>0.9534266441935053</v>
      </c>
      <c r="AT34" s="144">
        <v>-0.01292664419350531</v>
      </c>
      <c r="AU34" s="146" t="s">
        <v>283</v>
      </c>
      <c r="AV34" s="146" t="s">
        <v>283</v>
      </c>
      <c r="AW34" s="148" t="s">
        <v>283</v>
      </c>
      <c r="AX34" s="151"/>
      <c r="AY34" s="105"/>
      <c r="AZ34" s="186"/>
      <c r="BA34" s="186"/>
      <c r="BB34" s="146"/>
      <c r="BC34" s="45"/>
      <c r="BD34" s="45"/>
      <c r="BE34" s="45"/>
      <c r="BF34" s="45"/>
    </row>
    <row r="35">
      <c r="A35" s="79">
        <v>32.0</v>
      </c>
      <c r="B35" s="108" t="s">
        <v>286</v>
      </c>
      <c r="C35" s="115" t="s">
        <v>56</v>
      </c>
      <c r="D35" s="110">
        <v>42013.0</v>
      </c>
      <c r="E35" s="110">
        <v>42317.0</v>
      </c>
      <c r="F35" s="107" t="s">
        <v>79</v>
      </c>
      <c r="G35" s="113">
        <v>34500.0</v>
      </c>
      <c r="H35" s="114">
        <v>113.1</v>
      </c>
      <c r="I35" s="119">
        <v>260.0</v>
      </c>
      <c r="J35" s="122" t="s">
        <v>62</v>
      </c>
      <c r="K35" s="121">
        <v>260.0</v>
      </c>
      <c r="L35" s="119" t="s">
        <v>63</v>
      </c>
      <c r="M35" s="119"/>
      <c r="N35" s="119"/>
      <c r="O35" s="124">
        <v>34500.0</v>
      </c>
      <c r="P35" s="124">
        <v>305.0</v>
      </c>
      <c r="Q35" s="122">
        <v>355.0</v>
      </c>
      <c r="R35" s="125">
        <v>269.0</v>
      </c>
      <c r="S35" s="126">
        <v>0.9665</v>
      </c>
      <c r="T35" s="127">
        <v>74903.75</v>
      </c>
      <c r="U35" s="128">
        <f t="shared" si="1"/>
        <v>0</v>
      </c>
      <c r="V35" s="107" t="s">
        <v>64</v>
      </c>
      <c r="W35" s="107" t="s">
        <v>69</v>
      </c>
      <c r="X35" s="107" t="s">
        <v>69</v>
      </c>
      <c r="Y35" s="131">
        <v>0.8</v>
      </c>
      <c r="Z35" s="132"/>
      <c r="AA35" s="133"/>
      <c r="AB35" s="133"/>
      <c r="AC35" s="141"/>
      <c r="AD35" s="141"/>
      <c r="AE35" s="141"/>
      <c r="AF35" s="122"/>
      <c r="AG35" s="147"/>
      <c r="AH35" s="73"/>
      <c r="AI35" s="135"/>
      <c r="AJ35" s="136"/>
      <c r="AK35" s="76"/>
      <c r="AL35" s="135"/>
      <c r="AM35" s="139" t="s">
        <v>71</v>
      </c>
      <c r="AN35" s="139">
        <v>305.0</v>
      </c>
      <c r="AO35" s="140">
        <v>160.74</v>
      </c>
      <c r="AP35" s="152">
        <v>55522.0</v>
      </c>
      <c r="AQ35" s="152">
        <v>221.0</v>
      </c>
      <c r="AR35" s="143">
        <v>-1.0</v>
      </c>
      <c r="AS35" s="144">
        <v>0.9544568798405803</v>
      </c>
      <c r="AT35" s="144">
        <v>0.012043120159419773</v>
      </c>
      <c r="AU35" s="146" t="s">
        <v>289</v>
      </c>
      <c r="AV35" s="146" t="s">
        <v>289</v>
      </c>
      <c r="AW35" s="148" t="s">
        <v>289</v>
      </c>
      <c r="AX35" s="151"/>
      <c r="AY35" s="105"/>
      <c r="AZ35" s="186"/>
      <c r="BA35" s="186"/>
      <c r="BB35" s="146"/>
      <c r="BC35" s="45"/>
      <c r="BD35" s="45"/>
      <c r="BE35" s="45"/>
      <c r="BF35" s="45"/>
    </row>
    <row r="36">
      <c r="A36" s="79">
        <v>33.0</v>
      </c>
      <c r="B36" s="108" t="s">
        <v>290</v>
      </c>
      <c r="C36" s="115" t="s">
        <v>56</v>
      </c>
      <c r="D36" s="110">
        <v>41396.0</v>
      </c>
      <c r="E36" s="110">
        <v>42261.0</v>
      </c>
      <c r="F36" s="107" t="s">
        <v>109</v>
      </c>
      <c r="G36" s="113">
        <v>35000.0</v>
      </c>
      <c r="H36" s="114">
        <v>40.4</v>
      </c>
      <c r="I36" s="119">
        <v>198.0</v>
      </c>
      <c r="J36" s="122" t="s">
        <v>62</v>
      </c>
      <c r="K36" s="121">
        <v>198.0</v>
      </c>
      <c r="L36" s="119" t="s">
        <v>63</v>
      </c>
      <c r="M36" s="119"/>
      <c r="N36" s="119"/>
      <c r="O36" s="124">
        <v>35000.0</v>
      </c>
      <c r="P36" s="124">
        <v>866.0</v>
      </c>
      <c r="Q36" s="122">
        <v>309.0</v>
      </c>
      <c r="R36" s="125">
        <v>210.0</v>
      </c>
      <c r="S36" s="126">
        <v>0.9429</v>
      </c>
      <c r="T36" s="127">
        <v>55159.649999999994</v>
      </c>
      <c r="U36" s="128">
        <f t="shared" si="1"/>
        <v>0</v>
      </c>
      <c r="V36" s="170"/>
      <c r="W36" s="170"/>
      <c r="X36" s="170"/>
      <c r="Y36" s="131">
        <v>0.9</v>
      </c>
      <c r="Z36" s="132"/>
      <c r="AA36" s="111">
        <v>205.0</v>
      </c>
      <c r="AB36" s="111" t="s">
        <v>61</v>
      </c>
      <c r="AC36" s="141"/>
      <c r="AD36" s="141"/>
      <c r="AE36" s="141"/>
      <c r="AF36" s="122"/>
      <c r="AG36" s="147"/>
      <c r="AH36" s="73"/>
      <c r="AI36" s="135"/>
      <c r="AJ36" s="136"/>
      <c r="AK36" s="76"/>
      <c r="AL36" s="135"/>
      <c r="AM36" s="139">
        <v>208.0</v>
      </c>
      <c r="AN36" s="139">
        <v>866.0</v>
      </c>
      <c r="AO36" s="140">
        <v>190.35</v>
      </c>
      <c r="AP36" s="152">
        <v>56327.0</v>
      </c>
      <c r="AQ36" s="152">
        <v>192.0</v>
      </c>
      <c r="AR36" s="143">
        <v>-1.0</v>
      </c>
      <c r="AS36" s="144">
        <v>0.9542230743697894</v>
      </c>
      <c r="AT36" s="144">
        <v>-0.01132307436978941</v>
      </c>
      <c r="AU36" s="146" t="s">
        <v>295</v>
      </c>
      <c r="AV36" s="146" t="s">
        <v>295</v>
      </c>
      <c r="AW36" s="148" t="s">
        <v>295</v>
      </c>
      <c r="AX36" s="151"/>
      <c r="AY36" s="105"/>
      <c r="AZ36" s="186"/>
      <c r="BA36" s="186"/>
      <c r="BB36" s="146"/>
      <c r="BC36" s="45"/>
      <c r="BD36" s="45"/>
      <c r="BE36" s="45"/>
      <c r="BF36" s="45"/>
    </row>
    <row r="37">
      <c r="A37" s="79">
        <v>34.0</v>
      </c>
      <c r="B37" s="108" t="s">
        <v>296</v>
      </c>
      <c r="C37" s="115" t="s">
        <v>56</v>
      </c>
      <c r="D37" s="110">
        <v>41716.0</v>
      </c>
      <c r="E37" s="110">
        <v>42252.0</v>
      </c>
      <c r="F37" s="107" t="s">
        <v>59</v>
      </c>
      <c r="G37" s="113">
        <v>32000.0</v>
      </c>
      <c r="H37" s="114">
        <v>59.6</v>
      </c>
      <c r="I37" s="119">
        <v>264.0</v>
      </c>
      <c r="J37" s="122" t="s">
        <v>62</v>
      </c>
      <c r="K37" s="121">
        <v>264.0</v>
      </c>
      <c r="L37" s="119" t="s">
        <v>63</v>
      </c>
      <c r="M37" s="119"/>
      <c r="N37" s="119"/>
      <c r="O37" s="124">
        <v>32000.0</v>
      </c>
      <c r="P37" s="124">
        <v>537.0</v>
      </c>
      <c r="Q37" s="122">
        <v>334.0</v>
      </c>
      <c r="R37" s="125">
        <v>269.0</v>
      </c>
      <c r="S37" s="126">
        <v>0.9814</v>
      </c>
      <c r="T37" s="127">
        <v>76058.5</v>
      </c>
      <c r="U37" s="128">
        <f t="shared" si="1"/>
        <v>0</v>
      </c>
      <c r="V37" s="107" t="s">
        <v>69</v>
      </c>
      <c r="W37" s="107" t="s">
        <v>65</v>
      </c>
      <c r="X37" s="107" t="s">
        <v>66</v>
      </c>
      <c r="Y37" s="131">
        <v>0.9</v>
      </c>
      <c r="Z37" s="132"/>
      <c r="AA37" s="111">
        <v>265.0</v>
      </c>
      <c r="AB37" s="111" t="s">
        <v>61</v>
      </c>
      <c r="AC37" s="141"/>
      <c r="AD37" s="141"/>
      <c r="AE37" s="141"/>
      <c r="AF37" s="122"/>
      <c r="AG37" s="134" t="s">
        <v>301</v>
      </c>
      <c r="AH37" s="73"/>
      <c r="AI37" s="135"/>
      <c r="AJ37" s="136"/>
      <c r="AK37" s="76"/>
      <c r="AL37" s="135"/>
      <c r="AM37" s="139">
        <v>268.0</v>
      </c>
      <c r="AN37" s="139">
        <v>537.0</v>
      </c>
      <c r="AO37" s="140">
        <v>139.23</v>
      </c>
      <c r="AP37" s="152">
        <v>51499.0</v>
      </c>
      <c r="AQ37" s="152">
        <v>208.0</v>
      </c>
      <c r="AR37" s="143">
        <v>-1.0</v>
      </c>
      <c r="AS37" s="144">
        <v>0.9556912739920145</v>
      </c>
      <c r="AT37" s="144">
        <v>0.02570872600798557</v>
      </c>
      <c r="AU37" s="146" t="s">
        <v>303</v>
      </c>
      <c r="AV37" s="146" t="s">
        <v>303</v>
      </c>
      <c r="AW37" s="148" t="s">
        <v>303</v>
      </c>
      <c r="AX37" s="151"/>
      <c r="AY37" s="105"/>
      <c r="AZ37" s="186"/>
      <c r="BA37" s="186"/>
      <c r="BB37" s="146"/>
      <c r="BC37" s="45"/>
      <c r="BD37" s="45"/>
      <c r="BE37" s="45"/>
      <c r="BF37" s="45"/>
    </row>
    <row r="38">
      <c r="A38" s="79">
        <v>35.0</v>
      </c>
      <c r="B38" s="108" t="s">
        <v>306</v>
      </c>
      <c r="C38" s="115" t="s">
        <v>56</v>
      </c>
      <c r="D38" s="110">
        <v>41274.0</v>
      </c>
      <c r="E38" s="110">
        <v>42261.0</v>
      </c>
      <c r="F38" s="107" t="s">
        <v>79</v>
      </c>
      <c r="G38" s="113">
        <v>35700.0</v>
      </c>
      <c r="H38" s="114">
        <v>36.1</v>
      </c>
      <c r="I38" s="119">
        <v>256.0</v>
      </c>
      <c r="J38" s="122" t="s">
        <v>61</v>
      </c>
      <c r="K38" s="121">
        <v>259.24</v>
      </c>
      <c r="L38" s="119" t="s">
        <v>63</v>
      </c>
      <c r="M38" s="119"/>
      <c r="N38" s="119"/>
      <c r="O38" s="124">
        <v>35700.0</v>
      </c>
      <c r="P38" s="124">
        <v>988.0</v>
      </c>
      <c r="Q38" s="122">
        <v>334.0</v>
      </c>
      <c r="R38" s="125">
        <v>269.0</v>
      </c>
      <c r="S38" s="126">
        <v>0.9637</v>
      </c>
      <c r="T38" s="127">
        <v>74686.75</v>
      </c>
      <c r="U38" s="128">
        <f t="shared" si="1"/>
        <v>0</v>
      </c>
      <c r="V38" s="107" t="s">
        <v>69</v>
      </c>
      <c r="W38" s="107" t="s">
        <v>69</v>
      </c>
      <c r="X38" s="107" t="s">
        <v>69</v>
      </c>
      <c r="Y38" s="131">
        <v>0.9</v>
      </c>
      <c r="Z38" s="160">
        <v>20.0</v>
      </c>
      <c r="AA38" s="133"/>
      <c r="AB38" s="133"/>
      <c r="AC38" s="141"/>
      <c r="AD38" s="141"/>
      <c r="AE38" s="141"/>
      <c r="AF38" s="122"/>
      <c r="AG38" s="147"/>
      <c r="AH38" s="73"/>
      <c r="AI38" s="135"/>
      <c r="AJ38" s="136"/>
      <c r="AK38" s="76"/>
      <c r="AL38" s="135"/>
      <c r="AM38" s="139" t="s">
        <v>71</v>
      </c>
      <c r="AN38" s="139">
        <v>988.0</v>
      </c>
      <c r="AO38" s="140">
        <v>156.74</v>
      </c>
      <c r="AP38" s="152">
        <v>57454.0</v>
      </c>
      <c r="AQ38" s="152">
        <v>208.0</v>
      </c>
      <c r="AR38" s="143">
        <v>-1.0</v>
      </c>
      <c r="AS38" s="144">
        <v>0.9539024715506059</v>
      </c>
      <c r="AT38" s="144">
        <v>0.009797528449394077</v>
      </c>
      <c r="AU38" s="146" t="s">
        <v>312</v>
      </c>
      <c r="AV38" s="146" t="s">
        <v>312</v>
      </c>
      <c r="AW38" s="148" t="s">
        <v>312</v>
      </c>
      <c r="AX38" s="151"/>
      <c r="AY38" s="105"/>
      <c r="AZ38" s="186"/>
      <c r="BA38" s="186"/>
      <c r="BB38" s="146"/>
      <c r="BC38" s="45"/>
      <c r="BD38" s="45"/>
      <c r="BE38" s="45"/>
      <c r="BF38" s="45"/>
    </row>
    <row r="39">
      <c r="A39" s="79">
        <v>36.0</v>
      </c>
      <c r="B39" s="108" t="s">
        <v>314</v>
      </c>
      <c r="C39" s="115" t="s">
        <v>56</v>
      </c>
      <c r="D39" s="110">
        <v>42228.0</v>
      </c>
      <c r="E39" s="110">
        <v>42240.0</v>
      </c>
      <c r="F39" s="107" t="s">
        <v>316</v>
      </c>
      <c r="G39" s="113">
        <v>864.0</v>
      </c>
      <c r="H39" s="114">
        <v>66.5</v>
      </c>
      <c r="I39" s="119">
        <v>283.0</v>
      </c>
      <c r="J39" s="122" t="s">
        <v>61</v>
      </c>
      <c r="K39" s="121">
        <v>286.58</v>
      </c>
      <c r="L39" s="119" t="s">
        <v>63</v>
      </c>
      <c r="M39" s="119"/>
      <c r="N39" s="119"/>
      <c r="O39" s="124">
        <v>864.0</v>
      </c>
      <c r="P39" s="124">
        <v>13.0</v>
      </c>
      <c r="Q39" s="175">
        <v>318.0</v>
      </c>
      <c r="R39" s="125">
        <v>280.0</v>
      </c>
      <c r="S39" s="126">
        <v>1.0235</v>
      </c>
      <c r="T39" s="127">
        <v>83722.3</v>
      </c>
      <c r="U39" s="128">
        <f t="shared" si="1"/>
        <v>0</v>
      </c>
      <c r="V39" s="170"/>
      <c r="W39" s="170"/>
      <c r="X39" s="170"/>
      <c r="Y39" s="131"/>
      <c r="Z39" s="132"/>
      <c r="AA39" s="133"/>
      <c r="AB39" s="133"/>
      <c r="AC39" s="141"/>
      <c r="AD39" s="141"/>
      <c r="AE39" s="141"/>
      <c r="AF39" s="122"/>
      <c r="AG39" s="134"/>
      <c r="AH39" s="73"/>
      <c r="AI39" s="135"/>
      <c r="AJ39" s="136"/>
      <c r="AK39" s="76"/>
      <c r="AL39" s="135"/>
      <c r="AM39" s="139" t="s">
        <v>71</v>
      </c>
      <c r="AN39" s="139">
        <v>13.0</v>
      </c>
      <c r="AO39" s="140">
        <v>3.32</v>
      </c>
      <c r="AP39" s="152">
        <v>1390.0</v>
      </c>
      <c r="AQ39" s="152">
        <v>198.0</v>
      </c>
      <c r="AR39" s="143">
        <v>-1.0</v>
      </c>
      <c r="AS39" s="144">
        <v>0.9972593173928687</v>
      </c>
      <c r="AT39" s="144">
        <v>0.026240682607131416</v>
      </c>
      <c r="AU39" s="146" t="s">
        <v>321</v>
      </c>
      <c r="AV39" s="146" t="s">
        <v>321</v>
      </c>
      <c r="AW39" s="148" t="s">
        <v>321</v>
      </c>
      <c r="AX39" s="151"/>
      <c r="AY39" s="105"/>
      <c r="AZ39" s="186"/>
      <c r="BA39" s="186"/>
      <c r="BB39" s="146"/>
      <c r="BC39" s="45"/>
      <c r="BD39" s="45"/>
      <c r="BE39" s="45"/>
      <c r="BF39" s="45"/>
    </row>
    <row r="40">
      <c r="A40" s="79">
        <v>37.0</v>
      </c>
      <c r="B40" s="108" t="s">
        <v>322</v>
      </c>
      <c r="C40" s="115" t="s">
        <v>56</v>
      </c>
      <c r="D40" s="110">
        <v>41995.0</v>
      </c>
      <c r="E40" s="110">
        <v>42266.0</v>
      </c>
      <c r="F40" s="107" t="s">
        <v>90</v>
      </c>
      <c r="G40" s="113">
        <v>19918.0</v>
      </c>
      <c r="H40" s="114">
        <v>73.2</v>
      </c>
      <c r="I40" s="119">
        <v>244.0</v>
      </c>
      <c r="J40" s="122" t="s">
        <v>61</v>
      </c>
      <c r="K40" s="121">
        <v>247.09</v>
      </c>
      <c r="L40" s="119" t="s">
        <v>63</v>
      </c>
      <c r="M40" s="119"/>
      <c r="N40" s="119"/>
      <c r="O40" s="124">
        <v>19918.0</v>
      </c>
      <c r="P40" s="124">
        <v>272.0</v>
      </c>
      <c r="Q40" s="122">
        <v>381.0</v>
      </c>
      <c r="R40" s="125">
        <v>256.0</v>
      </c>
      <c r="S40" s="126">
        <v>0.9652</v>
      </c>
      <c r="T40" s="127">
        <v>74803.0</v>
      </c>
      <c r="U40" s="128">
        <f t="shared" si="1"/>
        <v>0</v>
      </c>
      <c r="V40" s="107" t="s">
        <v>65</v>
      </c>
      <c r="W40" s="107" t="s">
        <v>65</v>
      </c>
      <c r="X40" s="107" t="s">
        <v>64</v>
      </c>
      <c r="Y40" s="131">
        <v>0.9</v>
      </c>
      <c r="Z40" s="160">
        <v>20.0</v>
      </c>
      <c r="AA40" s="111">
        <v>253.0</v>
      </c>
      <c r="AB40" s="111" t="s">
        <v>61</v>
      </c>
      <c r="AC40" s="141"/>
      <c r="AD40" s="141"/>
      <c r="AE40" s="141"/>
      <c r="AF40" s="122"/>
      <c r="AG40" s="147"/>
      <c r="AH40" s="73"/>
      <c r="AI40" s="135"/>
      <c r="AJ40" s="136"/>
      <c r="AK40" s="76"/>
      <c r="AL40" s="135"/>
      <c r="AM40" s="139">
        <v>256.0</v>
      </c>
      <c r="AN40" s="139">
        <v>272.0</v>
      </c>
      <c r="AO40" s="140">
        <v>99.66</v>
      </c>
      <c r="AP40" s="152">
        <v>32055.0</v>
      </c>
      <c r="AQ40" s="152">
        <v>237.0</v>
      </c>
      <c r="AR40" s="143">
        <v>-1.0</v>
      </c>
      <c r="AS40" s="144">
        <v>0.9639933698354565</v>
      </c>
      <c r="AT40" s="144">
        <v>0.0012066301645434763</v>
      </c>
      <c r="AU40" s="146" t="s">
        <v>329</v>
      </c>
      <c r="AV40" s="146" t="s">
        <v>329</v>
      </c>
      <c r="AW40" s="148" t="s">
        <v>329</v>
      </c>
      <c r="AX40" s="151"/>
      <c r="AY40" s="105"/>
      <c r="AZ40" s="186"/>
      <c r="BA40" s="186"/>
      <c r="BB40" s="146"/>
      <c r="BC40" s="45"/>
      <c r="BD40" s="45"/>
      <c r="BE40" s="45"/>
      <c r="BF40" s="45"/>
    </row>
    <row r="41">
      <c r="A41" s="79">
        <v>38.0</v>
      </c>
      <c r="B41" s="108" t="s">
        <v>78</v>
      </c>
      <c r="C41" s="115" t="s">
        <v>56</v>
      </c>
      <c r="D41" s="110">
        <v>41432.0</v>
      </c>
      <c r="E41" s="110">
        <v>42267.0</v>
      </c>
      <c r="F41" s="107" t="s">
        <v>79</v>
      </c>
      <c r="G41" s="113">
        <v>51123.0</v>
      </c>
      <c r="H41" s="114">
        <v>61.2</v>
      </c>
      <c r="I41" s="119">
        <v>250.0</v>
      </c>
      <c r="J41" s="122" t="s">
        <v>61</v>
      </c>
      <c r="K41" s="121">
        <v>253.16</v>
      </c>
      <c r="L41" s="119" t="s">
        <v>63</v>
      </c>
      <c r="M41" s="119"/>
      <c r="N41" s="119"/>
      <c r="O41" s="124">
        <v>51123.0</v>
      </c>
      <c r="P41" s="124">
        <v>836.0</v>
      </c>
      <c r="Q41" s="122">
        <v>304.0</v>
      </c>
      <c r="R41" s="125">
        <v>269.0</v>
      </c>
      <c r="S41" s="126">
        <v>0.9411</v>
      </c>
      <c r="T41" s="127">
        <v>72935.25</v>
      </c>
      <c r="U41" s="128">
        <f t="shared" si="1"/>
        <v>0</v>
      </c>
      <c r="V41" s="107" t="s">
        <v>67</v>
      </c>
      <c r="W41" s="107" t="s">
        <v>69</v>
      </c>
      <c r="X41" s="107" t="s">
        <v>66</v>
      </c>
      <c r="Y41" s="131">
        <v>0.9</v>
      </c>
      <c r="Z41" s="160">
        <v>7.3</v>
      </c>
      <c r="AA41" s="111">
        <v>260.0</v>
      </c>
      <c r="AB41" s="111" t="s">
        <v>61</v>
      </c>
      <c r="AC41" s="141"/>
      <c r="AD41" s="141"/>
      <c r="AE41" s="141"/>
      <c r="AF41" s="122"/>
      <c r="AG41" s="147"/>
      <c r="AH41" s="73"/>
      <c r="AI41" s="135"/>
      <c r="AJ41" s="136"/>
      <c r="AK41" s="76"/>
      <c r="AL41" s="135"/>
      <c r="AM41" s="139">
        <v>263.0</v>
      </c>
      <c r="AN41" s="139">
        <v>836.0</v>
      </c>
      <c r="AO41" s="140">
        <v>206.65</v>
      </c>
      <c r="AP41" s="152">
        <v>82274.0</v>
      </c>
      <c r="AQ41" s="152">
        <v>189.0</v>
      </c>
      <c r="AR41" s="143">
        <v>-1.0</v>
      </c>
      <c r="AS41" s="144">
        <v>0.9481977440236231</v>
      </c>
      <c r="AT41" s="144">
        <v>-0.007097744023623065</v>
      </c>
      <c r="AU41" s="146" t="s">
        <v>330</v>
      </c>
      <c r="AV41" s="146" t="s">
        <v>330</v>
      </c>
      <c r="AW41" s="148" t="s">
        <v>330</v>
      </c>
      <c r="AX41" s="151"/>
      <c r="AY41" s="105"/>
      <c r="AZ41" s="186"/>
      <c r="BA41" s="186"/>
      <c r="BB41" s="146"/>
      <c r="BC41" s="45"/>
      <c r="BD41" s="45"/>
      <c r="BE41" s="45"/>
      <c r="BF41" s="45"/>
    </row>
    <row r="42">
      <c r="A42" s="79">
        <v>39.0</v>
      </c>
      <c r="B42" s="108" t="s">
        <v>331</v>
      </c>
      <c r="C42" s="115" t="s">
        <v>56</v>
      </c>
      <c r="D42" s="110">
        <v>41985.0</v>
      </c>
      <c r="E42" s="110">
        <v>42050.0</v>
      </c>
      <c r="F42" s="107" t="s">
        <v>90</v>
      </c>
      <c r="G42" s="113">
        <v>5311.0</v>
      </c>
      <c r="H42" s="114">
        <v>80.5</v>
      </c>
      <c r="I42" s="119">
        <v>256.0</v>
      </c>
      <c r="J42" s="122" t="s">
        <v>62</v>
      </c>
      <c r="K42" s="121">
        <v>256.0</v>
      </c>
      <c r="L42" s="119" t="s">
        <v>63</v>
      </c>
      <c r="M42" s="119"/>
      <c r="N42" s="119"/>
      <c r="O42" s="124">
        <v>5311.0</v>
      </c>
      <c r="P42" s="124">
        <v>66.0</v>
      </c>
      <c r="Q42" s="122">
        <v>411.0</v>
      </c>
      <c r="R42" s="125">
        <v>256.0</v>
      </c>
      <c r="S42" s="126">
        <v>1.0</v>
      </c>
      <c r="T42" s="127">
        <v>77500.0</v>
      </c>
      <c r="U42" s="128">
        <f t="shared" si="1"/>
        <v>0</v>
      </c>
      <c r="V42" s="107" t="s">
        <v>67</v>
      </c>
      <c r="W42" s="107" t="s">
        <v>67</v>
      </c>
      <c r="X42" s="107" t="s">
        <v>68</v>
      </c>
      <c r="Y42" s="131">
        <v>0.9</v>
      </c>
      <c r="Z42" s="160">
        <v>6.0</v>
      </c>
      <c r="AA42" s="111">
        <v>256.0</v>
      </c>
      <c r="AB42" s="111" t="s">
        <v>62</v>
      </c>
      <c r="AC42" s="141"/>
      <c r="AD42" s="141"/>
      <c r="AE42" s="141"/>
      <c r="AF42" s="122"/>
      <c r="AG42" s="147"/>
      <c r="AH42" s="73"/>
      <c r="AI42" s="135"/>
      <c r="AJ42" s="136"/>
      <c r="AK42" s="76"/>
      <c r="AL42" s="135"/>
      <c r="AM42" s="139">
        <v>256.0</v>
      </c>
      <c r="AN42" s="139">
        <v>66.0</v>
      </c>
      <c r="AO42" s="140">
        <v>28.17</v>
      </c>
      <c r="AP42" s="152">
        <v>8547.0</v>
      </c>
      <c r="AQ42" s="152">
        <v>255.0</v>
      </c>
      <c r="AR42" s="143">
        <v>-1.0</v>
      </c>
      <c r="AS42" s="144">
        <v>0.9854711551873542</v>
      </c>
      <c r="AT42" s="144">
        <v>0.014528844812645825</v>
      </c>
      <c r="AU42" s="146" t="s">
        <v>332</v>
      </c>
      <c r="AV42" s="146" t="s">
        <v>332</v>
      </c>
      <c r="AW42" s="148" t="s">
        <v>332</v>
      </c>
      <c r="AX42" s="151"/>
      <c r="AY42" s="105"/>
      <c r="AZ42" s="186"/>
      <c r="BA42" s="186"/>
      <c r="BB42" s="146"/>
      <c r="BC42" s="45"/>
      <c r="BD42" s="45"/>
      <c r="BE42" s="45"/>
      <c r="BF42" s="45"/>
    </row>
    <row r="43">
      <c r="A43" s="79">
        <v>40.0</v>
      </c>
      <c r="B43" s="108" t="s">
        <v>331</v>
      </c>
      <c r="C43" s="115" t="s">
        <v>56</v>
      </c>
      <c r="D43" s="110">
        <v>41985.0</v>
      </c>
      <c r="E43" s="110">
        <v>42064.0</v>
      </c>
      <c r="F43" s="107" t="s">
        <v>90</v>
      </c>
      <c r="G43" s="113">
        <v>6063.0</v>
      </c>
      <c r="H43" s="114">
        <v>75.8</v>
      </c>
      <c r="I43" s="119">
        <v>255.0</v>
      </c>
      <c r="J43" s="122" t="s">
        <v>62</v>
      </c>
      <c r="K43" s="121">
        <v>255.0</v>
      </c>
      <c r="L43" s="119" t="s">
        <v>63</v>
      </c>
      <c r="M43" s="119"/>
      <c r="N43" s="119"/>
      <c r="O43" s="124">
        <v>6063.0</v>
      </c>
      <c r="P43" s="124">
        <v>80.0</v>
      </c>
      <c r="Q43" s="122">
        <v>405.0</v>
      </c>
      <c r="R43" s="125">
        <v>256.0</v>
      </c>
      <c r="S43" s="126">
        <v>0.9961</v>
      </c>
      <c r="T43" s="127">
        <v>77197.75</v>
      </c>
      <c r="U43" s="128">
        <f t="shared" si="1"/>
        <v>0</v>
      </c>
      <c r="V43" s="107" t="s">
        <v>67</v>
      </c>
      <c r="W43" s="107" t="s">
        <v>67</v>
      </c>
      <c r="X43" s="107" t="s">
        <v>68</v>
      </c>
      <c r="Y43" s="131">
        <v>0.9</v>
      </c>
      <c r="Z43" s="160">
        <v>6.0</v>
      </c>
      <c r="AA43" s="111">
        <v>256.0</v>
      </c>
      <c r="AB43" s="111" t="s">
        <v>62</v>
      </c>
      <c r="AC43" s="141"/>
      <c r="AD43" s="141"/>
      <c r="AE43" s="141"/>
      <c r="AF43" s="122"/>
      <c r="AG43" s="147"/>
      <c r="AH43" s="73"/>
      <c r="AI43" s="135"/>
      <c r="AJ43" s="136"/>
      <c r="AK43" s="76"/>
      <c r="AL43" s="135"/>
      <c r="AM43" s="139">
        <v>256.0</v>
      </c>
      <c r="AN43" s="139">
        <v>80.0</v>
      </c>
      <c r="AO43" s="140">
        <v>31.75</v>
      </c>
      <c r="AP43" s="152">
        <v>9757.0</v>
      </c>
      <c r="AQ43" s="152">
        <v>252.0</v>
      </c>
      <c r="AR43" s="143">
        <v>-1.0</v>
      </c>
      <c r="AS43" s="144">
        <v>0.9838080321433539</v>
      </c>
      <c r="AT43" s="144">
        <v>0.012291967856646102</v>
      </c>
      <c r="AU43" s="146" t="s">
        <v>333</v>
      </c>
      <c r="AV43" s="146" t="s">
        <v>333</v>
      </c>
      <c r="AW43" s="148" t="s">
        <v>333</v>
      </c>
      <c r="AX43" s="151"/>
      <c r="AY43" s="105"/>
      <c r="AZ43" s="186"/>
      <c r="BA43" s="186"/>
      <c r="BB43" s="146"/>
      <c r="BC43" s="45"/>
      <c r="BD43" s="45"/>
      <c r="BE43" s="45"/>
      <c r="BF43" s="45"/>
    </row>
    <row r="44">
      <c r="A44" s="79">
        <v>41.0</v>
      </c>
      <c r="B44" s="108" t="s">
        <v>331</v>
      </c>
      <c r="C44" s="115" t="s">
        <v>56</v>
      </c>
      <c r="D44" s="110">
        <v>41985.0</v>
      </c>
      <c r="E44" s="110">
        <v>42080.0</v>
      </c>
      <c r="F44" s="107" t="s">
        <v>90</v>
      </c>
      <c r="G44" s="113">
        <v>7814.0</v>
      </c>
      <c r="H44" s="114">
        <v>81.4</v>
      </c>
      <c r="I44" s="119">
        <v>254.0</v>
      </c>
      <c r="J44" s="122" t="s">
        <v>62</v>
      </c>
      <c r="K44" s="121">
        <v>254.0</v>
      </c>
      <c r="L44" s="119" t="s">
        <v>63</v>
      </c>
      <c r="M44" s="119"/>
      <c r="N44" s="119"/>
      <c r="O44" s="124">
        <v>7814.0</v>
      </c>
      <c r="P44" s="124">
        <v>96.0</v>
      </c>
      <c r="Q44" s="122">
        <v>397.0</v>
      </c>
      <c r="R44" s="125">
        <v>256.0</v>
      </c>
      <c r="S44" s="126">
        <v>0.9922</v>
      </c>
      <c r="T44" s="127">
        <v>76895.5</v>
      </c>
      <c r="U44" s="128">
        <f t="shared" si="1"/>
        <v>0</v>
      </c>
      <c r="V44" s="107" t="s">
        <v>67</v>
      </c>
      <c r="W44" s="107" t="s">
        <v>67</v>
      </c>
      <c r="X44" s="107" t="s">
        <v>68</v>
      </c>
      <c r="Y44" s="131">
        <v>0.9</v>
      </c>
      <c r="Z44" s="160">
        <v>6.0</v>
      </c>
      <c r="AA44" s="111">
        <v>256.0</v>
      </c>
      <c r="AB44" s="111" t="s">
        <v>62</v>
      </c>
      <c r="AC44" s="141"/>
      <c r="AD44" s="141"/>
      <c r="AE44" s="141"/>
      <c r="AF44" s="122"/>
      <c r="AG44" s="147"/>
      <c r="AH44" s="73"/>
      <c r="AI44" s="135"/>
      <c r="AJ44" s="136"/>
      <c r="AK44" s="76"/>
      <c r="AL44" s="135"/>
      <c r="AM44" s="139">
        <v>256.0</v>
      </c>
      <c r="AN44" s="139">
        <v>96.0</v>
      </c>
      <c r="AO44" s="140">
        <v>40.19</v>
      </c>
      <c r="AP44" s="152">
        <v>12575.0</v>
      </c>
      <c r="AQ44" s="152">
        <v>247.0</v>
      </c>
      <c r="AR44" s="143">
        <v>-1.0</v>
      </c>
      <c r="AS44" s="144">
        <v>0.980243971344049</v>
      </c>
      <c r="AT44" s="144">
        <v>0.011956028655951023</v>
      </c>
      <c r="AU44" s="146" t="s">
        <v>334</v>
      </c>
      <c r="AV44" s="146" t="s">
        <v>334</v>
      </c>
      <c r="AW44" s="148" t="s">
        <v>334</v>
      </c>
      <c r="AX44" s="151"/>
      <c r="AY44" s="105"/>
      <c r="AZ44" s="186"/>
      <c r="BA44" s="186"/>
      <c r="BB44" s="146"/>
      <c r="BC44" s="45"/>
      <c r="BD44" s="45"/>
      <c r="BE44" s="45"/>
      <c r="BF44" s="45"/>
    </row>
    <row r="45">
      <c r="A45" s="79">
        <v>42.0</v>
      </c>
      <c r="B45" s="108" t="s">
        <v>331</v>
      </c>
      <c r="C45" s="115" t="s">
        <v>56</v>
      </c>
      <c r="D45" s="110">
        <v>41985.0</v>
      </c>
      <c r="E45" s="110">
        <v>42102.0</v>
      </c>
      <c r="F45" s="107" t="s">
        <v>90</v>
      </c>
      <c r="G45" s="113">
        <v>9432.0</v>
      </c>
      <c r="H45" s="114">
        <v>79.9</v>
      </c>
      <c r="I45" s="119">
        <v>253.0</v>
      </c>
      <c r="J45" s="122" t="s">
        <v>62</v>
      </c>
      <c r="K45" s="121">
        <v>253.0</v>
      </c>
      <c r="L45" s="119" t="s">
        <v>63</v>
      </c>
      <c r="M45" s="119"/>
      <c r="N45" s="119"/>
      <c r="O45" s="124">
        <v>9432.0</v>
      </c>
      <c r="P45" s="124">
        <v>118.0</v>
      </c>
      <c r="Q45" s="122">
        <v>388.0</v>
      </c>
      <c r="R45" s="125">
        <v>256.0</v>
      </c>
      <c r="S45" s="126">
        <v>0.9883</v>
      </c>
      <c r="T45" s="127">
        <v>76593.25</v>
      </c>
      <c r="U45" s="128">
        <f t="shared" si="1"/>
        <v>0</v>
      </c>
      <c r="V45" s="107" t="s">
        <v>67</v>
      </c>
      <c r="W45" s="107" t="s">
        <v>65</v>
      </c>
      <c r="X45" s="107" t="s">
        <v>68</v>
      </c>
      <c r="Y45" s="131">
        <v>0.9</v>
      </c>
      <c r="Z45" s="160">
        <v>6.0</v>
      </c>
      <c r="AA45" s="111">
        <v>256.0</v>
      </c>
      <c r="AB45" s="111" t="s">
        <v>62</v>
      </c>
      <c r="AC45" s="141"/>
      <c r="AD45" s="141"/>
      <c r="AE45" s="141"/>
      <c r="AF45" s="122"/>
      <c r="AG45" s="147"/>
      <c r="AH45" s="73"/>
      <c r="AI45" s="135"/>
      <c r="AJ45" s="136"/>
      <c r="AK45" s="76"/>
      <c r="AL45" s="135"/>
      <c r="AM45" s="139">
        <v>256.0</v>
      </c>
      <c r="AN45" s="139">
        <v>118.0</v>
      </c>
      <c r="AO45" s="140">
        <v>47.5</v>
      </c>
      <c r="AP45" s="152">
        <v>15179.0</v>
      </c>
      <c r="AQ45" s="152">
        <v>241.0</v>
      </c>
      <c r="AR45" s="143">
        <v>-1.0</v>
      </c>
      <c r="AS45" s="144">
        <v>0.9772973144461442</v>
      </c>
      <c r="AT45" s="144">
        <v>0.011002685553855751</v>
      </c>
      <c r="AU45" s="146" t="s">
        <v>335</v>
      </c>
      <c r="AV45" s="146" t="s">
        <v>335</v>
      </c>
      <c r="AW45" s="148" t="s">
        <v>335</v>
      </c>
      <c r="AX45" s="151"/>
      <c r="AY45" s="105"/>
      <c r="AZ45" s="186"/>
      <c r="BA45" s="186"/>
      <c r="BB45" s="146"/>
      <c r="BC45" s="45"/>
      <c r="BD45" s="45"/>
      <c r="BE45" s="45"/>
      <c r="BF45" s="45"/>
    </row>
    <row r="46">
      <c r="A46" s="79">
        <v>43.0</v>
      </c>
      <c r="B46" s="108" t="s">
        <v>331</v>
      </c>
      <c r="C46" s="115" t="s">
        <v>56</v>
      </c>
      <c r="D46" s="110">
        <v>41985.0</v>
      </c>
      <c r="E46" s="110">
        <v>42134.0</v>
      </c>
      <c r="F46" s="107" t="s">
        <v>90</v>
      </c>
      <c r="G46" s="113">
        <v>11329.0</v>
      </c>
      <c r="H46" s="114">
        <v>75.5</v>
      </c>
      <c r="I46" s="119">
        <v>252.0</v>
      </c>
      <c r="J46" s="122" t="s">
        <v>62</v>
      </c>
      <c r="K46" s="121">
        <v>252.0</v>
      </c>
      <c r="L46" s="119" t="s">
        <v>63</v>
      </c>
      <c r="M46" s="119"/>
      <c r="N46" s="119"/>
      <c r="O46" s="124">
        <v>11329.0</v>
      </c>
      <c r="P46" s="124">
        <v>150.0</v>
      </c>
      <c r="Q46" s="122">
        <v>373.0</v>
      </c>
      <c r="R46" s="125">
        <v>256.0</v>
      </c>
      <c r="S46" s="126">
        <v>0.9844</v>
      </c>
      <c r="T46" s="127">
        <v>76291.0</v>
      </c>
      <c r="U46" s="128">
        <f t="shared" si="1"/>
        <v>0</v>
      </c>
      <c r="V46" s="107" t="s">
        <v>67</v>
      </c>
      <c r="W46" s="107" t="s">
        <v>65</v>
      </c>
      <c r="X46" s="107" t="s">
        <v>68</v>
      </c>
      <c r="Y46" s="131">
        <v>0.9</v>
      </c>
      <c r="Z46" s="160">
        <v>6.0</v>
      </c>
      <c r="AA46" s="111">
        <v>256.0</v>
      </c>
      <c r="AB46" s="111" t="s">
        <v>62</v>
      </c>
      <c r="AC46" s="141"/>
      <c r="AD46" s="141"/>
      <c r="AE46" s="141"/>
      <c r="AF46" s="122"/>
      <c r="AG46" s="147"/>
      <c r="AH46" s="73"/>
      <c r="AI46" s="135"/>
      <c r="AJ46" s="136"/>
      <c r="AK46" s="76"/>
      <c r="AL46" s="135"/>
      <c r="AM46" s="139">
        <v>256.0</v>
      </c>
      <c r="AN46" s="139">
        <v>150.0</v>
      </c>
      <c r="AO46" s="140">
        <v>54.96</v>
      </c>
      <c r="AP46" s="152">
        <v>18232.0</v>
      </c>
      <c r="AQ46" s="152">
        <v>232.0</v>
      </c>
      <c r="AR46" s="143">
        <v>-1.0</v>
      </c>
      <c r="AS46" s="144">
        <v>0.9742138584630449</v>
      </c>
      <c r="AT46" s="144">
        <v>0.010186141536955184</v>
      </c>
      <c r="AU46" s="146" t="s">
        <v>337</v>
      </c>
      <c r="AV46" s="146" t="s">
        <v>337</v>
      </c>
      <c r="AW46" s="148" t="s">
        <v>337</v>
      </c>
      <c r="AX46" s="151"/>
      <c r="AY46" s="105"/>
      <c r="AZ46" s="186"/>
      <c r="BA46" s="186"/>
      <c r="BB46" s="146"/>
      <c r="BC46" s="45"/>
      <c r="BD46" s="45"/>
      <c r="BE46" s="45"/>
      <c r="BF46" s="45"/>
    </row>
    <row r="47">
      <c r="A47" s="79">
        <v>44.0</v>
      </c>
      <c r="B47" s="108" t="s">
        <v>331</v>
      </c>
      <c r="C47" s="115" t="s">
        <v>56</v>
      </c>
      <c r="D47" s="110">
        <v>41985.0</v>
      </c>
      <c r="E47" s="110">
        <v>42176.0</v>
      </c>
      <c r="F47" s="107" t="s">
        <v>90</v>
      </c>
      <c r="G47" s="113">
        <v>13588.0</v>
      </c>
      <c r="H47" s="114">
        <v>70.8</v>
      </c>
      <c r="I47" s="119">
        <v>251.0</v>
      </c>
      <c r="J47" s="122" t="s">
        <v>62</v>
      </c>
      <c r="K47" s="121">
        <v>251.0</v>
      </c>
      <c r="L47" s="119" t="s">
        <v>63</v>
      </c>
      <c r="M47" s="119"/>
      <c r="N47" s="119"/>
      <c r="O47" s="124">
        <v>13588.0</v>
      </c>
      <c r="P47" s="124">
        <v>192.0</v>
      </c>
      <c r="Q47" s="122">
        <v>369.0</v>
      </c>
      <c r="R47" s="125">
        <v>256.0</v>
      </c>
      <c r="S47" s="126">
        <v>0.9805</v>
      </c>
      <c r="T47" s="127">
        <v>75988.75</v>
      </c>
      <c r="U47" s="128">
        <f t="shared" si="1"/>
        <v>0</v>
      </c>
      <c r="V47" s="107" t="s">
        <v>67</v>
      </c>
      <c r="W47" s="107" t="s">
        <v>64</v>
      </c>
      <c r="X47" s="107" t="s">
        <v>68</v>
      </c>
      <c r="Y47" s="131">
        <v>0.9</v>
      </c>
      <c r="Z47" s="160">
        <v>6.0</v>
      </c>
      <c r="AA47" s="111">
        <v>256.0</v>
      </c>
      <c r="AB47" s="111" t="s">
        <v>62</v>
      </c>
      <c r="AC47" s="141"/>
      <c r="AD47" s="141"/>
      <c r="AE47" s="141"/>
      <c r="AF47" s="122"/>
      <c r="AG47" s="147"/>
      <c r="AH47" s="73"/>
      <c r="AI47" s="135"/>
      <c r="AJ47" s="136"/>
      <c r="AK47" s="76"/>
      <c r="AL47" s="135"/>
      <c r="AM47" s="139">
        <v>256.0</v>
      </c>
      <c r="AN47" s="139">
        <v>192.0</v>
      </c>
      <c r="AO47" s="140">
        <v>65.34</v>
      </c>
      <c r="AP47" s="152">
        <v>21868.0</v>
      </c>
      <c r="AQ47" s="152">
        <v>229.0</v>
      </c>
      <c r="AR47" s="143">
        <v>-1.0</v>
      </c>
      <c r="AS47" s="144">
        <v>0.9709936274330953</v>
      </c>
      <c r="AT47" s="144">
        <v>0.009506372566904786</v>
      </c>
      <c r="AU47" s="146" t="s">
        <v>340</v>
      </c>
      <c r="AV47" s="146" t="s">
        <v>340</v>
      </c>
      <c r="AW47" s="148" t="s">
        <v>340</v>
      </c>
      <c r="AX47" s="151"/>
      <c r="AY47" s="105"/>
      <c r="AZ47" s="186"/>
      <c r="BA47" s="186"/>
      <c r="BB47" s="146"/>
      <c r="BC47" s="45"/>
      <c r="BD47" s="45"/>
      <c r="BE47" s="45"/>
      <c r="BF47" s="45"/>
    </row>
    <row r="48">
      <c r="A48" s="79">
        <v>45.0</v>
      </c>
      <c r="B48" s="108" t="s">
        <v>331</v>
      </c>
      <c r="C48" s="115" t="s">
        <v>56</v>
      </c>
      <c r="D48" s="110">
        <v>41985.0</v>
      </c>
      <c r="E48" s="110">
        <v>42266.0</v>
      </c>
      <c r="F48" s="107" t="s">
        <v>90</v>
      </c>
      <c r="G48" s="113">
        <v>17805.0</v>
      </c>
      <c r="H48" s="114">
        <v>63.1</v>
      </c>
      <c r="I48" s="119">
        <v>250.0</v>
      </c>
      <c r="J48" s="122" t="s">
        <v>62</v>
      </c>
      <c r="K48" s="121">
        <v>250.0</v>
      </c>
      <c r="L48" s="119" t="s">
        <v>63</v>
      </c>
      <c r="M48" s="119"/>
      <c r="N48" s="119"/>
      <c r="O48" s="124">
        <v>17805.0</v>
      </c>
      <c r="P48" s="124">
        <v>282.0</v>
      </c>
      <c r="Q48" s="122">
        <v>365.0</v>
      </c>
      <c r="R48" s="125">
        <v>256.0</v>
      </c>
      <c r="S48" s="126">
        <v>0.9766</v>
      </c>
      <c r="T48" s="127">
        <v>75686.5</v>
      </c>
      <c r="U48" s="128">
        <f t="shared" si="1"/>
        <v>0</v>
      </c>
      <c r="V48" s="107" t="s">
        <v>67</v>
      </c>
      <c r="W48" s="107" t="s">
        <v>64</v>
      </c>
      <c r="X48" s="107" t="s">
        <v>68</v>
      </c>
      <c r="Y48" s="131">
        <v>0.9</v>
      </c>
      <c r="Z48" s="160">
        <v>6.0</v>
      </c>
      <c r="AA48" s="111">
        <v>256.0</v>
      </c>
      <c r="AB48" s="111" t="s">
        <v>62</v>
      </c>
      <c r="AC48" s="141"/>
      <c r="AD48" s="141"/>
      <c r="AE48" s="141"/>
      <c r="AF48" s="122"/>
      <c r="AG48" s="147"/>
      <c r="AH48" s="73"/>
      <c r="AI48" s="135"/>
      <c r="AJ48" s="136"/>
      <c r="AK48" s="76"/>
      <c r="AL48" s="135"/>
      <c r="AM48" s="139">
        <v>256.0</v>
      </c>
      <c r="AN48" s="139">
        <v>282.0</v>
      </c>
      <c r="AO48" s="140">
        <v>84.86</v>
      </c>
      <c r="AP48" s="152">
        <v>28654.0</v>
      </c>
      <c r="AQ48" s="152">
        <v>227.0</v>
      </c>
      <c r="AR48" s="143">
        <v>-1.0</v>
      </c>
      <c r="AS48" s="144">
        <v>0.9660503665871116</v>
      </c>
      <c r="AT48" s="144">
        <v>0.010549633412888393</v>
      </c>
      <c r="AU48" s="146" t="s">
        <v>343</v>
      </c>
      <c r="AV48" s="146" t="s">
        <v>343</v>
      </c>
      <c r="AW48" s="148" t="s">
        <v>343</v>
      </c>
      <c r="AX48" s="151"/>
      <c r="AY48" s="105"/>
      <c r="AZ48" s="186"/>
      <c r="BA48" s="186"/>
      <c r="BB48" s="146"/>
      <c r="BC48" s="45"/>
      <c r="BD48" s="45"/>
      <c r="BE48" s="45"/>
      <c r="BF48" s="45"/>
    </row>
    <row r="49">
      <c r="A49" s="79">
        <v>46.0</v>
      </c>
      <c r="B49" s="108" t="s">
        <v>344</v>
      </c>
      <c r="C49" s="115" t="s">
        <v>56</v>
      </c>
      <c r="D49" s="110">
        <v>42078.0</v>
      </c>
      <c r="E49" s="110">
        <v>42268.0</v>
      </c>
      <c r="F49" s="107" t="s">
        <v>59</v>
      </c>
      <c r="G49" s="113">
        <v>11500.0</v>
      </c>
      <c r="H49" s="114">
        <v>60.2</v>
      </c>
      <c r="I49" s="119">
        <v>250.0</v>
      </c>
      <c r="J49" s="122" t="s">
        <v>61</v>
      </c>
      <c r="K49" s="121">
        <v>253.16</v>
      </c>
      <c r="L49" s="119" t="s">
        <v>63</v>
      </c>
      <c r="M49" s="119"/>
      <c r="N49" s="119"/>
      <c r="O49" s="124">
        <v>11500.0</v>
      </c>
      <c r="P49" s="124">
        <v>191.0</v>
      </c>
      <c r="Q49" s="122">
        <v>338.0</v>
      </c>
      <c r="R49" s="125">
        <v>269.0</v>
      </c>
      <c r="S49" s="126">
        <v>0.9411</v>
      </c>
      <c r="T49" s="127">
        <v>72935.25</v>
      </c>
      <c r="U49" s="128">
        <f t="shared" si="1"/>
        <v>0</v>
      </c>
      <c r="V49" s="107" t="s">
        <v>65</v>
      </c>
      <c r="W49" s="107" t="s">
        <v>69</v>
      </c>
      <c r="X49" s="107" t="s">
        <v>66</v>
      </c>
      <c r="Y49" s="131">
        <v>0.8</v>
      </c>
      <c r="Z49" s="160">
        <v>6.0</v>
      </c>
      <c r="AA49" s="111">
        <v>256.0</v>
      </c>
      <c r="AB49" s="111" t="s">
        <v>61</v>
      </c>
      <c r="AC49" s="141"/>
      <c r="AD49" s="141"/>
      <c r="AE49" s="141"/>
      <c r="AF49" s="122"/>
      <c r="AG49" s="147"/>
      <c r="AH49" s="73"/>
      <c r="AI49" s="135"/>
      <c r="AJ49" s="136"/>
      <c r="AK49" s="76"/>
      <c r="AL49" s="135"/>
      <c r="AM49" s="139">
        <v>259.0</v>
      </c>
      <c r="AN49" s="139">
        <v>191.0</v>
      </c>
      <c r="AO49" s="140">
        <v>51.68</v>
      </c>
      <c r="AP49" s="152">
        <v>18507.0</v>
      </c>
      <c r="AQ49" s="152">
        <v>210.0</v>
      </c>
      <c r="AR49" s="143">
        <v>-1.0</v>
      </c>
      <c r="AS49" s="144">
        <v>0.9739540226169605</v>
      </c>
      <c r="AT49" s="144">
        <v>-0.032854022616960465</v>
      </c>
      <c r="AU49" s="146" t="s">
        <v>347</v>
      </c>
      <c r="AV49" s="146" t="s">
        <v>347</v>
      </c>
      <c r="AW49" s="148" t="s">
        <v>347</v>
      </c>
      <c r="AX49" s="151"/>
      <c r="AY49" s="105"/>
      <c r="AZ49" s="186"/>
      <c r="BA49" s="186"/>
      <c r="BB49" s="146"/>
      <c r="BC49" s="45"/>
      <c r="BD49" s="45"/>
      <c r="BE49" s="45"/>
      <c r="BF49" s="45"/>
    </row>
    <row r="50">
      <c r="A50" s="79">
        <v>47.0</v>
      </c>
      <c r="B50" s="108" t="s">
        <v>349</v>
      </c>
      <c r="C50" s="115" t="s">
        <v>56</v>
      </c>
      <c r="D50" s="110">
        <v>42248.0</v>
      </c>
      <c r="E50" s="110">
        <v>42288.0</v>
      </c>
      <c r="F50" s="107" t="s">
        <v>316</v>
      </c>
      <c r="G50" s="113">
        <v>975.0</v>
      </c>
      <c r="H50" s="114">
        <v>23.8</v>
      </c>
      <c r="I50" s="119">
        <v>283.0</v>
      </c>
      <c r="J50" s="122" t="s">
        <v>62</v>
      </c>
      <c r="K50" s="121">
        <v>283.0</v>
      </c>
      <c r="L50" s="119" t="s">
        <v>63</v>
      </c>
      <c r="M50" s="119"/>
      <c r="N50" s="119"/>
      <c r="O50" s="124">
        <v>975.0</v>
      </c>
      <c r="P50" s="124">
        <v>41.0</v>
      </c>
      <c r="Q50" s="175">
        <v>318.0</v>
      </c>
      <c r="R50" s="125">
        <v>280.0</v>
      </c>
      <c r="S50" s="126">
        <v>1.0107</v>
      </c>
      <c r="T50" s="127">
        <v>82675.26</v>
      </c>
      <c r="U50" s="128">
        <f t="shared" si="1"/>
        <v>0</v>
      </c>
      <c r="V50" s="107" t="s">
        <v>69</v>
      </c>
      <c r="W50" s="107" t="s">
        <v>69</v>
      </c>
      <c r="X50" s="107" t="s">
        <v>68</v>
      </c>
      <c r="Y50" s="131">
        <v>0.9</v>
      </c>
      <c r="Z50" s="160">
        <v>10.0</v>
      </c>
      <c r="AA50" s="111">
        <v>283.0</v>
      </c>
      <c r="AB50" s="111" t="s">
        <v>62</v>
      </c>
      <c r="AC50" s="141"/>
      <c r="AD50" s="141"/>
      <c r="AE50" s="141"/>
      <c r="AF50" s="122"/>
      <c r="AG50" s="134" t="s">
        <v>350</v>
      </c>
      <c r="AH50" s="73"/>
      <c r="AI50" s="135"/>
      <c r="AJ50" s="136"/>
      <c r="AK50" s="76"/>
      <c r="AL50" s="135"/>
      <c r="AM50" s="139">
        <v>283.0</v>
      </c>
      <c r="AN50" s="139">
        <v>41.0</v>
      </c>
      <c r="AO50" s="140">
        <v>3.77</v>
      </c>
      <c r="AP50" s="152">
        <v>1569.0</v>
      </c>
      <c r="AQ50" s="152">
        <v>198.0</v>
      </c>
      <c r="AR50" s="143">
        <v>-1.0</v>
      </c>
      <c r="AS50" s="144">
        <v>0.9969182408666316</v>
      </c>
      <c r="AT50" s="144">
        <v>0.013781759133368321</v>
      </c>
      <c r="AU50" s="146" t="s">
        <v>352</v>
      </c>
      <c r="AV50" s="146" t="s">
        <v>352</v>
      </c>
      <c r="AW50" s="148" t="s">
        <v>352</v>
      </c>
      <c r="AX50" s="151"/>
      <c r="AY50" s="105"/>
      <c r="AZ50" s="186"/>
      <c r="BA50" s="186"/>
      <c r="BB50" s="146"/>
      <c r="BC50" s="45"/>
      <c r="BD50" s="45"/>
      <c r="BE50" s="45"/>
      <c r="BF50" s="45"/>
    </row>
    <row r="51">
      <c r="A51" s="79">
        <v>48.0</v>
      </c>
      <c r="B51" s="108" t="s">
        <v>161</v>
      </c>
      <c r="C51" s="115" t="s">
        <v>56</v>
      </c>
      <c r="D51" s="110">
        <v>41310.0</v>
      </c>
      <c r="E51" s="110">
        <v>42299.0</v>
      </c>
      <c r="F51" s="107" t="s">
        <v>59</v>
      </c>
      <c r="G51" s="113">
        <v>39139.0</v>
      </c>
      <c r="H51" s="114">
        <v>39.5</v>
      </c>
      <c r="I51" s="119">
        <v>252.0</v>
      </c>
      <c r="J51" s="122" t="s">
        <v>62</v>
      </c>
      <c r="K51" s="121">
        <v>252.0</v>
      </c>
      <c r="L51" s="119" t="s">
        <v>63</v>
      </c>
      <c r="M51" s="119"/>
      <c r="N51" s="119"/>
      <c r="O51" s="124">
        <v>39139.0</v>
      </c>
      <c r="P51" s="124">
        <v>990.0</v>
      </c>
      <c r="Q51" s="122">
        <v>298.0</v>
      </c>
      <c r="R51" s="125">
        <v>269.0</v>
      </c>
      <c r="S51" s="126">
        <v>0.9368</v>
      </c>
      <c r="T51" s="127">
        <v>72602.0</v>
      </c>
      <c r="U51" s="128">
        <f t="shared" si="1"/>
        <v>0</v>
      </c>
      <c r="V51" s="107" t="s">
        <v>64</v>
      </c>
      <c r="W51" s="107" t="s">
        <v>69</v>
      </c>
      <c r="X51" s="107" t="s">
        <v>69</v>
      </c>
      <c r="Y51" s="131">
        <v>0.9</v>
      </c>
      <c r="Z51" s="160">
        <v>1.0</v>
      </c>
      <c r="AA51" s="111">
        <v>270.0</v>
      </c>
      <c r="AB51" s="111" t="s">
        <v>61</v>
      </c>
      <c r="AC51" s="141"/>
      <c r="AD51" s="141"/>
      <c r="AE51" s="141"/>
      <c r="AF51" s="122"/>
      <c r="AG51" s="134" t="s">
        <v>166</v>
      </c>
      <c r="AH51" s="73"/>
      <c r="AI51" s="135"/>
      <c r="AJ51" s="136"/>
      <c r="AK51" s="76"/>
      <c r="AL51" s="135"/>
      <c r="AM51" s="139">
        <v>273.0</v>
      </c>
      <c r="AN51" s="139">
        <v>990.0</v>
      </c>
      <c r="AO51" s="140">
        <v>155.45</v>
      </c>
      <c r="AP51" s="152">
        <v>62988.0</v>
      </c>
      <c r="AQ51" s="152">
        <v>185.0</v>
      </c>
      <c r="AR51" s="143">
        <v>-1.0</v>
      </c>
      <c r="AS51" s="144">
        <v>0.9524296467223439</v>
      </c>
      <c r="AT51" s="144">
        <v>-0.015629646722343904</v>
      </c>
      <c r="AU51" s="146" t="s">
        <v>355</v>
      </c>
      <c r="AV51" s="146" t="s">
        <v>355</v>
      </c>
      <c r="AW51" s="148" t="s">
        <v>355</v>
      </c>
      <c r="AX51" s="151"/>
      <c r="AY51" s="105"/>
      <c r="AZ51" s="186"/>
      <c r="BA51" s="186"/>
      <c r="BB51" s="146"/>
      <c r="BC51" s="45"/>
      <c r="BD51" s="45"/>
      <c r="BE51" s="45"/>
      <c r="BF51" s="45"/>
    </row>
    <row r="52">
      <c r="A52" s="79">
        <v>49.0</v>
      </c>
      <c r="B52" s="108" t="s">
        <v>357</v>
      </c>
      <c r="C52" s="115" t="s">
        <v>56</v>
      </c>
      <c r="D52" s="110">
        <v>41477.0</v>
      </c>
      <c r="E52" s="110">
        <v>42298.0</v>
      </c>
      <c r="F52" s="107" t="s">
        <v>57</v>
      </c>
      <c r="G52" s="113">
        <v>43337.0</v>
      </c>
      <c r="H52" s="114">
        <v>52.7</v>
      </c>
      <c r="I52" s="119">
        <v>250.0</v>
      </c>
      <c r="J52" s="122" t="s">
        <v>61</v>
      </c>
      <c r="K52" s="121">
        <v>253.16</v>
      </c>
      <c r="L52" s="119" t="s">
        <v>63</v>
      </c>
      <c r="M52" s="119"/>
      <c r="N52" s="119"/>
      <c r="O52" s="124">
        <v>43337.0</v>
      </c>
      <c r="P52" s="124">
        <v>822.0</v>
      </c>
      <c r="Q52" s="122">
        <v>332.0</v>
      </c>
      <c r="R52" s="125">
        <v>269.0</v>
      </c>
      <c r="S52" s="126">
        <v>0.9411</v>
      </c>
      <c r="T52" s="127">
        <v>72935.25</v>
      </c>
      <c r="U52" s="128">
        <f t="shared" si="1"/>
        <v>0</v>
      </c>
      <c r="V52" s="170"/>
      <c r="W52" s="170"/>
      <c r="X52" s="170"/>
      <c r="Y52" s="131"/>
      <c r="Z52" s="132"/>
      <c r="AA52" s="133"/>
      <c r="AB52" s="133"/>
      <c r="AC52" s="141"/>
      <c r="AD52" s="141"/>
      <c r="AE52" s="141"/>
      <c r="AF52" s="122"/>
      <c r="AG52" s="147"/>
      <c r="AH52" s="73"/>
      <c r="AI52" s="135"/>
      <c r="AJ52" s="136"/>
      <c r="AK52" s="76"/>
      <c r="AL52" s="135"/>
      <c r="AM52" s="139" t="s">
        <v>71</v>
      </c>
      <c r="AN52" s="139">
        <v>822.0</v>
      </c>
      <c r="AO52" s="140">
        <v>191.32</v>
      </c>
      <c r="AP52" s="152">
        <v>69744.0</v>
      </c>
      <c r="AQ52" s="152">
        <v>206.0</v>
      </c>
      <c r="AR52" s="143">
        <v>-1.0</v>
      </c>
      <c r="AS52" s="144">
        <v>0.9508175291767899</v>
      </c>
      <c r="AT52" s="144">
        <v>-0.009717529176789808</v>
      </c>
      <c r="AU52" s="146" t="s">
        <v>359</v>
      </c>
      <c r="AV52" s="146" t="s">
        <v>359</v>
      </c>
      <c r="AW52" s="148" t="s">
        <v>359</v>
      </c>
      <c r="AX52" s="151"/>
      <c r="AY52" s="105"/>
      <c r="AZ52" s="186"/>
      <c r="BA52" s="186"/>
      <c r="BB52" s="146"/>
      <c r="BC52" s="45"/>
      <c r="BD52" s="45"/>
      <c r="BE52" s="45"/>
      <c r="BF52" s="45"/>
    </row>
    <row r="53">
      <c r="A53" s="79">
        <v>50.0</v>
      </c>
      <c r="B53" s="108" t="s">
        <v>314</v>
      </c>
      <c r="C53" s="115" t="s">
        <v>56</v>
      </c>
      <c r="D53" s="110">
        <v>42228.0</v>
      </c>
      <c r="E53" s="110">
        <v>42310.0</v>
      </c>
      <c r="F53" s="107" t="s">
        <v>316</v>
      </c>
      <c r="G53" s="113">
        <v>4696.0</v>
      </c>
      <c r="H53" s="114">
        <v>56.6</v>
      </c>
      <c r="I53" s="119">
        <v>268.0</v>
      </c>
      <c r="J53" s="122" t="s">
        <v>61</v>
      </c>
      <c r="K53" s="121">
        <v>271.39</v>
      </c>
      <c r="L53" s="119" t="s">
        <v>63</v>
      </c>
      <c r="M53" s="119"/>
      <c r="N53" s="119"/>
      <c r="O53" s="124">
        <v>4696.0</v>
      </c>
      <c r="P53" s="124">
        <v>83.0</v>
      </c>
      <c r="Q53" s="122">
        <v>316.0</v>
      </c>
      <c r="R53" s="125">
        <v>280.0</v>
      </c>
      <c r="S53" s="126">
        <v>0.9693</v>
      </c>
      <c r="T53" s="127">
        <v>79288.74</v>
      </c>
      <c r="U53" s="128">
        <f t="shared" si="1"/>
        <v>0</v>
      </c>
      <c r="V53" s="107" t="s">
        <v>127</v>
      </c>
      <c r="W53" s="107" t="s">
        <v>65</v>
      </c>
      <c r="X53" s="107" t="s">
        <v>66</v>
      </c>
      <c r="Y53" s="131">
        <v>0.9</v>
      </c>
      <c r="Z53" s="160">
        <v>15.0</v>
      </c>
      <c r="AA53" s="111">
        <v>283.0</v>
      </c>
      <c r="AB53" s="111" t="s">
        <v>61</v>
      </c>
      <c r="AC53" s="141"/>
      <c r="AD53" s="141"/>
      <c r="AE53" s="141"/>
      <c r="AF53" s="122"/>
      <c r="AG53" s="147"/>
      <c r="AH53" s="73"/>
      <c r="AI53" s="135"/>
      <c r="AJ53" s="136"/>
      <c r="AK53" s="76"/>
      <c r="AL53" s="135"/>
      <c r="AM53" s="139">
        <v>287.0</v>
      </c>
      <c r="AN53" s="139">
        <v>83.0</v>
      </c>
      <c r="AO53" s="140">
        <v>18.43</v>
      </c>
      <c r="AP53" s="152">
        <v>7557.0</v>
      </c>
      <c r="AQ53" s="152">
        <v>196.0</v>
      </c>
      <c r="AR53" s="143">
        <v>-1.0</v>
      </c>
      <c r="AS53" s="144">
        <v>0.9868960617239287</v>
      </c>
      <c r="AT53" s="144">
        <v>-0.01759606172392869</v>
      </c>
      <c r="AU53" s="146" t="s">
        <v>362</v>
      </c>
      <c r="AV53" s="146" t="s">
        <v>362</v>
      </c>
      <c r="AW53" s="148" t="s">
        <v>362</v>
      </c>
      <c r="AX53" s="151"/>
      <c r="AY53" s="105"/>
      <c r="AZ53" s="186"/>
      <c r="BA53" s="186"/>
      <c r="BB53" s="146"/>
      <c r="BC53" s="45"/>
      <c r="BD53" s="45"/>
      <c r="BE53" s="45"/>
      <c r="BF53" s="45"/>
    </row>
    <row r="54">
      <c r="A54" s="79">
        <v>51.0</v>
      </c>
      <c r="B54" s="108" t="s">
        <v>363</v>
      </c>
      <c r="C54" s="115" t="s">
        <v>56</v>
      </c>
      <c r="D54" s="110">
        <v>41801.0</v>
      </c>
      <c r="E54" s="110">
        <v>42302.0</v>
      </c>
      <c r="F54" s="107" t="s">
        <v>109</v>
      </c>
      <c r="G54" s="113">
        <v>16217.0</v>
      </c>
      <c r="H54" s="114">
        <v>32.3</v>
      </c>
      <c r="I54" s="119">
        <v>174.0</v>
      </c>
      <c r="J54" s="122" t="s">
        <v>61</v>
      </c>
      <c r="K54" s="121">
        <v>176.2</v>
      </c>
      <c r="L54" s="119" t="s">
        <v>63</v>
      </c>
      <c r="M54" s="119"/>
      <c r="N54" s="119"/>
      <c r="O54" s="124">
        <v>16217.0</v>
      </c>
      <c r="P54" s="124">
        <v>502.0</v>
      </c>
      <c r="Q54" s="122">
        <v>323.0</v>
      </c>
      <c r="R54" s="125">
        <v>210.0</v>
      </c>
      <c r="S54" s="126">
        <v>0.839</v>
      </c>
      <c r="T54" s="127">
        <v>49081.5</v>
      </c>
      <c r="U54" s="128">
        <f t="shared" si="1"/>
        <v>0</v>
      </c>
      <c r="V54" s="107" t="s">
        <v>68</v>
      </c>
      <c r="W54" s="107" t="s">
        <v>66</v>
      </c>
      <c r="X54" s="107" t="s">
        <v>68</v>
      </c>
      <c r="Y54" s="131">
        <v>0.8</v>
      </c>
      <c r="Z54" s="160" t="s">
        <v>364</v>
      </c>
      <c r="AA54" s="133"/>
      <c r="AB54" s="133"/>
      <c r="AC54" s="141"/>
      <c r="AD54" s="141"/>
      <c r="AE54" s="141"/>
      <c r="AF54" s="122"/>
      <c r="AG54" s="211" t="s">
        <v>366</v>
      </c>
      <c r="AH54" s="73"/>
      <c r="AI54" s="135"/>
      <c r="AJ54" s="136"/>
      <c r="AK54" s="76"/>
      <c r="AL54" s="135"/>
      <c r="AM54" s="139" t="s">
        <v>71</v>
      </c>
      <c r="AN54" s="139">
        <v>502.0</v>
      </c>
      <c r="AO54" s="140">
        <v>97.41</v>
      </c>
      <c r="AP54" s="152">
        <v>26099.0</v>
      </c>
      <c r="AQ54" s="152">
        <v>201.0</v>
      </c>
      <c r="AR54" s="143">
        <v>-1.0</v>
      </c>
      <c r="AS54" s="144">
        <v>0.9677678941856571</v>
      </c>
      <c r="AT54" s="144">
        <v>-0.12876789418565715</v>
      </c>
      <c r="AU54" s="146" t="s">
        <v>368</v>
      </c>
      <c r="AV54" s="146" t="s">
        <v>368</v>
      </c>
      <c r="AW54" s="148" t="s">
        <v>368</v>
      </c>
      <c r="AX54" s="151"/>
      <c r="AY54" s="105"/>
      <c r="AZ54" s="186"/>
      <c r="BA54" s="186"/>
      <c r="BB54" s="146"/>
      <c r="BC54" s="45"/>
      <c r="BD54" s="45"/>
      <c r="BE54" s="45"/>
      <c r="BF54" s="45"/>
    </row>
    <row r="55">
      <c r="A55" s="79">
        <v>52.0</v>
      </c>
      <c r="B55" s="108" t="s">
        <v>143</v>
      </c>
      <c r="C55" s="115" t="s">
        <v>56</v>
      </c>
      <c r="D55" s="110">
        <v>41724.0</v>
      </c>
      <c r="E55" s="110">
        <v>42312.0</v>
      </c>
      <c r="F55" s="107" t="s">
        <v>59</v>
      </c>
      <c r="G55" s="113">
        <v>61800.0</v>
      </c>
      <c r="H55" s="114">
        <v>104.9</v>
      </c>
      <c r="I55" s="119">
        <v>250.0</v>
      </c>
      <c r="J55" s="122" t="s">
        <v>61</v>
      </c>
      <c r="K55" s="121">
        <v>253.16</v>
      </c>
      <c r="L55" s="119" t="s">
        <v>63</v>
      </c>
      <c r="M55" s="119"/>
      <c r="N55" s="119"/>
      <c r="O55" s="124">
        <v>61800.0</v>
      </c>
      <c r="P55" s="124">
        <v>589.0</v>
      </c>
      <c r="Q55" s="122">
        <v>319.0</v>
      </c>
      <c r="R55" s="125">
        <v>269.0</v>
      </c>
      <c r="S55" s="126">
        <v>0.9411</v>
      </c>
      <c r="T55" s="127">
        <v>72935.25</v>
      </c>
      <c r="U55" s="128">
        <f t="shared" si="1"/>
        <v>0</v>
      </c>
      <c r="V55" s="107" t="s">
        <v>65</v>
      </c>
      <c r="W55" s="107" t="s">
        <v>65</v>
      </c>
      <c r="X55" s="107" t="s">
        <v>66</v>
      </c>
      <c r="Y55" s="131">
        <v>0.8</v>
      </c>
      <c r="Z55" s="160">
        <v>10.0</v>
      </c>
      <c r="AA55" s="111">
        <v>271.0</v>
      </c>
      <c r="AB55" s="111" t="s">
        <v>61</v>
      </c>
      <c r="AC55" s="182">
        <v>250.0</v>
      </c>
      <c r="AD55" s="182">
        <v>11.0</v>
      </c>
      <c r="AE55" s="182" t="s">
        <v>371</v>
      </c>
      <c r="AF55" s="122" t="s">
        <v>61</v>
      </c>
      <c r="AG55" s="147"/>
      <c r="AH55" s="73">
        <v>239.0</v>
      </c>
      <c r="AI55" s="135">
        <v>242.0253164556962</v>
      </c>
      <c r="AJ55" s="136">
        <v>69.24561548117154</v>
      </c>
      <c r="AK55" s="76">
        <v>0.8934918126602779</v>
      </c>
      <c r="AL55" s="135" t="s">
        <v>372</v>
      </c>
      <c r="AM55" s="139">
        <v>274.0</v>
      </c>
      <c r="AN55" s="139">
        <v>589.0</v>
      </c>
      <c r="AO55" s="140">
        <v>262.12</v>
      </c>
      <c r="AP55" s="152">
        <v>99457.0</v>
      </c>
      <c r="AQ55" s="152">
        <v>198.0</v>
      </c>
      <c r="AR55" s="143">
        <v>-1.0</v>
      </c>
      <c r="AS55" s="144">
        <v>0.9450561260399417</v>
      </c>
      <c r="AT55" s="144">
        <v>-0.003956126039941665</v>
      </c>
      <c r="AU55" s="146" t="s">
        <v>373</v>
      </c>
      <c r="AV55" s="146" t="s">
        <v>373</v>
      </c>
      <c r="AW55" s="148" t="s">
        <v>373</v>
      </c>
      <c r="AX55" s="151"/>
      <c r="AY55" s="105"/>
      <c r="AZ55" s="186"/>
      <c r="BA55" s="186"/>
      <c r="BB55" s="146"/>
      <c r="BC55" s="45"/>
      <c r="BD55" s="45"/>
      <c r="BE55" s="45"/>
      <c r="BF55" s="45"/>
    </row>
    <row r="56">
      <c r="A56" s="79">
        <v>53.0</v>
      </c>
      <c r="B56" s="108" t="s">
        <v>374</v>
      </c>
      <c r="C56" s="115" t="s">
        <v>56</v>
      </c>
      <c r="D56" s="110">
        <v>41673.0</v>
      </c>
      <c r="E56" s="110">
        <v>42281.0</v>
      </c>
      <c r="F56" s="107" t="s">
        <v>59</v>
      </c>
      <c r="G56" s="113">
        <v>22300.0</v>
      </c>
      <c r="H56" s="114">
        <v>36.6</v>
      </c>
      <c r="I56" s="119">
        <v>264.0</v>
      </c>
      <c r="J56" s="122" t="s">
        <v>62</v>
      </c>
      <c r="K56" s="121">
        <v>264.0</v>
      </c>
      <c r="L56" s="119" t="s">
        <v>63</v>
      </c>
      <c r="M56" s="119"/>
      <c r="N56" s="119"/>
      <c r="O56" s="124">
        <v>22300.0</v>
      </c>
      <c r="P56" s="124">
        <v>609.0</v>
      </c>
      <c r="Q56" s="122">
        <v>291.0</v>
      </c>
      <c r="R56" s="125">
        <v>269.0</v>
      </c>
      <c r="S56" s="126">
        <v>0.9814</v>
      </c>
      <c r="T56" s="127">
        <v>76058.5</v>
      </c>
      <c r="U56" s="128">
        <f t="shared" si="1"/>
        <v>0</v>
      </c>
      <c r="V56" s="107" t="s">
        <v>69</v>
      </c>
      <c r="W56" s="107" t="s">
        <v>69</v>
      </c>
      <c r="X56" s="107" t="s">
        <v>68</v>
      </c>
      <c r="Y56" s="131">
        <v>0.9</v>
      </c>
      <c r="Z56" s="160">
        <v>10.0</v>
      </c>
      <c r="AA56" s="111">
        <v>265.0</v>
      </c>
      <c r="AB56" s="133"/>
      <c r="AC56" s="141"/>
      <c r="AD56" s="141"/>
      <c r="AE56" s="141"/>
      <c r="AF56" s="122"/>
      <c r="AG56" s="147"/>
      <c r="AH56" s="73"/>
      <c r="AI56" s="135"/>
      <c r="AJ56" s="136"/>
      <c r="AK56" s="76"/>
      <c r="AL56" s="135"/>
      <c r="AM56" s="139">
        <v>265.0</v>
      </c>
      <c r="AN56" s="139">
        <v>609.0</v>
      </c>
      <c r="AO56" s="140">
        <v>84.54</v>
      </c>
      <c r="AP56" s="152">
        <v>35888.0</v>
      </c>
      <c r="AQ56" s="152">
        <v>181.0</v>
      </c>
      <c r="AR56" s="143">
        <v>-1.0</v>
      </c>
      <c r="AS56" s="144">
        <v>0.9619443185768681</v>
      </c>
      <c r="AT56" s="144">
        <v>0.01945568142313192</v>
      </c>
      <c r="AU56" s="146" t="s">
        <v>377</v>
      </c>
      <c r="AV56" s="146" t="s">
        <v>377</v>
      </c>
      <c r="AW56" s="148" t="s">
        <v>377</v>
      </c>
      <c r="AX56" s="151"/>
      <c r="AY56" s="105"/>
      <c r="AZ56" s="186"/>
      <c r="BA56" s="186"/>
      <c r="BB56" s="146"/>
      <c r="BC56" s="45"/>
      <c r="BD56" s="45"/>
      <c r="BE56" s="45"/>
      <c r="BF56" s="45"/>
    </row>
    <row r="57">
      <c r="A57" s="79">
        <v>54.0</v>
      </c>
      <c r="B57" s="108" t="s">
        <v>378</v>
      </c>
      <c r="C57" s="115" t="s">
        <v>56</v>
      </c>
      <c r="D57" s="110">
        <v>41164.0</v>
      </c>
      <c r="E57" s="110">
        <v>42322.0</v>
      </c>
      <c r="F57" s="107" t="s">
        <v>59</v>
      </c>
      <c r="G57" s="113">
        <v>55200.0</v>
      </c>
      <c r="H57" s="114">
        <v>47.6</v>
      </c>
      <c r="I57" s="119">
        <v>253.0</v>
      </c>
      <c r="J57" s="122" t="s">
        <v>62</v>
      </c>
      <c r="K57" s="121">
        <v>253.0</v>
      </c>
      <c r="L57" s="119" t="s">
        <v>195</v>
      </c>
      <c r="M57" s="119" t="s">
        <v>379</v>
      </c>
      <c r="N57" s="119">
        <v>40000.0</v>
      </c>
      <c r="O57" s="124">
        <v>46484.0</v>
      </c>
      <c r="P57" s="124">
        <v>976.0</v>
      </c>
      <c r="Q57" s="122">
        <v>328.0</v>
      </c>
      <c r="R57" s="125">
        <v>269.0</v>
      </c>
      <c r="S57" s="126">
        <v>0.9405</v>
      </c>
      <c r="T57" s="127">
        <v>72888.75</v>
      </c>
      <c r="U57" s="128">
        <f t="shared" si="1"/>
        <v>0</v>
      </c>
      <c r="V57" s="107" t="s">
        <v>69</v>
      </c>
      <c r="W57" s="107" t="s">
        <v>69</v>
      </c>
      <c r="X57" s="107" t="s">
        <v>68</v>
      </c>
      <c r="Y57" s="131">
        <v>0.9</v>
      </c>
      <c r="Z57" s="160">
        <v>15.0</v>
      </c>
      <c r="AA57" s="111">
        <v>271.0</v>
      </c>
      <c r="AB57" s="111" t="s">
        <v>61</v>
      </c>
      <c r="AC57" s="141"/>
      <c r="AD57" s="141"/>
      <c r="AE57" s="141"/>
      <c r="AF57" s="122"/>
      <c r="AG57" s="134" t="s">
        <v>382</v>
      </c>
      <c r="AH57" s="73"/>
      <c r="AI57" s="135"/>
      <c r="AJ57" s="136"/>
      <c r="AK57" s="76"/>
      <c r="AL57" s="135"/>
      <c r="AM57" s="139">
        <v>274.0</v>
      </c>
      <c r="AN57" s="139">
        <v>1159.0</v>
      </c>
      <c r="AO57" s="140">
        <v>202.81</v>
      </c>
      <c r="AP57" s="152">
        <v>74809.0</v>
      </c>
      <c r="AQ57" s="152">
        <v>204.0</v>
      </c>
      <c r="AR57" s="143">
        <v>-1.0</v>
      </c>
      <c r="AS57" s="144">
        <v>0.9497109287390297</v>
      </c>
      <c r="AT57" s="144">
        <v>-0.009210928739029733</v>
      </c>
      <c r="AU57" s="146" t="s">
        <v>383</v>
      </c>
      <c r="AV57" s="146" t="s">
        <v>383</v>
      </c>
      <c r="AW57" s="148" t="s">
        <v>383</v>
      </c>
      <c r="AX57" s="151"/>
      <c r="AY57" s="105"/>
      <c r="AZ57" s="186"/>
      <c r="BA57" s="186"/>
      <c r="BB57" s="146"/>
      <c r="BC57" s="45"/>
      <c r="BD57" s="45"/>
      <c r="BE57" s="45"/>
      <c r="BF57" s="45"/>
    </row>
    <row r="58">
      <c r="A58" s="79">
        <v>55.0</v>
      </c>
      <c r="B58" s="108" t="s">
        <v>384</v>
      </c>
      <c r="C58" s="115" t="s">
        <v>56</v>
      </c>
      <c r="D58" s="212">
        <v>42248.0</v>
      </c>
      <c r="E58" s="213">
        <v>42328.0</v>
      </c>
      <c r="F58" s="107" t="s">
        <v>316</v>
      </c>
      <c r="G58" s="113">
        <v>2135.0</v>
      </c>
      <c r="H58" s="114">
        <v>26.4</v>
      </c>
      <c r="I58" s="119">
        <v>278.0</v>
      </c>
      <c r="J58" s="122" t="s">
        <v>62</v>
      </c>
      <c r="K58" s="121">
        <v>278.0</v>
      </c>
      <c r="L58" s="119" t="s">
        <v>63</v>
      </c>
      <c r="M58" s="119"/>
      <c r="N58" s="119"/>
      <c r="O58" s="124">
        <v>2135.0</v>
      </c>
      <c r="P58" s="124">
        <v>81.0</v>
      </c>
      <c r="Q58" s="122">
        <v>334.0</v>
      </c>
      <c r="R58" s="125">
        <v>280.0</v>
      </c>
      <c r="S58" s="126">
        <v>0.9929</v>
      </c>
      <c r="T58" s="127">
        <v>81219.22</v>
      </c>
      <c r="U58" s="128">
        <f t="shared" si="1"/>
        <v>0</v>
      </c>
      <c r="V58" s="107" t="s">
        <v>69</v>
      </c>
      <c r="W58" s="107" t="s">
        <v>66</v>
      </c>
      <c r="X58" s="107" t="s">
        <v>68</v>
      </c>
      <c r="Y58" s="131">
        <v>0.9</v>
      </c>
      <c r="Z58" s="132"/>
      <c r="AA58" s="111">
        <v>283.0</v>
      </c>
      <c r="AB58" s="111" t="s">
        <v>62</v>
      </c>
      <c r="AC58" s="141"/>
      <c r="AD58" s="141"/>
      <c r="AE58" s="141"/>
      <c r="AF58" s="122"/>
      <c r="AG58" s="134" t="s">
        <v>387</v>
      </c>
      <c r="AH58" s="73"/>
      <c r="AI58" s="135"/>
      <c r="AJ58" s="136"/>
      <c r="AK58" s="76"/>
      <c r="AL58" s="135"/>
      <c r="AM58" s="139">
        <v>283.0</v>
      </c>
      <c r="AN58" s="139">
        <v>81.0</v>
      </c>
      <c r="AO58" s="140">
        <v>8.75</v>
      </c>
      <c r="AP58" s="152">
        <v>3436.0</v>
      </c>
      <c r="AQ58" s="152">
        <v>208.0</v>
      </c>
      <c r="AR58" s="143">
        <v>-1.0</v>
      </c>
      <c r="AS58" s="144">
        <v>0.9935136001603712</v>
      </c>
      <c r="AT58" s="144">
        <v>-6.136001603711527E-4</v>
      </c>
      <c r="AU58" s="146" t="s">
        <v>389</v>
      </c>
      <c r="AV58" s="146" t="s">
        <v>389</v>
      </c>
      <c r="AW58" s="148" t="s">
        <v>389</v>
      </c>
      <c r="AX58" s="151"/>
      <c r="AY58" s="105"/>
      <c r="AZ58" s="186"/>
      <c r="BA58" s="186"/>
      <c r="BB58" s="146"/>
      <c r="BC58" s="45"/>
      <c r="BD58" s="45"/>
      <c r="BE58" s="45"/>
      <c r="BF58" s="45"/>
    </row>
    <row r="59">
      <c r="A59" s="79">
        <v>56.0</v>
      </c>
      <c r="B59" s="108" t="s">
        <v>161</v>
      </c>
      <c r="C59" s="115" t="s">
        <v>56</v>
      </c>
      <c r="D59" s="110">
        <v>41310.0</v>
      </c>
      <c r="E59" s="110">
        <v>42337.0</v>
      </c>
      <c r="F59" s="107" t="s">
        <v>59</v>
      </c>
      <c r="G59" s="113">
        <v>39940.0</v>
      </c>
      <c r="H59" s="114">
        <v>38.9</v>
      </c>
      <c r="I59" s="119">
        <v>253.0</v>
      </c>
      <c r="J59" s="122" t="s">
        <v>62</v>
      </c>
      <c r="K59" s="121">
        <v>253.0</v>
      </c>
      <c r="L59" s="119" t="s">
        <v>63</v>
      </c>
      <c r="M59" s="119"/>
      <c r="N59" s="119"/>
      <c r="O59" s="124">
        <v>39940.0</v>
      </c>
      <c r="P59" s="124">
        <v>1028.0</v>
      </c>
      <c r="Q59" s="122">
        <v>298.0</v>
      </c>
      <c r="R59" s="125">
        <v>269.0</v>
      </c>
      <c r="S59" s="126">
        <v>0.9405</v>
      </c>
      <c r="T59" s="127">
        <v>72888.75</v>
      </c>
      <c r="U59" s="128">
        <f t="shared" si="1"/>
        <v>0</v>
      </c>
      <c r="V59" s="107" t="s">
        <v>64</v>
      </c>
      <c r="W59" s="107" t="s">
        <v>69</v>
      </c>
      <c r="X59" s="107" t="s">
        <v>69</v>
      </c>
      <c r="Y59" s="131">
        <v>0.9</v>
      </c>
      <c r="Z59" s="160">
        <v>1.0</v>
      </c>
      <c r="AA59" s="111">
        <v>270.0</v>
      </c>
      <c r="AB59" s="111" t="s">
        <v>61</v>
      </c>
      <c r="AC59" s="141"/>
      <c r="AD59" s="141"/>
      <c r="AE59" s="141"/>
      <c r="AF59" s="122"/>
      <c r="AG59" s="134" t="s">
        <v>166</v>
      </c>
      <c r="AH59" s="73"/>
      <c r="AI59" s="135"/>
      <c r="AJ59" s="136"/>
      <c r="AK59" s="76"/>
      <c r="AL59" s="135"/>
      <c r="AM59" s="139">
        <v>273.0</v>
      </c>
      <c r="AN59" s="139">
        <v>1028.0</v>
      </c>
      <c r="AO59" s="140">
        <v>158.33</v>
      </c>
      <c r="AP59" s="152">
        <v>64277.0</v>
      </c>
      <c r="AQ59" s="152">
        <v>185.0</v>
      </c>
      <c r="AR59" s="143">
        <v>-1.0</v>
      </c>
      <c r="AS59" s="144">
        <v>0.9521079559341691</v>
      </c>
      <c r="AT59" s="144">
        <v>-0.011607955934169079</v>
      </c>
      <c r="AU59" s="146" t="s">
        <v>390</v>
      </c>
      <c r="AV59" s="146" t="s">
        <v>390</v>
      </c>
      <c r="AW59" s="148" t="s">
        <v>390</v>
      </c>
      <c r="AX59" s="151"/>
      <c r="AY59" s="105"/>
      <c r="AZ59" s="186"/>
      <c r="BA59" s="186"/>
      <c r="BB59" s="146"/>
      <c r="BC59" s="45"/>
      <c r="BD59" s="45"/>
      <c r="BE59" s="45"/>
      <c r="BF59" s="45"/>
    </row>
    <row r="60">
      <c r="A60" s="79">
        <v>57.0</v>
      </c>
      <c r="B60" s="108" t="s">
        <v>78</v>
      </c>
      <c r="C60" s="115" t="s">
        <v>56</v>
      </c>
      <c r="D60" s="110">
        <v>41432.0</v>
      </c>
      <c r="E60" s="110">
        <v>42338.0</v>
      </c>
      <c r="F60" s="107" t="s">
        <v>79</v>
      </c>
      <c r="G60" s="113">
        <v>56544.0</v>
      </c>
      <c r="H60" s="114">
        <v>62.3</v>
      </c>
      <c r="I60" s="119">
        <v>251.0</v>
      </c>
      <c r="J60" s="122" t="s">
        <v>61</v>
      </c>
      <c r="K60" s="121">
        <v>254.18</v>
      </c>
      <c r="L60" s="119" t="s">
        <v>63</v>
      </c>
      <c r="M60" s="119"/>
      <c r="N60" s="119"/>
      <c r="O60" s="124">
        <v>56544.0</v>
      </c>
      <c r="P60" s="124">
        <v>907.0</v>
      </c>
      <c r="Q60" s="122">
        <v>302.0</v>
      </c>
      <c r="R60" s="125">
        <v>269.0</v>
      </c>
      <c r="S60" s="126">
        <v>0.9449</v>
      </c>
      <c r="T60" s="127">
        <v>73229.75</v>
      </c>
      <c r="U60" s="128">
        <f t="shared" si="1"/>
        <v>0</v>
      </c>
      <c r="V60" s="107" t="s">
        <v>67</v>
      </c>
      <c r="W60" s="107" t="s">
        <v>69</v>
      </c>
      <c r="X60" s="107" t="s">
        <v>66</v>
      </c>
      <c r="Y60" s="131">
        <v>0.9</v>
      </c>
      <c r="Z60" s="160" t="s">
        <v>393</v>
      </c>
      <c r="AA60" s="111">
        <v>260.0</v>
      </c>
      <c r="AB60" s="111" t="s">
        <v>61</v>
      </c>
      <c r="AC60" s="141"/>
      <c r="AD60" s="141"/>
      <c r="AE60" s="141"/>
      <c r="AF60" s="122"/>
      <c r="AG60" s="147"/>
      <c r="AH60" s="73"/>
      <c r="AI60" s="135"/>
      <c r="AJ60" s="136"/>
      <c r="AK60" s="76"/>
      <c r="AL60" s="135"/>
      <c r="AM60" s="139">
        <v>263.0</v>
      </c>
      <c r="AN60" s="139">
        <v>907.0</v>
      </c>
      <c r="AO60" s="140">
        <v>226.62</v>
      </c>
      <c r="AP60" s="152">
        <v>90999.0</v>
      </c>
      <c r="AQ60" s="152">
        <v>188.0</v>
      </c>
      <c r="AR60" s="143">
        <v>-1.0</v>
      </c>
      <c r="AS60" s="144">
        <v>0.9465570913562422</v>
      </c>
      <c r="AT60" s="144">
        <v>-0.0016570913562422573</v>
      </c>
      <c r="AU60" s="146" t="s">
        <v>394</v>
      </c>
      <c r="AV60" s="146" t="s">
        <v>394</v>
      </c>
      <c r="AW60" s="148" t="s">
        <v>394</v>
      </c>
      <c r="AX60" s="151"/>
      <c r="AY60" s="105"/>
      <c r="AZ60" s="186"/>
      <c r="BA60" s="186"/>
      <c r="BB60" s="146"/>
      <c r="BC60" s="45"/>
      <c r="BD60" s="45"/>
      <c r="BE60" s="45"/>
      <c r="BF60" s="45"/>
    </row>
    <row r="61">
      <c r="A61" s="79">
        <v>58.0</v>
      </c>
      <c r="B61" s="108" t="s">
        <v>395</v>
      </c>
      <c r="C61" s="115" t="s">
        <v>56</v>
      </c>
      <c r="D61" s="110">
        <v>42055.0</v>
      </c>
      <c r="E61" s="110">
        <v>42347.0</v>
      </c>
      <c r="F61" s="107" t="s">
        <v>90</v>
      </c>
      <c r="G61" s="113">
        <v>12800.0</v>
      </c>
      <c r="H61" s="114">
        <v>43.7</v>
      </c>
      <c r="I61" s="119">
        <v>248.0</v>
      </c>
      <c r="J61" s="122" t="s">
        <v>62</v>
      </c>
      <c r="K61" s="121">
        <v>248.0</v>
      </c>
      <c r="L61" s="119" t="s">
        <v>63</v>
      </c>
      <c r="M61" s="119"/>
      <c r="N61" s="119"/>
      <c r="O61" s="124">
        <v>12800.0</v>
      </c>
      <c r="P61" s="124">
        <v>293.0</v>
      </c>
      <c r="Q61" s="122">
        <v>325.0</v>
      </c>
      <c r="R61" s="125">
        <v>256.0</v>
      </c>
      <c r="S61" s="126">
        <v>0.9688</v>
      </c>
      <c r="T61" s="127">
        <v>75082.0</v>
      </c>
      <c r="U61" s="128">
        <f t="shared" si="1"/>
        <v>0</v>
      </c>
      <c r="V61" s="107" t="s">
        <v>69</v>
      </c>
      <c r="W61" s="107" t="s">
        <v>69</v>
      </c>
      <c r="X61" s="107" t="s">
        <v>68</v>
      </c>
      <c r="Y61" s="131">
        <v>0.9</v>
      </c>
      <c r="Z61" s="160" t="s">
        <v>398</v>
      </c>
      <c r="AA61" s="111">
        <v>253.0</v>
      </c>
      <c r="AB61" s="111" t="s">
        <v>62</v>
      </c>
      <c r="AC61" s="141"/>
      <c r="AD61" s="141"/>
      <c r="AE61" s="141"/>
      <c r="AF61" s="122"/>
      <c r="AG61" s="147"/>
      <c r="AH61" s="73"/>
      <c r="AI61" s="135"/>
      <c r="AJ61" s="136"/>
      <c r="AK61" s="76"/>
      <c r="AL61" s="135"/>
      <c r="AM61" s="139">
        <v>253.0</v>
      </c>
      <c r="AN61" s="139">
        <v>293.0</v>
      </c>
      <c r="AO61" s="140">
        <v>54.54</v>
      </c>
      <c r="AP61" s="152">
        <v>20600.0</v>
      </c>
      <c r="AQ61" s="152">
        <v>202.0</v>
      </c>
      <c r="AR61" s="143">
        <v>-1.0</v>
      </c>
      <c r="AS61" s="144">
        <v>0.972065460211867</v>
      </c>
      <c r="AT61" s="144">
        <v>-0.0032654602118670217</v>
      </c>
      <c r="AU61" s="146" t="s">
        <v>399</v>
      </c>
      <c r="AV61" s="146" t="s">
        <v>399</v>
      </c>
      <c r="AW61" s="148" t="s">
        <v>399</v>
      </c>
      <c r="AX61" s="151"/>
      <c r="AY61" s="105"/>
      <c r="AZ61" s="186"/>
      <c r="BA61" s="186"/>
      <c r="BB61" s="146"/>
      <c r="BC61" s="45"/>
      <c r="BD61" s="45"/>
      <c r="BE61" s="45"/>
      <c r="BF61" s="45"/>
    </row>
    <row r="62">
      <c r="A62" s="79">
        <v>59.0</v>
      </c>
      <c r="B62" s="108" t="s">
        <v>400</v>
      </c>
      <c r="C62" s="115" t="s">
        <v>56</v>
      </c>
      <c r="D62" s="110">
        <v>41239.0</v>
      </c>
      <c r="E62" s="110">
        <v>42347.0</v>
      </c>
      <c r="F62" s="107" t="s">
        <v>59</v>
      </c>
      <c r="G62" s="113">
        <v>61600.0</v>
      </c>
      <c r="H62" s="114">
        <v>55.5</v>
      </c>
      <c r="I62" s="119">
        <v>251.0</v>
      </c>
      <c r="J62" s="122" t="s">
        <v>62</v>
      </c>
      <c r="K62" s="121">
        <v>251.0</v>
      </c>
      <c r="L62" s="119" t="s">
        <v>63</v>
      </c>
      <c r="M62" s="119"/>
      <c r="N62" s="119"/>
      <c r="O62" s="124">
        <v>61600.0</v>
      </c>
      <c r="P62" s="124">
        <v>1109.0</v>
      </c>
      <c r="Q62" s="122">
        <v>305.0</v>
      </c>
      <c r="R62" s="125">
        <v>269.0</v>
      </c>
      <c r="S62" s="126">
        <v>0.9331</v>
      </c>
      <c r="T62" s="127">
        <v>72315.25</v>
      </c>
      <c r="U62" s="128">
        <f t="shared" si="1"/>
        <v>0</v>
      </c>
      <c r="V62" s="107" t="s">
        <v>69</v>
      </c>
      <c r="W62" s="107" t="s">
        <v>65</v>
      </c>
      <c r="X62" s="107" t="s">
        <v>66</v>
      </c>
      <c r="Y62" s="131">
        <v>0.9</v>
      </c>
      <c r="Z62" s="160"/>
      <c r="AA62" s="111">
        <v>272.0</v>
      </c>
      <c r="AB62" s="111" t="s">
        <v>62</v>
      </c>
      <c r="AC62" s="141"/>
      <c r="AD62" s="141"/>
      <c r="AE62" s="141"/>
      <c r="AF62" s="122"/>
      <c r="AG62" s="147"/>
      <c r="AH62" s="73"/>
      <c r="AI62" s="135"/>
      <c r="AJ62" s="136"/>
      <c r="AK62" s="76"/>
      <c r="AL62" s="135"/>
      <c r="AM62" s="139">
        <v>272.0</v>
      </c>
      <c r="AN62" s="139">
        <v>1109.0</v>
      </c>
      <c r="AO62" s="140">
        <v>250.86</v>
      </c>
      <c r="AP62" s="152">
        <v>99136.0</v>
      </c>
      <c r="AQ62" s="152">
        <v>190.0</v>
      </c>
      <c r="AR62" s="143">
        <v>-1.0</v>
      </c>
      <c r="AS62" s="144">
        <v>0.945111868865694</v>
      </c>
      <c r="AT62" s="144">
        <v>-0.012011868865693942</v>
      </c>
      <c r="AU62" s="146" t="s">
        <v>402</v>
      </c>
      <c r="AV62" s="146" t="s">
        <v>402</v>
      </c>
      <c r="AW62" s="148" t="s">
        <v>402</v>
      </c>
      <c r="AX62" s="151"/>
      <c r="AY62" s="105"/>
      <c r="AZ62" s="186"/>
      <c r="BA62" s="186"/>
      <c r="BB62" s="146"/>
      <c r="BC62" s="45"/>
      <c r="BD62" s="45"/>
      <c r="BE62" s="45"/>
      <c r="BF62" s="45"/>
    </row>
    <row r="63">
      <c r="A63" s="79">
        <v>60.0</v>
      </c>
      <c r="B63" s="108" t="s">
        <v>363</v>
      </c>
      <c r="C63" s="115" t="s">
        <v>56</v>
      </c>
      <c r="D63" s="110">
        <v>41801.0</v>
      </c>
      <c r="E63" s="110">
        <v>42347.0</v>
      </c>
      <c r="F63" s="107" t="s">
        <v>109</v>
      </c>
      <c r="G63" s="113">
        <v>17679.0</v>
      </c>
      <c r="H63" s="114">
        <v>32.3</v>
      </c>
      <c r="I63" s="119">
        <v>178.0</v>
      </c>
      <c r="J63" s="122" t="s">
        <v>61</v>
      </c>
      <c r="K63" s="121">
        <v>180.25</v>
      </c>
      <c r="L63" s="119" t="s">
        <v>63</v>
      </c>
      <c r="M63" s="119"/>
      <c r="N63" s="119"/>
      <c r="O63" s="124">
        <v>17679.0</v>
      </c>
      <c r="P63" s="124">
        <v>547.0</v>
      </c>
      <c r="Q63" s="122">
        <v>323.0</v>
      </c>
      <c r="R63" s="125">
        <v>210.0</v>
      </c>
      <c r="S63" s="126">
        <v>0.8583</v>
      </c>
      <c r="T63" s="127">
        <v>50210.549999999996</v>
      </c>
      <c r="U63" s="128">
        <f t="shared" si="1"/>
        <v>0</v>
      </c>
      <c r="V63" s="107" t="s">
        <v>68</v>
      </c>
      <c r="W63" s="107" t="s">
        <v>66</v>
      </c>
      <c r="X63" s="107" t="s">
        <v>66</v>
      </c>
      <c r="Y63" s="131">
        <v>0.9</v>
      </c>
      <c r="Z63" s="160" t="s">
        <v>364</v>
      </c>
      <c r="AA63" s="133"/>
      <c r="AB63" s="133"/>
      <c r="AC63" s="141"/>
      <c r="AD63" s="141"/>
      <c r="AE63" s="141"/>
      <c r="AF63" s="122"/>
      <c r="AG63" s="134" t="s">
        <v>405</v>
      </c>
      <c r="AH63" s="73"/>
      <c r="AI63" s="135"/>
      <c r="AJ63" s="136"/>
      <c r="AK63" s="76"/>
      <c r="AL63" s="135"/>
      <c r="AM63" s="139" t="s">
        <v>71</v>
      </c>
      <c r="AN63" s="139">
        <v>547.0</v>
      </c>
      <c r="AO63" s="140">
        <v>105.09</v>
      </c>
      <c r="AP63" s="152">
        <v>28452.0</v>
      </c>
      <c r="AQ63" s="152">
        <v>201.0</v>
      </c>
      <c r="AR63" s="143">
        <v>-1.0</v>
      </c>
      <c r="AS63" s="144">
        <v>0.9661804704094956</v>
      </c>
      <c r="AT63" s="144">
        <v>-0.10788047040949567</v>
      </c>
      <c r="AU63" s="146" t="s">
        <v>406</v>
      </c>
      <c r="AV63" s="146" t="s">
        <v>406</v>
      </c>
      <c r="AW63" s="148" t="s">
        <v>406</v>
      </c>
      <c r="AX63" s="151"/>
      <c r="AY63" s="105"/>
      <c r="AZ63" s="186"/>
      <c r="BA63" s="186"/>
      <c r="BB63" s="146"/>
      <c r="BC63" s="45"/>
      <c r="BD63" s="45"/>
      <c r="BE63" s="45"/>
      <c r="BF63" s="45"/>
    </row>
    <row r="64">
      <c r="A64" s="79">
        <v>61.0</v>
      </c>
      <c r="B64" s="108" t="s">
        <v>407</v>
      </c>
      <c r="C64" s="115" t="s">
        <v>56</v>
      </c>
      <c r="D64" s="110">
        <v>42272.0</v>
      </c>
      <c r="E64" s="110">
        <v>42348.0</v>
      </c>
      <c r="F64" s="107" t="s">
        <v>316</v>
      </c>
      <c r="G64" s="113">
        <v>2132.0</v>
      </c>
      <c r="H64" s="114">
        <v>27.7</v>
      </c>
      <c r="I64" s="119">
        <v>274.0</v>
      </c>
      <c r="J64" s="122" t="s">
        <v>61</v>
      </c>
      <c r="K64" s="121">
        <v>277.47</v>
      </c>
      <c r="L64" s="119" t="s">
        <v>63</v>
      </c>
      <c r="M64" s="119"/>
      <c r="N64" s="119"/>
      <c r="O64" s="124">
        <v>2132.0</v>
      </c>
      <c r="P64" s="124">
        <v>77.0</v>
      </c>
      <c r="Q64" s="122">
        <v>317.0</v>
      </c>
      <c r="R64" s="125">
        <v>280.0</v>
      </c>
      <c r="S64" s="126">
        <v>0.991</v>
      </c>
      <c r="T64" s="127">
        <v>81063.8</v>
      </c>
      <c r="U64" s="128">
        <f t="shared" si="1"/>
        <v>0</v>
      </c>
      <c r="V64" s="107" t="s">
        <v>69</v>
      </c>
      <c r="W64" s="107" t="s">
        <v>69</v>
      </c>
      <c r="X64" s="107" t="s">
        <v>66</v>
      </c>
      <c r="Y64" s="131">
        <v>0.6</v>
      </c>
      <c r="Z64" s="160">
        <v>1.0</v>
      </c>
      <c r="AA64" s="111">
        <v>282.0</v>
      </c>
      <c r="AB64" s="111" t="s">
        <v>61</v>
      </c>
      <c r="AC64" s="141"/>
      <c r="AD64" s="141"/>
      <c r="AE64" s="141"/>
      <c r="AF64" s="122"/>
      <c r="AG64" s="147"/>
      <c r="AH64" s="73"/>
      <c r="AI64" s="135"/>
      <c r="AJ64" s="136"/>
      <c r="AK64" s="76"/>
      <c r="AL64" s="135"/>
      <c r="AM64" s="139">
        <v>286.0</v>
      </c>
      <c r="AN64" s="139">
        <v>77.0</v>
      </c>
      <c r="AO64" s="140">
        <v>8.3</v>
      </c>
      <c r="AP64" s="152">
        <v>3431.0</v>
      </c>
      <c r="AQ64" s="152">
        <v>197.0</v>
      </c>
      <c r="AR64" s="143">
        <v>-1.0</v>
      </c>
      <c r="AS64" s="144">
        <v>0.993522357357782</v>
      </c>
      <c r="AT64" s="144">
        <v>-0.002522357357782057</v>
      </c>
      <c r="AU64" s="146" t="s">
        <v>410</v>
      </c>
      <c r="AV64" s="146" t="s">
        <v>410</v>
      </c>
      <c r="AW64" s="148" t="s">
        <v>410</v>
      </c>
      <c r="AX64" s="151"/>
      <c r="AY64" s="105"/>
      <c r="AZ64" s="186"/>
      <c r="BA64" s="186"/>
      <c r="BB64" s="146"/>
      <c r="BC64" s="45"/>
      <c r="BD64" s="45"/>
      <c r="BE64" s="45"/>
      <c r="BF64" s="45"/>
    </row>
    <row r="65">
      <c r="A65" s="79">
        <v>62.0</v>
      </c>
      <c r="B65" s="108" t="s">
        <v>244</v>
      </c>
      <c r="C65" s="115" t="s">
        <v>56</v>
      </c>
      <c r="D65" s="110">
        <v>41800.0</v>
      </c>
      <c r="E65" s="110">
        <v>42347.0</v>
      </c>
      <c r="F65" s="107" t="s">
        <v>109</v>
      </c>
      <c r="G65" s="113">
        <v>36200.0</v>
      </c>
      <c r="H65" s="114">
        <v>66.1</v>
      </c>
      <c r="I65" s="119">
        <v>182.0</v>
      </c>
      <c r="J65" s="122" t="s">
        <v>62</v>
      </c>
      <c r="K65" s="121">
        <v>182.0</v>
      </c>
      <c r="L65" s="119" t="s">
        <v>63</v>
      </c>
      <c r="M65" s="119"/>
      <c r="N65" s="119"/>
      <c r="O65" s="124">
        <v>36200.0</v>
      </c>
      <c r="P65" s="124">
        <v>548.0</v>
      </c>
      <c r="Q65" s="122">
        <v>259.0</v>
      </c>
      <c r="R65" s="125">
        <v>210.0</v>
      </c>
      <c r="S65" s="126">
        <v>0.8667</v>
      </c>
      <c r="T65" s="127">
        <v>50701.950000000004</v>
      </c>
      <c r="U65" s="128">
        <f t="shared" si="1"/>
        <v>0</v>
      </c>
      <c r="V65" s="107" t="s">
        <v>67</v>
      </c>
      <c r="W65" s="107" t="s">
        <v>69</v>
      </c>
      <c r="X65" s="107" t="s">
        <v>66</v>
      </c>
      <c r="Y65" s="131">
        <v>0.9</v>
      </c>
      <c r="Z65" s="160">
        <v>10.0</v>
      </c>
      <c r="AA65" s="111">
        <v>208.0</v>
      </c>
      <c r="AB65" s="111" t="s">
        <v>62</v>
      </c>
      <c r="AC65" s="182">
        <v>168.0</v>
      </c>
      <c r="AD65" s="182">
        <v>11.0</v>
      </c>
      <c r="AE65" s="182" t="s">
        <v>411</v>
      </c>
      <c r="AF65" s="122" t="s">
        <v>62</v>
      </c>
      <c r="AG65" s="147"/>
      <c r="AH65" s="73">
        <v>157.0</v>
      </c>
      <c r="AI65" s="135">
        <v>157.0</v>
      </c>
      <c r="AJ65" s="136">
        <v>50.890445859872614</v>
      </c>
      <c r="AK65" s="76">
        <v>0.8699221514508139</v>
      </c>
      <c r="AL65" s="135" t="s">
        <v>412</v>
      </c>
      <c r="AM65" s="139">
        <v>208.0</v>
      </c>
      <c r="AN65" s="139">
        <v>548.0</v>
      </c>
      <c r="AO65" s="140">
        <v>171.75</v>
      </c>
      <c r="AP65" s="152">
        <v>58258.0</v>
      </c>
      <c r="AQ65" s="152">
        <v>161.0</v>
      </c>
      <c r="AR65" s="143">
        <v>-1.0</v>
      </c>
      <c r="AS65" s="144">
        <v>0.9536783471173345</v>
      </c>
      <c r="AT65" s="144">
        <v>-0.08697834711733443</v>
      </c>
      <c r="AU65" s="146" t="s">
        <v>413</v>
      </c>
      <c r="AV65" s="146" t="s">
        <v>413</v>
      </c>
      <c r="AW65" s="148" t="s">
        <v>413</v>
      </c>
      <c r="AX65" s="151"/>
      <c r="AY65" s="105"/>
      <c r="AZ65" s="186"/>
      <c r="BA65" s="186"/>
      <c r="BB65" s="146"/>
      <c r="BC65" s="45"/>
      <c r="BD65" s="45"/>
      <c r="BE65" s="45"/>
      <c r="BF65" s="45"/>
    </row>
    <row r="66">
      <c r="A66" s="79">
        <v>63.0</v>
      </c>
      <c r="B66" s="108" t="s">
        <v>221</v>
      </c>
      <c r="C66" s="115" t="s">
        <v>56</v>
      </c>
      <c r="D66" s="110">
        <v>42114.0</v>
      </c>
      <c r="E66" s="110">
        <v>42345.0</v>
      </c>
      <c r="F66" s="107" t="s">
        <v>86</v>
      </c>
      <c r="G66" s="113">
        <v>21000.0</v>
      </c>
      <c r="H66" s="114">
        <v>90.5</v>
      </c>
      <c r="I66" s="119">
        <v>261.0</v>
      </c>
      <c r="J66" s="122" t="s">
        <v>61</v>
      </c>
      <c r="K66" s="121">
        <v>264.3</v>
      </c>
      <c r="L66" s="119" t="s">
        <v>63</v>
      </c>
      <c r="M66" s="119"/>
      <c r="N66" s="119"/>
      <c r="O66" s="124">
        <v>21000.0</v>
      </c>
      <c r="P66" s="124">
        <v>232.0</v>
      </c>
      <c r="Q66" s="122">
        <v>323.0</v>
      </c>
      <c r="R66" s="125">
        <v>273.0</v>
      </c>
      <c r="S66" s="126">
        <v>0.9681</v>
      </c>
      <c r="T66" s="127">
        <v>75027.75</v>
      </c>
      <c r="U66" s="128">
        <f t="shared" si="1"/>
        <v>0</v>
      </c>
      <c r="V66" s="107" t="s">
        <v>65</v>
      </c>
      <c r="W66" s="107" t="s">
        <v>65</v>
      </c>
      <c r="X66" s="107" t="s">
        <v>68</v>
      </c>
      <c r="Y66" s="131">
        <v>0.9</v>
      </c>
      <c r="Z66" s="160" t="s">
        <v>415</v>
      </c>
      <c r="AA66" s="111">
        <v>270.0</v>
      </c>
      <c r="AB66" s="111" t="s">
        <v>61</v>
      </c>
      <c r="AC66" s="141"/>
      <c r="AD66" s="141"/>
      <c r="AE66" s="141"/>
      <c r="AF66" s="122"/>
      <c r="AG66" s="147"/>
      <c r="AH66" s="73"/>
      <c r="AI66" s="135"/>
      <c r="AJ66" s="136"/>
      <c r="AK66" s="76"/>
      <c r="AL66" s="135"/>
      <c r="AM66" s="139">
        <v>273.0</v>
      </c>
      <c r="AN66" s="139">
        <v>232.0</v>
      </c>
      <c r="AO66" s="140">
        <v>88.95</v>
      </c>
      <c r="AP66" s="152">
        <v>33796.0</v>
      </c>
      <c r="AQ66" s="152">
        <v>201.0</v>
      </c>
      <c r="AR66" s="143">
        <v>-1.0</v>
      </c>
      <c r="AS66" s="144">
        <v>0.9630301025095638</v>
      </c>
      <c r="AT66" s="144">
        <v>0.0050698974904361815</v>
      </c>
      <c r="AU66" s="146" t="s">
        <v>417</v>
      </c>
      <c r="AV66" s="146" t="s">
        <v>417</v>
      </c>
      <c r="AW66" s="148" t="s">
        <v>417</v>
      </c>
      <c r="AX66" s="151"/>
      <c r="AY66" s="105"/>
      <c r="AZ66" s="186"/>
      <c r="BA66" s="186"/>
      <c r="BB66" s="146"/>
      <c r="BC66" s="45"/>
      <c r="BD66" s="45"/>
      <c r="BE66" s="45"/>
      <c r="BF66" s="45"/>
    </row>
    <row r="67">
      <c r="A67" s="79">
        <v>64.0</v>
      </c>
      <c r="B67" s="108" t="s">
        <v>418</v>
      </c>
      <c r="C67" s="115" t="s">
        <v>56</v>
      </c>
      <c r="D67" s="110">
        <v>41281.0</v>
      </c>
      <c r="E67" s="110">
        <v>42348.0</v>
      </c>
      <c r="F67" s="107" t="s">
        <v>57</v>
      </c>
      <c r="G67" s="113">
        <v>38000.0</v>
      </c>
      <c r="H67" s="114">
        <v>35.6</v>
      </c>
      <c r="I67" s="119">
        <v>258.0</v>
      </c>
      <c r="J67" s="122" t="s">
        <v>61</v>
      </c>
      <c r="K67" s="121">
        <v>261.27</v>
      </c>
      <c r="L67" s="119" t="s">
        <v>63</v>
      </c>
      <c r="M67" s="119"/>
      <c r="N67" s="119"/>
      <c r="O67" s="124">
        <v>38000.0</v>
      </c>
      <c r="P67" s="124">
        <v>1068.0</v>
      </c>
      <c r="Q67" s="122">
        <v>332.0</v>
      </c>
      <c r="R67" s="125">
        <v>269.0</v>
      </c>
      <c r="S67" s="126">
        <v>0.9713</v>
      </c>
      <c r="T67" s="127">
        <v>75275.75</v>
      </c>
      <c r="U67" s="128">
        <f t="shared" si="1"/>
        <v>0</v>
      </c>
      <c r="V67" s="107" t="s">
        <v>64</v>
      </c>
      <c r="W67" s="107" t="s">
        <v>66</v>
      </c>
      <c r="X67" s="107" t="s">
        <v>64</v>
      </c>
      <c r="Y67" s="131">
        <v>0.8</v>
      </c>
      <c r="Z67" s="160">
        <v>6.0</v>
      </c>
      <c r="AA67" s="111">
        <v>268.0</v>
      </c>
      <c r="AB67" s="111" t="s">
        <v>61</v>
      </c>
      <c r="AC67" s="141"/>
      <c r="AD67" s="141"/>
      <c r="AE67" s="141"/>
      <c r="AF67" s="122"/>
      <c r="AG67" s="134" t="s">
        <v>420</v>
      </c>
      <c r="AH67" s="73"/>
      <c r="AI67" s="135"/>
      <c r="AJ67" s="136"/>
      <c r="AK67" s="76"/>
      <c r="AL67" s="135"/>
      <c r="AM67" s="139">
        <v>271.0</v>
      </c>
      <c r="AN67" s="139">
        <v>1068.0</v>
      </c>
      <c r="AO67" s="140">
        <v>165.2</v>
      </c>
      <c r="AP67" s="152">
        <v>61155.0</v>
      </c>
      <c r="AQ67" s="152">
        <v>206.0</v>
      </c>
      <c r="AR67" s="143">
        <v>-1.0</v>
      </c>
      <c r="AS67" s="144">
        <v>0.9529001911551952</v>
      </c>
      <c r="AT67" s="144">
        <v>0.018399808844804855</v>
      </c>
      <c r="AU67" s="146" t="s">
        <v>422</v>
      </c>
      <c r="AV67" s="146" t="s">
        <v>422</v>
      </c>
      <c r="AW67" s="148" t="s">
        <v>422</v>
      </c>
      <c r="AX67" s="151"/>
      <c r="AY67" s="105"/>
      <c r="AZ67" s="186"/>
      <c r="BA67" s="186"/>
      <c r="BB67" s="146"/>
      <c r="BC67" s="45"/>
      <c r="BD67" s="45"/>
      <c r="BE67" s="45"/>
      <c r="BF67" s="45"/>
    </row>
    <row r="68">
      <c r="A68" s="79">
        <v>65.0</v>
      </c>
      <c r="B68" s="108" t="s">
        <v>423</v>
      </c>
      <c r="C68" s="115" t="s">
        <v>56</v>
      </c>
      <c r="D68" s="110">
        <v>41241.0</v>
      </c>
      <c r="E68" s="110">
        <v>42289.0</v>
      </c>
      <c r="F68" s="107" t="s">
        <v>79</v>
      </c>
      <c r="G68" s="113">
        <v>42042.0</v>
      </c>
      <c r="H68" s="114">
        <v>40.1</v>
      </c>
      <c r="I68" s="119">
        <v>257.0</v>
      </c>
      <c r="J68" s="122" t="s">
        <v>62</v>
      </c>
      <c r="K68" s="121">
        <v>257.0</v>
      </c>
      <c r="L68" s="119" t="s">
        <v>195</v>
      </c>
      <c r="M68" s="119" t="s">
        <v>424</v>
      </c>
      <c r="N68" s="119">
        <v>20796.0</v>
      </c>
      <c r="O68" s="124">
        <v>28028.0</v>
      </c>
      <c r="P68" s="124">
        <v>699.0</v>
      </c>
      <c r="Q68" s="122">
        <v>365.0</v>
      </c>
      <c r="R68" s="125">
        <v>269.0</v>
      </c>
      <c r="S68" s="126">
        <v>0.9554</v>
      </c>
      <c r="T68" s="127">
        <v>74043.5</v>
      </c>
      <c r="U68" s="128">
        <f t="shared" si="1"/>
        <v>0</v>
      </c>
      <c r="V68" s="107" t="s">
        <v>69</v>
      </c>
      <c r="W68" s="107" t="s">
        <v>69</v>
      </c>
      <c r="X68" s="107" t="s">
        <v>66</v>
      </c>
      <c r="Y68" s="131">
        <v>0.8</v>
      </c>
      <c r="Z68" s="132"/>
      <c r="AA68" s="111">
        <v>272.0</v>
      </c>
      <c r="AB68" s="111" t="s">
        <v>61</v>
      </c>
      <c r="AC68" s="182">
        <v>230.0</v>
      </c>
      <c r="AD68" s="141"/>
      <c r="AE68" s="141"/>
      <c r="AF68" s="122"/>
      <c r="AG68" s="134" t="s">
        <v>425</v>
      </c>
      <c r="AH68" s="73" t="s">
        <v>74</v>
      </c>
      <c r="AI68" s="135"/>
      <c r="AJ68" s="136"/>
      <c r="AK68" s="76"/>
      <c r="AL68" s="135"/>
      <c r="AM68" s="139">
        <v>275.0</v>
      </c>
      <c r="AN68" s="139">
        <v>1049.0</v>
      </c>
      <c r="AO68" s="140">
        <v>135.04</v>
      </c>
      <c r="AP68" s="152">
        <v>45107.0</v>
      </c>
      <c r="AQ68" s="152">
        <v>227.0</v>
      </c>
      <c r="AR68" s="143">
        <v>-1.0</v>
      </c>
      <c r="AS68" s="144">
        <v>0.9579232580117905</v>
      </c>
      <c r="AT68" s="144">
        <v>-0.00252325801179043</v>
      </c>
      <c r="AU68" s="146" t="s">
        <v>426</v>
      </c>
      <c r="AV68" s="146" t="s">
        <v>426</v>
      </c>
      <c r="AW68" s="148" t="s">
        <v>426</v>
      </c>
      <c r="AX68" s="151"/>
      <c r="AY68" s="105"/>
      <c r="AZ68" s="186"/>
      <c r="BA68" s="186"/>
      <c r="BB68" s="146"/>
      <c r="BC68" s="45"/>
      <c r="BD68" s="45"/>
      <c r="BE68" s="45"/>
      <c r="BF68" s="45"/>
    </row>
    <row r="69">
      <c r="A69" s="79">
        <v>66.0</v>
      </c>
      <c r="B69" s="108" t="s">
        <v>428</v>
      </c>
      <c r="C69" s="115" t="s">
        <v>56</v>
      </c>
      <c r="D69" s="110">
        <v>42054.0</v>
      </c>
      <c r="E69" s="110">
        <v>42328.0</v>
      </c>
      <c r="F69" s="107" t="s">
        <v>86</v>
      </c>
      <c r="G69" s="113">
        <v>9634.0</v>
      </c>
      <c r="H69" s="114">
        <v>35.0</v>
      </c>
      <c r="I69" s="119">
        <v>261.0</v>
      </c>
      <c r="J69" s="122" t="s">
        <v>61</v>
      </c>
      <c r="K69" s="121">
        <v>264.3</v>
      </c>
      <c r="L69" s="119" t="s">
        <v>63</v>
      </c>
      <c r="M69" s="119"/>
      <c r="N69" s="119"/>
      <c r="O69" s="124">
        <v>9634.0</v>
      </c>
      <c r="P69" s="124">
        <v>275.0</v>
      </c>
      <c r="Q69" s="122">
        <v>335.0</v>
      </c>
      <c r="R69" s="125">
        <v>273.0</v>
      </c>
      <c r="S69" s="126">
        <v>0.9681</v>
      </c>
      <c r="T69" s="127">
        <v>75027.75</v>
      </c>
      <c r="U69" s="128">
        <f t="shared" si="1"/>
        <v>0</v>
      </c>
      <c r="V69" s="170"/>
      <c r="W69" s="170"/>
      <c r="X69" s="170"/>
      <c r="Y69" s="131"/>
      <c r="Z69" s="132"/>
      <c r="AA69" s="133"/>
      <c r="AB69" s="133"/>
      <c r="AC69" s="141"/>
      <c r="AD69" s="141"/>
      <c r="AE69" s="141"/>
      <c r="AF69" s="122"/>
      <c r="AG69" s="147"/>
      <c r="AH69" s="73"/>
      <c r="AI69" s="135"/>
      <c r="AJ69" s="136"/>
      <c r="AK69" s="76"/>
      <c r="AL69" s="135"/>
      <c r="AM69" s="139" t="s">
        <v>71</v>
      </c>
      <c r="AN69" s="139">
        <v>275.0</v>
      </c>
      <c r="AO69" s="140">
        <v>42.33</v>
      </c>
      <c r="AP69" s="152">
        <v>15504.0</v>
      </c>
      <c r="AQ69" s="152">
        <v>208.0</v>
      </c>
      <c r="AR69" s="143">
        <v>-1.0</v>
      </c>
      <c r="AS69" s="144">
        <v>0.9769508878425466</v>
      </c>
      <c r="AT69" s="144">
        <v>-0.008850887842546618</v>
      </c>
      <c r="AU69" s="146" t="s">
        <v>430</v>
      </c>
      <c r="AV69" s="146" t="s">
        <v>430</v>
      </c>
      <c r="AW69" s="148" t="s">
        <v>430</v>
      </c>
      <c r="AX69" s="151"/>
      <c r="AY69" s="105"/>
      <c r="AZ69" s="186"/>
      <c r="BA69" s="186"/>
      <c r="BB69" s="146"/>
      <c r="BC69" s="45"/>
      <c r="BD69" s="45"/>
      <c r="BE69" s="45"/>
      <c r="BF69" s="45"/>
    </row>
    <row r="70">
      <c r="A70" s="79">
        <v>67.0</v>
      </c>
      <c r="B70" s="108" t="s">
        <v>314</v>
      </c>
      <c r="C70" s="115" t="s">
        <v>56</v>
      </c>
      <c r="D70" s="110">
        <v>42228.0</v>
      </c>
      <c r="E70" s="110">
        <v>42348.0</v>
      </c>
      <c r="F70" s="107" t="s">
        <v>316</v>
      </c>
      <c r="G70" s="113">
        <v>8122.0</v>
      </c>
      <c r="H70" s="114">
        <v>67.1</v>
      </c>
      <c r="I70" s="119">
        <v>269.0</v>
      </c>
      <c r="J70" s="122" t="s">
        <v>61</v>
      </c>
      <c r="K70" s="121">
        <v>272.41</v>
      </c>
      <c r="L70" s="119" t="s">
        <v>63</v>
      </c>
      <c r="M70" s="119"/>
      <c r="N70" s="119"/>
      <c r="O70" s="124">
        <v>8122.0</v>
      </c>
      <c r="P70" s="124">
        <v>121.0</v>
      </c>
      <c r="Q70" s="175">
        <v>318.0</v>
      </c>
      <c r="R70" s="125">
        <v>280.0</v>
      </c>
      <c r="S70" s="126">
        <v>0.9729</v>
      </c>
      <c r="T70" s="127">
        <v>79583.22</v>
      </c>
      <c r="U70" s="128">
        <f t="shared" si="1"/>
        <v>0</v>
      </c>
      <c r="V70" s="170"/>
      <c r="W70" s="170"/>
      <c r="X70" s="170"/>
      <c r="Y70" s="131"/>
      <c r="Z70" s="160"/>
      <c r="AA70" s="133"/>
      <c r="AB70" s="133"/>
      <c r="AC70" s="141"/>
      <c r="AD70" s="141"/>
      <c r="AE70" s="141"/>
      <c r="AF70" s="122"/>
      <c r="AG70" s="134"/>
      <c r="AH70" s="73"/>
      <c r="AI70" s="135"/>
      <c r="AJ70" s="136"/>
      <c r="AK70" s="76"/>
      <c r="AL70" s="135"/>
      <c r="AM70" s="139" t="s">
        <v>71</v>
      </c>
      <c r="AN70" s="139">
        <v>121.0</v>
      </c>
      <c r="AO70" s="140">
        <v>32.01</v>
      </c>
      <c r="AP70" s="152">
        <v>13071.0</v>
      </c>
      <c r="AQ70" s="152">
        <v>198.0</v>
      </c>
      <c r="AR70" s="143">
        <v>-1.0</v>
      </c>
      <c r="AS70" s="144">
        <v>0.9796583534997501</v>
      </c>
      <c r="AT70" s="144">
        <v>-0.006758353499750069</v>
      </c>
      <c r="AU70" s="146" t="s">
        <v>433</v>
      </c>
      <c r="AV70" s="146" t="s">
        <v>433</v>
      </c>
      <c r="AW70" s="148" t="s">
        <v>433</v>
      </c>
      <c r="AX70" s="151"/>
      <c r="AY70" s="105"/>
      <c r="AZ70" s="186"/>
      <c r="BA70" s="186"/>
      <c r="BB70" s="146"/>
      <c r="BC70" s="45"/>
      <c r="BD70" s="45"/>
      <c r="BE70" s="45"/>
      <c r="BF70" s="45"/>
    </row>
    <row r="71">
      <c r="A71" s="79">
        <v>68.0</v>
      </c>
      <c r="B71" s="108" t="s">
        <v>322</v>
      </c>
      <c r="C71" s="115" t="s">
        <v>56</v>
      </c>
      <c r="D71" s="110">
        <v>41995.0</v>
      </c>
      <c r="E71" s="110">
        <v>42349.0</v>
      </c>
      <c r="F71" s="107" t="s">
        <v>90</v>
      </c>
      <c r="G71" s="113">
        <v>28747.0</v>
      </c>
      <c r="H71" s="114">
        <v>81.0</v>
      </c>
      <c r="I71" s="119">
        <v>242.0</v>
      </c>
      <c r="J71" s="122" t="s">
        <v>61</v>
      </c>
      <c r="K71" s="121">
        <v>245.06</v>
      </c>
      <c r="L71" s="119" t="s">
        <v>63</v>
      </c>
      <c r="M71" s="119"/>
      <c r="N71" s="119"/>
      <c r="O71" s="124">
        <v>28747.0</v>
      </c>
      <c r="P71" s="124">
        <v>355.0</v>
      </c>
      <c r="Q71" s="122">
        <v>379.0</v>
      </c>
      <c r="R71" s="125">
        <v>256.0</v>
      </c>
      <c r="S71" s="126">
        <v>0.9573</v>
      </c>
      <c r="T71" s="127">
        <v>74190.75</v>
      </c>
      <c r="U71" s="128">
        <f t="shared" si="1"/>
        <v>0</v>
      </c>
      <c r="V71" s="107" t="s">
        <v>65</v>
      </c>
      <c r="W71" s="107" t="s">
        <v>65</v>
      </c>
      <c r="X71" s="107" t="s">
        <v>64</v>
      </c>
      <c r="Y71" s="131">
        <v>0.9</v>
      </c>
      <c r="Z71" s="160"/>
      <c r="AA71" s="133"/>
      <c r="AB71" s="133"/>
      <c r="AC71" s="141"/>
      <c r="AD71" s="141"/>
      <c r="AE71" s="141"/>
      <c r="AF71" s="122"/>
      <c r="AG71" s="147"/>
      <c r="AH71" s="73"/>
      <c r="AI71" s="135"/>
      <c r="AJ71" s="136"/>
      <c r="AK71" s="76"/>
      <c r="AL71" s="135"/>
      <c r="AM71" s="139" t="s">
        <v>71</v>
      </c>
      <c r="AN71" s="139">
        <v>355.0</v>
      </c>
      <c r="AO71" s="140">
        <v>143.66</v>
      </c>
      <c r="AP71" s="152">
        <v>46264.0</v>
      </c>
      <c r="AQ71" s="152">
        <v>235.0</v>
      </c>
      <c r="AR71" s="143">
        <v>-1.0</v>
      </c>
      <c r="AS71" s="144">
        <v>0.9574908502319445</v>
      </c>
      <c r="AT71" s="144">
        <v>-1.908502319444283E-4</v>
      </c>
      <c r="AU71" s="146" t="s">
        <v>435</v>
      </c>
      <c r="AV71" s="146" t="s">
        <v>435</v>
      </c>
      <c r="AW71" s="148" t="s">
        <v>435</v>
      </c>
      <c r="AX71" s="151"/>
      <c r="AY71" s="105"/>
      <c r="AZ71" s="186"/>
      <c r="BA71" s="186"/>
      <c r="BB71" s="146"/>
      <c r="BC71" s="45"/>
      <c r="BD71" s="45"/>
      <c r="BE71" s="45"/>
      <c r="BF71" s="45"/>
    </row>
    <row r="72">
      <c r="A72" s="79">
        <v>69.0</v>
      </c>
      <c r="B72" s="108" t="s">
        <v>436</v>
      </c>
      <c r="C72" s="115" t="s">
        <v>56</v>
      </c>
      <c r="D72" s="110">
        <v>41619.0</v>
      </c>
      <c r="E72" s="110">
        <v>42350.0</v>
      </c>
      <c r="F72" s="107" t="s">
        <v>59</v>
      </c>
      <c r="G72" s="113">
        <v>23298.0</v>
      </c>
      <c r="H72" s="114">
        <v>31.8</v>
      </c>
      <c r="I72" s="119">
        <v>265.0</v>
      </c>
      <c r="J72" s="122" t="s">
        <v>62</v>
      </c>
      <c r="K72" s="121">
        <v>265.0</v>
      </c>
      <c r="L72" s="119" t="s">
        <v>63</v>
      </c>
      <c r="M72" s="119"/>
      <c r="N72" s="119"/>
      <c r="O72" s="124">
        <v>23298.0</v>
      </c>
      <c r="P72" s="124">
        <v>732.0</v>
      </c>
      <c r="Q72" s="122">
        <v>321.0</v>
      </c>
      <c r="R72" s="125">
        <v>269.0</v>
      </c>
      <c r="S72" s="126">
        <v>0.9851</v>
      </c>
      <c r="T72" s="127">
        <v>76345.25</v>
      </c>
      <c r="U72" s="128">
        <f t="shared" si="1"/>
        <v>0</v>
      </c>
      <c r="V72" s="107" t="s">
        <v>69</v>
      </c>
      <c r="W72" s="107" t="s">
        <v>66</v>
      </c>
      <c r="X72" s="107" t="s">
        <v>68</v>
      </c>
      <c r="Y72" s="131">
        <v>0.9</v>
      </c>
      <c r="Z72" s="160" t="s">
        <v>398</v>
      </c>
      <c r="AA72" s="111"/>
      <c r="AB72" s="133"/>
      <c r="AC72" s="141"/>
      <c r="AD72" s="141"/>
      <c r="AE72" s="141"/>
      <c r="AF72" s="122"/>
      <c r="AG72" s="147"/>
      <c r="AH72" s="73"/>
      <c r="AI72" s="135"/>
      <c r="AJ72" s="136"/>
      <c r="AK72" s="76"/>
      <c r="AL72" s="135"/>
      <c r="AM72" s="139" t="s">
        <v>71</v>
      </c>
      <c r="AN72" s="139">
        <v>732.0</v>
      </c>
      <c r="AO72" s="140">
        <v>97.25</v>
      </c>
      <c r="AP72" s="152">
        <v>37494.0</v>
      </c>
      <c r="AQ72" s="152">
        <v>199.0</v>
      </c>
      <c r="AR72" s="143">
        <v>-1.0</v>
      </c>
      <c r="AS72" s="144">
        <v>0.9611595171895624</v>
      </c>
      <c r="AT72" s="144">
        <v>0.02394048281043759</v>
      </c>
      <c r="AU72" s="146" t="s">
        <v>437</v>
      </c>
      <c r="AV72" s="146" t="s">
        <v>437</v>
      </c>
      <c r="AW72" s="148" t="s">
        <v>437</v>
      </c>
      <c r="AX72" s="151"/>
      <c r="AY72" s="105"/>
      <c r="AZ72" s="186"/>
      <c r="BA72" s="186"/>
      <c r="BB72" s="146"/>
      <c r="BC72" s="45"/>
      <c r="BD72" s="45"/>
      <c r="BE72" s="45"/>
      <c r="BF72" s="45"/>
    </row>
    <row r="73">
      <c r="A73" s="79">
        <v>70.0</v>
      </c>
      <c r="B73" s="108" t="s">
        <v>439</v>
      </c>
      <c r="C73" s="115" t="s">
        <v>56</v>
      </c>
      <c r="D73" s="110">
        <v>41506.0</v>
      </c>
      <c r="E73" s="110">
        <v>42350.0</v>
      </c>
      <c r="F73" s="107" t="s">
        <v>79</v>
      </c>
      <c r="G73" s="113">
        <v>30389.0</v>
      </c>
      <c r="H73" s="114">
        <v>36.0</v>
      </c>
      <c r="I73" s="119">
        <v>249.0</v>
      </c>
      <c r="J73" s="122" t="s">
        <v>62</v>
      </c>
      <c r="K73" s="121">
        <v>249.0</v>
      </c>
      <c r="L73" s="119" t="s">
        <v>63</v>
      </c>
      <c r="M73" s="119"/>
      <c r="N73" s="119"/>
      <c r="O73" s="124">
        <v>30389.0</v>
      </c>
      <c r="P73" s="124">
        <v>845.0</v>
      </c>
      <c r="Q73" s="122">
        <v>319.0</v>
      </c>
      <c r="R73" s="125">
        <v>269.0</v>
      </c>
      <c r="S73" s="126">
        <v>0.9257</v>
      </c>
      <c r="T73" s="127">
        <v>71741.75</v>
      </c>
      <c r="U73" s="128">
        <f t="shared" si="1"/>
        <v>0</v>
      </c>
      <c r="V73" s="107" t="s">
        <v>64</v>
      </c>
      <c r="W73" s="107" t="s">
        <v>69</v>
      </c>
      <c r="X73" s="107" t="s">
        <v>68</v>
      </c>
      <c r="Y73" s="131">
        <v>0.7</v>
      </c>
      <c r="Z73" s="160">
        <v>15.0</v>
      </c>
      <c r="AA73" s="111">
        <v>268.0</v>
      </c>
      <c r="AB73" s="111" t="s">
        <v>62</v>
      </c>
      <c r="AC73" s="182">
        <v>178.0</v>
      </c>
      <c r="AD73" s="182">
        <v>120.0</v>
      </c>
      <c r="AE73" s="182" t="s">
        <v>440</v>
      </c>
      <c r="AF73" s="122" t="s">
        <v>62</v>
      </c>
      <c r="AG73" s="134" t="s">
        <v>441</v>
      </c>
      <c r="AH73" s="73">
        <v>58.0</v>
      </c>
      <c r="AI73" s="135">
        <v>58.0</v>
      </c>
      <c r="AJ73" s="136">
        <v>66.11379310344827</v>
      </c>
      <c r="AK73" s="76">
        <v>0.8530812013348165</v>
      </c>
      <c r="AL73" s="135" t="s">
        <v>442</v>
      </c>
      <c r="AM73" s="139">
        <v>268.0</v>
      </c>
      <c r="AN73" s="139">
        <v>845.0</v>
      </c>
      <c r="AO73" s="140">
        <v>129.95</v>
      </c>
      <c r="AP73" s="152">
        <v>48906.0</v>
      </c>
      <c r="AQ73" s="152">
        <v>198.0</v>
      </c>
      <c r="AR73" s="143">
        <v>-1.0</v>
      </c>
      <c r="AS73" s="144">
        <v>0.9565524043872622</v>
      </c>
      <c r="AT73" s="144">
        <v>-0.030852404387262222</v>
      </c>
      <c r="AU73" s="146" t="s">
        <v>444</v>
      </c>
      <c r="AV73" s="146" t="s">
        <v>444</v>
      </c>
      <c r="AW73" s="148" t="s">
        <v>444</v>
      </c>
      <c r="AX73" s="151"/>
      <c r="AY73" s="105"/>
      <c r="AZ73" s="186"/>
      <c r="BA73" s="186"/>
      <c r="BB73" s="146"/>
      <c r="BC73" s="45"/>
      <c r="BD73" s="45"/>
      <c r="BE73" s="45"/>
      <c r="BF73" s="45"/>
    </row>
    <row r="74">
      <c r="A74" s="79">
        <v>71.0</v>
      </c>
      <c r="B74" s="108" t="s">
        <v>445</v>
      </c>
      <c r="C74" s="115" t="s">
        <v>56</v>
      </c>
      <c r="D74" s="110">
        <v>41986.0</v>
      </c>
      <c r="E74" s="110">
        <v>42316.0</v>
      </c>
      <c r="F74" s="107" t="s">
        <v>90</v>
      </c>
      <c r="G74" s="113">
        <v>16839.0</v>
      </c>
      <c r="H74" s="114">
        <v>50.9</v>
      </c>
      <c r="I74" s="119">
        <v>247.0</v>
      </c>
      <c r="J74" s="122" t="s">
        <v>61</v>
      </c>
      <c r="K74" s="121">
        <v>250.13</v>
      </c>
      <c r="L74" s="119" t="s">
        <v>63</v>
      </c>
      <c r="M74" s="119"/>
      <c r="N74" s="119"/>
      <c r="O74" s="124">
        <v>16839.0</v>
      </c>
      <c r="P74" s="124">
        <v>331.0</v>
      </c>
      <c r="Q74" s="122">
        <v>330.0</v>
      </c>
      <c r="R74" s="125">
        <v>256.0</v>
      </c>
      <c r="S74" s="126">
        <v>0.9771</v>
      </c>
      <c r="T74" s="127">
        <v>75725.25</v>
      </c>
      <c r="U74" s="128">
        <f t="shared" si="1"/>
        <v>0</v>
      </c>
      <c r="V74" s="107" t="s">
        <v>69</v>
      </c>
      <c r="W74" s="107" t="s">
        <v>69</v>
      </c>
      <c r="X74" s="107" t="s">
        <v>68</v>
      </c>
      <c r="Y74" s="131">
        <v>0.9</v>
      </c>
      <c r="Z74" s="132"/>
      <c r="AA74" s="133"/>
      <c r="AB74" s="133"/>
      <c r="AC74" s="182">
        <v>221.0</v>
      </c>
      <c r="AD74" s="182">
        <v>176.9</v>
      </c>
      <c r="AE74" s="182">
        <v>14.0</v>
      </c>
      <c r="AF74" s="122" t="s">
        <v>61</v>
      </c>
      <c r="AG74" s="147"/>
      <c r="AH74" s="73">
        <v>44.099999999999994</v>
      </c>
      <c r="AI74" s="135">
        <v>44.65822784810126</v>
      </c>
      <c r="AJ74" s="136">
        <v>78.41376984126984</v>
      </c>
      <c r="AK74" s="76">
        <v>1.0117905785970303</v>
      </c>
      <c r="AL74" s="135" t="s">
        <v>446</v>
      </c>
      <c r="AM74" s="139" t="s">
        <v>71</v>
      </c>
      <c r="AN74" s="139">
        <v>331.0</v>
      </c>
      <c r="AO74" s="140">
        <v>72.55</v>
      </c>
      <c r="AP74" s="152">
        <v>27100.0</v>
      </c>
      <c r="AQ74" s="152">
        <v>205.0</v>
      </c>
      <c r="AR74" s="143">
        <v>-1.0</v>
      </c>
      <c r="AS74" s="144">
        <v>0.9670759956638457</v>
      </c>
      <c r="AT74" s="144">
        <v>0.010024004336154246</v>
      </c>
      <c r="AU74" s="146" t="s">
        <v>448</v>
      </c>
      <c r="AV74" s="146" t="s">
        <v>448</v>
      </c>
      <c r="AW74" s="148" t="s">
        <v>448</v>
      </c>
      <c r="AX74" s="151"/>
      <c r="AY74" s="105"/>
      <c r="AZ74" s="186"/>
      <c r="BA74" s="186"/>
      <c r="BB74" s="146"/>
      <c r="BC74" s="45"/>
      <c r="BD74" s="45"/>
      <c r="BE74" s="45"/>
      <c r="BF74" s="45"/>
    </row>
    <row r="75">
      <c r="A75" s="79">
        <v>72.0</v>
      </c>
      <c r="B75" s="108" t="s">
        <v>450</v>
      </c>
      <c r="C75" s="115" t="s">
        <v>56</v>
      </c>
      <c r="D75" s="110">
        <v>42078.0</v>
      </c>
      <c r="E75" s="110">
        <v>42326.0</v>
      </c>
      <c r="F75" s="107" t="s">
        <v>59</v>
      </c>
      <c r="G75" s="113">
        <v>9640.0</v>
      </c>
      <c r="H75" s="114">
        <v>38.7</v>
      </c>
      <c r="I75" s="119">
        <v>252.0</v>
      </c>
      <c r="J75" s="122" t="s">
        <v>61</v>
      </c>
      <c r="K75" s="121">
        <v>255.19</v>
      </c>
      <c r="L75" s="119" t="s">
        <v>63</v>
      </c>
      <c r="M75" s="119"/>
      <c r="N75" s="119"/>
      <c r="O75" s="124">
        <v>9640.0</v>
      </c>
      <c r="P75" s="124">
        <v>249.0</v>
      </c>
      <c r="Q75" s="122">
        <v>315.0</v>
      </c>
      <c r="R75" s="125">
        <v>269.0</v>
      </c>
      <c r="S75" s="126">
        <v>0.9487</v>
      </c>
      <c r="T75" s="127">
        <v>73524.25</v>
      </c>
      <c r="U75" s="128">
        <f t="shared" si="1"/>
        <v>0</v>
      </c>
      <c r="V75" s="107" t="s">
        <v>69</v>
      </c>
      <c r="W75" s="107" t="s">
        <v>69</v>
      </c>
      <c r="X75" s="107" t="s">
        <v>68</v>
      </c>
      <c r="Y75" s="131">
        <v>0.8</v>
      </c>
      <c r="Z75" s="160">
        <v>10.0</v>
      </c>
      <c r="AA75" s="111">
        <v>264.0</v>
      </c>
      <c r="AB75" s="111" t="s">
        <v>61</v>
      </c>
      <c r="AC75" s="141"/>
      <c r="AD75" s="141"/>
      <c r="AE75" s="141"/>
      <c r="AF75" s="122"/>
      <c r="AG75" s="147"/>
      <c r="AH75" s="73"/>
      <c r="AI75" s="135"/>
      <c r="AJ75" s="136"/>
      <c r="AK75" s="76"/>
      <c r="AL75" s="135"/>
      <c r="AM75" s="139">
        <v>267.0</v>
      </c>
      <c r="AN75" s="139">
        <v>249.0</v>
      </c>
      <c r="AO75" s="140">
        <v>40.22</v>
      </c>
      <c r="AP75" s="152">
        <v>15514.0</v>
      </c>
      <c r="AQ75" s="152">
        <v>196.0</v>
      </c>
      <c r="AR75" s="143">
        <v>-1.0</v>
      </c>
      <c r="AS75" s="144">
        <v>0.9769403002354798</v>
      </c>
      <c r="AT75" s="144">
        <v>-0.028240300235479854</v>
      </c>
      <c r="AU75" s="146" t="s">
        <v>453</v>
      </c>
      <c r="AV75" s="146" t="s">
        <v>453</v>
      </c>
      <c r="AW75" s="148" t="s">
        <v>453</v>
      </c>
      <c r="AX75" s="151"/>
      <c r="AY75" s="105"/>
      <c r="AZ75" s="186"/>
      <c r="BA75" s="186"/>
      <c r="BB75" s="146"/>
      <c r="BC75" s="45"/>
      <c r="BD75" s="45"/>
      <c r="BE75" s="45"/>
      <c r="BF75" s="45"/>
    </row>
    <row r="76">
      <c r="A76" s="79">
        <v>73.0</v>
      </c>
      <c r="B76" s="108" t="s">
        <v>454</v>
      </c>
      <c r="C76" s="115" t="s">
        <v>56</v>
      </c>
      <c r="D76" s="110">
        <v>42244.0</v>
      </c>
      <c r="E76" s="110">
        <v>42365.0</v>
      </c>
      <c r="F76" s="107" t="s">
        <v>316</v>
      </c>
      <c r="G76" s="113">
        <v>5790.0</v>
      </c>
      <c r="H76" s="114">
        <v>47.5</v>
      </c>
      <c r="I76" s="119">
        <v>260.0</v>
      </c>
      <c r="J76" s="122" t="s">
        <v>61</v>
      </c>
      <c r="K76" s="121">
        <v>263.29</v>
      </c>
      <c r="L76" s="119" t="s">
        <v>63</v>
      </c>
      <c r="M76" s="119"/>
      <c r="N76" s="119"/>
      <c r="O76" s="124">
        <v>5790.0</v>
      </c>
      <c r="P76" s="124">
        <v>122.0</v>
      </c>
      <c r="Q76" s="122">
        <v>339.0</v>
      </c>
      <c r="R76" s="125">
        <v>280.0</v>
      </c>
      <c r="S76" s="126">
        <v>0.9403</v>
      </c>
      <c r="T76" s="127">
        <v>76916.54000000001</v>
      </c>
      <c r="U76" s="128">
        <f t="shared" si="1"/>
        <v>0</v>
      </c>
      <c r="V76" s="107" t="s">
        <v>69</v>
      </c>
      <c r="W76" s="107" t="s">
        <v>69</v>
      </c>
      <c r="X76" s="107" t="s">
        <v>68</v>
      </c>
      <c r="Y76" s="131">
        <v>0.9</v>
      </c>
      <c r="Z76" s="132"/>
      <c r="AA76" s="133"/>
      <c r="AB76" s="133"/>
      <c r="AC76" s="141"/>
      <c r="AD76" s="141"/>
      <c r="AE76" s="141"/>
      <c r="AF76" s="122"/>
      <c r="AG76" s="134"/>
      <c r="AH76" s="73"/>
      <c r="AI76" s="135"/>
      <c r="AJ76" s="136"/>
      <c r="AK76" s="76"/>
      <c r="AL76" s="135"/>
      <c r="AM76" s="139" t="s">
        <v>71</v>
      </c>
      <c r="AN76" s="139">
        <v>122.0</v>
      </c>
      <c r="AO76" s="140">
        <v>24.74</v>
      </c>
      <c r="AP76" s="152">
        <v>9318.0</v>
      </c>
      <c r="AQ76" s="152">
        <v>211.0</v>
      </c>
      <c r="AR76" s="143">
        <v>-1.0</v>
      </c>
      <c r="AS76" s="144">
        <v>0.9844017313421966</v>
      </c>
      <c r="AT76" s="144">
        <v>-0.044101731342196526</v>
      </c>
      <c r="AU76" s="146" t="s">
        <v>458</v>
      </c>
      <c r="AV76" s="146" t="s">
        <v>458</v>
      </c>
      <c r="AW76" s="148" t="s">
        <v>458</v>
      </c>
      <c r="AX76" s="151"/>
      <c r="AY76" s="105"/>
      <c r="AZ76" s="186"/>
      <c r="BA76" s="186"/>
      <c r="BB76" s="146"/>
      <c r="BC76" s="45"/>
      <c r="BD76" s="45"/>
      <c r="BE76" s="45"/>
      <c r="BF76" s="45"/>
    </row>
    <row r="77">
      <c r="A77" s="79">
        <v>74.0</v>
      </c>
      <c r="B77" s="108" t="s">
        <v>161</v>
      </c>
      <c r="C77" s="115" t="s">
        <v>56</v>
      </c>
      <c r="D77" s="110">
        <v>41310.0</v>
      </c>
      <c r="E77" s="110">
        <v>42374.0</v>
      </c>
      <c r="F77" s="107" t="s">
        <v>59</v>
      </c>
      <c r="G77" s="113">
        <v>41800.0</v>
      </c>
      <c r="H77" s="114">
        <v>39.2</v>
      </c>
      <c r="I77" s="119">
        <v>252.0</v>
      </c>
      <c r="J77" s="122" t="s">
        <v>62</v>
      </c>
      <c r="K77" s="121">
        <v>252.0</v>
      </c>
      <c r="L77" s="119" t="s">
        <v>63</v>
      </c>
      <c r="M77" s="119"/>
      <c r="N77" s="119"/>
      <c r="O77" s="124">
        <v>41800.0</v>
      </c>
      <c r="P77" s="124">
        <v>1065.0</v>
      </c>
      <c r="Q77" s="122">
        <v>298.0</v>
      </c>
      <c r="R77" s="125">
        <v>269.0</v>
      </c>
      <c r="S77" s="126">
        <v>0.9368</v>
      </c>
      <c r="T77" s="127">
        <v>72602.0</v>
      </c>
      <c r="U77" s="128">
        <f t="shared" si="1"/>
        <v>0</v>
      </c>
      <c r="V77" s="107" t="s">
        <v>64</v>
      </c>
      <c r="W77" s="107" t="s">
        <v>69</v>
      </c>
      <c r="X77" s="107" t="s">
        <v>69</v>
      </c>
      <c r="Y77" s="131">
        <v>0.9</v>
      </c>
      <c r="Z77" s="160">
        <v>1.0</v>
      </c>
      <c r="AA77" s="111">
        <v>270.0</v>
      </c>
      <c r="AB77" s="111" t="s">
        <v>61</v>
      </c>
      <c r="AC77" s="141"/>
      <c r="AD77" s="141"/>
      <c r="AE77" s="141"/>
      <c r="AF77" s="122"/>
      <c r="AG77" s="134" t="s">
        <v>166</v>
      </c>
      <c r="AH77" s="73"/>
      <c r="AI77" s="135"/>
      <c r="AJ77" s="136"/>
      <c r="AK77" s="76"/>
      <c r="AL77" s="135"/>
      <c r="AM77" s="139">
        <v>273.0</v>
      </c>
      <c r="AN77" s="139">
        <v>1065.0</v>
      </c>
      <c r="AO77" s="140">
        <v>166.02</v>
      </c>
      <c r="AP77" s="152">
        <v>67271.0</v>
      </c>
      <c r="AQ77" s="152">
        <v>185.0</v>
      </c>
      <c r="AR77" s="143">
        <v>-1.0</v>
      </c>
      <c r="AS77" s="144">
        <v>0.9513874085356421</v>
      </c>
      <c r="AT77" s="144">
        <v>-0.01458740853564211</v>
      </c>
      <c r="AU77" s="146" t="s">
        <v>461</v>
      </c>
      <c r="AV77" s="146" t="s">
        <v>461</v>
      </c>
      <c r="AW77" s="148" t="s">
        <v>461</v>
      </c>
      <c r="AX77" s="151"/>
      <c r="AY77" s="105"/>
      <c r="AZ77" s="186"/>
      <c r="BA77" s="186"/>
      <c r="BB77" s="146"/>
      <c r="BC77" s="45"/>
      <c r="BD77" s="45"/>
      <c r="BE77" s="45"/>
      <c r="BF77" s="45"/>
    </row>
    <row r="78">
      <c r="A78" s="79">
        <v>75.0</v>
      </c>
      <c r="B78" s="108" t="s">
        <v>227</v>
      </c>
      <c r="C78" s="115" t="s">
        <v>56</v>
      </c>
      <c r="D78" s="110">
        <v>41958.0</v>
      </c>
      <c r="E78" s="110">
        <v>42398.0</v>
      </c>
      <c r="F78" s="107" t="s">
        <v>59</v>
      </c>
      <c r="G78" s="113">
        <v>25283.0</v>
      </c>
      <c r="H78" s="114">
        <v>57.3</v>
      </c>
      <c r="I78" s="119">
        <v>257.0</v>
      </c>
      <c r="J78" s="122" t="s">
        <v>62</v>
      </c>
      <c r="K78" s="121">
        <v>257.0</v>
      </c>
      <c r="L78" s="119" t="s">
        <v>63</v>
      </c>
      <c r="M78" s="119"/>
      <c r="N78" s="119"/>
      <c r="O78" s="124">
        <v>25283.0</v>
      </c>
      <c r="P78" s="124">
        <v>441.0</v>
      </c>
      <c r="Q78" s="122">
        <v>310.0</v>
      </c>
      <c r="R78" s="125">
        <v>269.0</v>
      </c>
      <c r="S78" s="126">
        <v>0.9554</v>
      </c>
      <c r="T78" s="127">
        <v>74043.5</v>
      </c>
      <c r="U78" s="128">
        <f t="shared" si="1"/>
        <v>0</v>
      </c>
      <c r="V78" s="107" t="s">
        <v>65</v>
      </c>
      <c r="W78" s="107" t="s">
        <v>65</v>
      </c>
      <c r="X78" s="107" t="s">
        <v>64</v>
      </c>
      <c r="Y78" s="131">
        <v>0.8</v>
      </c>
      <c r="Z78" s="160">
        <v>6.0</v>
      </c>
      <c r="AA78" s="111">
        <v>265.0</v>
      </c>
      <c r="AB78" s="111" t="s">
        <v>62</v>
      </c>
      <c r="AC78" s="141"/>
      <c r="AD78" s="141"/>
      <c r="AE78" s="141"/>
      <c r="AF78" s="122"/>
      <c r="AG78" s="216" t="s">
        <v>233</v>
      </c>
      <c r="AH78" s="73"/>
      <c r="AI78" s="135"/>
      <c r="AJ78" s="136"/>
      <c r="AK78" s="76"/>
      <c r="AL78" s="135"/>
      <c r="AM78" s="139">
        <v>265.0</v>
      </c>
      <c r="AN78" s="139">
        <v>441.0</v>
      </c>
      <c r="AO78" s="140">
        <v>103.46</v>
      </c>
      <c r="AP78" s="152">
        <v>40689.0</v>
      </c>
      <c r="AQ78" s="152">
        <v>193.0</v>
      </c>
      <c r="AR78" s="143">
        <v>-1.0</v>
      </c>
      <c r="AS78" s="144">
        <v>0.9597112299062162</v>
      </c>
      <c r="AT78" s="144">
        <v>-0.00431122990621613</v>
      </c>
      <c r="AU78" s="146" t="s">
        <v>463</v>
      </c>
      <c r="AV78" s="146" t="s">
        <v>463</v>
      </c>
      <c r="AW78" s="148" t="s">
        <v>463</v>
      </c>
      <c r="AX78" s="151"/>
      <c r="AY78" s="105"/>
      <c r="AZ78" s="186"/>
      <c r="BA78" s="186"/>
      <c r="BB78" s="146"/>
      <c r="BC78" s="45"/>
      <c r="BD78" s="45"/>
      <c r="BE78" s="45"/>
      <c r="BF78" s="45"/>
    </row>
    <row r="79">
      <c r="A79" s="79">
        <v>76.0</v>
      </c>
      <c r="B79" s="108" t="s">
        <v>465</v>
      </c>
      <c r="C79" s="115" t="s">
        <v>56</v>
      </c>
      <c r="D79" s="110">
        <v>41309.0</v>
      </c>
      <c r="E79" s="110">
        <v>42400.0</v>
      </c>
      <c r="F79" s="107" t="s">
        <v>109</v>
      </c>
      <c r="G79" s="113">
        <v>67736.0</v>
      </c>
      <c r="H79" s="114">
        <v>62.0</v>
      </c>
      <c r="I79" s="119">
        <v>191.0</v>
      </c>
      <c r="J79" s="122" t="s">
        <v>61</v>
      </c>
      <c r="K79" s="121">
        <v>193.42</v>
      </c>
      <c r="L79" s="119" t="s">
        <v>63</v>
      </c>
      <c r="M79" s="119"/>
      <c r="N79" s="119"/>
      <c r="O79" s="124">
        <v>67736.0</v>
      </c>
      <c r="P79" s="124">
        <v>1092.0</v>
      </c>
      <c r="Q79" s="122">
        <v>291.0</v>
      </c>
      <c r="R79" s="125">
        <v>210.0</v>
      </c>
      <c r="S79" s="126">
        <v>0.921</v>
      </c>
      <c r="T79" s="127">
        <v>53878.5</v>
      </c>
      <c r="U79" s="128">
        <f t="shared" si="1"/>
        <v>0</v>
      </c>
      <c r="V79" s="107" t="s">
        <v>64</v>
      </c>
      <c r="W79" s="107" t="s">
        <v>69</v>
      </c>
      <c r="X79" s="107" t="s">
        <v>66</v>
      </c>
      <c r="Y79" s="131">
        <v>0.8</v>
      </c>
      <c r="Z79" s="160">
        <v>10.0</v>
      </c>
      <c r="AA79" s="133"/>
      <c r="AB79" s="111" t="s">
        <v>61</v>
      </c>
      <c r="AC79" s="182">
        <v>191.0</v>
      </c>
      <c r="AD79" s="182">
        <v>20.0</v>
      </c>
      <c r="AE79" s="182">
        <v>46.6</v>
      </c>
      <c r="AF79" s="122" t="s">
        <v>61</v>
      </c>
      <c r="AG79" s="147"/>
      <c r="AH79" s="73">
        <v>171.0</v>
      </c>
      <c r="AI79" s="135">
        <v>173.16455696202533</v>
      </c>
      <c r="AJ79" s="136">
        <v>52.050905555555545</v>
      </c>
      <c r="AK79" s="76">
        <v>0.8897590693257358</v>
      </c>
      <c r="AL79" s="135" t="s">
        <v>467</v>
      </c>
      <c r="AM79" s="139" t="s">
        <v>71</v>
      </c>
      <c r="AN79" s="139">
        <v>1092.0</v>
      </c>
      <c r="AO79" s="140">
        <v>350.86</v>
      </c>
      <c r="AP79" s="152">
        <v>109011.0</v>
      </c>
      <c r="AQ79" s="152">
        <v>181.0</v>
      </c>
      <c r="AR79" s="143">
        <v>-1.0</v>
      </c>
      <c r="AS79" s="144">
        <v>0.9434303422538487</v>
      </c>
      <c r="AT79" s="144">
        <v>-0.022430342253848656</v>
      </c>
      <c r="AU79" s="146" t="s">
        <v>468</v>
      </c>
      <c r="AV79" s="146" t="s">
        <v>468</v>
      </c>
      <c r="AW79" s="148" t="s">
        <v>468</v>
      </c>
      <c r="AX79" s="151"/>
      <c r="AY79" s="105"/>
      <c r="AZ79" s="186"/>
      <c r="BA79" s="186"/>
      <c r="BB79" s="146"/>
      <c r="BC79" s="45"/>
      <c r="BD79" s="45"/>
      <c r="BE79" s="45"/>
      <c r="BF79" s="45"/>
    </row>
    <row r="80">
      <c r="A80" s="79">
        <v>77.0</v>
      </c>
      <c r="B80" s="108" t="s">
        <v>423</v>
      </c>
      <c r="C80" s="115" t="s">
        <v>56</v>
      </c>
      <c r="D80" s="110">
        <v>41241.0</v>
      </c>
      <c r="E80" s="110">
        <v>42377.0</v>
      </c>
      <c r="F80" s="107" t="s">
        <v>79</v>
      </c>
      <c r="G80" s="113">
        <v>44950.0</v>
      </c>
      <c r="H80" s="114">
        <v>39.5</v>
      </c>
      <c r="I80" s="119">
        <v>257.0</v>
      </c>
      <c r="J80" s="122" t="s">
        <v>62</v>
      </c>
      <c r="K80" s="121">
        <v>257.0</v>
      </c>
      <c r="L80" s="119" t="s">
        <v>195</v>
      </c>
      <c r="M80" s="119" t="s">
        <v>424</v>
      </c>
      <c r="N80" s="119">
        <v>20796.0</v>
      </c>
      <c r="O80" s="124">
        <v>29967.0</v>
      </c>
      <c r="P80" s="124">
        <v>758.0</v>
      </c>
      <c r="Q80" s="122">
        <v>363.0</v>
      </c>
      <c r="R80" s="125">
        <v>269.0</v>
      </c>
      <c r="S80" s="126">
        <v>0.9554</v>
      </c>
      <c r="T80" s="127">
        <v>74043.5</v>
      </c>
      <c r="U80" s="128">
        <f t="shared" si="1"/>
        <v>0</v>
      </c>
      <c r="V80" s="107" t="s">
        <v>69</v>
      </c>
      <c r="W80" s="107" t="s">
        <v>69</v>
      </c>
      <c r="X80" s="107" t="s">
        <v>66</v>
      </c>
      <c r="Y80" s="131">
        <v>0.8</v>
      </c>
      <c r="Z80" s="132"/>
      <c r="AA80" s="111">
        <v>272.0</v>
      </c>
      <c r="AB80" s="111" t="s">
        <v>61</v>
      </c>
      <c r="AC80" s="141"/>
      <c r="AD80" s="141"/>
      <c r="AE80" s="141"/>
      <c r="AF80" s="122"/>
      <c r="AG80" s="134"/>
      <c r="AH80" s="73"/>
      <c r="AI80" s="135"/>
      <c r="AJ80" s="136"/>
      <c r="AK80" s="76"/>
      <c r="AL80" s="135"/>
      <c r="AM80" s="139">
        <v>275.0</v>
      </c>
      <c r="AN80" s="139">
        <v>1137.0</v>
      </c>
      <c r="AO80" s="140">
        <v>143.6</v>
      </c>
      <c r="AP80" s="152">
        <v>48227.0</v>
      </c>
      <c r="AQ80" s="152">
        <v>226.0</v>
      </c>
      <c r="AR80" s="143">
        <v>-1.0</v>
      </c>
      <c r="AS80" s="144">
        <v>0.9567873995716236</v>
      </c>
      <c r="AT80" s="144">
        <v>-0.0013873995716235932</v>
      </c>
      <c r="AU80" s="146" t="s">
        <v>471</v>
      </c>
      <c r="AV80" s="146" t="s">
        <v>471</v>
      </c>
      <c r="AW80" s="148" t="s">
        <v>471</v>
      </c>
      <c r="AX80" s="151"/>
      <c r="AY80" s="105"/>
      <c r="AZ80" s="186"/>
      <c r="BA80" s="186"/>
      <c r="BB80" s="146"/>
      <c r="BC80" s="45"/>
      <c r="BD80" s="45"/>
      <c r="BE80" s="45"/>
      <c r="BF80" s="45"/>
    </row>
    <row r="81">
      <c r="A81" s="79">
        <v>78.0</v>
      </c>
      <c r="B81" s="108" t="s">
        <v>407</v>
      </c>
      <c r="C81" s="115" t="s">
        <v>56</v>
      </c>
      <c r="D81" s="110">
        <v>42272.0</v>
      </c>
      <c r="E81" s="110">
        <v>42413.0</v>
      </c>
      <c r="F81" s="107" t="s">
        <v>316</v>
      </c>
      <c r="G81" s="113">
        <v>4935.0</v>
      </c>
      <c r="H81" s="114">
        <v>34.8</v>
      </c>
      <c r="I81" s="119">
        <v>277.0</v>
      </c>
      <c r="J81" s="122" t="s">
        <v>61</v>
      </c>
      <c r="K81" s="121">
        <v>280.51</v>
      </c>
      <c r="L81" s="119" t="s">
        <v>63</v>
      </c>
      <c r="M81" s="119"/>
      <c r="N81" s="119"/>
      <c r="O81" s="124">
        <v>4935.0</v>
      </c>
      <c r="P81" s="124">
        <v>142.0</v>
      </c>
      <c r="Q81" s="122">
        <v>314.0</v>
      </c>
      <c r="R81" s="125">
        <v>280.0</v>
      </c>
      <c r="S81" s="126">
        <v>1.0018</v>
      </c>
      <c r="T81" s="127">
        <v>81947.24</v>
      </c>
      <c r="U81" s="128">
        <f t="shared" si="1"/>
        <v>0</v>
      </c>
      <c r="V81" s="107" t="s">
        <v>64</v>
      </c>
      <c r="W81" s="107" t="s">
        <v>69</v>
      </c>
      <c r="X81" s="107" t="s">
        <v>66</v>
      </c>
      <c r="Y81" s="131">
        <v>0.5</v>
      </c>
      <c r="Z81" s="160">
        <v>1.0</v>
      </c>
      <c r="AA81" s="111">
        <v>282.0</v>
      </c>
      <c r="AB81" s="111" t="s">
        <v>61</v>
      </c>
      <c r="AC81" s="182"/>
      <c r="AD81" s="141"/>
      <c r="AE81" s="141"/>
      <c r="AF81" s="122"/>
      <c r="AG81" s="147"/>
      <c r="AH81" s="73"/>
      <c r="AI81" s="135"/>
      <c r="AJ81" s="136"/>
      <c r="AK81" s="76"/>
      <c r="AL81" s="135"/>
      <c r="AM81" s="139">
        <v>286.0</v>
      </c>
      <c r="AN81" s="139">
        <v>142.0</v>
      </c>
      <c r="AO81" s="140">
        <v>18.93</v>
      </c>
      <c r="AP81" s="152">
        <v>7942.0</v>
      </c>
      <c r="AQ81" s="152">
        <v>195.0</v>
      </c>
      <c r="AR81" s="143">
        <v>-1.0</v>
      </c>
      <c r="AS81" s="144">
        <v>0.9863348714314722</v>
      </c>
      <c r="AT81" s="144">
        <v>0.015465128568527775</v>
      </c>
      <c r="AU81" s="146" t="s">
        <v>475</v>
      </c>
      <c r="AV81" s="146" t="s">
        <v>475</v>
      </c>
      <c r="AW81" s="148" t="s">
        <v>475</v>
      </c>
      <c r="AX81" s="151"/>
      <c r="AY81" s="105"/>
      <c r="AZ81" s="186"/>
      <c r="BA81" s="186"/>
      <c r="BB81" s="146"/>
      <c r="BC81" s="45"/>
      <c r="BD81" s="45"/>
      <c r="BE81" s="45"/>
      <c r="BF81" s="45"/>
    </row>
    <row r="82">
      <c r="A82" s="79">
        <v>79.0</v>
      </c>
      <c r="B82" s="108" t="s">
        <v>161</v>
      </c>
      <c r="C82" s="115" t="s">
        <v>56</v>
      </c>
      <c r="D82" s="110">
        <v>41310.0</v>
      </c>
      <c r="E82" s="110">
        <v>42437.0</v>
      </c>
      <c r="F82" s="107" t="s">
        <v>59</v>
      </c>
      <c r="G82" s="113">
        <v>43603.0</v>
      </c>
      <c r="H82" s="114">
        <v>38.7</v>
      </c>
      <c r="I82" s="119">
        <v>253.0</v>
      </c>
      <c r="J82" s="122" t="s">
        <v>62</v>
      </c>
      <c r="K82" s="121">
        <v>253.0</v>
      </c>
      <c r="L82" s="119" t="s">
        <v>63</v>
      </c>
      <c r="M82" s="119"/>
      <c r="N82" s="119"/>
      <c r="O82" s="124">
        <v>43603.0</v>
      </c>
      <c r="P82" s="124">
        <v>1128.0</v>
      </c>
      <c r="Q82" s="122">
        <v>298.0</v>
      </c>
      <c r="R82" s="125">
        <v>269.0</v>
      </c>
      <c r="S82" s="126">
        <v>0.9405</v>
      </c>
      <c r="T82" s="127">
        <v>72888.75</v>
      </c>
      <c r="U82" s="128">
        <f t="shared" si="1"/>
        <v>0</v>
      </c>
      <c r="V82" s="107" t="s">
        <v>64</v>
      </c>
      <c r="W82" s="107" t="s">
        <v>69</v>
      </c>
      <c r="X82" s="107" t="s">
        <v>69</v>
      </c>
      <c r="Y82" s="131">
        <v>0.9</v>
      </c>
      <c r="Z82" s="160">
        <v>1.0</v>
      </c>
      <c r="AA82" s="111">
        <v>270.0</v>
      </c>
      <c r="AB82" s="111" t="s">
        <v>61</v>
      </c>
      <c r="AC82" s="141"/>
      <c r="AD82" s="141"/>
      <c r="AE82" s="141"/>
      <c r="AF82" s="122"/>
      <c r="AG82" s="134" t="s">
        <v>166</v>
      </c>
      <c r="AH82" s="73"/>
      <c r="AI82" s="135"/>
      <c r="AJ82" s="136"/>
      <c r="AK82" s="76"/>
      <c r="AL82" s="135"/>
      <c r="AM82" s="139">
        <v>273.0</v>
      </c>
      <c r="AN82" s="139">
        <v>1128.0</v>
      </c>
      <c r="AO82" s="140">
        <v>172.85</v>
      </c>
      <c r="AP82" s="152">
        <v>70172.0</v>
      </c>
      <c r="AQ82" s="152">
        <v>185.0</v>
      </c>
      <c r="AR82" s="143">
        <v>-1.0</v>
      </c>
      <c r="AS82" s="144">
        <v>0.9507210149741684</v>
      </c>
      <c r="AT82" s="144">
        <v>-0.010221014974168385</v>
      </c>
      <c r="AU82" s="146" t="s">
        <v>478</v>
      </c>
      <c r="AV82" s="146" t="s">
        <v>478</v>
      </c>
      <c r="AW82" s="148" t="s">
        <v>478</v>
      </c>
      <c r="AX82" s="151"/>
      <c r="AY82" s="105"/>
      <c r="AZ82" s="186"/>
      <c r="BA82" s="186"/>
      <c r="BB82" s="146"/>
      <c r="BC82" s="45"/>
      <c r="BD82" s="45"/>
      <c r="BE82" s="45"/>
      <c r="BF82" s="45"/>
    </row>
    <row r="83">
      <c r="A83" s="79">
        <v>80.0</v>
      </c>
      <c r="B83" s="108" t="s">
        <v>161</v>
      </c>
      <c r="C83" s="115" t="s">
        <v>56</v>
      </c>
      <c r="D83" s="110">
        <v>41310.0</v>
      </c>
      <c r="E83" s="110">
        <v>42459.0</v>
      </c>
      <c r="F83" s="107" t="s">
        <v>59</v>
      </c>
      <c r="G83" s="113">
        <v>44219.0</v>
      </c>
      <c r="H83" s="114">
        <v>38.5</v>
      </c>
      <c r="I83" s="119">
        <v>253.0</v>
      </c>
      <c r="J83" s="122" t="s">
        <v>62</v>
      </c>
      <c r="K83" s="121">
        <v>253.0</v>
      </c>
      <c r="L83" s="119" t="s">
        <v>63</v>
      </c>
      <c r="M83" s="119"/>
      <c r="N83" s="119"/>
      <c r="O83" s="124">
        <v>44219.0</v>
      </c>
      <c r="P83" s="124">
        <v>1150.0</v>
      </c>
      <c r="Q83" s="122">
        <v>297.0</v>
      </c>
      <c r="R83" s="125">
        <v>269.0</v>
      </c>
      <c r="S83" s="126">
        <v>0.9405</v>
      </c>
      <c r="T83" s="127">
        <v>72888.75</v>
      </c>
      <c r="U83" s="128">
        <f t="shared" si="1"/>
        <v>0</v>
      </c>
      <c r="V83" s="107" t="s">
        <v>64</v>
      </c>
      <c r="W83" s="107" t="s">
        <v>69</v>
      </c>
      <c r="X83" s="107" t="s">
        <v>69</v>
      </c>
      <c r="Y83" s="131">
        <v>0.9</v>
      </c>
      <c r="Z83" s="160">
        <v>1.0</v>
      </c>
      <c r="AA83" s="111">
        <v>270.0</v>
      </c>
      <c r="AB83" s="111" t="s">
        <v>61</v>
      </c>
      <c r="AC83" s="141"/>
      <c r="AD83" s="141"/>
      <c r="AE83" s="141"/>
      <c r="AF83" s="122"/>
      <c r="AG83" s="134" t="s">
        <v>166</v>
      </c>
      <c r="AH83" s="73"/>
      <c r="AI83" s="135"/>
      <c r="AJ83" s="136"/>
      <c r="AK83" s="76"/>
      <c r="AL83" s="135"/>
      <c r="AM83" s="139">
        <v>273.0</v>
      </c>
      <c r="AN83" s="139">
        <v>1150.0</v>
      </c>
      <c r="AO83" s="140">
        <v>174.7</v>
      </c>
      <c r="AP83" s="152">
        <v>71164.0</v>
      </c>
      <c r="AQ83" s="152">
        <v>185.0</v>
      </c>
      <c r="AR83" s="143">
        <v>-1.0</v>
      </c>
      <c r="AS83" s="144">
        <v>0.9504995740020084</v>
      </c>
      <c r="AT83" s="144">
        <v>-0.009999574002008349</v>
      </c>
      <c r="AU83" s="146" t="s">
        <v>481</v>
      </c>
      <c r="AV83" s="146" t="s">
        <v>481</v>
      </c>
      <c r="AW83" s="148" t="s">
        <v>481</v>
      </c>
      <c r="AX83" s="151"/>
      <c r="AY83" s="105"/>
      <c r="AZ83" s="186"/>
      <c r="BA83" s="186"/>
      <c r="BB83" s="146"/>
      <c r="BC83" s="45"/>
      <c r="BD83" s="45"/>
      <c r="BE83" s="45"/>
      <c r="BF83" s="45"/>
    </row>
    <row r="84">
      <c r="A84" s="79">
        <v>81.0</v>
      </c>
      <c r="B84" s="108" t="s">
        <v>439</v>
      </c>
      <c r="C84" s="115" t="s">
        <v>56</v>
      </c>
      <c r="D84" s="110">
        <v>41506.0</v>
      </c>
      <c r="E84" s="110">
        <v>42461.0</v>
      </c>
      <c r="F84" s="107" t="s">
        <v>79</v>
      </c>
      <c r="G84" s="113">
        <v>32750.0</v>
      </c>
      <c r="H84" s="114">
        <v>34.3</v>
      </c>
      <c r="I84" s="119">
        <v>255.0</v>
      </c>
      <c r="J84" s="122" t="s">
        <v>62</v>
      </c>
      <c r="K84" s="121">
        <v>255.0</v>
      </c>
      <c r="L84" s="119" t="s">
        <v>63</v>
      </c>
      <c r="M84" s="119"/>
      <c r="N84" s="119"/>
      <c r="O84" s="124">
        <v>32750.0</v>
      </c>
      <c r="P84" s="124">
        <v>956.0</v>
      </c>
      <c r="Q84" s="122">
        <v>322.0</v>
      </c>
      <c r="R84" s="125">
        <v>269.0</v>
      </c>
      <c r="S84" s="126">
        <v>0.948</v>
      </c>
      <c r="T84" s="127">
        <v>73470.0</v>
      </c>
      <c r="U84" s="128">
        <f t="shared" si="1"/>
        <v>0</v>
      </c>
      <c r="V84" s="107" t="s">
        <v>69</v>
      </c>
      <c r="W84" s="107" t="s">
        <v>69</v>
      </c>
      <c r="X84" s="107" t="s">
        <v>68</v>
      </c>
      <c r="Y84" s="131">
        <v>0.9</v>
      </c>
      <c r="Z84" s="160">
        <v>19.0</v>
      </c>
      <c r="AA84" s="111">
        <v>265.0</v>
      </c>
      <c r="AB84" s="111" t="s">
        <v>61</v>
      </c>
      <c r="AC84" s="182">
        <v>230.0</v>
      </c>
      <c r="AD84" s="182">
        <v>176.0</v>
      </c>
      <c r="AE84" s="182">
        <v>14.7</v>
      </c>
      <c r="AF84" s="122" t="s">
        <v>62</v>
      </c>
      <c r="AG84" s="134" t="s">
        <v>483</v>
      </c>
      <c r="AH84" s="73">
        <v>54.0</v>
      </c>
      <c r="AI84" s="135">
        <v>54.0</v>
      </c>
      <c r="AJ84" s="136">
        <v>69.41666666666667</v>
      </c>
      <c r="AK84" s="76">
        <v>0.8956989247311828</v>
      </c>
      <c r="AL84" s="135" t="s">
        <v>484</v>
      </c>
      <c r="AM84" s="139">
        <v>268.0</v>
      </c>
      <c r="AN84" s="139">
        <v>956.0</v>
      </c>
      <c r="AO84" s="140">
        <v>139.74</v>
      </c>
      <c r="AP84" s="152">
        <v>52706.0</v>
      </c>
      <c r="AQ84" s="152">
        <v>200.0</v>
      </c>
      <c r="AR84" s="143">
        <v>-1.0</v>
      </c>
      <c r="AS84" s="144">
        <v>0.9553087141929925</v>
      </c>
      <c r="AT84" s="144">
        <v>-0.007308714192992505</v>
      </c>
      <c r="AU84" s="146" t="s">
        <v>485</v>
      </c>
      <c r="AV84" s="146" t="s">
        <v>485</v>
      </c>
      <c r="AW84" s="148" t="s">
        <v>485</v>
      </c>
      <c r="AX84" s="151"/>
      <c r="AY84" s="105"/>
      <c r="AZ84" s="186"/>
      <c r="BA84" s="186"/>
      <c r="BB84" s="146"/>
      <c r="BC84" s="45"/>
      <c r="BD84" s="45"/>
      <c r="BE84" s="45"/>
      <c r="BF84" s="45"/>
    </row>
    <row r="85">
      <c r="A85" s="79">
        <v>82.0</v>
      </c>
      <c r="B85" s="108" t="s">
        <v>428</v>
      </c>
      <c r="C85" s="115" t="s">
        <v>56</v>
      </c>
      <c r="D85" s="110">
        <v>42054.0</v>
      </c>
      <c r="E85" s="110">
        <v>42477.0</v>
      </c>
      <c r="F85" s="107" t="s">
        <v>86</v>
      </c>
      <c r="G85" s="113">
        <v>12236.0</v>
      </c>
      <c r="H85" s="114">
        <v>28.9</v>
      </c>
      <c r="I85" s="119">
        <v>268.0</v>
      </c>
      <c r="J85" s="122" t="s">
        <v>61</v>
      </c>
      <c r="K85" s="121">
        <v>271.39</v>
      </c>
      <c r="L85" s="119" t="s">
        <v>63</v>
      </c>
      <c r="M85" s="119"/>
      <c r="N85" s="119"/>
      <c r="O85" s="124">
        <v>12236.0</v>
      </c>
      <c r="P85" s="124">
        <v>424.0</v>
      </c>
      <c r="Q85" s="122">
        <v>328.0</v>
      </c>
      <c r="R85" s="125">
        <v>273.0</v>
      </c>
      <c r="S85" s="126">
        <v>0.9941</v>
      </c>
      <c r="T85" s="127">
        <v>77042.75</v>
      </c>
      <c r="U85" s="128">
        <f t="shared" si="1"/>
        <v>0</v>
      </c>
      <c r="V85" s="107" t="s">
        <v>69</v>
      </c>
      <c r="W85" s="107" t="s">
        <v>69</v>
      </c>
      <c r="X85" s="107" t="s">
        <v>68</v>
      </c>
      <c r="Y85" s="131">
        <v>0.9</v>
      </c>
      <c r="Z85" s="160"/>
      <c r="AA85" s="133"/>
      <c r="AB85" s="133"/>
      <c r="AC85" s="141"/>
      <c r="AD85" s="141"/>
      <c r="AE85" s="141"/>
      <c r="AF85" s="122"/>
      <c r="AG85" s="147"/>
      <c r="AH85" s="73"/>
      <c r="AI85" s="135"/>
      <c r="AJ85" s="136"/>
      <c r="AK85" s="76"/>
      <c r="AL85" s="135"/>
      <c r="AM85" s="139" t="s">
        <v>71</v>
      </c>
      <c r="AN85" s="139">
        <v>424.0</v>
      </c>
      <c r="AO85" s="140">
        <v>51.96</v>
      </c>
      <c r="AP85" s="152">
        <v>19692.0</v>
      </c>
      <c r="AQ85" s="152">
        <v>204.0</v>
      </c>
      <c r="AR85" s="143">
        <v>-1.0</v>
      </c>
      <c r="AS85" s="144">
        <v>0.9728658833077986</v>
      </c>
      <c r="AT85" s="144">
        <v>0.021234116692201432</v>
      </c>
      <c r="AU85" s="146" t="s">
        <v>489</v>
      </c>
      <c r="AV85" s="146" t="s">
        <v>489</v>
      </c>
      <c r="AW85" s="148" t="s">
        <v>489</v>
      </c>
      <c r="AX85" s="151"/>
      <c r="AY85" s="105"/>
      <c r="AZ85" s="186"/>
      <c r="BA85" s="186"/>
      <c r="BB85" s="146"/>
      <c r="BC85" s="45"/>
      <c r="BD85" s="45"/>
      <c r="BE85" s="45"/>
      <c r="BF85" s="45"/>
    </row>
    <row r="86">
      <c r="A86" s="79">
        <v>83.0</v>
      </c>
      <c r="B86" s="108" t="s">
        <v>161</v>
      </c>
      <c r="C86" s="115" t="s">
        <v>56</v>
      </c>
      <c r="D86" s="110">
        <v>41310.0</v>
      </c>
      <c r="E86" s="110">
        <v>42481.0</v>
      </c>
      <c r="F86" s="107" t="s">
        <v>59</v>
      </c>
      <c r="G86" s="113">
        <v>44883.0</v>
      </c>
      <c r="H86" s="114">
        <v>38.3</v>
      </c>
      <c r="I86" s="119">
        <v>254.0</v>
      </c>
      <c r="J86" s="122" t="s">
        <v>62</v>
      </c>
      <c r="K86" s="121">
        <v>254.0</v>
      </c>
      <c r="L86" s="119" t="s">
        <v>63</v>
      </c>
      <c r="M86" s="119"/>
      <c r="N86" s="119"/>
      <c r="O86" s="124">
        <v>44883.0</v>
      </c>
      <c r="P86" s="124">
        <v>1172.0</v>
      </c>
      <c r="Q86" s="122">
        <v>297.0</v>
      </c>
      <c r="R86" s="125">
        <v>269.0</v>
      </c>
      <c r="S86" s="126">
        <v>0.9442</v>
      </c>
      <c r="T86" s="127">
        <v>73175.5</v>
      </c>
      <c r="U86" s="128">
        <f t="shared" si="1"/>
        <v>0</v>
      </c>
      <c r="V86" s="107" t="s">
        <v>64</v>
      </c>
      <c r="W86" s="107" t="s">
        <v>69</v>
      </c>
      <c r="X86" s="107" t="s">
        <v>69</v>
      </c>
      <c r="Y86" s="131">
        <v>0.9</v>
      </c>
      <c r="Z86" s="160">
        <v>1.0</v>
      </c>
      <c r="AA86" s="111">
        <v>270.0</v>
      </c>
      <c r="AB86" s="111" t="s">
        <v>61</v>
      </c>
      <c r="AC86" s="141"/>
      <c r="AD86" s="141"/>
      <c r="AE86" s="141"/>
      <c r="AF86" s="122"/>
      <c r="AG86" s="134" t="s">
        <v>166</v>
      </c>
      <c r="AH86" s="73"/>
      <c r="AI86" s="135"/>
      <c r="AJ86" s="136"/>
      <c r="AK86" s="76"/>
      <c r="AL86" s="135"/>
      <c r="AM86" s="139">
        <v>273.0</v>
      </c>
      <c r="AN86" s="139">
        <v>1172.0</v>
      </c>
      <c r="AO86" s="140">
        <v>176.99</v>
      </c>
      <c r="AP86" s="152">
        <v>72232.0</v>
      </c>
      <c r="AQ86" s="152">
        <v>185.0</v>
      </c>
      <c r="AR86" s="143">
        <v>-1.0</v>
      </c>
      <c r="AS86" s="144">
        <v>0.9502645557223599</v>
      </c>
      <c r="AT86" s="144">
        <v>-0.006064555722359866</v>
      </c>
      <c r="AU86" s="146" t="s">
        <v>490</v>
      </c>
      <c r="AV86" s="146" t="s">
        <v>490</v>
      </c>
      <c r="AW86" s="148" t="s">
        <v>490</v>
      </c>
      <c r="AX86" s="151"/>
      <c r="AY86" s="105"/>
      <c r="AZ86" s="186"/>
      <c r="BA86" s="186"/>
      <c r="BB86" s="146"/>
      <c r="BC86" s="45"/>
      <c r="BD86" s="45"/>
      <c r="BE86" s="45"/>
      <c r="BF86" s="45"/>
    </row>
    <row r="87">
      <c r="A87" s="79">
        <v>84.0</v>
      </c>
      <c r="B87" s="219" t="s">
        <v>454</v>
      </c>
      <c r="C87" s="115" t="s">
        <v>56</v>
      </c>
      <c r="D87" s="110">
        <v>42244.0</v>
      </c>
      <c r="E87" s="110">
        <v>42487.0</v>
      </c>
      <c r="F87" s="107" t="s">
        <v>316</v>
      </c>
      <c r="G87" s="113">
        <v>10780.0</v>
      </c>
      <c r="H87" s="114">
        <v>44.2</v>
      </c>
      <c r="I87" s="119">
        <v>267.0</v>
      </c>
      <c r="J87" s="122" t="s">
        <v>61</v>
      </c>
      <c r="K87" s="121">
        <v>270.38</v>
      </c>
      <c r="L87" s="119" t="s">
        <v>63</v>
      </c>
      <c r="M87" s="119"/>
      <c r="N87" s="119"/>
      <c r="O87" s="124">
        <v>10780.0</v>
      </c>
      <c r="P87" s="124">
        <v>244.0</v>
      </c>
      <c r="Q87" s="220">
        <v>339.0</v>
      </c>
      <c r="R87" s="125">
        <v>280.0</v>
      </c>
      <c r="S87" s="126">
        <v>0.9656</v>
      </c>
      <c r="T87" s="127">
        <v>78986.08</v>
      </c>
      <c r="U87" s="128">
        <f t="shared" si="1"/>
        <v>0</v>
      </c>
      <c r="V87" s="221" t="s">
        <v>69</v>
      </c>
      <c r="W87" s="221" t="s">
        <v>69</v>
      </c>
      <c r="X87" s="221" t="s">
        <v>68</v>
      </c>
      <c r="Y87" s="131">
        <v>0.9</v>
      </c>
      <c r="Z87" s="132"/>
      <c r="AA87" s="133"/>
      <c r="AB87" s="133"/>
      <c r="AC87" s="141"/>
      <c r="AD87" s="141"/>
      <c r="AE87" s="141"/>
      <c r="AF87" s="122"/>
      <c r="AG87" s="134"/>
      <c r="AH87" s="73"/>
      <c r="AI87" s="135"/>
      <c r="AJ87" s="136"/>
      <c r="AK87" s="76"/>
      <c r="AL87" s="135"/>
      <c r="AM87" s="139" t="s">
        <v>71</v>
      </c>
      <c r="AN87" s="139">
        <v>244.0</v>
      </c>
      <c r="AO87" s="140">
        <v>45.47</v>
      </c>
      <c r="AP87" s="152">
        <v>17349.0</v>
      </c>
      <c r="AQ87" s="152">
        <v>211.0</v>
      </c>
      <c r="AR87" s="143">
        <v>-1.0</v>
      </c>
      <c r="AS87" s="144">
        <v>0.9750674928979916</v>
      </c>
      <c r="AT87" s="144">
        <v>-0.009467492897991536</v>
      </c>
      <c r="AU87" s="146" t="s">
        <v>493</v>
      </c>
      <c r="AV87" s="146" t="s">
        <v>493</v>
      </c>
      <c r="AW87" s="148" t="s">
        <v>493</v>
      </c>
      <c r="AX87" s="151"/>
      <c r="AY87" s="105"/>
      <c r="AZ87" s="186"/>
      <c r="BA87" s="186"/>
      <c r="BB87" s="222"/>
      <c r="BC87" s="45"/>
      <c r="BD87" s="45"/>
      <c r="BE87" s="45"/>
      <c r="BF87" s="45"/>
    </row>
    <row r="88">
      <c r="A88" s="79">
        <v>85.0</v>
      </c>
      <c r="B88" s="108" t="s">
        <v>143</v>
      </c>
      <c r="C88" s="115" t="s">
        <v>56</v>
      </c>
      <c r="D88" s="110">
        <v>41724.0</v>
      </c>
      <c r="E88" s="110">
        <v>42496.0</v>
      </c>
      <c r="F88" s="107" t="s">
        <v>59</v>
      </c>
      <c r="G88" s="113">
        <v>73500.0</v>
      </c>
      <c r="H88" s="114">
        <v>95.1</v>
      </c>
      <c r="I88" s="119">
        <v>253.0</v>
      </c>
      <c r="J88" s="122" t="s">
        <v>62</v>
      </c>
      <c r="K88" s="121">
        <v>253.0</v>
      </c>
      <c r="L88" s="119" t="s">
        <v>63</v>
      </c>
      <c r="M88" s="119"/>
      <c r="N88" s="119"/>
      <c r="O88" s="124">
        <v>73500.0</v>
      </c>
      <c r="P88" s="124">
        <v>773.0</v>
      </c>
      <c r="Q88" s="122">
        <v>331.0</v>
      </c>
      <c r="R88" s="125">
        <v>269.0</v>
      </c>
      <c r="S88" s="126">
        <v>0.9405</v>
      </c>
      <c r="T88" s="127">
        <v>72888.75</v>
      </c>
      <c r="U88" s="128">
        <f t="shared" si="1"/>
        <v>0</v>
      </c>
      <c r="V88" s="107" t="s">
        <v>65</v>
      </c>
      <c r="W88" s="107" t="s">
        <v>65</v>
      </c>
      <c r="X88" s="107" t="s">
        <v>69</v>
      </c>
      <c r="Y88" s="131">
        <v>0.8</v>
      </c>
      <c r="Z88" s="160">
        <v>10.0</v>
      </c>
      <c r="AA88" s="111">
        <v>271.0</v>
      </c>
      <c r="AB88" s="111" t="s">
        <v>62</v>
      </c>
      <c r="AC88" s="141"/>
      <c r="AD88" s="141"/>
      <c r="AE88" s="141"/>
      <c r="AF88" s="122"/>
      <c r="AG88" s="147"/>
      <c r="AH88" s="73"/>
      <c r="AI88" s="135"/>
      <c r="AJ88" s="136"/>
      <c r="AK88" s="76"/>
      <c r="AL88" s="135"/>
      <c r="AM88" s="139">
        <v>271.0</v>
      </c>
      <c r="AN88" s="139">
        <v>773.0</v>
      </c>
      <c r="AO88" s="140">
        <v>323.57</v>
      </c>
      <c r="AP88" s="152">
        <v>118287.0</v>
      </c>
      <c r="AQ88" s="152">
        <v>206.0</v>
      </c>
      <c r="AR88" s="143">
        <v>-1.0</v>
      </c>
      <c r="AS88" s="144">
        <v>0.9418979813343441</v>
      </c>
      <c r="AT88" s="144">
        <v>-0.0013979813343441005</v>
      </c>
      <c r="AU88" s="146" t="s">
        <v>495</v>
      </c>
      <c r="AV88" s="146" t="s">
        <v>495</v>
      </c>
      <c r="AW88" s="148" t="s">
        <v>495</v>
      </c>
      <c r="AX88" s="151"/>
      <c r="AY88" s="105"/>
      <c r="AZ88" s="186"/>
      <c r="BA88" s="186"/>
      <c r="BB88" s="222"/>
      <c r="BC88" s="45"/>
      <c r="BD88" s="45"/>
      <c r="BE88" s="45"/>
      <c r="BF88" s="45"/>
    </row>
    <row r="89">
      <c r="A89" s="79">
        <v>86.0</v>
      </c>
      <c r="B89" s="108" t="s">
        <v>496</v>
      </c>
      <c r="C89" s="115" t="s">
        <v>56</v>
      </c>
      <c r="D89" s="110">
        <v>41913.0</v>
      </c>
      <c r="E89" s="110">
        <v>42494.0</v>
      </c>
      <c r="F89" s="107" t="s">
        <v>79</v>
      </c>
      <c r="G89" s="113">
        <v>34970.0</v>
      </c>
      <c r="H89" s="114">
        <v>60.1</v>
      </c>
      <c r="I89" s="119">
        <v>261.0</v>
      </c>
      <c r="J89" s="122" t="s">
        <v>62</v>
      </c>
      <c r="K89" s="121">
        <v>261.0</v>
      </c>
      <c r="L89" s="119" t="s">
        <v>63</v>
      </c>
      <c r="M89" s="119"/>
      <c r="N89" s="119"/>
      <c r="O89" s="124">
        <v>34970.0</v>
      </c>
      <c r="P89" s="124">
        <v>582.0</v>
      </c>
      <c r="Q89" s="122">
        <v>293.0</v>
      </c>
      <c r="R89" s="125">
        <v>269.0</v>
      </c>
      <c r="S89" s="126">
        <v>0.9703</v>
      </c>
      <c r="T89" s="127">
        <v>75198.25</v>
      </c>
      <c r="U89" s="128">
        <f t="shared" si="1"/>
        <v>0</v>
      </c>
      <c r="V89" s="107" t="s">
        <v>64</v>
      </c>
      <c r="W89" s="107" t="s">
        <v>64</v>
      </c>
      <c r="X89" s="107" t="s">
        <v>68</v>
      </c>
      <c r="Y89" s="131">
        <v>0.9</v>
      </c>
      <c r="Z89" s="160">
        <v>10.0</v>
      </c>
      <c r="AA89" s="111">
        <v>265.0</v>
      </c>
      <c r="AB89" s="111" t="s">
        <v>62</v>
      </c>
      <c r="AC89" s="141"/>
      <c r="AD89" s="141"/>
      <c r="AE89" s="141"/>
      <c r="AF89" s="122"/>
      <c r="AG89" s="134"/>
      <c r="AH89" s="73"/>
      <c r="AI89" s="135"/>
      <c r="AJ89" s="136"/>
      <c r="AK89" s="76"/>
      <c r="AL89" s="135"/>
      <c r="AM89" s="139">
        <v>265.0</v>
      </c>
      <c r="AN89" s="139">
        <v>582.0</v>
      </c>
      <c r="AO89" s="140">
        <v>134.23</v>
      </c>
      <c r="AP89" s="152">
        <v>56279.0</v>
      </c>
      <c r="AQ89" s="152">
        <v>182.0</v>
      </c>
      <c r="AR89" s="143">
        <v>-1.0</v>
      </c>
      <c r="AS89" s="144">
        <v>0.9542369012639826</v>
      </c>
      <c r="AT89" s="144">
        <v>0.01606309873601741</v>
      </c>
      <c r="AU89" s="146" t="s">
        <v>498</v>
      </c>
      <c r="AV89" s="146" t="s">
        <v>498</v>
      </c>
      <c r="AW89" s="148" t="s">
        <v>498</v>
      </c>
      <c r="AX89" s="151"/>
      <c r="AY89" s="105"/>
      <c r="AZ89" s="186"/>
      <c r="BA89" s="186"/>
      <c r="BB89" s="222"/>
      <c r="BC89" s="45"/>
      <c r="BD89" s="45"/>
      <c r="BE89" s="45"/>
      <c r="BF89" s="45"/>
    </row>
    <row r="90">
      <c r="A90" s="79">
        <v>87.0</v>
      </c>
      <c r="B90" s="108" t="s">
        <v>499</v>
      </c>
      <c r="C90" s="115" t="s">
        <v>56</v>
      </c>
      <c r="D90" s="110">
        <v>41393.0</v>
      </c>
      <c r="E90" s="110">
        <v>42497.0</v>
      </c>
      <c r="F90" s="107" t="s">
        <v>59</v>
      </c>
      <c r="G90" s="113">
        <v>78926.0</v>
      </c>
      <c r="H90" s="114">
        <v>71.4</v>
      </c>
      <c r="I90" s="119">
        <v>254.0</v>
      </c>
      <c r="J90" s="122" t="s">
        <v>62</v>
      </c>
      <c r="K90" s="121">
        <v>254.0</v>
      </c>
      <c r="L90" s="119" t="s">
        <v>63</v>
      </c>
      <c r="M90" s="119"/>
      <c r="N90" s="119"/>
      <c r="O90" s="124">
        <v>78926.0</v>
      </c>
      <c r="P90" s="124">
        <v>1105.0</v>
      </c>
      <c r="Q90" s="122">
        <v>322.0</v>
      </c>
      <c r="R90" s="125">
        <v>269.0</v>
      </c>
      <c r="S90" s="126">
        <v>0.9442</v>
      </c>
      <c r="T90" s="127">
        <v>73175.5</v>
      </c>
      <c r="U90" s="128">
        <f t="shared" si="1"/>
        <v>0</v>
      </c>
      <c r="V90" s="107" t="s">
        <v>80</v>
      </c>
      <c r="W90" s="107" t="s">
        <v>65</v>
      </c>
      <c r="X90" s="107" t="s">
        <v>68</v>
      </c>
      <c r="Y90" s="131">
        <v>0.9</v>
      </c>
      <c r="Z90" s="160">
        <v>10.0</v>
      </c>
      <c r="AA90" s="111">
        <v>270.0</v>
      </c>
      <c r="AB90" s="111" t="s">
        <v>62</v>
      </c>
      <c r="AC90" s="141"/>
      <c r="AD90" s="141"/>
      <c r="AE90" s="141"/>
      <c r="AF90" s="122"/>
      <c r="AG90" s="147"/>
      <c r="AH90" s="73"/>
      <c r="AI90" s="135"/>
      <c r="AJ90" s="136"/>
      <c r="AK90" s="76"/>
      <c r="AL90" s="135"/>
      <c r="AM90" s="139">
        <v>270.0</v>
      </c>
      <c r="AN90" s="139">
        <v>1105.0</v>
      </c>
      <c r="AO90" s="140">
        <v>337.38</v>
      </c>
      <c r="AP90" s="152">
        <v>127019.0</v>
      </c>
      <c r="AQ90" s="152">
        <v>200.0</v>
      </c>
      <c r="AR90" s="143">
        <v>-1.0</v>
      </c>
      <c r="AS90" s="144">
        <v>0.940482366161286</v>
      </c>
      <c r="AT90" s="144">
        <v>0.0037176338387140406</v>
      </c>
      <c r="AU90" s="146" t="s">
        <v>501</v>
      </c>
      <c r="AV90" s="146" t="s">
        <v>501</v>
      </c>
      <c r="AW90" s="148" t="s">
        <v>501</v>
      </c>
      <c r="AX90" s="151"/>
      <c r="AY90" s="105"/>
      <c r="AZ90" s="186"/>
      <c r="BA90" s="186"/>
      <c r="BB90" s="222"/>
      <c r="BC90" s="45"/>
      <c r="BD90" s="45"/>
      <c r="BE90" s="45"/>
      <c r="BF90" s="45"/>
    </row>
    <row r="91">
      <c r="A91" s="79">
        <v>88.0</v>
      </c>
      <c r="B91" s="108" t="s">
        <v>78</v>
      </c>
      <c r="C91" s="115" t="s">
        <v>56</v>
      </c>
      <c r="D91" s="110">
        <v>41432.0</v>
      </c>
      <c r="E91" s="110">
        <v>42507.0</v>
      </c>
      <c r="F91" s="107" t="s">
        <v>79</v>
      </c>
      <c r="G91" s="113">
        <v>66281.0</v>
      </c>
      <c r="H91" s="114">
        <v>61.6</v>
      </c>
      <c r="I91" s="119">
        <v>249.0</v>
      </c>
      <c r="J91" s="122" t="s">
        <v>61</v>
      </c>
      <c r="K91" s="121">
        <v>252.15</v>
      </c>
      <c r="L91" s="119" t="s">
        <v>63</v>
      </c>
      <c r="M91" s="119"/>
      <c r="N91" s="119"/>
      <c r="O91" s="124">
        <v>66281.0</v>
      </c>
      <c r="P91" s="124">
        <v>1076.0</v>
      </c>
      <c r="Q91" s="122">
        <v>322.0</v>
      </c>
      <c r="R91" s="125">
        <v>269.0</v>
      </c>
      <c r="S91" s="126">
        <v>0.9374</v>
      </c>
      <c r="T91" s="127">
        <v>72648.5</v>
      </c>
      <c r="U91" s="128">
        <f t="shared" si="1"/>
        <v>0</v>
      </c>
      <c r="V91" s="107" t="s">
        <v>67</v>
      </c>
      <c r="W91" s="107" t="s">
        <v>69</v>
      </c>
      <c r="X91" s="107" t="s">
        <v>66</v>
      </c>
      <c r="Y91" s="131">
        <v>0.9</v>
      </c>
      <c r="Z91" s="160" t="s">
        <v>393</v>
      </c>
      <c r="AA91" s="111">
        <v>260.0</v>
      </c>
      <c r="AB91" s="111" t="s">
        <v>61</v>
      </c>
      <c r="AC91" s="141"/>
      <c r="AD91" s="141"/>
      <c r="AE91" s="141"/>
      <c r="AF91" s="122"/>
      <c r="AG91" s="147"/>
      <c r="AH91" s="73"/>
      <c r="AI91" s="135"/>
      <c r="AJ91" s="136"/>
      <c r="AK91" s="76"/>
      <c r="AL91" s="135"/>
      <c r="AM91" s="139">
        <v>263.0</v>
      </c>
      <c r="AN91" s="139">
        <v>1076.0</v>
      </c>
      <c r="AO91" s="140">
        <v>284.33</v>
      </c>
      <c r="AP91" s="152">
        <v>106669.0</v>
      </c>
      <c r="AQ91" s="152">
        <v>200.0</v>
      </c>
      <c r="AR91" s="143">
        <v>-1.0</v>
      </c>
      <c r="AS91" s="144">
        <v>0.9438235847444663</v>
      </c>
      <c r="AT91" s="144">
        <v>-0.006423584744466249</v>
      </c>
      <c r="AU91" s="146" t="s">
        <v>504</v>
      </c>
      <c r="AV91" s="146" t="s">
        <v>504</v>
      </c>
      <c r="AW91" s="148" t="s">
        <v>504</v>
      </c>
      <c r="AX91" s="151"/>
      <c r="AY91" s="105"/>
      <c r="AZ91" s="186"/>
      <c r="BA91" s="186"/>
      <c r="BB91" s="222"/>
      <c r="BC91" s="45"/>
      <c r="BD91" s="45"/>
      <c r="BE91" s="45"/>
      <c r="BF91" s="45"/>
    </row>
    <row r="92">
      <c r="A92" s="79">
        <v>89.0</v>
      </c>
      <c r="B92" s="108" t="s">
        <v>161</v>
      </c>
      <c r="C92" s="115" t="s">
        <v>56</v>
      </c>
      <c r="D92" s="110">
        <v>41310.0</v>
      </c>
      <c r="E92" s="110">
        <v>42524.0</v>
      </c>
      <c r="F92" s="107" t="s">
        <v>59</v>
      </c>
      <c r="G92" s="113">
        <v>46559.0</v>
      </c>
      <c r="H92" s="114">
        <v>38.3</v>
      </c>
      <c r="I92" s="119">
        <v>254.0</v>
      </c>
      <c r="J92" s="122" t="s">
        <v>62</v>
      </c>
      <c r="K92" s="121">
        <v>254.0</v>
      </c>
      <c r="L92" s="119" t="s">
        <v>63</v>
      </c>
      <c r="M92" s="119"/>
      <c r="N92" s="119"/>
      <c r="O92" s="124">
        <v>46559.0</v>
      </c>
      <c r="P92" s="124">
        <v>1215.0</v>
      </c>
      <c r="Q92" s="122">
        <v>297.0</v>
      </c>
      <c r="R92" s="125">
        <v>269.0</v>
      </c>
      <c r="S92" s="126">
        <v>0.9442</v>
      </c>
      <c r="T92" s="127">
        <v>73175.5</v>
      </c>
      <c r="U92" s="128">
        <f t="shared" si="1"/>
        <v>0</v>
      </c>
      <c r="V92" s="107" t="s">
        <v>64</v>
      </c>
      <c r="W92" s="107" t="s">
        <v>69</v>
      </c>
      <c r="X92" s="107" t="s">
        <v>69</v>
      </c>
      <c r="Y92" s="131">
        <v>0.9</v>
      </c>
      <c r="Z92" s="160">
        <v>1.0</v>
      </c>
      <c r="AA92" s="111">
        <v>270.0</v>
      </c>
      <c r="AB92" s="111" t="s">
        <v>61</v>
      </c>
      <c r="AC92" s="141"/>
      <c r="AD92" s="141"/>
      <c r="AE92" s="141"/>
      <c r="AF92" s="122"/>
      <c r="AG92" s="134" t="s">
        <v>166</v>
      </c>
      <c r="AH92" s="73"/>
      <c r="AI92" s="135"/>
      <c r="AJ92" s="136"/>
      <c r="AK92" s="76"/>
      <c r="AL92" s="135"/>
      <c r="AM92" s="139">
        <v>273.0</v>
      </c>
      <c r="AN92" s="139">
        <v>1215.0</v>
      </c>
      <c r="AO92" s="140">
        <v>183.6</v>
      </c>
      <c r="AP92" s="152">
        <v>74929.0</v>
      </c>
      <c r="AQ92" s="152">
        <v>185.0</v>
      </c>
      <c r="AR92" s="143">
        <v>-1.0</v>
      </c>
      <c r="AS92" s="144">
        <v>0.9496855854744896</v>
      </c>
      <c r="AT92" s="144">
        <v>-0.005485585474489518</v>
      </c>
      <c r="AU92" s="146" t="s">
        <v>507</v>
      </c>
      <c r="AV92" s="146" t="s">
        <v>507</v>
      </c>
      <c r="AW92" s="148" t="s">
        <v>507</v>
      </c>
      <c r="AX92" s="151"/>
      <c r="AY92" s="105"/>
      <c r="AZ92" s="186"/>
      <c r="BA92" s="186"/>
      <c r="BB92" s="222"/>
      <c r="BC92" s="45"/>
      <c r="BD92" s="45"/>
      <c r="BE92" s="45"/>
      <c r="BF92" s="45"/>
    </row>
    <row r="93">
      <c r="A93" s="79">
        <v>90.0</v>
      </c>
      <c r="B93" s="108" t="s">
        <v>508</v>
      </c>
      <c r="C93" s="115" t="s">
        <v>56</v>
      </c>
      <c r="D93" s="110">
        <v>42192.0</v>
      </c>
      <c r="E93" s="110">
        <v>42527.0</v>
      </c>
      <c r="F93" s="107" t="s">
        <v>118</v>
      </c>
      <c r="G93" s="113">
        <v>20506.0</v>
      </c>
      <c r="H93" s="114">
        <v>61.0</v>
      </c>
      <c r="I93" s="119">
        <v>230.0</v>
      </c>
      <c r="J93" s="122" t="s">
        <v>62</v>
      </c>
      <c r="K93" s="121">
        <v>230.0</v>
      </c>
      <c r="L93" s="119" t="s">
        <v>63</v>
      </c>
      <c r="M93" s="119"/>
      <c r="N93" s="119"/>
      <c r="O93" s="124">
        <v>20506.0</v>
      </c>
      <c r="P93" s="124">
        <v>336.0</v>
      </c>
      <c r="Q93" s="122">
        <v>280.0</v>
      </c>
      <c r="R93" s="125">
        <v>243.0</v>
      </c>
      <c r="S93" s="126">
        <v>0.9465</v>
      </c>
      <c r="T93" s="127">
        <v>65119.2</v>
      </c>
      <c r="U93" s="128">
        <f t="shared" si="1"/>
        <v>0</v>
      </c>
      <c r="V93" s="107" t="s">
        <v>67</v>
      </c>
      <c r="W93" s="107" t="s">
        <v>64</v>
      </c>
      <c r="X93" s="107" t="s">
        <v>69</v>
      </c>
      <c r="Y93" s="131">
        <v>0.9</v>
      </c>
      <c r="Z93" s="132"/>
      <c r="AA93" s="111"/>
      <c r="AB93" s="111" t="s">
        <v>62</v>
      </c>
      <c r="AC93" s="141"/>
      <c r="AD93" s="141"/>
      <c r="AE93" s="141"/>
      <c r="AF93" s="122"/>
      <c r="AG93" s="147"/>
      <c r="AH93" s="73"/>
      <c r="AI93" s="135"/>
      <c r="AJ93" s="136"/>
      <c r="AK93" s="76"/>
      <c r="AL93" s="135"/>
      <c r="AM93" s="139" t="s">
        <v>71</v>
      </c>
      <c r="AN93" s="139">
        <v>336.0</v>
      </c>
      <c r="AO93" s="140">
        <v>85.76</v>
      </c>
      <c r="AP93" s="152">
        <v>33001.0</v>
      </c>
      <c r="AQ93" s="152">
        <v>174.0</v>
      </c>
      <c r="AR93" s="143">
        <v>-1.0</v>
      </c>
      <c r="AS93" s="144">
        <v>0.9634629313571745</v>
      </c>
      <c r="AT93" s="144">
        <v>-0.016962931357174527</v>
      </c>
      <c r="AU93" s="146" t="s">
        <v>510</v>
      </c>
      <c r="AV93" s="146" t="s">
        <v>510</v>
      </c>
      <c r="AW93" s="148" t="s">
        <v>510</v>
      </c>
      <c r="AX93" s="151"/>
      <c r="AY93" s="105"/>
      <c r="AZ93" s="186"/>
      <c r="BA93" s="186"/>
      <c r="BB93" s="222"/>
      <c r="BC93" s="45"/>
      <c r="BD93" s="45"/>
      <c r="BE93" s="45"/>
      <c r="BF93" s="45"/>
    </row>
    <row r="94">
      <c r="A94" s="79">
        <v>91.0</v>
      </c>
      <c r="B94" s="108" t="s">
        <v>511</v>
      </c>
      <c r="C94" s="115" t="s">
        <v>56</v>
      </c>
      <c r="D94" s="110">
        <v>42432.0</v>
      </c>
      <c r="E94" s="110">
        <v>42552.0</v>
      </c>
      <c r="F94" s="107" t="s">
        <v>305</v>
      </c>
      <c r="G94" s="113">
        <v>6861.0</v>
      </c>
      <c r="H94" s="114">
        <v>56.7</v>
      </c>
      <c r="I94" s="119">
        <v>291.71</v>
      </c>
      <c r="J94" s="122" t="s">
        <v>62</v>
      </c>
      <c r="K94" s="121">
        <v>291.71</v>
      </c>
      <c r="L94" s="119" t="s">
        <v>63</v>
      </c>
      <c r="M94" s="119"/>
      <c r="N94" s="119"/>
      <c r="O94" s="124">
        <v>6861.0</v>
      </c>
      <c r="P94" s="124">
        <v>121.0</v>
      </c>
      <c r="Q94" s="122">
        <v>322.0</v>
      </c>
      <c r="R94" s="125">
        <v>295.0</v>
      </c>
      <c r="S94" s="126">
        <v>0.9888</v>
      </c>
      <c r="T94" s="127">
        <v>80883.84</v>
      </c>
      <c r="U94" s="128">
        <f t="shared" si="1"/>
        <v>0</v>
      </c>
      <c r="V94" s="107" t="s">
        <v>65</v>
      </c>
      <c r="W94" s="107" t="s">
        <v>66</v>
      </c>
      <c r="X94" s="107" t="s">
        <v>68</v>
      </c>
      <c r="Y94" s="131">
        <v>0.8</v>
      </c>
      <c r="Z94" s="160">
        <v>10.0</v>
      </c>
      <c r="AA94" s="111">
        <v>293.0</v>
      </c>
      <c r="AB94" s="111" t="s">
        <v>61</v>
      </c>
      <c r="AC94" s="141"/>
      <c r="AD94" s="141"/>
      <c r="AE94" s="141"/>
      <c r="AF94" s="122"/>
      <c r="AG94" s="147"/>
      <c r="AH94" s="73"/>
      <c r="AI94" s="135"/>
      <c r="AJ94" s="136"/>
      <c r="AK94" s="76"/>
      <c r="AL94" s="135"/>
      <c r="AM94" s="139">
        <v>297.0</v>
      </c>
      <c r="AN94" s="139">
        <v>121.0</v>
      </c>
      <c r="AO94" s="140">
        <v>27.16</v>
      </c>
      <c r="AP94" s="152">
        <v>11042.0</v>
      </c>
      <c r="AQ94" s="152">
        <v>200.0</v>
      </c>
      <c r="AR94" s="143">
        <v>-1.0</v>
      </c>
      <c r="AS94" s="144">
        <v>0.9821312511969253</v>
      </c>
      <c r="AT94" s="144">
        <v>0.0066687488030746644</v>
      </c>
      <c r="AU94" s="146" t="s">
        <v>514</v>
      </c>
      <c r="AV94" s="146" t="s">
        <v>514</v>
      </c>
      <c r="AW94" s="148" t="s">
        <v>514</v>
      </c>
      <c r="AX94" s="151"/>
      <c r="AY94" s="105"/>
      <c r="AZ94" s="186"/>
      <c r="BA94" s="186"/>
      <c r="BB94" s="222"/>
      <c r="BC94" s="45"/>
      <c r="BD94" s="45"/>
      <c r="BE94" s="45"/>
      <c r="BF94" s="45"/>
    </row>
    <row r="95">
      <c r="A95" s="79">
        <v>92.0</v>
      </c>
      <c r="B95" s="108" t="s">
        <v>143</v>
      </c>
      <c r="C95" s="115" t="s">
        <v>56</v>
      </c>
      <c r="D95" s="110">
        <v>41724.0</v>
      </c>
      <c r="E95" s="110">
        <v>42552.0</v>
      </c>
      <c r="F95" s="107" t="s">
        <v>59</v>
      </c>
      <c r="G95" s="113">
        <v>81000.0</v>
      </c>
      <c r="H95" s="114">
        <v>97.7</v>
      </c>
      <c r="I95" s="119">
        <v>253.0</v>
      </c>
      <c r="J95" s="122" t="s">
        <v>61</v>
      </c>
      <c r="K95" s="121">
        <v>256.2</v>
      </c>
      <c r="L95" s="119" t="s">
        <v>63</v>
      </c>
      <c r="M95" s="119"/>
      <c r="N95" s="119"/>
      <c r="O95" s="124">
        <v>81000.0</v>
      </c>
      <c r="P95" s="124">
        <v>829.0</v>
      </c>
      <c r="Q95" s="122">
        <v>320.0</v>
      </c>
      <c r="R95" s="125">
        <v>269.0</v>
      </c>
      <c r="S95" s="126">
        <v>0.9524</v>
      </c>
      <c r="T95" s="127">
        <v>73811.0</v>
      </c>
      <c r="U95" s="128">
        <f t="shared" si="1"/>
        <v>0</v>
      </c>
      <c r="V95" s="107" t="s">
        <v>67</v>
      </c>
      <c r="W95" s="107" t="s">
        <v>64</v>
      </c>
      <c r="X95" s="107" t="s">
        <v>66</v>
      </c>
      <c r="Y95" s="131">
        <v>0.8</v>
      </c>
      <c r="Z95" s="160">
        <v>10.0</v>
      </c>
      <c r="AA95" s="111">
        <v>271.0</v>
      </c>
      <c r="AB95" s="111" t="s">
        <v>61</v>
      </c>
      <c r="AC95" s="141"/>
      <c r="AD95" s="141"/>
      <c r="AE95" s="141"/>
      <c r="AF95" s="122"/>
      <c r="AG95" s="147"/>
      <c r="AH95" s="73"/>
      <c r="AI95" s="135"/>
      <c r="AJ95" s="136"/>
      <c r="AK95" s="76"/>
      <c r="AL95" s="135"/>
      <c r="AM95" s="139">
        <v>274.0</v>
      </c>
      <c r="AN95" s="139">
        <v>829.0</v>
      </c>
      <c r="AO95" s="140">
        <v>342.64</v>
      </c>
      <c r="AP95" s="152">
        <v>130357.0</v>
      </c>
      <c r="AQ95" s="152">
        <v>199.0</v>
      </c>
      <c r="AR95" s="143">
        <v>-1.0</v>
      </c>
      <c r="AS95" s="144">
        <v>0.939946101457712</v>
      </c>
      <c r="AT95" s="144">
        <v>0.012453898542288067</v>
      </c>
      <c r="AU95" s="146" t="s">
        <v>515</v>
      </c>
      <c r="AV95" s="146" t="s">
        <v>515</v>
      </c>
      <c r="AW95" s="148" t="s">
        <v>515</v>
      </c>
      <c r="AX95" s="151"/>
      <c r="AY95" s="105"/>
      <c r="AZ95" s="186"/>
      <c r="BA95" s="186"/>
      <c r="BB95" s="222"/>
      <c r="BC95" s="45"/>
      <c r="BD95" s="45"/>
      <c r="BE95" s="45"/>
      <c r="BF95" s="45"/>
    </row>
    <row r="96">
      <c r="A96" s="79">
        <v>93.0</v>
      </c>
      <c r="B96" s="108" t="s">
        <v>161</v>
      </c>
      <c r="C96" s="115" t="s">
        <v>56</v>
      </c>
      <c r="D96" s="110">
        <v>41310.0</v>
      </c>
      <c r="E96" s="110">
        <v>42559.0</v>
      </c>
      <c r="F96" s="107" t="s">
        <v>59</v>
      </c>
      <c r="G96" s="113">
        <v>48053.0</v>
      </c>
      <c r="H96" s="114">
        <v>38.4</v>
      </c>
      <c r="I96" s="119">
        <v>253.0</v>
      </c>
      <c r="J96" s="122" t="s">
        <v>62</v>
      </c>
      <c r="K96" s="121">
        <v>253.0</v>
      </c>
      <c r="L96" s="119" t="s">
        <v>63</v>
      </c>
      <c r="M96" s="119"/>
      <c r="N96" s="119"/>
      <c r="O96" s="124">
        <v>48053.0</v>
      </c>
      <c r="P96" s="124">
        <v>1250.0</v>
      </c>
      <c r="Q96" s="122">
        <v>297.0</v>
      </c>
      <c r="R96" s="125">
        <v>269.0</v>
      </c>
      <c r="S96" s="126">
        <v>0.9405</v>
      </c>
      <c r="T96" s="127">
        <v>72888.75</v>
      </c>
      <c r="U96" s="128">
        <f t="shared" si="1"/>
        <v>0</v>
      </c>
      <c r="V96" s="107" t="s">
        <v>64</v>
      </c>
      <c r="W96" s="107" t="s">
        <v>69</v>
      </c>
      <c r="X96" s="107" t="s">
        <v>69</v>
      </c>
      <c r="Y96" s="131">
        <v>0.9</v>
      </c>
      <c r="Z96" s="160">
        <v>1.0</v>
      </c>
      <c r="AA96" s="111">
        <v>270.0</v>
      </c>
      <c r="AB96" s="111" t="s">
        <v>61</v>
      </c>
      <c r="AC96" s="141"/>
      <c r="AD96" s="141"/>
      <c r="AE96" s="141"/>
      <c r="AF96" s="122"/>
      <c r="AG96" s="134" t="s">
        <v>166</v>
      </c>
      <c r="AH96" s="73"/>
      <c r="AI96" s="135"/>
      <c r="AJ96" s="136"/>
      <c r="AK96" s="76"/>
      <c r="AL96" s="135"/>
      <c r="AM96" s="139">
        <v>273.0</v>
      </c>
      <c r="AN96" s="139">
        <v>1250.0</v>
      </c>
      <c r="AO96" s="140">
        <v>189.85</v>
      </c>
      <c r="AP96" s="152">
        <v>77334.0</v>
      </c>
      <c r="AQ96" s="152">
        <v>185.0</v>
      </c>
      <c r="AR96" s="143">
        <v>-1.0</v>
      </c>
      <c r="AS96" s="144">
        <v>0.9491852279584972</v>
      </c>
      <c r="AT96" s="144">
        <v>-0.008685227958497244</v>
      </c>
      <c r="AU96" s="146" t="s">
        <v>518</v>
      </c>
      <c r="AV96" s="146" t="s">
        <v>518</v>
      </c>
      <c r="AW96" s="148" t="s">
        <v>518</v>
      </c>
      <c r="AX96" s="151"/>
      <c r="AY96" s="105"/>
      <c r="AZ96" s="186"/>
      <c r="BA96" s="186"/>
      <c r="BB96" s="222"/>
      <c r="BC96" s="45"/>
      <c r="BD96" s="45"/>
      <c r="BE96" s="45"/>
      <c r="BF96" s="45"/>
    </row>
    <row r="97">
      <c r="A97" s="79">
        <v>94.0</v>
      </c>
      <c r="B97" s="108" t="s">
        <v>519</v>
      </c>
      <c r="C97" s="115" t="s">
        <v>56</v>
      </c>
      <c r="D97" s="110">
        <v>42551.0</v>
      </c>
      <c r="E97" s="110">
        <v>42567.0</v>
      </c>
      <c r="F97" s="107" t="s">
        <v>305</v>
      </c>
      <c r="G97" s="113">
        <v>812.0</v>
      </c>
      <c r="H97" s="114">
        <v>47.8</v>
      </c>
      <c r="I97" s="119">
        <v>294.0</v>
      </c>
      <c r="J97" s="122" t="s">
        <v>61</v>
      </c>
      <c r="K97" s="121">
        <v>297.72</v>
      </c>
      <c r="L97" s="119" t="s">
        <v>63</v>
      </c>
      <c r="M97" s="119"/>
      <c r="N97" s="119"/>
      <c r="O97" s="124">
        <v>812.0</v>
      </c>
      <c r="P97" s="124">
        <v>17.0</v>
      </c>
      <c r="Q97" s="122">
        <v>274.0</v>
      </c>
      <c r="R97" s="125">
        <v>295.0</v>
      </c>
      <c r="S97" s="126">
        <v>1.0092</v>
      </c>
      <c r="T97" s="127">
        <v>82552.56000000001</v>
      </c>
      <c r="U97" s="128">
        <f t="shared" si="1"/>
        <v>0</v>
      </c>
      <c r="V97" s="107" t="s">
        <v>66</v>
      </c>
      <c r="W97" s="107" t="s">
        <v>68</v>
      </c>
      <c r="X97" s="107" t="s">
        <v>68</v>
      </c>
      <c r="Y97" s="131">
        <v>0.7</v>
      </c>
      <c r="Z97" s="160">
        <v>10.0</v>
      </c>
      <c r="AA97" s="111">
        <v>295.0</v>
      </c>
      <c r="AB97" s="111" t="s">
        <v>61</v>
      </c>
      <c r="AC97" s="182">
        <v>213.0</v>
      </c>
      <c r="AD97" s="182">
        <v>139.0</v>
      </c>
      <c r="AE97" s="182">
        <v>18.9</v>
      </c>
      <c r="AF97" s="122" t="s">
        <v>61</v>
      </c>
      <c r="AG97" s="134" t="s">
        <v>521</v>
      </c>
      <c r="AH97" s="73">
        <v>74.0</v>
      </c>
      <c r="AI97" s="135">
        <v>74.9367088607595</v>
      </c>
      <c r="AJ97" s="136">
        <v>75.08880608108109</v>
      </c>
      <c r="AK97" s="76">
        <v>0.9179560645608935</v>
      </c>
      <c r="AL97" s="135" t="s">
        <v>522</v>
      </c>
      <c r="AM97" s="139">
        <v>299.0</v>
      </c>
      <c r="AN97" s="139">
        <v>17.0</v>
      </c>
      <c r="AO97" s="140">
        <v>2.71</v>
      </c>
      <c r="AP97" s="152">
        <v>1307.0</v>
      </c>
      <c r="AQ97" s="152">
        <v>170.0</v>
      </c>
      <c r="AR97" s="143">
        <v>-1.0</v>
      </c>
      <c r="AS97" s="144">
        <v>0.9974183697262926</v>
      </c>
      <c r="AT97" s="144">
        <v>0.011781630273707488</v>
      </c>
      <c r="AU97" s="146" t="s">
        <v>524</v>
      </c>
      <c r="AV97" s="146" t="s">
        <v>524</v>
      </c>
      <c r="AW97" s="148" t="s">
        <v>524</v>
      </c>
      <c r="AX97" s="151"/>
      <c r="AY97" s="105"/>
      <c r="AZ97" s="186"/>
      <c r="BA97" s="186"/>
      <c r="BB97" s="222"/>
      <c r="BC97" s="45"/>
      <c r="BD97" s="45"/>
      <c r="BE97" s="45"/>
      <c r="BF97" s="45"/>
    </row>
    <row r="98">
      <c r="A98" s="79">
        <v>95.0</v>
      </c>
      <c r="B98" s="108" t="s">
        <v>525</v>
      </c>
      <c r="C98" s="115" t="s">
        <v>56</v>
      </c>
      <c r="D98" s="110">
        <v>41365.0</v>
      </c>
      <c r="E98" s="110">
        <v>42567.0</v>
      </c>
      <c r="F98" s="107" t="s">
        <v>79</v>
      </c>
      <c r="G98" s="113">
        <v>55562.0</v>
      </c>
      <c r="H98" s="114">
        <v>46.2</v>
      </c>
      <c r="I98" s="119">
        <v>252.0</v>
      </c>
      <c r="J98" s="122" t="s">
        <v>61</v>
      </c>
      <c r="K98" s="121">
        <v>255.19</v>
      </c>
      <c r="L98" s="119" t="s">
        <v>63</v>
      </c>
      <c r="M98" s="119"/>
      <c r="N98" s="119"/>
      <c r="O98" s="124">
        <v>55562.0</v>
      </c>
      <c r="P98" s="124">
        <v>1203.0</v>
      </c>
      <c r="Q98" s="122">
        <v>360.0</v>
      </c>
      <c r="R98" s="125">
        <v>269.0</v>
      </c>
      <c r="S98" s="126">
        <v>0.9487</v>
      </c>
      <c r="T98" s="127">
        <v>73524.25</v>
      </c>
      <c r="U98" s="128">
        <f t="shared" si="1"/>
        <v>0</v>
      </c>
      <c r="V98" s="107" t="s">
        <v>69</v>
      </c>
      <c r="W98" s="107" t="s">
        <v>69</v>
      </c>
      <c r="X98" s="107" t="s">
        <v>68</v>
      </c>
      <c r="Y98" s="131">
        <v>0.9</v>
      </c>
      <c r="Z98" s="160"/>
      <c r="AA98" s="111">
        <v>262.0</v>
      </c>
      <c r="AB98" s="111" t="s">
        <v>61</v>
      </c>
      <c r="AC98" s="141"/>
      <c r="AD98" s="141"/>
      <c r="AE98" s="141"/>
      <c r="AF98" s="122"/>
      <c r="AG98" s="147"/>
      <c r="AH98" s="73"/>
      <c r="AI98" s="135"/>
      <c r="AJ98" s="136"/>
      <c r="AK98" s="76"/>
      <c r="AL98" s="135"/>
      <c r="AM98" s="139">
        <v>265.0</v>
      </c>
      <c r="AN98" s="139">
        <v>1203.0</v>
      </c>
      <c r="AO98" s="140">
        <v>264.94</v>
      </c>
      <c r="AP98" s="152">
        <v>89418.0</v>
      </c>
      <c r="AQ98" s="152">
        <v>224.0</v>
      </c>
      <c r="AR98" s="143">
        <v>-1.0</v>
      </c>
      <c r="AS98" s="144">
        <v>0.9468463181418372</v>
      </c>
      <c r="AT98" s="144">
        <v>0.0018536818581628145</v>
      </c>
      <c r="AU98" s="146" t="s">
        <v>527</v>
      </c>
      <c r="AV98" s="146" t="s">
        <v>527</v>
      </c>
      <c r="AW98" s="148" t="s">
        <v>527</v>
      </c>
      <c r="AX98" s="151"/>
      <c r="AY98" s="105"/>
      <c r="AZ98" s="186"/>
      <c r="BA98" s="186"/>
      <c r="BB98" s="222"/>
      <c r="BC98" s="45"/>
      <c r="BD98" s="45"/>
      <c r="BE98" s="45"/>
      <c r="BF98" s="45"/>
    </row>
    <row r="99">
      <c r="A99" s="79">
        <v>96.0</v>
      </c>
      <c r="B99" s="108" t="s">
        <v>519</v>
      </c>
      <c r="C99" s="115" t="s">
        <v>56</v>
      </c>
      <c r="D99" s="110">
        <v>42551.0</v>
      </c>
      <c r="E99" s="110">
        <v>42581.0</v>
      </c>
      <c r="F99" s="107" t="s">
        <v>305</v>
      </c>
      <c r="G99" s="113">
        <v>1358.0</v>
      </c>
      <c r="H99" s="114">
        <v>43.8</v>
      </c>
      <c r="I99" s="119">
        <v>294.0</v>
      </c>
      <c r="J99" s="122" t="s">
        <v>61</v>
      </c>
      <c r="K99" s="121">
        <v>297.72</v>
      </c>
      <c r="L99" s="119" t="s">
        <v>63</v>
      </c>
      <c r="M99" s="119"/>
      <c r="N99" s="119"/>
      <c r="O99" s="124">
        <v>1358.0</v>
      </c>
      <c r="P99" s="124">
        <v>31.0</v>
      </c>
      <c r="Q99" s="122">
        <v>275.0</v>
      </c>
      <c r="R99" s="125">
        <v>295.0</v>
      </c>
      <c r="S99" s="126">
        <v>1.0092</v>
      </c>
      <c r="T99" s="127">
        <v>82552.56000000001</v>
      </c>
      <c r="U99" s="128">
        <f t="shared" si="1"/>
        <v>0</v>
      </c>
      <c r="V99" s="107" t="s">
        <v>66</v>
      </c>
      <c r="W99" s="107" t="s">
        <v>68</v>
      </c>
      <c r="X99" s="107" t="s">
        <v>68</v>
      </c>
      <c r="Y99" s="131">
        <v>0.8</v>
      </c>
      <c r="Z99" s="160">
        <v>10.0</v>
      </c>
      <c r="AA99" s="111">
        <v>295.0</v>
      </c>
      <c r="AB99" s="111" t="s">
        <v>61</v>
      </c>
      <c r="AC99" s="182">
        <v>240.0</v>
      </c>
      <c r="AD99" s="182">
        <v>86.0</v>
      </c>
      <c r="AE99" s="182">
        <v>40.0</v>
      </c>
      <c r="AF99" s="122" t="s">
        <v>61</v>
      </c>
      <c r="AG99" s="134" t="s">
        <v>528</v>
      </c>
      <c r="AH99" s="73">
        <v>154.0</v>
      </c>
      <c r="AI99" s="135">
        <v>155.9493670886076</v>
      </c>
      <c r="AJ99" s="136">
        <v>76.36324675324676</v>
      </c>
      <c r="AK99" s="76">
        <v>0.9335360238783222</v>
      </c>
      <c r="AL99" s="135" t="s">
        <v>530</v>
      </c>
      <c r="AM99" s="139">
        <v>299.0</v>
      </c>
      <c r="AN99" s="139">
        <v>31.0</v>
      </c>
      <c r="AO99" s="140">
        <v>4.55</v>
      </c>
      <c r="AP99" s="152">
        <v>2185.0</v>
      </c>
      <c r="AQ99" s="152">
        <v>171.0</v>
      </c>
      <c r="AR99" s="143">
        <v>-1.0</v>
      </c>
      <c r="AS99" s="144">
        <v>0.9957644605870419</v>
      </c>
      <c r="AT99" s="144">
        <v>0.013435539412958164</v>
      </c>
      <c r="AU99" s="146" t="s">
        <v>531</v>
      </c>
      <c r="AV99" s="146" t="s">
        <v>531</v>
      </c>
      <c r="AW99" s="148" t="s">
        <v>531</v>
      </c>
      <c r="AX99" s="151"/>
      <c r="AY99" s="105"/>
      <c r="AZ99" s="186"/>
      <c r="BA99" s="186"/>
      <c r="BB99" s="222"/>
      <c r="BC99" s="45"/>
      <c r="BD99" s="45"/>
      <c r="BE99" s="45"/>
      <c r="BF99" s="45"/>
    </row>
    <row r="100">
      <c r="A100" s="79">
        <v>97.0</v>
      </c>
      <c r="B100" s="108" t="s">
        <v>532</v>
      </c>
      <c r="C100" s="115" t="s">
        <v>56</v>
      </c>
      <c r="D100" s="110">
        <v>41365.0</v>
      </c>
      <c r="E100" s="110">
        <v>42532.0</v>
      </c>
      <c r="F100" s="107" t="s">
        <v>79</v>
      </c>
      <c r="G100" s="113">
        <v>45372.0</v>
      </c>
      <c r="H100" s="114">
        <v>38.8</v>
      </c>
      <c r="I100" s="119">
        <v>243.0</v>
      </c>
      <c r="J100" s="122" t="s">
        <v>61</v>
      </c>
      <c r="K100" s="121">
        <v>246.08</v>
      </c>
      <c r="L100" s="119" t="s">
        <v>63</v>
      </c>
      <c r="M100" s="119"/>
      <c r="N100" s="119"/>
      <c r="O100" s="124">
        <v>45372.0</v>
      </c>
      <c r="P100" s="124">
        <v>1168.0</v>
      </c>
      <c r="Q100" s="122">
        <v>330.0</v>
      </c>
      <c r="R100" s="125">
        <v>269.0</v>
      </c>
      <c r="S100" s="126">
        <v>0.9148</v>
      </c>
      <c r="T100" s="127">
        <v>70897.0</v>
      </c>
      <c r="U100" s="128">
        <f t="shared" si="1"/>
        <v>0</v>
      </c>
      <c r="V100" s="107" t="s">
        <v>69</v>
      </c>
      <c r="W100" s="107" t="s">
        <v>66</v>
      </c>
      <c r="X100" s="107" t="s">
        <v>68</v>
      </c>
      <c r="Y100" s="131">
        <v>0.6</v>
      </c>
      <c r="Z100" s="160">
        <v>5.0</v>
      </c>
      <c r="AA100" s="133"/>
      <c r="AB100" s="133"/>
      <c r="AC100" s="141"/>
      <c r="AD100" s="141"/>
      <c r="AE100" s="141"/>
      <c r="AF100" s="122"/>
      <c r="AG100" s="147"/>
      <c r="AH100" s="73"/>
      <c r="AI100" s="135"/>
      <c r="AJ100" s="136"/>
      <c r="AK100" s="76"/>
      <c r="AL100" s="135"/>
      <c r="AM100" s="139" t="s">
        <v>71</v>
      </c>
      <c r="AN100" s="139">
        <v>1168.0</v>
      </c>
      <c r="AO100" s="140">
        <v>201.84</v>
      </c>
      <c r="AP100" s="152">
        <v>73019.0</v>
      </c>
      <c r="AQ100" s="152">
        <v>205.0</v>
      </c>
      <c r="AR100" s="143">
        <v>-1.0</v>
      </c>
      <c r="AS100" s="144">
        <v>0.9500935223781761</v>
      </c>
      <c r="AT100" s="144">
        <v>-0.03529352237817618</v>
      </c>
      <c r="AU100" s="146" t="s">
        <v>533</v>
      </c>
      <c r="AV100" s="146" t="s">
        <v>533</v>
      </c>
      <c r="AW100" s="148" t="s">
        <v>533</v>
      </c>
      <c r="AX100" s="151"/>
      <c r="AY100" s="105"/>
      <c r="AZ100" s="186"/>
      <c r="BA100" s="186"/>
      <c r="BB100" s="222"/>
      <c r="BC100" s="45"/>
      <c r="BD100" s="45"/>
      <c r="BE100" s="45"/>
      <c r="BF100" s="45"/>
    </row>
    <row r="101">
      <c r="A101" s="79">
        <v>98.0</v>
      </c>
      <c r="B101" s="108" t="s">
        <v>227</v>
      </c>
      <c r="C101" s="115" t="s">
        <v>56</v>
      </c>
      <c r="D101" s="110">
        <v>41958.0</v>
      </c>
      <c r="E101" s="110">
        <v>42601.0</v>
      </c>
      <c r="F101" s="107" t="s">
        <v>59</v>
      </c>
      <c r="G101" s="113">
        <v>36967.0</v>
      </c>
      <c r="H101" s="114">
        <v>57.4</v>
      </c>
      <c r="I101" s="119">
        <v>256.0</v>
      </c>
      <c r="J101" s="122" t="s">
        <v>61</v>
      </c>
      <c r="K101" s="121">
        <v>259.24</v>
      </c>
      <c r="L101" s="119" t="s">
        <v>63</v>
      </c>
      <c r="M101" s="119"/>
      <c r="N101" s="119"/>
      <c r="O101" s="124">
        <v>36967.0</v>
      </c>
      <c r="P101" s="124">
        <v>644.0</v>
      </c>
      <c r="Q101" s="122">
        <v>312.0</v>
      </c>
      <c r="R101" s="125">
        <v>269.0</v>
      </c>
      <c r="S101" s="126">
        <v>0.9637</v>
      </c>
      <c r="T101" s="127">
        <v>74686.75</v>
      </c>
      <c r="U101" s="128">
        <f t="shared" si="1"/>
        <v>0</v>
      </c>
      <c r="V101" s="107" t="s">
        <v>65</v>
      </c>
      <c r="W101" s="107" t="s">
        <v>64</v>
      </c>
      <c r="X101" s="107" t="s">
        <v>64</v>
      </c>
      <c r="Y101" s="131">
        <v>0.8</v>
      </c>
      <c r="Z101" s="160">
        <v>7.5</v>
      </c>
      <c r="AA101" s="111">
        <v>265.0</v>
      </c>
      <c r="AB101" s="111" t="s">
        <v>61</v>
      </c>
      <c r="AC101" s="141"/>
      <c r="AD101" s="141"/>
      <c r="AE101" s="141"/>
      <c r="AF101" s="122"/>
      <c r="AG101" s="147"/>
      <c r="AH101" s="73"/>
      <c r="AI101" s="135"/>
      <c r="AJ101" s="136"/>
      <c r="AK101" s="76"/>
      <c r="AL101" s="135"/>
      <c r="AM101" s="139">
        <v>268.0</v>
      </c>
      <c r="AN101" s="139">
        <v>644.0</v>
      </c>
      <c r="AO101" s="140">
        <v>151.6</v>
      </c>
      <c r="AP101" s="152">
        <v>59493.0</v>
      </c>
      <c r="AQ101" s="152">
        <v>194.0</v>
      </c>
      <c r="AR101" s="143">
        <v>-1.0</v>
      </c>
      <c r="AS101" s="144">
        <v>0.9533411646786687</v>
      </c>
      <c r="AT101" s="144">
        <v>0.010358835321331306</v>
      </c>
      <c r="AU101" s="146" t="s">
        <v>535</v>
      </c>
      <c r="AV101" s="146" t="s">
        <v>535</v>
      </c>
      <c r="AW101" s="148" t="s">
        <v>535</v>
      </c>
      <c r="AX101" s="151"/>
      <c r="AY101" s="105"/>
      <c r="AZ101" s="186"/>
      <c r="BA101" s="186"/>
      <c r="BB101" s="222"/>
      <c r="BC101" s="45"/>
      <c r="BD101" s="45"/>
      <c r="BE101" s="45"/>
      <c r="BF101" s="45"/>
    </row>
    <row r="102">
      <c r="A102" s="79">
        <v>99.0</v>
      </c>
      <c r="B102" s="108" t="s">
        <v>536</v>
      </c>
      <c r="C102" s="115" t="s">
        <v>56</v>
      </c>
      <c r="D102" s="110">
        <v>42111.0</v>
      </c>
      <c r="E102" s="110">
        <v>42601.0</v>
      </c>
      <c r="F102" s="107" t="s">
        <v>86</v>
      </c>
      <c r="G102" s="113">
        <v>37951.0</v>
      </c>
      <c r="H102" s="114">
        <v>77.3</v>
      </c>
      <c r="I102" s="119">
        <v>261.0</v>
      </c>
      <c r="J102" s="122" t="s">
        <v>61</v>
      </c>
      <c r="K102" s="121">
        <v>264.3</v>
      </c>
      <c r="L102" s="119" t="s">
        <v>63</v>
      </c>
      <c r="M102" s="119"/>
      <c r="N102" s="119"/>
      <c r="O102" s="124">
        <v>37951.0</v>
      </c>
      <c r="P102" s="124">
        <v>491.0</v>
      </c>
      <c r="Q102" s="122">
        <v>341.0</v>
      </c>
      <c r="R102" s="125">
        <v>273.0</v>
      </c>
      <c r="S102" s="126">
        <v>0.9681</v>
      </c>
      <c r="T102" s="127">
        <v>75027.75</v>
      </c>
      <c r="U102" s="128">
        <f t="shared" si="1"/>
        <v>0</v>
      </c>
      <c r="V102" s="107" t="s">
        <v>64</v>
      </c>
      <c r="W102" s="107" t="s">
        <v>64</v>
      </c>
      <c r="X102" s="107" t="s">
        <v>66</v>
      </c>
      <c r="Y102" s="131">
        <v>0.9</v>
      </c>
      <c r="Z102" s="160">
        <v>14.0</v>
      </c>
      <c r="AA102" s="111">
        <v>272.0</v>
      </c>
      <c r="AB102" s="111" t="s">
        <v>62</v>
      </c>
      <c r="AC102" s="141"/>
      <c r="AD102" s="141"/>
      <c r="AE102" s="141"/>
      <c r="AF102" s="122"/>
      <c r="AG102" s="147"/>
      <c r="AH102" s="73"/>
      <c r="AI102" s="135"/>
      <c r="AJ102" s="136"/>
      <c r="AK102" s="76"/>
      <c r="AL102" s="135"/>
      <c r="AM102" s="139">
        <v>272.0</v>
      </c>
      <c r="AN102" s="139">
        <v>491.0</v>
      </c>
      <c r="AO102" s="140">
        <v>169.71</v>
      </c>
      <c r="AP102" s="152">
        <v>61076.0</v>
      </c>
      <c r="AQ102" s="152">
        <v>212.0</v>
      </c>
      <c r="AR102" s="143">
        <v>-1.0</v>
      </c>
      <c r="AS102" s="144">
        <v>0.9529208342760611</v>
      </c>
      <c r="AT102" s="144">
        <v>0.015179165723938848</v>
      </c>
      <c r="AU102" s="146" t="s">
        <v>538</v>
      </c>
      <c r="AV102" s="146" t="s">
        <v>538</v>
      </c>
      <c r="AW102" s="148" t="s">
        <v>538</v>
      </c>
      <c r="AX102" s="151"/>
      <c r="AY102" s="105"/>
      <c r="AZ102" s="186"/>
      <c r="BA102" s="186"/>
      <c r="BB102" s="222"/>
      <c r="BC102" s="45"/>
      <c r="BD102" s="45"/>
      <c r="BE102" s="45"/>
      <c r="BF102" s="45"/>
    </row>
    <row r="103">
      <c r="A103" s="79">
        <v>100.0</v>
      </c>
      <c r="B103" s="108" t="s">
        <v>78</v>
      </c>
      <c r="C103" s="115" t="s">
        <v>56</v>
      </c>
      <c r="D103" s="110">
        <v>41432.0</v>
      </c>
      <c r="E103" s="110">
        <v>42606.0</v>
      </c>
      <c r="F103" s="107" t="s">
        <v>79</v>
      </c>
      <c r="G103" s="113">
        <v>72029.0</v>
      </c>
      <c r="H103" s="114">
        <v>61.3</v>
      </c>
      <c r="I103" s="119">
        <v>249.0</v>
      </c>
      <c r="J103" s="122" t="s">
        <v>61</v>
      </c>
      <c r="K103" s="121">
        <v>252.15</v>
      </c>
      <c r="L103" s="119" t="s">
        <v>63</v>
      </c>
      <c r="M103" s="119"/>
      <c r="N103" s="119"/>
      <c r="O103" s="124">
        <v>72029.0</v>
      </c>
      <c r="P103" s="124">
        <v>1175.0</v>
      </c>
      <c r="Q103" s="122">
        <v>316.0</v>
      </c>
      <c r="R103" s="125">
        <v>269.0</v>
      </c>
      <c r="S103" s="126">
        <v>0.9374</v>
      </c>
      <c r="T103" s="127">
        <v>72648.5</v>
      </c>
      <c r="U103" s="128">
        <f t="shared" si="1"/>
        <v>0</v>
      </c>
      <c r="V103" s="107" t="s">
        <v>80</v>
      </c>
      <c r="W103" s="107" t="s">
        <v>69</v>
      </c>
      <c r="X103" s="107" t="s">
        <v>66</v>
      </c>
      <c r="Y103" s="131">
        <v>0.9</v>
      </c>
      <c r="Z103" s="160">
        <v>7.3</v>
      </c>
      <c r="AA103" s="111">
        <v>260.0</v>
      </c>
      <c r="AB103" s="111" t="s">
        <v>61</v>
      </c>
      <c r="AC103" s="141"/>
      <c r="AD103" s="141"/>
      <c r="AE103" s="141"/>
      <c r="AF103" s="122"/>
      <c r="AG103" s="147"/>
      <c r="AH103" s="73"/>
      <c r="AI103" s="135"/>
      <c r="AJ103" s="136"/>
      <c r="AK103" s="76"/>
      <c r="AL103" s="135"/>
      <c r="AM103" s="139">
        <v>263.0</v>
      </c>
      <c r="AN103" s="139">
        <v>1175.0</v>
      </c>
      <c r="AO103" s="140">
        <v>303.23</v>
      </c>
      <c r="AP103" s="152">
        <v>115919.0</v>
      </c>
      <c r="AQ103" s="152">
        <v>196.0</v>
      </c>
      <c r="AR103" s="143">
        <v>-1.0</v>
      </c>
      <c r="AS103" s="144">
        <v>0.9422858721649122</v>
      </c>
      <c r="AT103" s="144">
        <v>-0.004885872164912208</v>
      </c>
      <c r="AU103" s="146" t="s">
        <v>539</v>
      </c>
      <c r="AV103" s="146" t="s">
        <v>539</v>
      </c>
      <c r="AW103" s="148" t="s">
        <v>539</v>
      </c>
      <c r="AX103" s="151"/>
      <c r="AY103" s="105"/>
      <c r="AZ103" s="186"/>
      <c r="BA103" s="186"/>
      <c r="BB103" s="222"/>
      <c r="BC103" s="45"/>
      <c r="BD103" s="45"/>
      <c r="BE103" s="45"/>
      <c r="BF103" s="45"/>
    </row>
    <row r="104">
      <c r="A104" s="79">
        <v>101.0</v>
      </c>
      <c r="B104" s="108" t="s">
        <v>161</v>
      </c>
      <c r="C104" s="115" t="s">
        <v>56</v>
      </c>
      <c r="D104" s="110">
        <v>41310.0</v>
      </c>
      <c r="E104" s="110">
        <v>42619.0</v>
      </c>
      <c r="F104" s="107" t="s">
        <v>59</v>
      </c>
      <c r="G104" s="113">
        <v>49639.0</v>
      </c>
      <c r="H104" s="114">
        <v>37.9</v>
      </c>
      <c r="I104" s="119">
        <v>253.0</v>
      </c>
      <c r="J104" s="122" t="s">
        <v>62</v>
      </c>
      <c r="K104" s="121">
        <v>253.0</v>
      </c>
      <c r="L104" s="119" t="s">
        <v>63</v>
      </c>
      <c r="M104" s="119"/>
      <c r="N104" s="119"/>
      <c r="O104" s="124">
        <v>49639.0</v>
      </c>
      <c r="P104" s="124">
        <v>1310.0</v>
      </c>
      <c r="Q104" s="122">
        <v>297.0</v>
      </c>
      <c r="R104" s="125">
        <v>269.0</v>
      </c>
      <c r="S104" s="126">
        <v>0.9405</v>
      </c>
      <c r="T104" s="127">
        <v>72888.75</v>
      </c>
      <c r="U104" s="128">
        <f t="shared" si="1"/>
        <v>0</v>
      </c>
      <c r="V104" s="107" t="s">
        <v>64</v>
      </c>
      <c r="W104" s="107" t="s">
        <v>69</v>
      </c>
      <c r="X104" s="107" t="s">
        <v>69</v>
      </c>
      <c r="Y104" s="131">
        <v>0.9</v>
      </c>
      <c r="Z104" s="160">
        <v>1.0</v>
      </c>
      <c r="AA104" s="111">
        <v>270.0</v>
      </c>
      <c r="AB104" s="111" t="s">
        <v>61</v>
      </c>
      <c r="AC104" s="141"/>
      <c r="AD104" s="141"/>
      <c r="AE104" s="141"/>
      <c r="AF104" s="122"/>
      <c r="AG104" s="134" t="s">
        <v>166</v>
      </c>
      <c r="AH104" s="73"/>
      <c r="AI104" s="135"/>
      <c r="AJ104" s="136"/>
      <c r="AK104" s="76"/>
      <c r="AL104" s="135"/>
      <c r="AM104" s="139">
        <v>273.0</v>
      </c>
      <c r="AN104" s="139">
        <v>1310.0</v>
      </c>
      <c r="AO104" s="140">
        <v>196.12</v>
      </c>
      <c r="AP104" s="152">
        <v>79886.0</v>
      </c>
      <c r="AQ104" s="152">
        <v>185.0</v>
      </c>
      <c r="AR104" s="143">
        <v>-1.0</v>
      </c>
      <c r="AS104" s="144">
        <v>0.9486688459896515</v>
      </c>
      <c r="AT104" s="144">
        <v>-0.008168845989651508</v>
      </c>
      <c r="AU104" s="146" t="s">
        <v>543</v>
      </c>
      <c r="AV104" s="146" t="s">
        <v>543</v>
      </c>
      <c r="AW104" s="148" t="s">
        <v>543</v>
      </c>
      <c r="AX104" s="151"/>
      <c r="AY104" s="105"/>
      <c r="AZ104" s="186"/>
      <c r="BA104" s="186"/>
      <c r="BB104" s="222"/>
      <c r="BC104" s="45"/>
      <c r="BD104" s="45"/>
      <c r="BE104" s="45"/>
      <c r="BF104" s="45"/>
    </row>
    <row r="105">
      <c r="A105" s="79">
        <v>102.0</v>
      </c>
      <c r="B105" s="108" t="s">
        <v>545</v>
      </c>
      <c r="C105" s="115" t="s">
        <v>56</v>
      </c>
      <c r="D105" s="110">
        <v>41346.0</v>
      </c>
      <c r="E105" s="110">
        <v>42626.0</v>
      </c>
      <c r="F105" s="107" t="s">
        <v>59</v>
      </c>
      <c r="G105" s="113">
        <v>50225.0</v>
      </c>
      <c r="H105" s="114">
        <v>39.2</v>
      </c>
      <c r="I105" s="119">
        <v>251.0</v>
      </c>
      <c r="J105" s="122" t="s">
        <v>61</v>
      </c>
      <c r="K105" s="121">
        <v>254.18</v>
      </c>
      <c r="L105" s="119" t="s">
        <v>63</v>
      </c>
      <c r="M105" s="119"/>
      <c r="N105" s="119"/>
      <c r="O105" s="124">
        <v>50225.0</v>
      </c>
      <c r="P105" s="124">
        <v>1281.0</v>
      </c>
      <c r="Q105" s="122">
        <v>321.0</v>
      </c>
      <c r="R105" s="125">
        <v>269.0</v>
      </c>
      <c r="S105" s="126">
        <v>0.9449</v>
      </c>
      <c r="T105" s="127">
        <v>73229.75</v>
      </c>
      <c r="U105" s="128">
        <f t="shared" si="1"/>
        <v>0</v>
      </c>
      <c r="V105" s="107" t="s">
        <v>67</v>
      </c>
      <c r="W105" s="107" t="s">
        <v>64</v>
      </c>
      <c r="X105" s="107" t="s">
        <v>69</v>
      </c>
      <c r="Y105" s="131">
        <v>0.9</v>
      </c>
      <c r="Z105" s="132"/>
      <c r="AA105" s="133"/>
      <c r="AB105" s="133"/>
      <c r="AC105" s="141"/>
      <c r="AD105" s="141"/>
      <c r="AE105" s="141"/>
      <c r="AF105" s="122"/>
      <c r="AG105" s="147"/>
      <c r="AH105" s="73"/>
      <c r="AI105" s="135"/>
      <c r="AJ105" s="136"/>
      <c r="AK105" s="76"/>
      <c r="AL105" s="135"/>
      <c r="AM105" s="139" t="s">
        <v>71</v>
      </c>
      <c r="AN105" s="139">
        <v>1281.0</v>
      </c>
      <c r="AO105" s="140">
        <v>213.98</v>
      </c>
      <c r="AP105" s="152">
        <v>80829.0</v>
      </c>
      <c r="AQ105" s="152">
        <v>199.0</v>
      </c>
      <c r="AR105" s="143">
        <v>-1.0</v>
      </c>
      <c r="AS105" s="144">
        <v>0.9484814906978746</v>
      </c>
      <c r="AT105" s="144">
        <v>-0.003581490697874612</v>
      </c>
      <c r="AU105" s="146" t="s">
        <v>547</v>
      </c>
      <c r="AV105" s="146" t="s">
        <v>547</v>
      </c>
      <c r="AW105" s="148" t="s">
        <v>547</v>
      </c>
      <c r="AX105" s="151"/>
      <c r="AY105" s="105"/>
      <c r="AZ105" s="186"/>
      <c r="BA105" s="186"/>
      <c r="BB105" s="222"/>
      <c r="BC105" s="45"/>
      <c r="BD105" s="45"/>
      <c r="BE105" s="45"/>
      <c r="BF105" s="45"/>
    </row>
    <row r="106">
      <c r="A106" s="79">
        <v>103.0</v>
      </c>
      <c r="B106" s="219" t="s">
        <v>454</v>
      </c>
      <c r="C106" s="115" t="s">
        <v>56</v>
      </c>
      <c r="D106" s="110">
        <v>42244.0</v>
      </c>
      <c r="E106" s="110">
        <v>42639.0</v>
      </c>
      <c r="F106" s="107" t="s">
        <v>316</v>
      </c>
      <c r="G106" s="113">
        <v>17560.0</v>
      </c>
      <c r="H106" s="114">
        <v>44.3</v>
      </c>
      <c r="I106" s="119">
        <v>260.0</v>
      </c>
      <c r="J106" s="122" t="s">
        <v>61</v>
      </c>
      <c r="K106" s="121">
        <v>263.29</v>
      </c>
      <c r="L106" s="119" t="s">
        <v>63</v>
      </c>
      <c r="M106" s="119"/>
      <c r="N106" s="119"/>
      <c r="O106" s="124">
        <v>17560.0</v>
      </c>
      <c r="P106" s="124">
        <v>396.0</v>
      </c>
      <c r="Q106" s="220">
        <v>339.0</v>
      </c>
      <c r="R106" s="125">
        <v>280.0</v>
      </c>
      <c r="S106" s="126">
        <v>0.9403</v>
      </c>
      <c r="T106" s="127">
        <v>76916.54000000001</v>
      </c>
      <c r="U106" s="128">
        <f t="shared" si="1"/>
        <v>0</v>
      </c>
      <c r="V106" s="221" t="s">
        <v>69</v>
      </c>
      <c r="W106" s="221" t="s">
        <v>69</v>
      </c>
      <c r="X106" s="221" t="s">
        <v>68</v>
      </c>
      <c r="Y106" s="131">
        <v>0.9</v>
      </c>
      <c r="Z106" s="132"/>
      <c r="AA106" s="133"/>
      <c r="AB106" s="133"/>
      <c r="AC106" s="141"/>
      <c r="AD106" s="141"/>
      <c r="AE106" s="141"/>
      <c r="AF106" s="122"/>
      <c r="AG106" s="134"/>
      <c r="AH106" s="73"/>
      <c r="AI106" s="135"/>
      <c r="AJ106" s="136"/>
      <c r="AK106" s="76"/>
      <c r="AL106" s="135"/>
      <c r="AM106" s="139" t="s">
        <v>71</v>
      </c>
      <c r="AN106" s="139">
        <v>396.0</v>
      </c>
      <c r="AO106" s="140">
        <v>75.03</v>
      </c>
      <c r="AP106" s="152">
        <v>28260.0</v>
      </c>
      <c r="AQ106" s="152">
        <v>211.0</v>
      </c>
      <c r="AR106" s="143">
        <v>-1.0</v>
      </c>
      <c r="AS106" s="144">
        <v>0.9663050077114268</v>
      </c>
      <c r="AT106" s="144">
        <v>-0.026005007711426775</v>
      </c>
      <c r="AU106" s="146" t="s">
        <v>550</v>
      </c>
      <c r="AV106" s="146" t="s">
        <v>550</v>
      </c>
      <c r="AW106" s="148" t="s">
        <v>550</v>
      </c>
      <c r="AX106" s="151"/>
      <c r="AY106" s="105"/>
      <c r="AZ106" s="186"/>
      <c r="BA106" s="186"/>
      <c r="BB106" s="222"/>
      <c r="BC106" s="45"/>
      <c r="BD106" s="45"/>
      <c r="BE106" s="45"/>
      <c r="BF106" s="45"/>
    </row>
    <row r="107">
      <c r="A107" s="79">
        <v>104.0</v>
      </c>
      <c r="B107" s="108" t="s">
        <v>161</v>
      </c>
      <c r="C107" s="115" t="s">
        <v>56</v>
      </c>
      <c r="D107" s="110">
        <v>41310.0</v>
      </c>
      <c r="E107" s="110">
        <v>42649.0</v>
      </c>
      <c r="F107" s="107" t="s">
        <v>59</v>
      </c>
      <c r="G107" s="113">
        <v>50510.0</v>
      </c>
      <c r="H107" s="114">
        <v>37.7</v>
      </c>
      <c r="I107" s="119">
        <v>252.0</v>
      </c>
      <c r="J107" s="122" t="s">
        <v>62</v>
      </c>
      <c r="K107" s="121">
        <v>252.0</v>
      </c>
      <c r="L107" s="119" t="s">
        <v>63</v>
      </c>
      <c r="M107" s="119"/>
      <c r="N107" s="119"/>
      <c r="O107" s="124">
        <v>50510.0</v>
      </c>
      <c r="P107" s="124">
        <v>1340.0</v>
      </c>
      <c r="Q107" s="122">
        <v>297.0</v>
      </c>
      <c r="R107" s="125">
        <v>269.0</v>
      </c>
      <c r="S107" s="126">
        <v>0.9368</v>
      </c>
      <c r="T107" s="127">
        <v>72602.0</v>
      </c>
      <c r="U107" s="128">
        <f t="shared" si="1"/>
        <v>0</v>
      </c>
      <c r="V107" s="107" t="s">
        <v>64</v>
      </c>
      <c r="W107" s="107" t="s">
        <v>69</v>
      </c>
      <c r="X107" s="107" t="s">
        <v>69</v>
      </c>
      <c r="Y107" s="131">
        <v>0.9</v>
      </c>
      <c r="Z107" s="160">
        <v>1.0</v>
      </c>
      <c r="AA107" s="111">
        <v>270.0</v>
      </c>
      <c r="AB107" s="111" t="s">
        <v>61</v>
      </c>
      <c r="AC107" s="141"/>
      <c r="AD107" s="141"/>
      <c r="AE107" s="141"/>
      <c r="AF107" s="122"/>
      <c r="AG107" s="134" t="s">
        <v>166</v>
      </c>
      <c r="AH107" s="73"/>
      <c r="AI107" s="135"/>
      <c r="AJ107" s="136"/>
      <c r="AK107" s="76"/>
      <c r="AL107" s="135"/>
      <c r="AM107" s="139">
        <v>273.0</v>
      </c>
      <c r="AN107" s="139">
        <v>1340.0</v>
      </c>
      <c r="AO107" s="140">
        <v>199.94</v>
      </c>
      <c r="AP107" s="152">
        <v>81288.0</v>
      </c>
      <c r="AQ107" s="152">
        <v>185.0</v>
      </c>
      <c r="AR107" s="143">
        <v>-1.0</v>
      </c>
      <c r="AS107" s="144">
        <v>0.9483909301932059</v>
      </c>
      <c r="AT107" s="144">
        <v>-0.011590930193205895</v>
      </c>
      <c r="AU107" s="146" t="s">
        <v>552</v>
      </c>
      <c r="AV107" s="146" t="s">
        <v>552</v>
      </c>
      <c r="AW107" s="148" t="s">
        <v>552</v>
      </c>
      <c r="AX107" s="151"/>
      <c r="AY107" s="105"/>
      <c r="AZ107" s="186"/>
      <c r="BA107" s="186"/>
      <c r="BB107" s="222"/>
      <c r="BC107" s="45"/>
      <c r="BD107" s="45"/>
      <c r="BE107" s="45"/>
      <c r="BF107" s="45"/>
    </row>
    <row r="108">
      <c r="A108" s="79">
        <v>105.0</v>
      </c>
      <c r="B108" s="108" t="s">
        <v>519</v>
      </c>
      <c r="C108" s="115" t="s">
        <v>56</v>
      </c>
      <c r="D108" s="110">
        <v>42551.0</v>
      </c>
      <c r="E108" s="110">
        <v>42654.0</v>
      </c>
      <c r="F108" s="107" t="s">
        <v>305</v>
      </c>
      <c r="G108" s="113">
        <v>4330.0</v>
      </c>
      <c r="H108" s="114">
        <v>41.6</v>
      </c>
      <c r="I108" s="119">
        <v>300.0</v>
      </c>
      <c r="J108" s="122" t="s">
        <v>62</v>
      </c>
      <c r="K108" s="121">
        <v>300.0</v>
      </c>
      <c r="L108" s="119" t="s">
        <v>63</v>
      </c>
      <c r="M108" s="119"/>
      <c r="N108" s="119"/>
      <c r="O108" s="124">
        <v>4330.0</v>
      </c>
      <c r="P108" s="124">
        <v>104.0</v>
      </c>
      <c r="Q108" s="122">
        <v>271.0</v>
      </c>
      <c r="R108" s="125">
        <v>295.0</v>
      </c>
      <c r="S108" s="126">
        <v>1.0169</v>
      </c>
      <c r="T108" s="127">
        <v>83182.42</v>
      </c>
      <c r="U108" s="128">
        <f t="shared" si="1"/>
        <v>0</v>
      </c>
      <c r="V108" s="107" t="s">
        <v>69</v>
      </c>
      <c r="W108" s="107" t="s">
        <v>66</v>
      </c>
      <c r="X108" s="107" t="s">
        <v>68</v>
      </c>
      <c r="Y108" s="131">
        <v>0.8</v>
      </c>
      <c r="Z108" s="160">
        <v>10.0</v>
      </c>
      <c r="AA108" s="111">
        <v>295.0</v>
      </c>
      <c r="AB108" s="111" t="s">
        <v>62</v>
      </c>
      <c r="AC108" s="141"/>
      <c r="AD108" s="141"/>
      <c r="AE108" s="141"/>
      <c r="AF108" s="122"/>
      <c r="AG108" s="134" t="s">
        <v>528</v>
      </c>
      <c r="AH108" s="73"/>
      <c r="AI108" s="135"/>
      <c r="AJ108" s="136"/>
      <c r="AK108" s="76"/>
      <c r="AL108" s="135"/>
      <c r="AM108" s="139">
        <v>295.0</v>
      </c>
      <c r="AN108" s="139">
        <v>104.0</v>
      </c>
      <c r="AO108" s="140">
        <v>14.23</v>
      </c>
      <c r="AP108" s="152">
        <v>6968.0</v>
      </c>
      <c r="AQ108" s="152">
        <v>168.0</v>
      </c>
      <c r="AR108" s="143">
        <v>-1.0</v>
      </c>
      <c r="AS108" s="144">
        <v>0.9877724355323473</v>
      </c>
      <c r="AT108" s="144">
        <v>0.029127564467652634</v>
      </c>
      <c r="AU108" s="146" t="s">
        <v>555</v>
      </c>
      <c r="AV108" s="146" t="s">
        <v>555</v>
      </c>
      <c r="AW108" s="148" t="s">
        <v>555</v>
      </c>
      <c r="AX108" s="151"/>
      <c r="AY108" s="105"/>
      <c r="AZ108" s="186"/>
      <c r="BA108" s="186"/>
      <c r="BB108" s="222"/>
      <c r="BC108" s="45"/>
      <c r="BD108" s="45"/>
      <c r="BE108" s="45"/>
      <c r="BF108" s="45"/>
    </row>
    <row r="109">
      <c r="A109" s="79">
        <v>106.0</v>
      </c>
      <c r="B109" s="108" t="s">
        <v>556</v>
      </c>
      <c r="C109" s="115" t="s">
        <v>56</v>
      </c>
      <c r="D109" s="110">
        <v>41506.0</v>
      </c>
      <c r="E109" s="110">
        <v>42655.0</v>
      </c>
      <c r="F109" s="107" t="s">
        <v>109</v>
      </c>
      <c r="G109" s="113">
        <v>15240.0</v>
      </c>
      <c r="H109" s="114">
        <v>13.3</v>
      </c>
      <c r="I109" s="119">
        <v>189.0</v>
      </c>
      <c r="J109" s="122" t="s">
        <v>61</v>
      </c>
      <c r="K109" s="121">
        <v>191.39</v>
      </c>
      <c r="L109" s="119" t="s">
        <v>63</v>
      </c>
      <c r="M109" s="119"/>
      <c r="N109" s="119"/>
      <c r="O109" s="124">
        <v>15240.0</v>
      </c>
      <c r="P109" s="124">
        <v>1150.0</v>
      </c>
      <c r="Q109" s="122">
        <v>320.0</v>
      </c>
      <c r="R109" s="125">
        <v>210.0</v>
      </c>
      <c r="S109" s="126">
        <v>0.9114</v>
      </c>
      <c r="T109" s="127">
        <v>53316.9</v>
      </c>
      <c r="U109" s="128">
        <f t="shared" si="1"/>
        <v>0</v>
      </c>
      <c r="V109" s="107" t="s">
        <v>69</v>
      </c>
      <c r="W109" s="107" t="s">
        <v>65</v>
      </c>
      <c r="X109" s="107" t="s">
        <v>69</v>
      </c>
      <c r="Y109" s="131">
        <v>0.9</v>
      </c>
      <c r="Z109" s="160">
        <v>10.0</v>
      </c>
      <c r="AA109" s="111">
        <v>208.0</v>
      </c>
      <c r="AB109" s="133"/>
      <c r="AC109" s="141"/>
      <c r="AD109" s="141"/>
      <c r="AE109" s="141"/>
      <c r="AF109" s="122"/>
      <c r="AG109" s="147"/>
      <c r="AH109" s="73"/>
      <c r="AI109" s="135"/>
      <c r="AJ109" s="136"/>
      <c r="AK109" s="76"/>
      <c r="AL109" s="135"/>
      <c r="AM109" s="139">
        <v>208.0</v>
      </c>
      <c r="AN109" s="139">
        <v>1150.0</v>
      </c>
      <c r="AO109" s="140">
        <v>87.29</v>
      </c>
      <c r="AP109" s="152">
        <v>24526.0</v>
      </c>
      <c r="AQ109" s="152">
        <v>199.0</v>
      </c>
      <c r="AR109" s="143">
        <v>-1.0</v>
      </c>
      <c r="AS109" s="144">
        <v>0.9689079459557414</v>
      </c>
      <c r="AT109" s="144">
        <v>-0.05750794595574138</v>
      </c>
      <c r="AU109" s="146" t="s">
        <v>558</v>
      </c>
      <c r="AV109" s="146" t="s">
        <v>558</v>
      </c>
      <c r="AW109" s="148" t="s">
        <v>558</v>
      </c>
      <c r="AX109" s="151"/>
      <c r="AY109" s="105"/>
      <c r="AZ109" s="186"/>
      <c r="BA109" s="186"/>
      <c r="BB109" s="222"/>
      <c r="BC109" s="45"/>
      <c r="BD109" s="45"/>
      <c r="BE109" s="45"/>
      <c r="BF109" s="45"/>
    </row>
    <row r="110">
      <c r="A110" s="79">
        <v>107.0</v>
      </c>
      <c r="B110" s="108" t="s">
        <v>428</v>
      </c>
      <c r="C110" s="115" t="s">
        <v>56</v>
      </c>
      <c r="D110" s="110">
        <v>42054.0</v>
      </c>
      <c r="E110" s="110">
        <v>42668.0</v>
      </c>
      <c r="F110" s="107" t="s">
        <v>86</v>
      </c>
      <c r="G110" s="113">
        <v>18642.0</v>
      </c>
      <c r="H110" s="114">
        <v>30.3</v>
      </c>
      <c r="I110" s="119">
        <v>268.0</v>
      </c>
      <c r="J110" s="122" t="s">
        <v>61</v>
      </c>
      <c r="K110" s="121">
        <v>271.39</v>
      </c>
      <c r="L110" s="119" t="s">
        <v>63</v>
      </c>
      <c r="M110" s="119"/>
      <c r="N110" s="119"/>
      <c r="O110" s="124">
        <v>18642.0</v>
      </c>
      <c r="P110" s="124">
        <v>615.0</v>
      </c>
      <c r="Q110" s="122">
        <v>323.0</v>
      </c>
      <c r="R110" s="125">
        <v>273.0</v>
      </c>
      <c r="S110" s="126">
        <v>0.9941</v>
      </c>
      <c r="T110" s="127">
        <v>77042.75</v>
      </c>
      <c r="U110" s="128">
        <f t="shared" si="1"/>
        <v>0</v>
      </c>
      <c r="V110" s="107" t="s">
        <v>64</v>
      </c>
      <c r="W110" s="107" t="s">
        <v>69</v>
      </c>
      <c r="X110" s="107" t="s">
        <v>66</v>
      </c>
      <c r="Y110" s="131">
        <v>0.9</v>
      </c>
      <c r="Z110" s="160"/>
      <c r="AA110" s="133"/>
      <c r="AB110" s="133"/>
      <c r="AC110" s="141"/>
      <c r="AD110" s="141"/>
      <c r="AE110" s="141"/>
      <c r="AF110" s="122"/>
      <c r="AG110" s="147"/>
      <c r="AH110" s="73"/>
      <c r="AI110" s="135"/>
      <c r="AJ110" s="136"/>
      <c r="AK110" s="76"/>
      <c r="AL110" s="135"/>
      <c r="AM110" s="139" t="s">
        <v>71</v>
      </c>
      <c r="AN110" s="139">
        <v>615.0</v>
      </c>
      <c r="AO110" s="140">
        <v>77.95</v>
      </c>
      <c r="AP110" s="152">
        <v>30001.0</v>
      </c>
      <c r="AQ110" s="152">
        <v>201.0</v>
      </c>
      <c r="AR110" s="143">
        <v>-1.0</v>
      </c>
      <c r="AS110" s="144">
        <v>0.9652062585302079</v>
      </c>
      <c r="AT110" s="144">
        <v>0.028893741469792067</v>
      </c>
      <c r="AU110" s="146" t="s">
        <v>560</v>
      </c>
      <c r="AV110" s="146" t="s">
        <v>560</v>
      </c>
      <c r="AW110" s="148" t="s">
        <v>560</v>
      </c>
      <c r="AX110" s="151"/>
      <c r="AY110" s="105"/>
      <c r="AZ110" s="186"/>
      <c r="BA110" s="186"/>
      <c r="BB110" s="222"/>
      <c r="BC110" s="45"/>
      <c r="BD110" s="45"/>
      <c r="BE110" s="45"/>
      <c r="BF110" s="45"/>
    </row>
    <row r="111">
      <c r="A111" s="79">
        <v>108.0</v>
      </c>
      <c r="B111" s="108" t="s">
        <v>221</v>
      </c>
      <c r="C111" s="115" t="s">
        <v>56</v>
      </c>
      <c r="D111" s="110">
        <v>42114.0</v>
      </c>
      <c r="E111" s="110">
        <v>42670.0</v>
      </c>
      <c r="F111" s="107" t="s">
        <v>86</v>
      </c>
      <c r="G111" s="113">
        <v>50081.0</v>
      </c>
      <c r="H111" s="114">
        <v>89.9</v>
      </c>
      <c r="I111" s="119">
        <v>262.0</v>
      </c>
      <c r="J111" s="122" t="s">
        <v>61</v>
      </c>
      <c r="K111" s="121">
        <v>265.32</v>
      </c>
      <c r="L111" s="119" t="s">
        <v>63</v>
      </c>
      <c r="M111" s="119"/>
      <c r="N111" s="119"/>
      <c r="O111" s="124">
        <v>50081.0</v>
      </c>
      <c r="P111" s="124">
        <v>557.0</v>
      </c>
      <c r="Q111" s="175">
        <v>318.0</v>
      </c>
      <c r="R111" s="125">
        <v>273.0</v>
      </c>
      <c r="S111" s="126">
        <v>0.9719</v>
      </c>
      <c r="T111" s="127">
        <v>75322.25</v>
      </c>
      <c r="U111" s="128">
        <f t="shared" si="1"/>
        <v>0</v>
      </c>
      <c r="V111" s="107" t="s">
        <v>65</v>
      </c>
      <c r="W111" s="107" t="s">
        <v>65</v>
      </c>
      <c r="X111" s="107" t="s">
        <v>68</v>
      </c>
      <c r="Y111" s="131">
        <v>0.9</v>
      </c>
      <c r="Z111" s="160">
        <v>10.0</v>
      </c>
      <c r="AA111" s="111">
        <v>270.0</v>
      </c>
      <c r="AB111" s="111" t="s">
        <v>61</v>
      </c>
      <c r="AC111" s="141"/>
      <c r="AD111" s="141"/>
      <c r="AE111" s="141"/>
      <c r="AF111" s="122"/>
      <c r="AG111" s="147"/>
      <c r="AH111" s="73"/>
      <c r="AI111" s="135"/>
      <c r="AJ111" s="136"/>
      <c r="AK111" s="76"/>
      <c r="AL111" s="135"/>
      <c r="AM111" s="223">
        <v>273.0</v>
      </c>
      <c r="AN111" s="139">
        <v>557.0</v>
      </c>
      <c r="AO111" s="140">
        <v>208.45</v>
      </c>
      <c r="AP111" s="152">
        <v>80598.0</v>
      </c>
      <c r="AQ111" s="152">
        <v>198.0</v>
      </c>
      <c r="AR111" s="143">
        <v>-1.0</v>
      </c>
      <c r="AS111" s="144">
        <v>0.9485272220847114</v>
      </c>
      <c r="AT111" s="144">
        <v>0.02337277791528858</v>
      </c>
      <c r="AU111" s="146" t="s">
        <v>563</v>
      </c>
      <c r="AV111" s="146" t="s">
        <v>563</v>
      </c>
      <c r="AW111" s="148" t="s">
        <v>563</v>
      </c>
      <c r="AX111" s="151"/>
      <c r="AY111" s="105"/>
      <c r="AZ111" s="186"/>
      <c r="BA111" s="186"/>
      <c r="BB111" s="222"/>
      <c r="BC111" s="45"/>
      <c r="BD111" s="45"/>
      <c r="BE111" s="45"/>
      <c r="BF111" s="45"/>
    </row>
    <row r="112">
      <c r="A112" s="79">
        <v>109.0</v>
      </c>
      <c r="B112" s="108" t="s">
        <v>565</v>
      </c>
      <c r="C112" s="115" t="s">
        <v>56</v>
      </c>
      <c r="D112" s="110">
        <v>42420.0</v>
      </c>
      <c r="E112" s="110">
        <v>42663.0</v>
      </c>
      <c r="F112" s="107" t="s">
        <v>86</v>
      </c>
      <c r="G112" s="113">
        <v>11000.0</v>
      </c>
      <c r="H112" s="114">
        <v>45.1</v>
      </c>
      <c r="I112" s="119">
        <v>275.0</v>
      </c>
      <c r="J112" s="122" t="s">
        <v>61</v>
      </c>
      <c r="K112" s="121">
        <v>278.48</v>
      </c>
      <c r="L112" s="119" t="s">
        <v>63</v>
      </c>
      <c r="M112" s="119"/>
      <c r="N112" s="119"/>
      <c r="O112" s="124">
        <v>11000.0</v>
      </c>
      <c r="P112" s="124">
        <v>244.0</v>
      </c>
      <c r="Q112" s="122">
        <v>299.0</v>
      </c>
      <c r="R112" s="125">
        <v>273.0</v>
      </c>
      <c r="S112" s="126">
        <v>1.0201</v>
      </c>
      <c r="T112" s="127">
        <v>79057.75</v>
      </c>
      <c r="U112" s="128">
        <f t="shared" si="1"/>
        <v>0</v>
      </c>
      <c r="V112" s="107" t="s">
        <v>65</v>
      </c>
      <c r="W112" s="107" t="s">
        <v>69</v>
      </c>
      <c r="X112" s="107" t="s">
        <v>68</v>
      </c>
      <c r="Y112" s="131">
        <v>0.5</v>
      </c>
      <c r="Z112" s="160">
        <v>8.0</v>
      </c>
      <c r="AA112" s="111">
        <v>270.0</v>
      </c>
      <c r="AB112" s="111" t="s">
        <v>61</v>
      </c>
      <c r="AC112" s="182"/>
      <c r="AD112" s="141"/>
      <c r="AE112" s="141"/>
      <c r="AF112" s="122"/>
      <c r="AG112" s="134" t="s">
        <v>567</v>
      </c>
      <c r="AH112" s="73"/>
      <c r="AI112" s="135"/>
      <c r="AJ112" s="136"/>
      <c r="AK112" s="76"/>
      <c r="AL112" s="135"/>
      <c r="AM112" s="223">
        <v>273.0</v>
      </c>
      <c r="AN112" s="139">
        <v>244.0</v>
      </c>
      <c r="AO112" s="140">
        <v>42.03</v>
      </c>
      <c r="AP112" s="152">
        <v>17703.0</v>
      </c>
      <c r="AQ112" s="152">
        <v>186.0</v>
      </c>
      <c r="AR112" s="143">
        <v>-1.0</v>
      </c>
      <c r="AS112" s="144">
        <v>0.9747216815547186</v>
      </c>
      <c r="AT112" s="144">
        <v>0.045378318445281396</v>
      </c>
      <c r="AU112" s="146" t="s">
        <v>568</v>
      </c>
      <c r="AV112" s="146" t="s">
        <v>568</v>
      </c>
      <c r="AW112" s="148" t="s">
        <v>568</v>
      </c>
      <c r="AX112" s="151"/>
      <c r="AY112" s="105"/>
      <c r="AZ112" s="186"/>
      <c r="BA112" s="186"/>
      <c r="BB112" s="222"/>
      <c r="BC112" s="45"/>
      <c r="BD112" s="45"/>
      <c r="BE112" s="45"/>
      <c r="BF112" s="45"/>
    </row>
    <row r="113">
      <c r="A113" s="79">
        <v>110.0</v>
      </c>
      <c r="B113" s="108" t="s">
        <v>569</v>
      </c>
      <c r="C113" s="115" t="s">
        <v>56</v>
      </c>
      <c r="D113" s="110">
        <v>42571.0</v>
      </c>
      <c r="E113" s="110">
        <v>42663.0</v>
      </c>
      <c r="F113" s="107" t="s">
        <v>109</v>
      </c>
      <c r="G113" s="113">
        <v>11104.0</v>
      </c>
      <c r="H113" s="114">
        <v>119.4</v>
      </c>
      <c r="I113" s="119">
        <v>207.0</v>
      </c>
      <c r="J113" s="122" t="s">
        <v>61</v>
      </c>
      <c r="K113" s="121">
        <v>209.62</v>
      </c>
      <c r="L113" s="119" t="s">
        <v>63</v>
      </c>
      <c r="M113" s="119"/>
      <c r="N113" s="119"/>
      <c r="O113" s="124">
        <v>11104.0</v>
      </c>
      <c r="P113" s="124">
        <v>93.0</v>
      </c>
      <c r="Q113" s="122">
        <v>284.0</v>
      </c>
      <c r="R113" s="125">
        <v>210.0</v>
      </c>
      <c r="S113" s="126">
        <v>0.9982</v>
      </c>
      <c r="T113" s="127">
        <v>58394.7</v>
      </c>
      <c r="U113" s="128">
        <f t="shared" si="1"/>
        <v>0</v>
      </c>
      <c r="V113" s="107" t="s">
        <v>69</v>
      </c>
      <c r="W113" s="107" t="s">
        <v>67</v>
      </c>
      <c r="X113" s="107" t="s">
        <v>68</v>
      </c>
      <c r="Y113" s="131">
        <v>0.9</v>
      </c>
      <c r="Z113" s="160">
        <v>5.0</v>
      </c>
      <c r="AA113" s="111">
        <v>210.0</v>
      </c>
      <c r="AB113" s="111" t="s">
        <v>61</v>
      </c>
      <c r="AC113" s="141"/>
      <c r="AD113" s="141"/>
      <c r="AE113" s="141"/>
      <c r="AF113" s="122"/>
      <c r="AG113" s="134" t="s">
        <v>572</v>
      </c>
      <c r="AH113" s="73"/>
      <c r="AI113" s="135"/>
      <c r="AJ113" s="136"/>
      <c r="AK113" s="76"/>
      <c r="AL113" s="135"/>
      <c r="AM113" s="223">
        <v>213.0</v>
      </c>
      <c r="AN113" s="139">
        <v>93.0</v>
      </c>
      <c r="AO113" s="140">
        <v>53.96</v>
      </c>
      <c r="AP113" s="152">
        <v>17870.0</v>
      </c>
      <c r="AQ113" s="152">
        <v>176.0</v>
      </c>
      <c r="AR113" s="143">
        <v>-1.0</v>
      </c>
      <c r="AS113" s="144">
        <v>0.9745602193003037</v>
      </c>
      <c r="AT113" s="144">
        <v>0.0236397806996963</v>
      </c>
      <c r="AU113" s="146" t="s">
        <v>573</v>
      </c>
      <c r="AV113" s="146" t="s">
        <v>573</v>
      </c>
      <c r="AW113" s="148" t="s">
        <v>573</v>
      </c>
      <c r="AX113" s="151"/>
      <c r="AY113" s="105"/>
      <c r="AZ113" s="186"/>
      <c r="BA113" s="186"/>
      <c r="BB113" s="222"/>
      <c r="BC113" s="45"/>
      <c r="BD113" s="45"/>
      <c r="BE113" s="45"/>
      <c r="BF113" s="45"/>
    </row>
    <row r="114">
      <c r="A114" s="79">
        <v>111.0</v>
      </c>
      <c r="B114" s="108" t="s">
        <v>574</v>
      </c>
      <c r="C114" s="115" t="s">
        <v>56</v>
      </c>
      <c r="D114" s="110">
        <v>42571.0</v>
      </c>
      <c r="E114" s="110">
        <v>42677.0</v>
      </c>
      <c r="F114" s="107" t="s">
        <v>250</v>
      </c>
      <c r="G114" s="113">
        <v>5420.0</v>
      </c>
      <c r="H114" s="114">
        <v>50.7</v>
      </c>
      <c r="I114" s="119">
        <v>219.0</v>
      </c>
      <c r="J114" s="122" t="s">
        <v>62</v>
      </c>
      <c r="K114" s="121">
        <v>219.0</v>
      </c>
      <c r="L114" s="119" t="s">
        <v>63</v>
      </c>
      <c r="M114" s="119"/>
      <c r="N114" s="119"/>
      <c r="O114" s="124">
        <v>5420.0</v>
      </c>
      <c r="P114" s="124">
        <v>107.0</v>
      </c>
      <c r="Q114" s="122">
        <v>292.0</v>
      </c>
      <c r="R114" s="125">
        <v>222.0</v>
      </c>
      <c r="S114" s="126">
        <v>0.9865</v>
      </c>
      <c r="T114" s="127">
        <v>57710.25</v>
      </c>
      <c r="U114" s="128">
        <f t="shared" si="1"/>
        <v>0</v>
      </c>
      <c r="V114" s="107" t="s">
        <v>65</v>
      </c>
      <c r="W114" s="107" t="s">
        <v>65</v>
      </c>
      <c r="X114" s="107" t="s">
        <v>68</v>
      </c>
      <c r="Y114" s="131">
        <v>0.9</v>
      </c>
      <c r="Z114" s="132"/>
      <c r="AA114" s="111">
        <v>219.0</v>
      </c>
      <c r="AB114" s="111" t="s">
        <v>61</v>
      </c>
      <c r="AC114" s="141"/>
      <c r="AD114" s="141"/>
      <c r="AE114" s="141"/>
      <c r="AF114" s="122"/>
      <c r="AG114" s="147"/>
      <c r="AH114" s="73"/>
      <c r="AI114" s="135"/>
      <c r="AJ114" s="136"/>
      <c r="AK114" s="76"/>
      <c r="AL114" s="135"/>
      <c r="AM114" s="223">
        <v>222.0</v>
      </c>
      <c r="AN114" s="139">
        <v>107.0</v>
      </c>
      <c r="AO114" s="140">
        <v>27.24</v>
      </c>
      <c r="AP114" s="152">
        <v>8723.0</v>
      </c>
      <c r="AQ114" s="152">
        <v>181.0</v>
      </c>
      <c r="AR114" s="143">
        <v>-1.0</v>
      </c>
      <c r="AS114" s="144">
        <v>0.9852239828331323</v>
      </c>
      <c r="AT114" s="144">
        <v>0.00127601716686776</v>
      </c>
      <c r="AU114" s="146" t="s">
        <v>576</v>
      </c>
      <c r="AV114" s="146" t="s">
        <v>576</v>
      </c>
      <c r="AW114" s="148" t="s">
        <v>576</v>
      </c>
      <c r="AX114" s="151"/>
      <c r="AY114" s="105"/>
      <c r="AZ114" s="186"/>
      <c r="BA114" s="186"/>
      <c r="BB114" s="222"/>
      <c r="BC114" s="45"/>
      <c r="BD114" s="45"/>
      <c r="BE114" s="45"/>
      <c r="BF114" s="45"/>
    </row>
    <row r="115">
      <c r="A115" s="79">
        <v>112.0</v>
      </c>
      <c r="B115" s="108" t="s">
        <v>143</v>
      </c>
      <c r="C115" s="115" t="s">
        <v>56</v>
      </c>
      <c r="D115" s="110">
        <v>41724.0</v>
      </c>
      <c r="E115" s="110">
        <v>42678.0</v>
      </c>
      <c r="F115" s="107" t="s">
        <v>59</v>
      </c>
      <c r="G115" s="113">
        <v>89100.0</v>
      </c>
      <c r="H115" s="114">
        <v>93.3</v>
      </c>
      <c r="I115" s="119">
        <v>250.0</v>
      </c>
      <c r="J115" s="122" t="s">
        <v>61</v>
      </c>
      <c r="K115" s="121">
        <v>253.16</v>
      </c>
      <c r="L115" s="119" t="s">
        <v>63</v>
      </c>
      <c r="M115" s="119"/>
      <c r="N115" s="119"/>
      <c r="O115" s="124">
        <v>89100.0</v>
      </c>
      <c r="P115" s="124">
        <v>955.0</v>
      </c>
      <c r="Q115" s="175">
        <v>318.0</v>
      </c>
      <c r="R115" s="125">
        <v>269.0</v>
      </c>
      <c r="S115" s="126">
        <v>0.9411</v>
      </c>
      <c r="T115" s="127">
        <v>72935.25</v>
      </c>
      <c r="U115" s="128">
        <f t="shared" si="1"/>
        <v>0</v>
      </c>
      <c r="V115" s="107" t="s">
        <v>67</v>
      </c>
      <c r="W115" s="107" t="s">
        <v>65</v>
      </c>
      <c r="X115" s="107" t="s">
        <v>64</v>
      </c>
      <c r="Y115" s="131">
        <v>0.8</v>
      </c>
      <c r="Z115" s="160">
        <v>10.0</v>
      </c>
      <c r="AA115" s="111">
        <v>271.0</v>
      </c>
      <c r="AB115" s="111" t="s">
        <v>61</v>
      </c>
      <c r="AC115" s="141"/>
      <c r="AD115" s="141"/>
      <c r="AE115" s="141"/>
      <c r="AF115" s="122"/>
      <c r="AG115" s="147"/>
      <c r="AH115" s="73"/>
      <c r="AI115" s="135"/>
      <c r="AJ115" s="136"/>
      <c r="AK115" s="76"/>
      <c r="AL115" s="135"/>
      <c r="AM115" s="223">
        <v>274.0</v>
      </c>
      <c r="AN115" s="139">
        <v>955.0</v>
      </c>
      <c r="AO115" s="140">
        <v>376.73</v>
      </c>
      <c r="AP115" s="152">
        <v>143393.0</v>
      </c>
      <c r="AQ115" s="152">
        <v>198.0</v>
      </c>
      <c r="AR115" s="143">
        <v>-1.0</v>
      </c>
      <c r="AS115" s="144">
        <v>0.9378693589627496</v>
      </c>
      <c r="AT115" s="144">
        <v>0.003230641037250459</v>
      </c>
      <c r="AU115" s="146" t="s">
        <v>578</v>
      </c>
      <c r="AV115" s="146" t="s">
        <v>578</v>
      </c>
      <c r="AW115" s="148" t="s">
        <v>578</v>
      </c>
      <c r="AX115" s="151"/>
      <c r="AY115" s="105"/>
      <c r="AZ115" s="186"/>
      <c r="BA115" s="186"/>
      <c r="BB115" s="222"/>
      <c r="BC115" s="45"/>
      <c r="BD115" s="45"/>
      <c r="BE115" s="45"/>
      <c r="BF115" s="45"/>
    </row>
    <row r="116">
      <c r="A116" s="79">
        <v>113.0</v>
      </c>
      <c r="B116" s="108" t="s">
        <v>579</v>
      </c>
      <c r="C116" s="115" t="s">
        <v>56</v>
      </c>
      <c r="D116" s="110">
        <v>41573.0</v>
      </c>
      <c r="E116" s="110">
        <v>42678.0</v>
      </c>
      <c r="F116" s="107" t="s">
        <v>79</v>
      </c>
      <c r="G116" s="113">
        <v>32418.0</v>
      </c>
      <c r="H116" s="114">
        <v>29.3</v>
      </c>
      <c r="I116" s="119">
        <v>255.0</v>
      </c>
      <c r="J116" s="122" t="s">
        <v>62</v>
      </c>
      <c r="K116" s="121">
        <v>255.0</v>
      </c>
      <c r="L116" s="119" t="s">
        <v>63</v>
      </c>
      <c r="M116" s="119"/>
      <c r="N116" s="119"/>
      <c r="O116" s="124">
        <v>32418.0</v>
      </c>
      <c r="P116" s="124">
        <v>1106.0</v>
      </c>
      <c r="Q116" s="122">
        <v>326.0</v>
      </c>
      <c r="R116" s="125">
        <v>269.0</v>
      </c>
      <c r="S116" s="126">
        <v>0.948</v>
      </c>
      <c r="T116" s="127">
        <v>73470.0</v>
      </c>
      <c r="U116" s="128">
        <f t="shared" si="1"/>
        <v>0</v>
      </c>
      <c r="V116" s="107" t="s">
        <v>69</v>
      </c>
      <c r="W116" s="107" t="s">
        <v>64</v>
      </c>
      <c r="X116" s="107" t="s">
        <v>68</v>
      </c>
      <c r="Y116" s="131">
        <v>0.8</v>
      </c>
      <c r="Z116" s="160">
        <v>10.0</v>
      </c>
      <c r="AA116" s="133"/>
      <c r="AB116" s="133"/>
      <c r="AC116" s="141"/>
      <c r="AD116" s="141"/>
      <c r="AE116" s="141"/>
      <c r="AF116" s="122"/>
      <c r="AG116" s="147"/>
      <c r="AH116" s="73"/>
      <c r="AI116" s="135"/>
      <c r="AJ116" s="136"/>
      <c r="AK116" s="76"/>
      <c r="AL116" s="135"/>
      <c r="AM116" s="223" t="s">
        <v>71</v>
      </c>
      <c r="AN116" s="139">
        <v>1106.0</v>
      </c>
      <c r="AO116" s="140">
        <v>140.05</v>
      </c>
      <c r="AP116" s="152">
        <v>52172.0</v>
      </c>
      <c r="AQ116" s="152">
        <v>203.0</v>
      </c>
      <c r="AR116" s="143">
        <v>-1.0</v>
      </c>
      <c r="AS116" s="144">
        <v>0.9554766060401452</v>
      </c>
      <c r="AT116" s="144">
        <v>-0.007476606040145217</v>
      </c>
      <c r="AU116" s="146" t="s">
        <v>583</v>
      </c>
      <c r="AV116" s="146" t="s">
        <v>583</v>
      </c>
      <c r="AW116" s="148" t="s">
        <v>583</v>
      </c>
      <c r="AX116" s="151"/>
      <c r="AY116" s="105"/>
      <c r="AZ116" s="186"/>
      <c r="BA116" s="186"/>
      <c r="BB116" s="222"/>
      <c r="BC116" s="45"/>
      <c r="BD116" s="45"/>
      <c r="BE116" s="45"/>
      <c r="BF116" s="45"/>
    </row>
    <row r="117">
      <c r="A117" s="79">
        <v>114.0</v>
      </c>
      <c r="B117" s="108" t="s">
        <v>143</v>
      </c>
      <c r="C117" s="115" t="s">
        <v>56</v>
      </c>
      <c r="D117" s="110">
        <v>41724.0</v>
      </c>
      <c r="E117" s="110">
        <v>42685.0</v>
      </c>
      <c r="F117" s="107" t="s">
        <v>59</v>
      </c>
      <c r="G117" s="113">
        <v>92600.0</v>
      </c>
      <c r="H117" s="114">
        <v>96.3</v>
      </c>
      <c r="I117" s="119">
        <v>250.0</v>
      </c>
      <c r="J117" s="122" t="s">
        <v>61</v>
      </c>
      <c r="K117" s="121">
        <v>253.16</v>
      </c>
      <c r="L117" s="119" t="s">
        <v>63</v>
      </c>
      <c r="M117" s="119"/>
      <c r="N117" s="119"/>
      <c r="O117" s="124">
        <v>92600.0</v>
      </c>
      <c r="P117" s="124">
        <v>962.0</v>
      </c>
      <c r="Q117" s="122">
        <v>327.0</v>
      </c>
      <c r="R117" s="125">
        <v>269.0</v>
      </c>
      <c r="S117" s="126">
        <v>0.9411</v>
      </c>
      <c r="T117" s="127">
        <v>72935.25</v>
      </c>
      <c r="U117" s="128">
        <f t="shared" si="1"/>
        <v>0</v>
      </c>
      <c r="V117" s="107" t="s">
        <v>67</v>
      </c>
      <c r="W117" s="107" t="s">
        <v>65</v>
      </c>
      <c r="X117" s="107" t="s">
        <v>64</v>
      </c>
      <c r="Y117" s="131">
        <v>0.8</v>
      </c>
      <c r="Z117" s="160">
        <v>10.0</v>
      </c>
      <c r="AA117" s="111">
        <v>271.0</v>
      </c>
      <c r="AB117" s="111" t="s">
        <v>61</v>
      </c>
      <c r="AC117" s="182">
        <v>250.0</v>
      </c>
      <c r="AD117" s="182">
        <v>16.0</v>
      </c>
      <c r="AE117" s="182">
        <v>65.4</v>
      </c>
      <c r="AF117" s="122" t="s">
        <v>62</v>
      </c>
      <c r="AG117" s="147"/>
      <c r="AH117" s="73">
        <v>234.0</v>
      </c>
      <c r="AI117" s="135">
        <v>234.0</v>
      </c>
      <c r="AJ117" s="136">
        <v>70.75497435897437</v>
      </c>
      <c r="AK117" s="76">
        <v>0.9129674110835401</v>
      </c>
      <c r="AL117" s="135" t="s">
        <v>585</v>
      </c>
      <c r="AM117" s="223">
        <v>274.0</v>
      </c>
      <c r="AN117" s="139">
        <v>962.0</v>
      </c>
      <c r="AO117" s="140">
        <v>402.61</v>
      </c>
      <c r="AP117" s="152">
        <v>149025.0</v>
      </c>
      <c r="AQ117" s="152">
        <v>203.0</v>
      </c>
      <c r="AR117" s="143">
        <v>-1.0</v>
      </c>
      <c r="AS117" s="144">
        <v>0.9369782742192787</v>
      </c>
      <c r="AT117" s="144">
        <v>0.0041217257807213414</v>
      </c>
      <c r="AU117" s="146" t="s">
        <v>586</v>
      </c>
      <c r="AV117" s="146" t="s">
        <v>586</v>
      </c>
      <c r="AW117" s="148" t="s">
        <v>586</v>
      </c>
      <c r="AX117" s="151"/>
      <c r="AY117" s="105"/>
      <c r="AZ117" s="186"/>
      <c r="BA117" s="186"/>
      <c r="BB117" s="222"/>
      <c r="BC117" s="45"/>
      <c r="BD117" s="45"/>
      <c r="BE117" s="45"/>
      <c r="BF117" s="45"/>
    </row>
    <row r="118">
      <c r="A118" s="79">
        <v>115.0</v>
      </c>
      <c r="B118" s="108" t="s">
        <v>587</v>
      </c>
      <c r="C118" s="115" t="s">
        <v>56</v>
      </c>
      <c r="D118" s="110">
        <v>41895.0</v>
      </c>
      <c r="E118" s="110">
        <v>42677.0</v>
      </c>
      <c r="F118" s="107" t="s">
        <v>59</v>
      </c>
      <c r="G118" s="113">
        <v>24239.0</v>
      </c>
      <c r="H118" s="114">
        <v>31.0</v>
      </c>
      <c r="I118" s="119">
        <v>259.0</v>
      </c>
      <c r="J118" s="122" t="s">
        <v>61</v>
      </c>
      <c r="K118" s="121">
        <v>262.28</v>
      </c>
      <c r="L118" s="119" t="s">
        <v>63</v>
      </c>
      <c r="M118" s="119"/>
      <c r="N118" s="119"/>
      <c r="O118" s="124">
        <v>24239.0</v>
      </c>
      <c r="P118" s="124">
        <v>783.0</v>
      </c>
      <c r="Q118" s="122">
        <v>313.0</v>
      </c>
      <c r="R118" s="125">
        <v>269.0</v>
      </c>
      <c r="S118" s="126">
        <v>0.975</v>
      </c>
      <c r="T118" s="127">
        <v>75562.5</v>
      </c>
      <c r="U118" s="128">
        <f t="shared" si="1"/>
        <v>0</v>
      </c>
      <c r="V118" s="107" t="s">
        <v>64</v>
      </c>
      <c r="W118" s="107" t="s">
        <v>64</v>
      </c>
      <c r="X118" s="107" t="s">
        <v>68</v>
      </c>
      <c r="Y118" s="131">
        <v>0.6</v>
      </c>
      <c r="Z118" s="160">
        <v>7.2</v>
      </c>
      <c r="AA118" s="111">
        <v>265.0</v>
      </c>
      <c r="AB118" s="111" t="s">
        <v>61</v>
      </c>
      <c r="AC118" s="182">
        <v>259.0</v>
      </c>
      <c r="AD118" s="182">
        <v>103.0</v>
      </c>
      <c r="AE118" s="182">
        <v>43.2</v>
      </c>
      <c r="AF118" s="122" t="s">
        <v>61</v>
      </c>
      <c r="AG118" s="134" t="s">
        <v>590</v>
      </c>
      <c r="AH118" s="73">
        <v>156.0</v>
      </c>
      <c r="AI118" s="135">
        <v>157.97468354430382</v>
      </c>
      <c r="AJ118" s="136">
        <v>71.7234923076923</v>
      </c>
      <c r="AK118" s="76">
        <v>0.925464416873449</v>
      </c>
      <c r="AL118" s="135" t="s">
        <v>591</v>
      </c>
      <c r="AM118" s="139">
        <v>268.0</v>
      </c>
      <c r="AN118" s="139">
        <v>783.0</v>
      </c>
      <c r="AO118" s="140">
        <v>99.17</v>
      </c>
      <c r="AP118" s="152">
        <v>39009.0</v>
      </c>
      <c r="AQ118" s="152">
        <v>194.0</v>
      </c>
      <c r="AR118" s="143">
        <v>-1.0</v>
      </c>
      <c r="AS118" s="144">
        <v>0.9604549286125633</v>
      </c>
      <c r="AT118" s="144">
        <v>0.014545071387436659</v>
      </c>
      <c r="AU118" s="146" t="s">
        <v>592</v>
      </c>
      <c r="AV118" s="146" t="s">
        <v>592</v>
      </c>
      <c r="AW118" s="148" t="s">
        <v>592</v>
      </c>
      <c r="AX118" s="151"/>
      <c r="AY118" s="105"/>
      <c r="AZ118" s="186"/>
      <c r="BA118" s="186"/>
      <c r="BB118" s="222"/>
      <c r="BC118" s="45"/>
      <c r="BD118" s="45"/>
      <c r="BE118" s="45"/>
      <c r="BF118" s="45"/>
    </row>
    <row r="119">
      <c r="A119" s="79">
        <v>116.0</v>
      </c>
      <c r="B119" s="108" t="s">
        <v>593</v>
      </c>
      <c r="C119" s="115" t="s">
        <v>56</v>
      </c>
      <c r="D119" s="110">
        <v>41530.0</v>
      </c>
      <c r="E119" s="110">
        <v>42699.0</v>
      </c>
      <c r="F119" s="107" t="s">
        <v>59</v>
      </c>
      <c r="G119" s="113">
        <v>67000.0</v>
      </c>
      <c r="H119" s="114">
        <v>57.3</v>
      </c>
      <c r="I119" s="119">
        <v>243.0</v>
      </c>
      <c r="J119" s="122" t="s">
        <v>61</v>
      </c>
      <c r="K119" s="121">
        <v>246.08</v>
      </c>
      <c r="L119" s="119" t="s">
        <v>195</v>
      </c>
      <c r="M119" s="119" t="s">
        <v>379</v>
      </c>
      <c r="N119" s="119">
        <v>17000.0</v>
      </c>
      <c r="O119" s="124">
        <v>59245.0</v>
      </c>
      <c r="P119" s="124">
        <v>1035.0</v>
      </c>
      <c r="Q119" s="122">
        <v>311.0</v>
      </c>
      <c r="R119" s="125">
        <v>269.0</v>
      </c>
      <c r="S119" s="126">
        <v>0.9148</v>
      </c>
      <c r="T119" s="127">
        <v>70897.0</v>
      </c>
      <c r="U119" s="128">
        <f t="shared" si="1"/>
        <v>0</v>
      </c>
      <c r="V119" s="107" t="s">
        <v>64</v>
      </c>
      <c r="W119" s="107" t="s">
        <v>69</v>
      </c>
      <c r="X119" s="107" t="s">
        <v>66</v>
      </c>
      <c r="Y119" s="131">
        <v>0.6</v>
      </c>
      <c r="Z119" s="132"/>
      <c r="AA119" s="133"/>
      <c r="AB119" s="133"/>
      <c r="AC119" s="141"/>
      <c r="AD119" s="141"/>
      <c r="AE119" s="141"/>
      <c r="AF119" s="122"/>
      <c r="AG119" s="147"/>
      <c r="AH119" s="73"/>
      <c r="AI119" s="135"/>
      <c r="AJ119" s="136"/>
      <c r="AK119" s="76"/>
      <c r="AL119" s="135"/>
      <c r="AM119" s="139" t="s">
        <v>71</v>
      </c>
      <c r="AN119" s="139">
        <v>1170.0</v>
      </c>
      <c r="AO119" s="140">
        <v>248.37</v>
      </c>
      <c r="AP119" s="152">
        <v>95346.0</v>
      </c>
      <c r="AQ119" s="152">
        <v>193.0</v>
      </c>
      <c r="AR119" s="143">
        <v>-1.0</v>
      </c>
      <c r="AS119" s="144">
        <v>0.9457768021182971</v>
      </c>
      <c r="AT119" s="144">
        <v>-0.03097680211829712</v>
      </c>
      <c r="AU119" s="146" t="s">
        <v>596</v>
      </c>
      <c r="AV119" s="146" t="s">
        <v>596</v>
      </c>
      <c r="AW119" s="148" t="s">
        <v>596</v>
      </c>
      <c r="AX119" s="151"/>
      <c r="AY119" s="105"/>
      <c r="AZ119" s="186"/>
      <c r="BA119" s="186"/>
      <c r="BB119" s="222"/>
      <c r="BC119" s="45"/>
      <c r="BD119" s="45"/>
      <c r="BE119" s="45"/>
      <c r="BF119" s="45"/>
    </row>
    <row r="120">
      <c r="A120" s="79">
        <v>117.0</v>
      </c>
      <c r="B120" s="224" t="s">
        <v>519</v>
      </c>
      <c r="C120" s="225" t="s">
        <v>56</v>
      </c>
      <c r="D120" s="226">
        <v>42551.0</v>
      </c>
      <c r="E120" s="227">
        <v>42704.0</v>
      </c>
      <c r="F120" s="228" t="s">
        <v>305</v>
      </c>
      <c r="G120" s="229">
        <v>5995.0</v>
      </c>
      <c r="H120" s="114">
        <v>38.9</v>
      </c>
      <c r="I120" s="119">
        <v>298.0</v>
      </c>
      <c r="J120" s="122" t="s">
        <v>61</v>
      </c>
      <c r="K120" s="121">
        <v>301.77</v>
      </c>
      <c r="L120" s="119" t="s">
        <v>63</v>
      </c>
      <c r="M120" s="119"/>
      <c r="N120" s="119"/>
      <c r="O120" s="124">
        <v>5995.0</v>
      </c>
      <c r="P120" s="124">
        <v>154.0</v>
      </c>
      <c r="Q120" s="122">
        <v>273.0</v>
      </c>
      <c r="R120" s="125">
        <v>295.0</v>
      </c>
      <c r="S120" s="126">
        <v>1.0229</v>
      </c>
      <c r="T120" s="127">
        <v>83673.21999999999</v>
      </c>
      <c r="U120" s="128">
        <f t="shared" si="1"/>
        <v>0</v>
      </c>
      <c r="V120" s="107" t="s">
        <v>69</v>
      </c>
      <c r="W120" s="107" t="s">
        <v>69</v>
      </c>
      <c r="X120" s="107" t="s">
        <v>68</v>
      </c>
      <c r="Y120" s="131">
        <v>0.8</v>
      </c>
      <c r="Z120" s="160">
        <v>10.0</v>
      </c>
      <c r="AA120" s="111">
        <v>295.0</v>
      </c>
      <c r="AB120" s="111"/>
      <c r="AC120" s="141"/>
      <c r="AD120" s="141"/>
      <c r="AE120" s="141"/>
      <c r="AF120" s="122"/>
      <c r="AG120" s="147"/>
      <c r="AH120" s="73"/>
      <c r="AI120" s="135"/>
      <c r="AJ120" s="136"/>
      <c r="AK120" s="76"/>
      <c r="AL120" s="135"/>
      <c r="AM120" s="139">
        <v>295.0</v>
      </c>
      <c r="AN120" s="139">
        <v>154.0</v>
      </c>
      <c r="AO120" s="140">
        <v>19.79</v>
      </c>
      <c r="AP120" s="152">
        <v>9648.0</v>
      </c>
      <c r="AQ120" s="152">
        <v>170.0</v>
      </c>
      <c r="AR120" s="143">
        <v>-1.0</v>
      </c>
      <c r="AS120" s="144">
        <v>0.9839544297321159</v>
      </c>
      <c r="AT120" s="144">
        <v>0.03894557026788403</v>
      </c>
      <c r="AU120" s="146" t="s">
        <v>600</v>
      </c>
      <c r="AV120" s="146" t="s">
        <v>600</v>
      </c>
      <c r="AW120" s="148" t="s">
        <v>600</v>
      </c>
      <c r="AX120" s="151"/>
      <c r="AY120" s="105"/>
      <c r="AZ120" s="186"/>
      <c r="BA120" s="186"/>
      <c r="BB120" s="222"/>
      <c r="BC120" s="45"/>
      <c r="BD120" s="45"/>
      <c r="BE120" s="45"/>
      <c r="BF120" s="45"/>
    </row>
    <row r="121">
      <c r="A121" s="79">
        <v>118.0</v>
      </c>
      <c r="B121" s="108" t="s">
        <v>601</v>
      </c>
      <c r="C121" s="115" t="s">
        <v>56</v>
      </c>
      <c r="D121" s="110">
        <v>41344.0</v>
      </c>
      <c r="E121" s="110">
        <v>42704.0</v>
      </c>
      <c r="F121" s="107" t="s">
        <v>79</v>
      </c>
      <c r="G121" s="113">
        <v>49503.0</v>
      </c>
      <c r="H121" s="114">
        <v>36.4</v>
      </c>
      <c r="I121" s="119">
        <v>260.0</v>
      </c>
      <c r="J121" s="122" t="s">
        <v>61</v>
      </c>
      <c r="K121" s="121">
        <v>263.29</v>
      </c>
      <c r="L121" s="119" t="s">
        <v>63</v>
      </c>
      <c r="M121" s="119"/>
      <c r="N121" s="119"/>
      <c r="O121" s="124">
        <v>49503.0</v>
      </c>
      <c r="P121" s="124">
        <v>1361.0</v>
      </c>
      <c r="Q121" s="122">
        <v>320.0</v>
      </c>
      <c r="R121" s="125">
        <v>269.0</v>
      </c>
      <c r="S121" s="126">
        <v>0.9788</v>
      </c>
      <c r="T121" s="127">
        <v>75857.0</v>
      </c>
      <c r="U121" s="128">
        <f t="shared" si="1"/>
        <v>0</v>
      </c>
      <c r="V121" s="107" t="s">
        <v>69</v>
      </c>
      <c r="W121" s="107" t="s">
        <v>69</v>
      </c>
      <c r="X121" s="107" t="s">
        <v>68</v>
      </c>
      <c r="Y121" s="131">
        <v>0.9</v>
      </c>
      <c r="Z121" s="160"/>
      <c r="AA121" s="133"/>
      <c r="AB121" s="133"/>
      <c r="AC121" s="141"/>
      <c r="AD121" s="141"/>
      <c r="AE121" s="141"/>
      <c r="AF121" s="122"/>
      <c r="AG121" s="134" t="s">
        <v>604</v>
      </c>
      <c r="AH121" s="73"/>
      <c r="AI121" s="135"/>
      <c r="AJ121" s="136"/>
      <c r="AK121" s="76"/>
      <c r="AL121" s="135"/>
      <c r="AM121" s="139" t="s">
        <v>71</v>
      </c>
      <c r="AN121" s="139">
        <v>1361.0</v>
      </c>
      <c r="AO121" s="140">
        <v>206.65</v>
      </c>
      <c r="AP121" s="152">
        <v>79667.0</v>
      </c>
      <c r="AQ121" s="152">
        <v>199.0</v>
      </c>
      <c r="AR121" s="143">
        <v>-1.0</v>
      </c>
      <c r="AS121" s="144">
        <v>0.9487126139559158</v>
      </c>
      <c r="AT121" s="144">
        <v>0.03008738604408423</v>
      </c>
      <c r="AU121" s="146" t="s">
        <v>606</v>
      </c>
      <c r="AV121" s="146" t="s">
        <v>606</v>
      </c>
      <c r="AW121" s="148" t="s">
        <v>606</v>
      </c>
      <c r="AX121" s="151"/>
      <c r="AY121" s="105"/>
      <c r="AZ121" s="186"/>
      <c r="BA121" s="186"/>
      <c r="BB121" s="222"/>
      <c r="BC121" s="45"/>
      <c r="BD121" s="45"/>
      <c r="BE121" s="45"/>
      <c r="BF121" s="45"/>
    </row>
    <row r="122">
      <c r="A122" s="79">
        <v>119.0</v>
      </c>
      <c r="B122" s="108" t="s">
        <v>607</v>
      </c>
      <c r="C122" s="115" t="s">
        <v>56</v>
      </c>
      <c r="D122" s="110">
        <v>41545.0</v>
      </c>
      <c r="E122" s="110">
        <v>42736.0</v>
      </c>
      <c r="F122" s="107" t="s">
        <v>79</v>
      </c>
      <c r="G122" s="113">
        <v>29800.0</v>
      </c>
      <c r="H122" s="114">
        <v>25.0</v>
      </c>
      <c r="I122" s="119">
        <v>254.0</v>
      </c>
      <c r="J122" s="122" t="s">
        <v>61</v>
      </c>
      <c r="K122" s="121">
        <v>257.22</v>
      </c>
      <c r="L122" s="119" t="s">
        <v>195</v>
      </c>
      <c r="M122" s="119" t="s">
        <v>608</v>
      </c>
      <c r="N122" s="119">
        <v>12000.0</v>
      </c>
      <c r="O122" s="124">
        <v>39982.0</v>
      </c>
      <c r="P122" s="124">
        <v>1599.0</v>
      </c>
      <c r="Q122" s="122">
        <v>330.0</v>
      </c>
      <c r="R122" s="125">
        <v>269.0</v>
      </c>
      <c r="S122" s="126">
        <v>0.9562</v>
      </c>
      <c r="T122" s="127">
        <v>74105.5</v>
      </c>
      <c r="U122" s="128">
        <f t="shared" si="1"/>
        <v>0</v>
      </c>
      <c r="V122" s="107" t="s">
        <v>64</v>
      </c>
      <c r="W122" s="107" t="s">
        <v>69</v>
      </c>
      <c r="X122" s="107" t="s">
        <v>66</v>
      </c>
      <c r="Y122" s="131">
        <v>0.8</v>
      </c>
      <c r="Z122" s="160">
        <v>19.0</v>
      </c>
      <c r="AA122" s="111">
        <v>267.0</v>
      </c>
      <c r="AB122" s="111" t="s">
        <v>61</v>
      </c>
      <c r="AC122" s="141"/>
      <c r="AD122" s="141"/>
      <c r="AE122" s="141"/>
      <c r="AF122" s="122"/>
      <c r="AG122" s="147"/>
      <c r="AH122" s="73"/>
      <c r="AI122" s="135"/>
      <c r="AJ122" s="136"/>
      <c r="AK122" s="76"/>
      <c r="AL122" s="135"/>
      <c r="AM122" s="139">
        <v>270.0</v>
      </c>
      <c r="AN122" s="139">
        <v>1192.0</v>
      </c>
      <c r="AO122" s="140">
        <v>174.13</v>
      </c>
      <c r="AP122" s="152">
        <v>64345.0</v>
      </c>
      <c r="AQ122" s="152">
        <v>205.0</v>
      </c>
      <c r="AR122" s="143">
        <v>-1.0</v>
      </c>
      <c r="AS122" s="144">
        <v>0.9520911861070219</v>
      </c>
      <c r="AT122" s="144">
        <v>0.004108813892978125</v>
      </c>
      <c r="AU122" s="146" t="s">
        <v>609</v>
      </c>
      <c r="AV122" s="146" t="s">
        <v>609</v>
      </c>
      <c r="AW122" s="148" t="s">
        <v>609</v>
      </c>
      <c r="AX122" s="151"/>
      <c r="AY122" s="105"/>
      <c r="AZ122" s="186"/>
      <c r="BA122" s="186"/>
      <c r="BB122" s="222"/>
      <c r="BC122" s="45"/>
      <c r="BD122" s="45"/>
      <c r="BE122" s="45"/>
      <c r="BF122" s="45"/>
    </row>
    <row r="123">
      <c r="A123" s="79">
        <v>120.0</v>
      </c>
      <c r="B123" s="108" t="s">
        <v>143</v>
      </c>
      <c r="C123" s="115" t="s">
        <v>56</v>
      </c>
      <c r="D123" s="110">
        <v>41724.0</v>
      </c>
      <c r="E123" s="110">
        <v>42737.0</v>
      </c>
      <c r="F123" s="107" t="s">
        <v>59</v>
      </c>
      <c r="G123" s="113">
        <v>99872.0</v>
      </c>
      <c r="H123" s="114">
        <v>98.5</v>
      </c>
      <c r="I123" s="119">
        <v>250.0</v>
      </c>
      <c r="J123" s="122" t="s">
        <v>61</v>
      </c>
      <c r="K123" s="121">
        <v>253.16</v>
      </c>
      <c r="L123" s="119" t="s">
        <v>63</v>
      </c>
      <c r="M123" s="119"/>
      <c r="N123" s="119"/>
      <c r="O123" s="124">
        <v>99872.0</v>
      </c>
      <c r="P123" s="124">
        <v>1014.0</v>
      </c>
      <c r="Q123" s="122">
        <v>322.0</v>
      </c>
      <c r="R123" s="125">
        <v>269.0</v>
      </c>
      <c r="S123" s="126">
        <v>0.9411</v>
      </c>
      <c r="T123" s="127">
        <v>72935.25</v>
      </c>
      <c r="U123" s="128">
        <f t="shared" si="1"/>
        <v>0</v>
      </c>
      <c r="V123" s="107" t="s">
        <v>67</v>
      </c>
      <c r="W123" s="107" t="s">
        <v>64</v>
      </c>
      <c r="X123" s="107" t="s">
        <v>64</v>
      </c>
      <c r="Y123" s="131">
        <v>0.8</v>
      </c>
      <c r="Z123" s="160">
        <v>10.0</v>
      </c>
      <c r="AA123" s="111">
        <v>271.0</v>
      </c>
      <c r="AB123" s="111" t="s">
        <v>62</v>
      </c>
      <c r="AC123" s="141"/>
      <c r="AD123" s="141"/>
      <c r="AE123" s="141"/>
      <c r="AF123" s="122"/>
      <c r="AG123" s="147"/>
      <c r="AH123" s="73"/>
      <c r="AI123" s="135"/>
      <c r="AJ123" s="136"/>
      <c r="AK123" s="76"/>
      <c r="AL123" s="135"/>
      <c r="AM123" s="139">
        <v>271.0</v>
      </c>
      <c r="AN123" s="139">
        <v>1014.0</v>
      </c>
      <c r="AO123" s="140">
        <v>427.59</v>
      </c>
      <c r="AP123" s="152">
        <v>160728.0</v>
      </c>
      <c r="AQ123" s="152">
        <v>200.0</v>
      </c>
      <c r="AR123" s="143">
        <v>-1.0</v>
      </c>
      <c r="AS123" s="144">
        <v>0.935133972507176</v>
      </c>
      <c r="AT123" s="144">
        <v>0.005966027492824044</v>
      </c>
      <c r="AU123" s="146" t="s">
        <v>612</v>
      </c>
      <c r="AV123" s="146" t="s">
        <v>612</v>
      </c>
      <c r="AW123" s="148" t="s">
        <v>612</v>
      </c>
      <c r="AX123" s="151"/>
      <c r="AY123" s="105"/>
      <c r="AZ123" s="186"/>
      <c r="BA123" s="186"/>
      <c r="BB123" s="222"/>
      <c r="BC123" s="45"/>
      <c r="BD123" s="45"/>
      <c r="BE123" s="45"/>
      <c r="BF123" s="45"/>
    </row>
    <row r="124">
      <c r="A124" s="79">
        <v>121.0</v>
      </c>
      <c r="B124" s="108" t="s">
        <v>78</v>
      </c>
      <c r="C124" s="115" t="s">
        <v>56</v>
      </c>
      <c r="D124" s="110">
        <v>41432.0</v>
      </c>
      <c r="E124" s="110">
        <v>42751.0</v>
      </c>
      <c r="F124" s="107" t="s">
        <v>79</v>
      </c>
      <c r="G124" s="113">
        <v>79971.0</v>
      </c>
      <c r="H124" s="114">
        <v>60.6</v>
      </c>
      <c r="I124" s="119">
        <v>248.0</v>
      </c>
      <c r="J124" s="122" t="s">
        <v>61</v>
      </c>
      <c r="K124" s="121">
        <v>251.14</v>
      </c>
      <c r="L124" s="119" t="s">
        <v>63</v>
      </c>
      <c r="M124" s="119"/>
      <c r="N124" s="119"/>
      <c r="O124" s="124">
        <v>79971.0</v>
      </c>
      <c r="P124" s="124">
        <v>1320.0</v>
      </c>
      <c r="Q124" s="122">
        <v>306.0</v>
      </c>
      <c r="R124" s="125">
        <v>269.0</v>
      </c>
      <c r="S124" s="126">
        <v>0.9336</v>
      </c>
      <c r="T124" s="127">
        <v>72354.0</v>
      </c>
      <c r="U124" s="128">
        <f t="shared" si="1"/>
        <v>0</v>
      </c>
      <c r="V124" s="107" t="s">
        <v>80</v>
      </c>
      <c r="W124" s="107" t="s">
        <v>69</v>
      </c>
      <c r="X124" s="107" t="s">
        <v>66</v>
      </c>
      <c r="Y124" s="131">
        <v>0.9</v>
      </c>
      <c r="Z124" s="160">
        <v>7.3</v>
      </c>
      <c r="AA124" s="111">
        <v>260.0</v>
      </c>
      <c r="AB124" s="111" t="s">
        <v>61</v>
      </c>
      <c r="AC124" s="141"/>
      <c r="AD124" s="141"/>
      <c r="AE124" s="141"/>
      <c r="AF124" s="122"/>
      <c r="AG124" s="147"/>
      <c r="AH124" s="73"/>
      <c r="AI124" s="135"/>
      <c r="AJ124" s="136"/>
      <c r="AK124" s="76"/>
      <c r="AL124" s="135"/>
      <c r="AM124" s="139">
        <v>263.0</v>
      </c>
      <c r="AN124" s="139">
        <v>1320.0</v>
      </c>
      <c r="AO124" s="140">
        <v>326.66</v>
      </c>
      <c r="AP124" s="152">
        <v>128701.0</v>
      </c>
      <c r="AQ124" s="152">
        <v>190.0</v>
      </c>
      <c r="AR124" s="143">
        <v>-1.0</v>
      </c>
      <c r="AS124" s="144">
        <v>0.9402118605022889</v>
      </c>
      <c r="AT124" s="144">
        <v>-0.006611860502288902</v>
      </c>
      <c r="AU124" s="146" t="s">
        <v>614</v>
      </c>
      <c r="AV124" s="146" t="s">
        <v>614</v>
      </c>
      <c r="AW124" s="148" t="s">
        <v>614</v>
      </c>
      <c r="AX124" s="151"/>
      <c r="AY124" s="105"/>
      <c r="AZ124" s="186"/>
      <c r="BA124" s="186"/>
      <c r="BB124" s="222"/>
      <c r="BC124" s="45"/>
      <c r="BD124" s="45"/>
      <c r="BE124" s="45"/>
      <c r="BF124" s="45"/>
    </row>
    <row r="125">
      <c r="A125" s="79">
        <v>122.0</v>
      </c>
      <c r="B125" s="108" t="s">
        <v>615</v>
      </c>
      <c r="C125" s="115" t="s">
        <v>56</v>
      </c>
      <c r="D125" s="110">
        <v>41275.0</v>
      </c>
      <c r="E125" s="110">
        <v>42781.0</v>
      </c>
      <c r="F125" s="107" t="s">
        <v>109</v>
      </c>
      <c r="G125" s="113">
        <v>45500.0</v>
      </c>
      <c r="H125" s="114">
        <v>30.2</v>
      </c>
      <c r="I125" s="119">
        <v>201.0</v>
      </c>
      <c r="J125" s="122" t="s">
        <v>61</v>
      </c>
      <c r="K125" s="121">
        <v>203.54</v>
      </c>
      <c r="L125" s="119" t="s">
        <v>63</v>
      </c>
      <c r="M125" s="119"/>
      <c r="N125" s="119"/>
      <c r="O125" s="124">
        <v>45500.0</v>
      </c>
      <c r="P125" s="124">
        <v>1507.0</v>
      </c>
      <c r="Q125" s="122">
        <v>319.0</v>
      </c>
      <c r="R125" s="125">
        <v>210.0</v>
      </c>
      <c r="S125" s="126">
        <v>0.9692</v>
      </c>
      <c r="T125" s="127">
        <v>56698.2</v>
      </c>
      <c r="U125" s="128">
        <f t="shared" si="1"/>
        <v>0</v>
      </c>
      <c r="V125" s="107" t="s">
        <v>127</v>
      </c>
      <c r="W125" s="107" t="s">
        <v>127</v>
      </c>
      <c r="X125" s="107" t="s">
        <v>69</v>
      </c>
      <c r="Y125" s="131">
        <v>1.0</v>
      </c>
      <c r="Z125" s="160"/>
      <c r="AA125" s="133"/>
      <c r="AB125" s="133"/>
      <c r="AC125" s="141"/>
      <c r="AD125" s="141"/>
      <c r="AE125" s="141"/>
      <c r="AF125" s="122"/>
      <c r="AG125" s="147"/>
      <c r="AH125" s="73"/>
      <c r="AI125" s="135"/>
      <c r="AJ125" s="136"/>
      <c r="AK125" s="76"/>
      <c r="AL125" s="135"/>
      <c r="AM125" s="139" t="s">
        <v>71</v>
      </c>
      <c r="AN125" s="139">
        <v>1507.0</v>
      </c>
      <c r="AO125" s="140">
        <v>252.08</v>
      </c>
      <c r="AP125" s="152">
        <v>73225.0</v>
      </c>
      <c r="AQ125" s="152">
        <v>198.0</v>
      </c>
      <c r="AR125" s="143">
        <v>-1.0</v>
      </c>
      <c r="AS125" s="144">
        <v>0.9500490453670906</v>
      </c>
      <c r="AT125" s="144">
        <v>0.01915095463290939</v>
      </c>
      <c r="AU125" s="146" t="s">
        <v>616</v>
      </c>
      <c r="AV125" s="146" t="s">
        <v>616</v>
      </c>
      <c r="AW125" s="148" t="s">
        <v>616</v>
      </c>
      <c r="AX125" s="151"/>
      <c r="AY125" s="105"/>
      <c r="AZ125" s="186"/>
      <c r="BA125" s="186"/>
      <c r="BB125" s="222"/>
      <c r="BC125" s="45"/>
      <c r="BD125" s="45"/>
      <c r="BE125" s="45"/>
      <c r="BF125" s="45"/>
    </row>
    <row r="126">
      <c r="A126" s="79">
        <v>123.0</v>
      </c>
      <c r="B126" s="108" t="s">
        <v>617</v>
      </c>
      <c r="C126" s="115" t="s">
        <v>56</v>
      </c>
      <c r="D126" s="110">
        <v>42601.0</v>
      </c>
      <c r="E126" s="110">
        <v>42803.0</v>
      </c>
      <c r="F126" s="107" t="s">
        <v>619</v>
      </c>
      <c r="G126" s="113">
        <v>10877.0</v>
      </c>
      <c r="H126" s="114">
        <v>53.6</v>
      </c>
      <c r="I126" s="119">
        <v>267.0</v>
      </c>
      <c r="J126" s="122" t="s">
        <v>61</v>
      </c>
      <c r="K126" s="121">
        <v>270.38</v>
      </c>
      <c r="L126" s="119" t="s">
        <v>63</v>
      </c>
      <c r="M126" s="119"/>
      <c r="N126" s="119"/>
      <c r="O126" s="124">
        <v>10877.0</v>
      </c>
      <c r="P126" s="124">
        <v>203.0</v>
      </c>
      <c r="Q126" s="122">
        <v>281.0</v>
      </c>
      <c r="R126" s="125">
        <v>274.0</v>
      </c>
      <c r="S126" s="126">
        <v>0.9868</v>
      </c>
      <c r="T126" s="127">
        <v>80720.24</v>
      </c>
      <c r="U126" s="128">
        <f t="shared" si="1"/>
        <v>0</v>
      </c>
      <c r="V126" s="107" t="s">
        <v>69</v>
      </c>
      <c r="W126" s="107" t="s">
        <v>66</v>
      </c>
      <c r="X126" s="107" t="s">
        <v>68</v>
      </c>
      <c r="Y126" s="131">
        <v>0.8</v>
      </c>
      <c r="Z126" s="160">
        <v>20.0</v>
      </c>
      <c r="AA126" s="111">
        <v>271.0</v>
      </c>
      <c r="AB126" s="111" t="s">
        <v>61</v>
      </c>
      <c r="AC126" s="141"/>
      <c r="AD126" s="141"/>
      <c r="AE126" s="141"/>
      <c r="AF126" s="122"/>
      <c r="AG126" s="147"/>
      <c r="AH126" s="73"/>
      <c r="AI126" s="135"/>
      <c r="AJ126" s="136"/>
      <c r="AK126" s="76"/>
      <c r="AL126" s="135"/>
      <c r="AM126" s="139">
        <v>274.0</v>
      </c>
      <c r="AN126" s="139">
        <v>203.0</v>
      </c>
      <c r="AO126" s="140">
        <v>37.62</v>
      </c>
      <c r="AP126" s="152">
        <v>17505.0</v>
      </c>
      <c r="AQ126" s="152">
        <v>175.0</v>
      </c>
      <c r="AR126" s="143">
        <v>-1.0</v>
      </c>
      <c r="AS126" s="144">
        <v>0.9749145035001571</v>
      </c>
      <c r="AT126" s="144">
        <v>0.01188549649984294</v>
      </c>
      <c r="AU126" s="146" t="s">
        <v>621</v>
      </c>
      <c r="AV126" s="146" t="s">
        <v>621</v>
      </c>
      <c r="AW126" s="148" t="s">
        <v>621</v>
      </c>
      <c r="AX126" s="151"/>
      <c r="AY126" s="105"/>
      <c r="AZ126" s="186"/>
      <c r="BA126" s="186"/>
      <c r="BB126" s="222"/>
      <c r="BC126" s="45"/>
      <c r="BD126" s="45"/>
      <c r="BE126" s="45"/>
      <c r="BF126" s="45"/>
    </row>
    <row r="127">
      <c r="A127" s="79">
        <v>124.0</v>
      </c>
      <c r="B127" s="108" t="s">
        <v>143</v>
      </c>
      <c r="C127" s="115" t="s">
        <v>56</v>
      </c>
      <c r="D127" s="110">
        <v>41724.0</v>
      </c>
      <c r="E127" s="110">
        <v>42814.0</v>
      </c>
      <c r="F127" s="107" t="s">
        <v>59</v>
      </c>
      <c r="G127" s="113">
        <v>111400.0</v>
      </c>
      <c r="H127" s="114">
        <v>102.1</v>
      </c>
      <c r="I127" s="119">
        <v>248.0</v>
      </c>
      <c r="J127" s="122" t="s">
        <v>61</v>
      </c>
      <c r="K127" s="121">
        <v>251.14</v>
      </c>
      <c r="L127" s="119" t="s">
        <v>63</v>
      </c>
      <c r="M127" s="119"/>
      <c r="N127" s="119"/>
      <c r="O127" s="124">
        <v>111400.0</v>
      </c>
      <c r="P127" s="124">
        <v>1091.0</v>
      </c>
      <c r="Q127" s="122">
        <v>325.0</v>
      </c>
      <c r="R127" s="125">
        <v>269.0</v>
      </c>
      <c r="S127" s="126">
        <v>0.9336</v>
      </c>
      <c r="T127" s="127">
        <v>72354.0</v>
      </c>
      <c r="U127" s="128">
        <f t="shared" si="1"/>
        <v>0</v>
      </c>
      <c r="V127" s="107" t="s">
        <v>80</v>
      </c>
      <c r="W127" s="107" t="s">
        <v>64</v>
      </c>
      <c r="X127" s="107" t="s">
        <v>64</v>
      </c>
      <c r="Y127" s="131">
        <v>0.8</v>
      </c>
      <c r="Z127" s="160">
        <v>10.0</v>
      </c>
      <c r="AA127" s="111">
        <v>271.0</v>
      </c>
      <c r="AB127" s="111" t="s">
        <v>61</v>
      </c>
      <c r="AC127" s="141"/>
      <c r="AD127" s="141"/>
      <c r="AE127" s="141"/>
      <c r="AF127" s="122"/>
      <c r="AG127" s="147"/>
      <c r="AH127" s="73"/>
      <c r="AI127" s="135"/>
      <c r="AJ127" s="136"/>
      <c r="AK127" s="76"/>
      <c r="AL127" s="135"/>
      <c r="AM127" s="139">
        <v>274.0</v>
      </c>
      <c r="AN127" s="139">
        <v>1091.0</v>
      </c>
      <c r="AO127" s="140">
        <v>483.25</v>
      </c>
      <c r="AP127" s="152">
        <v>179281.0</v>
      </c>
      <c r="AQ127" s="152">
        <v>202.0</v>
      </c>
      <c r="AR127" s="143">
        <v>-1.0</v>
      </c>
      <c r="AS127" s="144">
        <v>0.9322220186283768</v>
      </c>
      <c r="AT127" s="144">
        <v>0.0013779813716231493</v>
      </c>
      <c r="AU127" s="146" t="s">
        <v>624</v>
      </c>
      <c r="AV127" s="146" t="s">
        <v>624</v>
      </c>
      <c r="AW127" s="148" t="s">
        <v>624</v>
      </c>
      <c r="AX127" s="151"/>
      <c r="AY127" s="105"/>
      <c r="AZ127" s="186"/>
      <c r="BA127" s="186"/>
      <c r="BB127" s="222"/>
      <c r="BC127" s="45"/>
      <c r="BD127" s="45"/>
      <c r="BE127" s="45"/>
      <c r="BF127" s="45"/>
    </row>
    <row r="128">
      <c r="A128" s="79">
        <v>125.0</v>
      </c>
      <c r="B128" s="108" t="s">
        <v>161</v>
      </c>
      <c r="C128" s="115" t="s">
        <v>56</v>
      </c>
      <c r="D128" s="110">
        <v>41310.0</v>
      </c>
      <c r="E128" s="110">
        <v>42822.0</v>
      </c>
      <c r="F128" s="107" t="s">
        <v>59</v>
      </c>
      <c r="G128" s="113">
        <v>55213.0</v>
      </c>
      <c r="H128" s="114">
        <v>36.5</v>
      </c>
      <c r="I128" s="119">
        <v>252.0</v>
      </c>
      <c r="J128" s="122" t="s">
        <v>62</v>
      </c>
      <c r="K128" s="121">
        <v>252.0</v>
      </c>
      <c r="L128" s="119" t="s">
        <v>63</v>
      </c>
      <c r="M128" s="119"/>
      <c r="N128" s="119"/>
      <c r="O128" s="124">
        <v>55213.0</v>
      </c>
      <c r="P128" s="124">
        <v>1513.0</v>
      </c>
      <c r="Q128" s="122">
        <v>297.0</v>
      </c>
      <c r="R128" s="125">
        <v>269.0</v>
      </c>
      <c r="S128" s="126">
        <v>0.9368</v>
      </c>
      <c r="T128" s="127">
        <v>72602.0</v>
      </c>
      <c r="U128" s="128">
        <f t="shared" si="1"/>
        <v>0</v>
      </c>
      <c r="V128" s="107" t="s">
        <v>64</v>
      </c>
      <c r="W128" s="107" t="s">
        <v>69</v>
      </c>
      <c r="X128" s="107" t="s">
        <v>69</v>
      </c>
      <c r="Y128" s="131">
        <v>0.9</v>
      </c>
      <c r="Z128" s="160">
        <v>1.0</v>
      </c>
      <c r="AA128" s="111">
        <v>270.0</v>
      </c>
      <c r="AB128" s="111" t="s">
        <v>61</v>
      </c>
      <c r="AC128" s="141"/>
      <c r="AD128" s="141"/>
      <c r="AE128" s="141"/>
      <c r="AF128" s="122"/>
      <c r="AG128" s="134" t="s">
        <v>166</v>
      </c>
      <c r="AH128" s="73"/>
      <c r="AI128" s="135"/>
      <c r="AJ128" s="136"/>
      <c r="AK128" s="76"/>
      <c r="AL128" s="135"/>
      <c r="AM128" s="139">
        <v>273.0</v>
      </c>
      <c r="AN128" s="139">
        <v>1513.0</v>
      </c>
      <c r="AO128" s="140">
        <v>218.56</v>
      </c>
      <c r="AP128" s="152">
        <v>88857.0</v>
      </c>
      <c r="AQ128" s="152">
        <v>185.0</v>
      </c>
      <c r="AR128" s="143">
        <v>-1.0</v>
      </c>
      <c r="AS128" s="144">
        <v>0.9469497177300708</v>
      </c>
      <c r="AT128" s="144">
        <v>-0.010149717730070784</v>
      </c>
      <c r="AU128" s="146" t="s">
        <v>627</v>
      </c>
      <c r="AV128" s="146" t="s">
        <v>627</v>
      </c>
      <c r="AW128" s="148" t="s">
        <v>627</v>
      </c>
      <c r="AX128" s="151"/>
      <c r="AY128" s="105"/>
      <c r="AZ128" s="186"/>
      <c r="BA128" s="186"/>
      <c r="BB128" s="222"/>
      <c r="BC128" s="45"/>
      <c r="BD128" s="45"/>
      <c r="BE128" s="45"/>
      <c r="BF128" s="45"/>
    </row>
    <row r="129">
      <c r="A129" s="79">
        <v>126.0</v>
      </c>
      <c r="B129" s="108" t="s">
        <v>628</v>
      </c>
      <c r="C129" s="115" t="s">
        <v>56</v>
      </c>
      <c r="D129" s="110">
        <v>42532.0</v>
      </c>
      <c r="E129" s="110">
        <v>42830.0</v>
      </c>
      <c r="F129" s="107" t="s">
        <v>629</v>
      </c>
      <c r="G129" s="113">
        <v>24846.0</v>
      </c>
      <c r="H129" s="114">
        <v>83.1</v>
      </c>
      <c r="I129" s="119">
        <v>233.0</v>
      </c>
      <c r="J129" s="122" t="s">
        <v>61</v>
      </c>
      <c r="K129" s="121">
        <v>235.95</v>
      </c>
      <c r="L129" s="119" t="s">
        <v>63</v>
      </c>
      <c r="M129" s="119"/>
      <c r="N129" s="119"/>
      <c r="O129" s="124">
        <v>24846.0</v>
      </c>
      <c r="P129" s="124">
        <v>299.0</v>
      </c>
      <c r="Q129" s="122">
        <v>302.0</v>
      </c>
      <c r="R129" s="125">
        <v>249.0</v>
      </c>
      <c r="S129" s="126">
        <v>0.9476</v>
      </c>
      <c r="T129" s="127">
        <v>68795.76</v>
      </c>
      <c r="U129" s="128">
        <f t="shared" si="1"/>
        <v>0</v>
      </c>
      <c r="V129" s="107" t="s">
        <v>80</v>
      </c>
      <c r="W129" s="107" t="s">
        <v>69</v>
      </c>
      <c r="X129" s="107" t="s">
        <v>65</v>
      </c>
      <c r="Y129" s="131">
        <v>0.8</v>
      </c>
      <c r="Z129" s="160">
        <v>65.0</v>
      </c>
      <c r="AA129" s="111">
        <v>247.0</v>
      </c>
      <c r="AB129" s="111" t="s">
        <v>61</v>
      </c>
      <c r="AC129" s="182"/>
      <c r="AD129" s="141"/>
      <c r="AE129" s="141"/>
      <c r="AF129" s="122"/>
      <c r="AG129" s="134" t="s">
        <v>630</v>
      </c>
      <c r="AH129" s="73"/>
      <c r="AI129" s="135"/>
      <c r="AJ129" s="136"/>
      <c r="AK129" s="76"/>
      <c r="AL129" s="135"/>
      <c r="AM129" s="139">
        <v>250.0</v>
      </c>
      <c r="AN129" s="139">
        <v>299.0</v>
      </c>
      <c r="AO129" s="140">
        <v>106.15</v>
      </c>
      <c r="AP129" s="152">
        <v>39986.0</v>
      </c>
      <c r="AQ129" s="152">
        <v>188.0</v>
      </c>
      <c r="AR129" s="143">
        <v>-1.0</v>
      </c>
      <c r="AS129" s="144">
        <v>0.960017804252789</v>
      </c>
      <c r="AT129" s="144">
        <v>-0.012417804252789044</v>
      </c>
      <c r="AU129" s="146" t="s">
        <v>632</v>
      </c>
      <c r="AV129" s="146" t="s">
        <v>632</v>
      </c>
      <c r="AW129" s="148" t="s">
        <v>632</v>
      </c>
      <c r="AX129" s="151"/>
      <c r="AY129" s="105"/>
      <c r="AZ129" s="186"/>
      <c r="BA129" s="186"/>
      <c r="BB129" s="222"/>
      <c r="BC129" s="45"/>
      <c r="BD129" s="45"/>
      <c r="BE129" s="45"/>
      <c r="BF129" s="45"/>
    </row>
    <row r="130">
      <c r="A130" s="79">
        <v>127.0</v>
      </c>
      <c r="B130" s="108" t="s">
        <v>633</v>
      </c>
      <c r="C130" s="115" t="s">
        <v>56</v>
      </c>
      <c r="D130" s="110">
        <v>42044.0</v>
      </c>
      <c r="E130" s="110">
        <v>42838.0</v>
      </c>
      <c r="F130" s="107" t="s">
        <v>59</v>
      </c>
      <c r="G130" s="113">
        <v>25772.0</v>
      </c>
      <c r="H130" s="114">
        <v>32.4</v>
      </c>
      <c r="I130" s="119">
        <v>265.0</v>
      </c>
      <c r="J130" s="122" t="s">
        <v>62</v>
      </c>
      <c r="K130" s="121">
        <v>265.0</v>
      </c>
      <c r="L130" s="119" t="s">
        <v>63</v>
      </c>
      <c r="M130" s="119"/>
      <c r="N130" s="119"/>
      <c r="O130" s="124">
        <v>25772.0</v>
      </c>
      <c r="P130" s="124">
        <v>795.0</v>
      </c>
      <c r="Q130" s="122">
        <v>279.0</v>
      </c>
      <c r="R130" s="125">
        <v>269.0</v>
      </c>
      <c r="S130" s="126">
        <v>0.9851</v>
      </c>
      <c r="T130" s="127">
        <v>76345.25</v>
      </c>
      <c r="U130" s="128">
        <f t="shared" si="1"/>
        <v>0</v>
      </c>
      <c r="V130" s="107" t="s">
        <v>69</v>
      </c>
      <c r="W130" s="107" t="s">
        <v>66</v>
      </c>
      <c r="X130" s="107" t="s">
        <v>68</v>
      </c>
      <c r="Y130" s="131">
        <v>0.9</v>
      </c>
      <c r="Z130" s="160">
        <v>8.4</v>
      </c>
      <c r="AA130" s="111">
        <v>267.0</v>
      </c>
      <c r="AB130" s="111" t="s">
        <v>61</v>
      </c>
      <c r="AC130" s="141"/>
      <c r="AD130" s="141"/>
      <c r="AE130" s="141"/>
      <c r="AF130" s="122"/>
      <c r="AG130" s="134" t="s">
        <v>634</v>
      </c>
      <c r="AH130" s="73"/>
      <c r="AI130" s="135"/>
      <c r="AJ130" s="136"/>
      <c r="AK130" s="76"/>
      <c r="AL130" s="135"/>
      <c r="AM130" s="139">
        <v>270.0</v>
      </c>
      <c r="AN130" s="139">
        <v>795.0</v>
      </c>
      <c r="AO130" s="140">
        <v>93.51</v>
      </c>
      <c r="AP130" s="152">
        <v>41476.0</v>
      </c>
      <c r="AQ130" s="152">
        <v>173.0</v>
      </c>
      <c r="AR130" s="143">
        <v>-1.0</v>
      </c>
      <c r="AS130" s="144">
        <v>0.9593756244390866</v>
      </c>
      <c r="AT130" s="144">
        <v>0.025724375560913337</v>
      </c>
      <c r="AU130" s="146" t="s">
        <v>635</v>
      </c>
      <c r="AV130" s="146" t="s">
        <v>635</v>
      </c>
      <c r="AW130" s="148" t="s">
        <v>635</v>
      </c>
      <c r="AX130" s="151"/>
      <c r="AY130" s="105"/>
      <c r="AZ130" s="186"/>
      <c r="BA130" s="186"/>
      <c r="BB130" s="222"/>
      <c r="BC130" s="45"/>
      <c r="BD130" s="45"/>
      <c r="BE130" s="45"/>
      <c r="BF130" s="45"/>
    </row>
    <row r="131">
      <c r="A131" s="79">
        <v>128.0</v>
      </c>
      <c r="B131" s="108" t="s">
        <v>639</v>
      </c>
      <c r="C131" s="115" t="s">
        <v>56</v>
      </c>
      <c r="D131" s="110">
        <v>41274.0</v>
      </c>
      <c r="E131" s="110">
        <v>42839.0</v>
      </c>
      <c r="F131" s="107" t="s">
        <v>79</v>
      </c>
      <c r="G131" s="113">
        <v>66000.0</v>
      </c>
      <c r="H131" s="114">
        <v>42.1</v>
      </c>
      <c r="I131" s="119">
        <v>244.0</v>
      </c>
      <c r="J131" s="122" t="s">
        <v>61</v>
      </c>
      <c r="K131" s="121">
        <v>247.09</v>
      </c>
      <c r="L131" s="119" t="s">
        <v>63</v>
      </c>
      <c r="M131" s="119"/>
      <c r="N131" s="119"/>
      <c r="O131" s="124">
        <v>66000.0</v>
      </c>
      <c r="P131" s="124">
        <v>1566.0</v>
      </c>
      <c r="Q131" s="122">
        <v>346.0</v>
      </c>
      <c r="R131" s="125">
        <v>269.0</v>
      </c>
      <c r="S131" s="126">
        <v>0.9186</v>
      </c>
      <c r="T131" s="127">
        <v>71191.5</v>
      </c>
      <c r="U131" s="128">
        <f t="shared" si="1"/>
        <v>0</v>
      </c>
      <c r="V131" s="107" t="s">
        <v>64</v>
      </c>
      <c r="W131" s="107" t="s">
        <v>69</v>
      </c>
      <c r="X131" s="107" t="s">
        <v>68</v>
      </c>
      <c r="Y131" s="131">
        <v>0.9</v>
      </c>
      <c r="Z131" s="160"/>
      <c r="AA131" s="111">
        <v>248.0</v>
      </c>
      <c r="AB131" s="111" t="s">
        <v>61</v>
      </c>
      <c r="AC131" s="141"/>
      <c r="AD131" s="141"/>
      <c r="AE131" s="141"/>
      <c r="AF131" s="122"/>
      <c r="AG131" s="147"/>
      <c r="AH131" s="73"/>
      <c r="AI131" s="135"/>
      <c r="AJ131" s="136"/>
      <c r="AK131" s="76"/>
      <c r="AL131" s="135"/>
      <c r="AM131" s="139">
        <v>251.0</v>
      </c>
      <c r="AN131" s="139">
        <v>1566.0</v>
      </c>
      <c r="AO131" s="140">
        <v>307.23</v>
      </c>
      <c r="AP131" s="152">
        <v>106217.0</v>
      </c>
      <c r="AQ131" s="152">
        <v>215.0</v>
      </c>
      <c r="AR131" s="143">
        <v>-1.0</v>
      </c>
      <c r="AS131" s="144">
        <v>0.9438998337205897</v>
      </c>
      <c r="AT131" s="144">
        <v>-0.02529983372058975</v>
      </c>
      <c r="AU131" s="146" t="s">
        <v>641</v>
      </c>
      <c r="AV131" s="146" t="s">
        <v>641</v>
      </c>
      <c r="AW131" s="148" t="s">
        <v>641</v>
      </c>
      <c r="AX131" s="151"/>
      <c r="AY131" s="105"/>
      <c r="AZ131" s="186"/>
      <c r="BA131" s="186"/>
      <c r="BB131" s="222"/>
      <c r="BC131" s="45"/>
      <c r="BD131" s="45"/>
      <c r="BE131" s="45"/>
      <c r="BF131" s="45"/>
    </row>
    <row r="132">
      <c r="A132" s="79">
        <v>129.0</v>
      </c>
      <c r="B132" s="108" t="s">
        <v>642</v>
      </c>
      <c r="C132" s="115" t="s">
        <v>56</v>
      </c>
      <c r="D132" s="110">
        <v>42004.0</v>
      </c>
      <c r="E132" s="110">
        <v>42842.0</v>
      </c>
      <c r="F132" s="107" t="s">
        <v>90</v>
      </c>
      <c r="G132" s="113">
        <v>24252.0</v>
      </c>
      <c r="H132" s="114">
        <v>28.9</v>
      </c>
      <c r="I132" s="119">
        <v>245.0</v>
      </c>
      <c r="J132" s="122" t="s">
        <v>61</v>
      </c>
      <c r="K132" s="121">
        <v>248.1</v>
      </c>
      <c r="L132" s="119" t="s">
        <v>63</v>
      </c>
      <c r="M132" s="119"/>
      <c r="N132" s="119"/>
      <c r="O132" s="124">
        <v>24252.0</v>
      </c>
      <c r="P132" s="124">
        <v>839.0</v>
      </c>
      <c r="Q132" s="122">
        <v>331.0</v>
      </c>
      <c r="R132" s="125">
        <v>256.0</v>
      </c>
      <c r="S132" s="126">
        <v>0.9691</v>
      </c>
      <c r="T132" s="127">
        <v>75105.25</v>
      </c>
      <c r="U132" s="128">
        <f t="shared" si="1"/>
        <v>0</v>
      </c>
      <c r="V132" s="107" t="s">
        <v>68</v>
      </c>
      <c r="W132" s="107" t="s">
        <v>66</v>
      </c>
      <c r="X132" s="107" t="s">
        <v>68</v>
      </c>
      <c r="Y132" s="131">
        <v>0.9</v>
      </c>
      <c r="Z132" s="160">
        <v>7.0</v>
      </c>
      <c r="AA132" s="111">
        <v>265.0</v>
      </c>
      <c r="AB132" s="111" t="s">
        <v>61</v>
      </c>
      <c r="AC132" s="141"/>
      <c r="AD132" s="141"/>
      <c r="AE132" s="141"/>
      <c r="AF132" s="122"/>
      <c r="AG132" s="134" t="s">
        <v>644</v>
      </c>
      <c r="AH132" s="73"/>
      <c r="AI132" s="135"/>
      <c r="AJ132" s="136"/>
      <c r="AK132" s="76"/>
      <c r="AL132" s="135"/>
      <c r="AM132" s="139">
        <v>268.0</v>
      </c>
      <c r="AN132" s="139">
        <v>839.0</v>
      </c>
      <c r="AO132" s="140">
        <v>105.24</v>
      </c>
      <c r="AP132" s="152">
        <v>39030.0</v>
      </c>
      <c r="AQ132" s="152">
        <v>206.0</v>
      </c>
      <c r="AR132" s="143">
        <v>-1.0</v>
      </c>
      <c r="AS132" s="144">
        <v>0.9604453940544614</v>
      </c>
      <c r="AT132" s="144">
        <v>0.008654605945538574</v>
      </c>
      <c r="AU132" s="146" t="s">
        <v>645</v>
      </c>
      <c r="AV132" s="146" t="s">
        <v>645</v>
      </c>
      <c r="AW132" s="148" t="s">
        <v>645</v>
      </c>
      <c r="AX132" s="151"/>
      <c r="AY132" s="105"/>
      <c r="AZ132" s="186"/>
      <c r="BA132" s="186"/>
      <c r="BB132" s="222"/>
      <c r="BC132" s="45"/>
      <c r="BD132" s="45"/>
      <c r="BE132" s="45"/>
      <c r="BF132" s="45"/>
    </row>
    <row r="133">
      <c r="A133" s="79">
        <v>130.0</v>
      </c>
      <c r="B133" s="108" t="s">
        <v>647</v>
      </c>
      <c r="C133" s="115" t="s">
        <v>56</v>
      </c>
      <c r="D133" s="110">
        <v>42050.0</v>
      </c>
      <c r="E133" s="110">
        <v>42843.0</v>
      </c>
      <c r="F133" s="107" t="s">
        <v>86</v>
      </c>
      <c r="G133" s="113">
        <v>42798.0</v>
      </c>
      <c r="H133" s="114">
        <v>53.9</v>
      </c>
      <c r="I133" s="119">
        <v>261.0</v>
      </c>
      <c r="J133" s="122" t="s">
        <v>61</v>
      </c>
      <c r="K133" s="121">
        <v>264.3</v>
      </c>
      <c r="L133" s="119" t="s">
        <v>63</v>
      </c>
      <c r="M133" s="119"/>
      <c r="N133" s="119"/>
      <c r="O133" s="124">
        <v>42798.0</v>
      </c>
      <c r="P133" s="124">
        <v>794.0</v>
      </c>
      <c r="Q133" s="122">
        <v>287.0</v>
      </c>
      <c r="R133" s="125">
        <v>273.0</v>
      </c>
      <c r="S133" s="126">
        <v>0.9681</v>
      </c>
      <c r="T133" s="127">
        <v>75027.75</v>
      </c>
      <c r="U133" s="128">
        <f t="shared" si="1"/>
        <v>0</v>
      </c>
      <c r="V133" s="107" t="s">
        <v>69</v>
      </c>
      <c r="W133" s="107" t="s">
        <v>66</v>
      </c>
      <c r="X133" s="107" t="s">
        <v>68</v>
      </c>
      <c r="Y133" s="131">
        <v>0.9</v>
      </c>
      <c r="Z133" s="160">
        <v>25.0</v>
      </c>
      <c r="AA133" s="133"/>
      <c r="AB133" s="133"/>
      <c r="AC133" s="141"/>
      <c r="AD133" s="141"/>
      <c r="AE133" s="141"/>
      <c r="AF133" s="122"/>
      <c r="AG133" s="134" t="s">
        <v>652</v>
      </c>
      <c r="AH133" s="73"/>
      <c r="AI133" s="135"/>
      <c r="AJ133" s="136"/>
      <c r="AK133" s="76"/>
      <c r="AL133" s="135"/>
      <c r="AM133" s="139" t="s">
        <v>71</v>
      </c>
      <c r="AN133" s="139">
        <v>794.0</v>
      </c>
      <c r="AO133" s="140">
        <v>161.09</v>
      </c>
      <c r="AP133" s="152">
        <v>68877.0</v>
      </c>
      <c r="AQ133" s="152">
        <v>178.0</v>
      </c>
      <c r="AR133" s="143">
        <v>-1.0</v>
      </c>
      <c r="AS133" s="144">
        <v>0.9510149016348123</v>
      </c>
      <c r="AT133" s="144">
        <v>0.01708509836518768</v>
      </c>
      <c r="AU133" s="146" t="s">
        <v>653</v>
      </c>
      <c r="AV133" s="234" t="s">
        <v>653</v>
      </c>
      <c r="AW133" s="148" t="s">
        <v>653</v>
      </c>
      <c r="AX133" s="151"/>
      <c r="AY133" s="105"/>
      <c r="AZ133" s="186"/>
      <c r="BA133" s="186"/>
      <c r="BB133" s="222"/>
      <c r="BC133" s="45"/>
      <c r="BD133" s="45"/>
      <c r="BE133" s="45"/>
      <c r="BF133" s="45"/>
    </row>
    <row r="134">
      <c r="A134" s="79">
        <v>131.0</v>
      </c>
      <c r="B134" s="108" t="s">
        <v>161</v>
      </c>
      <c r="C134" s="115" t="s">
        <v>56</v>
      </c>
      <c r="D134" s="110">
        <v>41310.0</v>
      </c>
      <c r="E134" s="110">
        <v>42849.0</v>
      </c>
      <c r="F134" s="107" t="s">
        <v>59</v>
      </c>
      <c r="G134" s="113">
        <v>55770.0</v>
      </c>
      <c r="H134" s="114">
        <v>36.2</v>
      </c>
      <c r="I134" s="119">
        <v>252.0</v>
      </c>
      <c r="J134" s="122" t="s">
        <v>62</v>
      </c>
      <c r="K134" s="121">
        <v>252.0</v>
      </c>
      <c r="L134" s="119" t="s">
        <v>63</v>
      </c>
      <c r="M134" s="119"/>
      <c r="N134" s="119"/>
      <c r="O134" s="124">
        <v>55770.0</v>
      </c>
      <c r="P134" s="124">
        <v>1540.0</v>
      </c>
      <c r="Q134" s="122">
        <v>297.0</v>
      </c>
      <c r="R134" s="125">
        <v>269.0</v>
      </c>
      <c r="S134" s="126">
        <v>0.9368</v>
      </c>
      <c r="T134" s="127">
        <v>72602.0</v>
      </c>
      <c r="U134" s="128">
        <f>IF(isblank(#REF!),,COUNTBLANK(B134:E134,F134:G134,I134:J134,L134:N134,Q134)-If(L134="No",2,0))
</f>
        <v>0</v>
      </c>
      <c r="V134" s="107" t="s">
        <v>64</v>
      </c>
      <c r="W134" s="107" t="s">
        <v>69</v>
      </c>
      <c r="X134" s="107" t="s">
        <v>69</v>
      </c>
      <c r="Y134" s="131">
        <v>0.9</v>
      </c>
      <c r="Z134" s="160">
        <v>1.0</v>
      </c>
      <c r="AA134" s="111">
        <v>270.0</v>
      </c>
      <c r="AB134" s="111" t="s">
        <v>61</v>
      </c>
      <c r="AC134" s="141"/>
      <c r="AD134" s="141"/>
      <c r="AE134" s="141"/>
      <c r="AF134" s="122"/>
      <c r="AG134" s="134" t="s">
        <v>166</v>
      </c>
      <c r="AH134" s="73"/>
      <c r="AI134" s="135"/>
      <c r="AJ134" s="136"/>
      <c r="AK134" s="76"/>
      <c r="AL134" s="135"/>
      <c r="AM134" s="139">
        <v>273.0</v>
      </c>
      <c r="AN134" s="139">
        <v>1540.0</v>
      </c>
      <c r="AO134" s="140">
        <v>220.76</v>
      </c>
      <c r="AP134" s="152">
        <v>89753.0</v>
      </c>
      <c r="AQ134" s="152">
        <v>185.0</v>
      </c>
      <c r="AR134" s="143">
        <v>-1.0</v>
      </c>
      <c r="AS134" s="144">
        <v>0.9467847695795594</v>
      </c>
      <c r="AT134" s="144">
        <v>-0.009984769579559405</v>
      </c>
      <c r="AU134" s="146" t="s">
        <v>659</v>
      </c>
      <c r="AV134" s="234" t="s">
        <v>659</v>
      </c>
      <c r="AW134" s="148" t="s">
        <v>659</v>
      </c>
      <c r="AX134" s="151"/>
      <c r="AY134" s="105"/>
      <c r="AZ134" s="186"/>
      <c r="BA134" s="186"/>
      <c r="BB134" s="222"/>
      <c r="BC134" s="45"/>
      <c r="BD134" s="45"/>
      <c r="BE134" s="45"/>
      <c r="BF134" s="45"/>
    </row>
    <row r="135">
      <c r="A135" s="79">
        <v>132.0</v>
      </c>
      <c r="B135" s="108" t="s">
        <v>661</v>
      </c>
      <c r="C135" s="115" t="s">
        <v>56</v>
      </c>
      <c r="D135" s="110">
        <v>42601.0</v>
      </c>
      <c r="E135" s="110">
        <v>42856.0</v>
      </c>
      <c r="F135" s="107" t="s">
        <v>109</v>
      </c>
      <c r="G135" s="113">
        <v>8000.0</v>
      </c>
      <c r="H135" s="114">
        <v>31.3</v>
      </c>
      <c r="I135" s="119">
        <v>210.0</v>
      </c>
      <c r="J135" s="122" t="s">
        <v>62</v>
      </c>
      <c r="K135" s="121">
        <v>210.0</v>
      </c>
      <c r="L135" s="119" t="s">
        <v>63</v>
      </c>
      <c r="M135" s="119"/>
      <c r="N135" s="119"/>
      <c r="O135" s="124">
        <v>8000.0</v>
      </c>
      <c r="P135" s="124">
        <v>256.0</v>
      </c>
      <c r="Q135" s="191"/>
      <c r="R135" s="125">
        <v>210.0</v>
      </c>
      <c r="S135" s="126">
        <v>1.0</v>
      </c>
      <c r="T135" s="127">
        <v>58500.0</v>
      </c>
      <c r="U135" s="128">
        <f t="shared" ref="U135:U216" si="2">IF(isblank(B135),,COUNTBLANK(B135:E135,F135:G135,I135:J135,L135:N135,Q135)-If(L135="No",2,0))
</f>
        <v>1</v>
      </c>
      <c r="V135" s="107" t="s">
        <v>65</v>
      </c>
      <c r="W135" s="107" t="s">
        <v>64</v>
      </c>
      <c r="X135" s="107" t="s">
        <v>68</v>
      </c>
      <c r="Y135" s="131">
        <v>0.6</v>
      </c>
      <c r="Z135" s="132"/>
      <c r="AA135" s="111">
        <v>210.0</v>
      </c>
      <c r="AB135" s="111" t="s">
        <v>61</v>
      </c>
      <c r="AC135" s="141"/>
      <c r="AD135" s="141"/>
      <c r="AE135" s="141"/>
      <c r="AF135" s="122"/>
      <c r="AG135" s="147"/>
      <c r="AH135" s="73"/>
      <c r="AI135" s="135"/>
      <c r="AJ135" s="136"/>
      <c r="AK135" s="76"/>
      <c r="AL135" s="135"/>
      <c r="AM135" s="139">
        <v>213.0</v>
      </c>
      <c r="AN135" s="139">
        <v>256.0</v>
      </c>
      <c r="AO135" s="140"/>
      <c r="AP135" s="152">
        <v>12875.0</v>
      </c>
      <c r="AQ135" s="152"/>
      <c r="AR135" s="143">
        <v>-1.0</v>
      </c>
      <c r="AS135" s="144">
        <v>0.9798883475979656</v>
      </c>
      <c r="AT135" s="144">
        <v>0.020111652402034386</v>
      </c>
      <c r="AU135" s="146" t="s">
        <v>666</v>
      </c>
      <c r="AV135" s="234" t="s">
        <v>666</v>
      </c>
      <c r="AW135" s="148" t="s">
        <v>666</v>
      </c>
      <c r="AX135" s="151"/>
      <c r="AY135" s="105"/>
      <c r="AZ135" s="186"/>
      <c r="BA135" s="186"/>
      <c r="BB135" s="222"/>
      <c r="BC135" s="45"/>
      <c r="BD135" s="45"/>
      <c r="BE135" s="45"/>
      <c r="BF135" s="45"/>
    </row>
    <row r="136">
      <c r="A136" s="79">
        <v>133.0</v>
      </c>
      <c r="B136" s="108" t="s">
        <v>668</v>
      </c>
      <c r="C136" s="115" t="s">
        <v>56</v>
      </c>
      <c r="D136" s="110">
        <v>41258.0</v>
      </c>
      <c r="E136" s="110">
        <v>42856.0</v>
      </c>
      <c r="F136" s="107" t="s">
        <v>79</v>
      </c>
      <c r="G136" s="113">
        <v>38010.0</v>
      </c>
      <c r="H136" s="114">
        <v>23.8</v>
      </c>
      <c r="I136" s="119">
        <v>261.0</v>
      </c>
      <c r="J136" s="122" t="s">
        <v>61</v>
      </c>
      <c r="K136" s="121">
        <v>264.3</v>
      </c>
      <c r="L136" s="119" t="s">
        <v>63</v>
      </c>
      <c r="M136" s="119"/>
      <c r="N136" s="119"/>
      <c r="O136" s="124">
        <v>38010.0</v>
      </c>
      <c r="P136" s="124">
        <v>1599.0</v>
      </c>
      <c r="Q136" s="122">
        <v>330.0</v>
      </c>
      <c r="R136" s="125">
        <v>269.0</v>
      </c>
      <c r="S136" s="126">
        <v>0.9825</v>
      </c>
      <c r="T136" s="127">
        <v>76143.75</v>
      </c>
      <c r="U136" s="128">
        <f t="shared" si="2"/>
        <v>0</v>
      </c>
      <c r="V136" s="107" t="s">
        <v>69</v>
      </c>
      <c r="W136" s="107" t="s">
        <v>69</v>
      </c>
      <c r="X136" s="107" t="s">
        <v>68</v>
      </c>
      <c r="Y136" s="131">
        <v>0.9</v>
      </c>
      <c r="Z136" s="160">
        <v>8.8</v>
      </c>
      <c r="AA136" s="111">
        <v>265.0</v>
      </c>
      <c r="AB136" s="111" t="s">
        <v>61</v>
      </c>
      <c r="AC136" s="141"/>
      <c r="AD136" s="141"/>
      <c r="AE136" s="141"/>
      <c r="AF136" s="122"/>
      <c r="AG136" s="147"/>
      <c r="AH136" s="73"/>
      <c r="AI136" s="135"/>
      <c r="AJ136" s="136"/>
      <c r="AK136" s="76"/>
      <c r="AL136" s="135"/>
      <c r="AM136" s="139">
        <v>268.0</v>
      </c>
      <c r="AN136" s="139">
        <v>1599.0</v>
      </c>
      <c r="AO136" s="140">
        <v>163.34</v>
      </c>
      <c r="AP136" s="152">
        <v>61171.0</v>
      </c>
      <c r="AQ136" s="152">
        <v>205.0</v>
      </c>
      <c r="AR136" s="143">
        <v>-1.0</v>
      </c>
      <c r="AS136" s="144">
        <v>0.9528960140304386</v>
      </c>
      <c r="AT136" s="144">
        <v>0.029603985969561486</v>
      </c>
      <c r="AU136" s="146" t="s">
        <v>673</v>
      </c>
      <c r="AV136" s="234" t="s">
        <v>673</v>
      </c>
      <c r="AW136" s="148" t="s">
        <v>673</v>
      </c>
      <c r="AX136" s="151"/>
      <c r="AY136" s="105"/>
      <c r="AZ136" s="186"/>
      <c r="BA136" s="186"/>
      <c r="BB136" s="222"/>
      <c r="BC136" s="45"/>
      <c r="BD136" s="45"/>
      <c r="BE136" s="45"/>
      <c r="BF136" s="45"/>
    </row>
    <row r="137">
      <c r="A137" s="79">
        <v>134.0</v>
      </c>
      <c r="B137" s="108" t="s">
        <v>674</v>
      </c>
      <c r="C137" s="115" t="s">
        <v>56</v>
      </c>
      <c r="D137" s="110">
        <v>42577.0</v>
      </c>
      <c r="E137" s="110">
        <v>42830.0</v>
      </c>
      <c r="F137" s="107" t="s">
        <v>675</v>
      </c>
      <c r="G137" s="113">
        <v>20500.0</v>
      </c>
      <c r="H137" s="114">
        <v>80.7</v>
      </c>
      <c r="I137" s="119">
        <v>255.0</v>
      </c>
      <c r="J137" s="122" t="s">
        <v>61</v>
      </c>
      <c r="K137" s="121">
        <v>258.23</v>
      </c>
      <c r="L137" s="119" t="s">
        <v>63</v>
      </c>
      <c r="M137" s="119"/>
      <c r="N137" s="119"/>
      <c r="O137" s="124">
        <v>20500.0</v>
      </c>
      <c r="P137" s="124">
        <v>254.0</v>
      </c>
      <c r="Q137" s="122">
        <v>280.0</v>
      </c>
      <c r="R137" s="125">
        <v>262.0</v>
      </c>
      <c r="S137" s="126">
        <v>0.9856</v>
      </c>
      <c r="T137" s="127">
        <v>71554.56</v>
      </c>
      <c r="U137" s="128">
        <f t="shared" si="2"/>
        <v>0</v>
      </c>
      <c r="V137" s="107" t="s">
        <v>65</v>
      </c>
      <c r="W137" s="107" t="s">
        <v>65</v>
      </c>
      <c r="X137" s="107" t="s">
        <v>68</v>
      </c>
      <c r="Y137" s="131">
        <v>0.9</v>
      </c>
      <c r="Z137" s="160">
        <v>12.0</v>
      </c>
      <c r="AA137" s="111">
        <v>259.0</v>
      </c>
      <c r="AB137" s="111" t="s">
        <v>61</v>
      </c>
      <c r="AC137" s="141"/>
      <c r="AD137" s="141"/>
      <c r="AE137" s="141"/>
      <c r="AF137" s="122"/>
      <c r="AG137" s="134" t="s">
        <v>678</v>
      </c>
      <c r="AH137" s="73"/>
      <c r="AI137" s="135"/>
      <c r="AJ137" s="136"/>
      <c r="AK137" s="76"/>
      <c r="AL137" s="135"/>
      <c r="AM137" s="139">
        <v>262.0</v>
      </c>
      <c r="AN137" s="139">
        <v>254.0</v>
      </c>
      <c r="AO137" s="140">
        <v>79.65</v>
      </c>
      <c r="AP137" s="152">
        <v>32992.0</v>
      </c>
      <c r="AQ137" s="152">
        <v>174.0</v>
      </c>
      <c r="AR137" s="143">
        <v>-1.0</v>
      </c>
      <c r="AS137" s="144">
        <v>0.9634678979669968</v>
      </c>
      <c r="AT137" s="144">
        <v>0.022132102033003198</v>
      </c>
      <c r="AU137" s="146" t="s">
        <v>680</v>
      </c>
      <c r="AV137" s="234" t="s">
        <v>680</v>
      </c>
      <c r="AW137" s="148" t="s">
        <v>680</v>
      </c>
      <c r="AX137" s="151"/>
      <c r="AY137" s="105"/>
      <c r="AZ137" s="186"/>
      <c r="BA137" s="186"/>
      <c r="BB137" s="222"/>
      <c r="BC137" s="45"/>
      <c r="BD137" s="45"/>
      <c r="BE137" s="45"/>
      <c r="BF137" s="45"/>
    </row>
    <row r="138">
      <c r="A138" s="79">
        <v>135.0</v>
      </c>
      <c r="B138" s="108" t="s">
        <v>682</v>
      </c>
      <c r="C138" s="115" t="s">
        <v>56</v>
      </c>
      <c r="D138" s="110">
        <v>42528.0</v>
      </c>
      <c r="E138" s="110">
        <v>42861.0</v>
      </c>
      <c r="F138" s="107" t="s">
        <v>683</v>
      </c>
      <c r="G138" s="113">
        <v>14391.0</v>
      </c>
      <c r="H138" s="114">
        <v>43.1</v>
      </c>
      <c r="I138" s="119">
        <v>257.0</v>
      </c>
      <c r="J138" s="122" t="s">
        <v>62</v>
      </c>
      <c r="K138" s="121">
        <v>257.0</v>
      </c>
      <c r="L138" s="119" t="s">
        <v>63</v>
      </c>
      <c r="M138" s="119"/>
      <c r="N138" s="119"/>
      <c r="O138" s="124">
        <v>14391.0</v>
      </c>
      <c r="P138" s="124">
        <v>334.0</v>
      </c>
      <c r="Q138" s="122">
        <v>347.0</v>
      </c>
      <c r="R138" s="125">
        <v>260.0</v>
      </c>
      <c r="S138" s="126">
        <v>0.9885</v>
      </c>
      <c r="T138" s="127">
        <v>80859.3</v>
      </c>
      <c r="U138" s="128">
        <f t="shared" si="2"/>
        <v>0</v>
      </c>
      <c r="V138" s="107" t="s">
        <v>65</v>
      </c>
      <c r="W138" s="107" t="s">
        <v>65</v>
      </c>
      <c r="X138" s="107" t="s">
        <v>69</v>
      </c>
      <c r="Y138" s="131">
        <v>0.7</v>
      </c>
      <c r="Z138" s="160"/>
      <c r="AA138" s="111">
        <v>259.0</v>
      </c>
      <c r="AB138" s="111" t="s">
        <v>62</v>
      </c>
      <c r="AC138" s="182">
        <v>251.0</v>
      </c>
      <c r="AD138" s="182">
        <v>17.0</v>
      </c>
      <c r="AE138" s="141"/>
      <c r="AF138" s="122" t="s">
        <v>62</v>
      </c>
      <c r="AG138" s="147"/>
      <c r="AH138" s="73" t="s">
        <v>74</v>
      </c>
      <c r="AI138" s="135"/>
      <c r="AJ138" s="136"/>
      <c r="AK138" s="76"/>
      <c r="AL138" s="135"/>
      <c r="AM138" s="139">
        <v>259.0</v>
      </c>
      <c r="AN138" s="139">
        <v>334.0</v>
      </c>
      <c r="AO138" s="140">
        <v>61.41</v>
      </c>
      <c r="AP138" s="152">
        <v>23160.0</v>
      </c>
      <c r="AQ138" s="152">
        <v>216.0</v>
      </c>
      <c r="AR138" s="143">
        <v>-1.0</v>
      </c>
      <c r="AS138" s="144">
        <v>0.9699536579642695</v>
      </c>
      <c r="AT138" s="144">
        <v>0.01854634203573058</v>
      </c>
      <c r="AU138" s="146" t="s">
        <v>687</v>
      </c>
      <c r="AV138" s="234" t="s">
        <v>687</v>
      </c>
      <c r="AW138" s="148" t="s">
        <v>687</v>
      </c>
      <c r="AX138" s="151"/>
      <c r="AY138" s="105"/>
      <c r="AZ138" s="186"/>
      <c r="BA138" s="186"/>
      <c r="BB138" s="222"/>
      <c r="BC138" s="45"/>
      <c r="BD138" s="45"/>
      <c r="BE138" s="45"/>
      <c r="BF138" s="45"/>
    </row>
    <row r="139">
      <c r="A139" s="79">
        <v>136.0</v>
      </c>
      <c r="B139" s="108" t="s">
        <v>689</v>
      </c>
      <c r="C139" s="115" t="s">
        <v>56</v>
      </c>
      <c r="D139" s="110">
        <v>42633.0</v>
      </c>
      <c r="E139" s="110">
        <v>42864.0</v>
      </c>
      <c r="F139" s="107" t="s">
        <v>305</v>
      </c>
      <c r="G139" s="113">
        <v>8444.0</v>
      </c>
      <c r="H139" s="114">
        <v>36.4</v>
      </c>
      <c r="I139" s="119">
        <v>260.0</v>
      </c>
      <c r="J139" s="122" t="s">
        <v>61</v>
      </c>
      <c r="K139" s="121">
        <v>263.29</v>
      </c>
      <c r="L139" s="119" t="s">
        <v>63</v>
      </c>
      <c r="M139" s="119"/>
      <c r="N139" s="119"/>
      <c r="O139" s="124">
        <v>8444.0</v>
      </c>
      <c r="P139" s="124">
        <v>232.0</v>
      </c>
      <c r="Q139" s="191"/>
      <c r="R139" s="125">
        <v>295.0</v>
      </c>
      <c r="S139" s="126">
        <v>0.8925</v>
      </c>
      <c r="T139" s="127">
        <v>73006.5</v>
      </c>
      <c r="U139" s="128">
        <f t="shared" si="2"/>
        <v>1</v>
      </c>
      <c r="V139" s="107" t="s">
        <v>65</v>
      </c>
      <c r="W139" s="107" t="s">
        <v>80</v>
      </c>
      <c r="X139" s="107" t="s">
        <v>68</v>
      </c>
      <c r="Y139" s="131"/>
      <c r="Z139" s="132"/>
      <c r="AA139" s="133"/>
      <c r="AB139" s="133"/>
      <c r="AC139" s="141"/>
      <c r="AD139" s="141"/>
      <c r="AE139" s="141"/>
      <c r="AF139" s="122"/>
      <c r="AG139" s="147"/>
      <c r="AH139" s="73"/>
      <c r="AI139" s="135"/>
      <c r="AJ139" s="136"/>
      <c r="AK139" s="76"/>
      <c r="AL139" s="135"/>
      <c r="AM139" s="139" t="s">
        <v>71</v>
      </c>
      <c r="AN139" s="139">
        <v>232.0</v>
      </c>
      <c r="AO139" s="140"/>
      <c r="AP139" s="152">
        <v>13589.0</v>
      </c>
      <c r="AQ139" s="152"/>
      <c r="AR139" s="143">
        <v>-1.0</v>
      </c>
      <c r="AS139" s="144">
        <v>0.9790592989154795</v>
      </c>
      <c r="AT139" s="144">
        <v>-0.08655929891547953</v>
      </c>
      <c r="AU139" s="146" t="s">
        <v>691</v>
      </c>
      <c r="AV139" s="146" t="s">
        <v>691</v>
      </c>
      <c r="AW139" s="148" t="s">
        <v>691</v>
      </c>
      <c r="AX139" s="151"/>
      <c r="AY139" s="105"/>
      <c r="AZ139" s="186"/>
      <c r="BA139" s="186"/>
      <c r="BB139" s="222"/>
      <c r="BC139" s="45"/>
      <c r="BD139" s="45"/>
      <c r="BE139" s="45"/>
      <c r="BF139" s="45"/>
    </row>
    <row r="140">
      <c r="A140" s="79">
        <v>137.0</v>
      </c>
      <c r="B140" s="108" t="s">
        <v>78</v>
      </c>
      <c r="C140" s="115" t="s">
        <v>56</v>
      </c>
      <c r="D140" s="110">
        <v>41432.0</v>
      </c>
      <c r="E140" s="110">
        <v>42865.0</v>
      </c>
      <c r="F140" s="107" t="s">
        <v>79</v>
      </c>
      <c r="G140" s="113">
        <v>85063.0</v>
      </c>
      <c r="H140" s="114">
        <v>59.3</v>
      </c>
      <c r="I140" s="119">
        <v>247.0</v>
      </c>
      <c r="J140" s="122" t="s">
        <v>61</v>
      </c>
      <c r="K140" s="121">
        <v>250.13</v>
      </c>
      <c r="L140" s="119" t="s">
        <v>63</v>
      </c>
      <c r="M140" s="119"/>
      <c r="N140" s="119"/>
      <c r="O140" s="124">
        <v>85063.0</v>
      </c>
      <c r="P140" s="124">
        <v>1434.0</v>
      </c>
      <c r="Q140" s="122">
        <v>307.0</v>
      </c>
      <c r="R140" s="125">
        <v>269.0</v>
      </c>
      <c r="S140" s="126">
        <v>0.9299</v>
      </c>
      <c r="T140" s="127">
        <v>72067.25</v>
      </c>
      <c r="U140" s="128">
        <f t="shared" si="2"/>
        <v>0</v>
      </c>
      <c r="V140" s="107" t="s">
        <v>80</v>
      </c>
      <c r="W140" s="107" t="s">
        <v>69</v>
      </c>
      <c r="X140" s="107" t="s">
        <v>66</v>
      </c>
      <c r="Y140" s="131">
        <v>0.9</v>
      </c>
      <c r="Z140" s="160">
        <v>7.3</v>
      </c>
      <c r="AA140" s="111">
        <v>260.0</v>
      </c>
      <c r="AB140" s="111" t="s">
        <v>61</v>
      </c>
      <c r="AC140" s="141"/>
      <c r="AD140" s="141"/>
      <c r="AE140" s="141"/>
      <c r="AF140" s="122"/>
      <c r="AG140" s="147"/>
      <c r="AH140" s="73"/>
      <c r="AI140" s="135"/>
      <c r="AJ140" s="136"/>
      <c r="AK140" s="76"/>
      <c r="AL140" s="135"/>
      <c r="AM140" s="139">
        <v>263.0</v>
      </c>
      <c r="AN140" s="139">
        <v>1434.0</v>
      </c>
      <c r="AO140" s="140">
        <v>349.26</v>
      </c>
      <c r="AP140" s="152">
        <v>136896.0</v>
      </c>
      <c r="AQ140" s="152">
        <v>191.0</v>
      </c>
      <c r="AR140" s="143">
        <v>-1.0</v>
      </c>
      <c r="AS140" s="144">
        <v>0.9389014110147451</v>
      </c>
      <c r="AT140" s="144">
        <v>-0.009001411014745164</v>
      </c>
      <c r="AU140" s="146" t="s">
        <v>695</v>
      </c>
      <c r="AV140" s="234" t="s">
        <v>695</v>
      </c>
      <c r="AW140" s="148" t="s">
        <v>695</v>
      </c>
      <c r="AX140" s="151"/>
      <c r="AY140" s="105"/>
      <c r="AZ140" s="186"/>
      <c r="BA140" s="186"/>
      <c r="BB140" s="222"/>
      <c r="BC140" s="45"/>
      <c r="BD140" s="45"/>
      <c r="BE140" s="45"/>
      <c r="BF140" s="45"/>
    </row>
    <row r="141">
      <c r="A141" s="79">
        <v>138.0</v>
      </c>
      <c r="B141" s="108" t="s">
        <v>696</v>
      </c>
      <c r="C141" s="115" t="s">
        <v>56</v>
      </c>
      <c r="D141" s="110">
        <v>41893.0</v>
      </c>
      <c r="E141" s="110">
        <v>42872.0</v>
      </c>
      <c r="F141" s="107" t="s">
        <v>79</v>
      </c>
      <c r="G141" s="113">
        <v>33666.0</v>
      </c>
      <c r="H141" s="114">
        <v>34.4</v>
      </c>
      <c r="I141" s="119">
        <v>257.0</v>
      </c>
      <c r="J141" s="122" t="s">
        <v>61</v>
      </c>
      <c r="K141" s="121">
        <v>260.25</v>
      </c>
      <c r="L141" s="119" t="s">
        <v>63</v>
      </c>
      <c r="M141" s="119"/>
      <c r="N141" s="119"/>
      <c r="O141" s="124">
        <v>33666.0</v>
      </c>
      <c r="P141" s="124">
        <v>980.0</v>
      </c>
      <c r="Q141" s="122">
        <v>344.0</v>
      </c>
      <c r="R141" s="125">
        <v>269.0</v>
      </c>
      <c r="S141" s="126">
        <v>0.9675</v>
      </c>
      <c r="T141" s="127">
        <v>74981.25</v>
      </c>
      <c r="U141" s="128">
        <f t="shared" si="2"/>
        <v>0</v>
      </c>
      <c r="V141" s="107" t="s">
        <v>69</v>
      </c>
      <c r="W141" s="107" t="s">
        <v>68</v>
      </c>
      <c r="X141" s="107" t="s">
        <v>68</v>
      </c>
      <c r="Y141" s="131">
        <v>0.7</v>
      </c>
      <c r="Z141" s="160">
        <v>1.4</v>
      </c>
      <c r="AA141" s="133"/>
      <c r="AB141" s="133"/>
      <c r="AC141" s="141"/>
      <c r="AD141" s="141"/>
      <c r="AE141" s="141"/>
      <c r="AF141" s="122"/>
      <c r="AG141" s="134" t="s">
        <v>700</v>
      </c>
      <c r="AH141" s="73"/>
      <c r="AI141" s="135"/>
      <c r="AJ141" s="136"/>
      <c r="AK141" s="76"/>
      <c r="AL141" s="135"/>
      <c r="AM141" s="139" t="s">
        <v>71</v>
      </c>
      <c r="AN141" s="139">
        <v>980.0</v>
      </c>
      <c r="AO141" s="140">
        <v>151.94</v>
      </c>
      <c r="AP141" s="152">
        <v>54180.0</v>
      </c>
      <c r="AQ141" s="152">
        <v>214.0</v>
      </c>
      <c r="AR141" s="143">
        <v>-1.0</v>
      </c>
      <c r="AS141" s="144">
        <v>0.9548560218266544</v>
      </c>
      <c r="AT141" s="144">
        <v>0.012643978173345616</v>
      </c>
      <c r="AU141" s="146" t="s">
        <v>701</v>
      </c>
      <c r="AV141" s="146" t="s">
        <v>701</v>
      </c>
      <c r="AW141" s="148" t="s">
        <v>701</v>
      </c>
      <c r="AX141" s="151"/>
      <c r="AY141" s="105"/>
      <c r="AZ141" s="186"/>
      <c r="BA141" s="186"/>
      <c r="BB141" s="222"/>
      <c r="BC141" s="45"/>
      <c r="BD141" s="45"/>
      <c r="BE141" s="45"/>
      <c r="BF141" s="45"/>
    </row>
    <row r="142">
      <c r="A142" s="79">
        <v>139.0</v>
      </c>
      <c r="B142" s="108" t="s">
        <v>703</v>
      </c>
      <c r="C142" s="115" t="s">
        <v>56</v>
      </c>
      <c r="D142" s="110">
        <v>42771.0</v>
      </c>
      <c r="E142" s="110">
        <v>42878.0</v>
      </c>
      <c r="F142" s="107" t="s">
        <v>250</v>
      </c>
      <c r="G142" s="113">
        <v>10654.0</v>
      </c>
      <c r="H142" s="114">
        <v>98.6</v>
      </c>
      <c r="I142" s="119">
        <v>218.0</v>
      </c>
      <c r="J142" s="122" t="s">
        <v>62</v>
      </c>
      <c r="K142" s="121">
        <v>218.0</v>
      </c>
      <c r="L142" s="119" t="s">
        <v>63</v>
      </c>
      <c r="M142" s="119"/>
      <c r="N142" s="119"/>
      <c r="O142" s="124">
        <v>10654.0</v>
      </c>
      <c r="P142" s="124">
        <v>108.0</v>
      </c>
      <c r="Q142" s="122">
        <v>270.0</v>
      </c>
      <c r="R142" s="125">
        <v>222.0</v>
      </c>
      <c r="S142" s="126">
        <v>0.982</v>
      </c>
      <c r="T142" s="127">
        <v>57447.0</v>
      </c>
      <c r="U142" s="128">
        <f t="shared" si="2"/>
        <v>0</v>
      </c>
      <c r="V142" s="107" t="s">
        <v>69</v>
      </c>
      <c r="W142" s="107" t="s">
        <v>68</v>
      </c>
      <c r="X142" s="107" t="s">
        <v>68</v>
      </c>
      <c r="Y142" s="131">
        <v>1.0</v>
      </c>
      <c r="Z142" s="160">
        <v>15.0</v>
      </c>
      <c r="AA142" s="111">
        <v>220.0</v>
      </c>
      <c r="AB142" s="111" t="s">
        <v>62</v>
      </c>
      <c r="AC142" s="141"/>
      <c r="AD142" s="141"/>
      <c r="AE142" s="141"/>
      <c r="AF142" s="122"/>
      <c r="AG142" s="147"/>
      <c r="AH142" s="73"/>
      <c r="AI142" s="135"/>
      <c r="AJ142" s="136"/>
      <c r="AK142" s="76"/>
      <c r="AL142" s="135"/>
      <c r="AM142" s="139">
        <v>220.0</v>
      </c>
      <c r="AN142" s="139">
        <v>108.0</v>
      </c>
      <c r="AO142" s="140">
        <v>49.62</v>
      </c>
      <c r="AP142" s="152">
        <v>17146.0</v>
      </c>
      <c r="AQ142" s="152">
        <v>168.0</v>
      </c>
      <c r="AR142" s="143">
        <v>-1.0</v>
      </c>
      <c r="AS142" s="144">
        <v>0.9752679984859705</v>
      </c>
      <c r="AT142" s="144">
        <v>0.006732001514029529</v>
      </c>
      <c r="AU142" s="146" t="s">
        <v>706</v>
      </c>
      <c r="AV142" s="146" t="s">
        <v>706</v>
      </c>
      <c r="AW142" s="148" t="s">
        <v>706</v>
      </c>
      <c r="AX142" s="151"/>
      <c r="AY142" s="105"/>
      <c r="AZ142" s="186"/>
      <c r="BA142" s="186"/>
      <c r="BB142" s="222"/>
      <c r="BC142" s="45"/>
      <c r="BD142" s="45"/>
      <c r="BE142" s="45"/>
      <c r="BF142" s="45"/>
    </row>
    <row r="143">
      <c r="A143" s="79">
        <v>140.0</v>
      </c>
      <c r="B143" s="108" t="s">
        <v>161</v>
      </c>
      <c r="C143" s="115" t="s">
        <v>56</v>
      </c>
      <c r="D143" s="110">
        <v>41310.0</v>
      </c>
      <c r="E143" s="110">
        <v>42878.0</v>
      </c>
      <c r="F143" s="107" t="s">
        <v>59</v>
      </c>
      <c r="G143" s="113">
        <v>56833.0</v>
      </c>
      <c r="H143" s="114">
        <v>36.2</v>
      </c>
      <c r="I143" s="119">
        <v>252.0</v>
      </c>
      <c r="J143" s="122" t="s">
        <v>62</v>
      </c>
      <c r="K143" s="121">
        <v>252.0</v>
      </c>
      <c r="L143" s="119" t="s">
        <v>63</v>
      </c>
      <c r="M143" s="119"/>
      <c r="N143" s="119"/>
      <c r="O143" s="124">
        <v>56833.0</v>
      </c>
      <c r="P143" s="124">
        <v>1569.0</v>
      </c>
      <c r="Q143" s="122">
        <v>297.0</v>
      </c>
      <c r="R143" s="125">
        <v>269.0</v>
      </c>
      <c r="S143" s="126">
        <v>0.9368</v>
      </c>
      <c r="T143" s="127">
        <v>72602.0</v>
      </c>
      <c r="U143" s="128">
        <f t="shared" si="2"/>
        <v>0</v>
      </c>
      <c r="V143" s="107" t="s">
        <v>64</v>
      </c>
      <c r="W143" s="107" t="s">
        <v>69</v>
      </c>
      <c r="X143" s="107" t="s">
        <v>69</v>
      </c>
      <c r="Y143" s="131">
        <v>0.9</v>
      </c>
      <c r="Z143" s="160">
        <v>1.0</v>
      </c>
      <c r="AA143" s="111">
        <v>270.0</v>
      </c>
      <c r="AB143" s="111" t="s">
        <v>61</v>
      </c>
      <c r="AC143" s="141"/>
      <c r="AD143" s="141"/>
      <c r="AE143" s="141"/>
      <c r="AF143" s="122"/>
      <c r="AG143" s="134" t="s">
        <v>166</v>
      </c>
      <c r="AH143" s="73"/>
      <c r="AI143" s="135"/>
      <c r="AJ143" s="136"/>
      <c r="AK143" s="76"/>
      <c r="AL143" s="135"/>
      <c r="AM143" s="139">
        <v>273.0</v>
      </c>
      <c r="AN143" s="139">
        <v>1569.0</v>
      </c>
      <c r="AO143" s="140">
        <v>224.97</v>
      </c>
      <c r="AP143" s="152">
        <v>91464.0</v>
      </c>
      <c r="AQ143" s="152">
        <v>185.0</v>
      </c>
      <c r="AR143" s="143">
        <v>-1.0</v>
      </c>
      <c r="AS143" s="144">
        <v>0.9464726103471998</v>
      </c>
      <c r="AT143" s="144">
        <v>-0.009672610347199795</v>
      </c>
      <c r="AU143" s="146" t="s">
        <v>709</v>
      </c>
      <c r="AV143" s="146" t="s">
        <v>709</v>
      </c>
      <c r="AW143" s="148" t="s">
        <v>709</v>
      </c>
      <c r="AX143" s="151"/>
      <c r="AY143" s="105"/>
      <c r="AZ143" s="186"/>
      <c r="BA143" s="186"/>
      <c r="BB143" s="222"/>
      <c r="BC143" s="45"/>
      <c r="BD143" s="45"/>
      <c r="BE143" s="45"/>
      <c r="BF143" s="45"/>
    </row>
    <row r="144">
      <c r="A144" s="79">
        <v>141.0</v>
      </c>
      <c r="B144" s="108" t="s">
        <v>710</v>
      </c>
      <c r="C144" s="115" t="s">
        <v>56</v>
      </c>
      <c r="D144" s="110">
        <v>42751.0</v>
      </c>
      <c r="E144" s="110">
        <v>42878.0</v>
      </c>
      <c r="F144" s="107" t="s">
        <v>683</v>
      </c>
      <c r="G144" s="113">
        <v>28287.0</v>
      </c>
      <c r="H144" s="114">
        <v>221.0</v>
      </c>
      <c r="I144" s="119">
        <v>256.0</v>
      </c>
      <c r="J144" s="122" t="s">
        <v>61</v>
      </c>
      <c r="K144" s="121">
        <v>259.24</v>
      </c>
      <c r="L144" s="119" t="s">
        <v>63</v>
      </c>
      <c r="M144" s="119"/>
      <c r="N144" s="119"/>
      <c r="O144" s="124">
        <v>28287.0</v>
      </c>
      <c r="P144" s="124">
        <v>128.0</v>
      </c>
      <c r="Q144" s="122">
        <v>358.0</v>
      </c>
      <c r="R144" s="125">
        <v>260.0</v>
      </c>
      <c r="S144" s="126">
        <v>0.9971</v>
      </c>
      <c r="T144" s="127">
        <v>81562.78</v>
      </c>
      <c r="U144" s="128">
        <f t="shared" si="2"/>
        <v>0</v>
      </c>
      <c r="V144" s="107" t="s">
        <v>127</v>
      </c>
      <c r="W144" s="107" t="s">
        <v>64</v>
      </c>
      <c r="X144" s="107" t="s">
        <v>64</v>
      </c>
      <c r="Y144" s="131">
        <v>0.9</v>
      </c>
      <c r="Z144" s="160"/>
      <c r="AA144" s="111">
        <v>260.0</v>
      </c>
      <c r="AB144" s="111" t="s">
        <v>61</v>
      </c>
      <c r="AC144" s="141"/>
      <c r="AD144" s="141"/>
      <c r="AE144" s="141"/>
      <c r="AF144" s="122"/>
      <c r="AG144" s="147"/>
      <c r="AH144" s="73"/>
      <c r="AI144" s="135"/>
      <c r="AJ144" s="136"/>
      <c r="AK144" s="76"/>
      <c r="AL144" s="135"/>
      <c r="AM144" s="139">
        <v>263.0</v>
      </c>
      <c r="AN144" s="139">
        <v>128.0</v>
      </c>
      <c r="AO144" s="140">
        <v>123.98</v>
      </c>
      <c r="AP144" s="152">
        <v>45524.0</v>
      </c>
      <c r="AQ144" s="152">
        <v>222.0</v>
      </c>
      <c r="AR144" s="143">
        <v>-1.0</v>
      </c>
      <c r="AS144" s="144">
        <v>0.9577658255774165</v>
      </c>
      <c r="AT144" s="144">
        <v>0.03933417442258347</v>
      </c>
      <c r="AU144" s="146" t="s">
        <v>711</v>
      </c>
      <c r="AV144" s="146" t="s">
        <v>711</v>
      </c>
      <c r="AW144" s="148" t="s">
        <v>711</v>
      </c>
      <c r="AX144" s="151"/>
      <c r="AY144" s="105"/>
      <c r="AZ144" s="186"/>
      <c r="BA144" s="186"/>
      <c r="BB144" s="222"/>
      <c r="BC144" s="45"/>
      <c r="BD144" s="45"/>
      <c r="BE144" s="45"/>
      <c r="BF144" s="45"/>
    </row>
    <row r="145">
      <c r="A145" s="79">
        <v>142.0</v>
      </c>
      <c r="B145" s="108" t="s">
        <v>713</v>
      </c>
      <c r="C145" s="115" t="s">
        <v>56</v>
      </c>
      <c r="D145" s="110">
        <v>42088.0</v>
      </c>
      <c r="E145" s="110">
        <v>42881.0</v>
      </c>
      <c r="F145" s="107" t="s">
        <v>86</v>
      </c>
      <c r="G145" s="113">
        <v>32123.0</v>
      </c>
      <c r="H145" s="114">
        <v>40.5</v>
      </c>
      <c r="I145" s="119">
        <v>265.0</v>
      </c>
      <c r="J145" s="122" t="s">
        <v>61</v>
      </c>
      <c r="K145" s="121">
        <v>268.35</v>
      </c>
      <c r="L145" s="119" t="s">
        <v>63</v>
      </c>
      <c r="M145" s="119"/>
      <c r="N145" s="119"/>
      <c r="O145" s="124">
        <v>32123.0</v>
      </c>
      <c r="P145" s="124">
        <v>794.0</v>
      </c>
      <c r="Q145" s="122">
        <v>318.0</v>
      </c>
      <c r="R145" s="125">
        <v>273.0</v>
      </c>
      <c r="S145" s="126">
        <v>0.983</v>
      </c>
      <c r="T145" s="127">
        <v>76182.5</v>
      </c>
      <c r="U145" s="128">
        <f t="shared" si="2"/>
        <v>0</v>
      </c>
      <c r="V145" s="170"/>
      <c r="W145" s="170"/>
      <c r="X145" s="170"/>
      <c r="Y145" s="131"/>
      <c r="Z145" s="132"/>
      <c r="AA145" s="133"/>
      <c r="AB145" s="133"/>
      <c r="AC145" s="141"/>
      <c r="AD145" s="141"/>
      <c r="AE145" s="141"/>
      <c r="AF145" s="122"/>
      <c r="AG145" s="147"/>
      <c r="AH145" s="73"/>
      <c r="AI145" s="135"/>
      <c r="AJ145" s="136"/>
      <c r="AK145" s="76"/>
      <c r="AL145" s="135"/>
      <c r="AM145" s="139" t="s">
        <v>71</v>
      </c>
      <c r="AN145" s="139">
        <v>794.0</v>
      </c>
      <c r="AO145" s="140">
        <v>132.97</v>
      </c>
      <c r="AP145" s="152">
        <v>51697.0</v>
      </c>
      <c r="AQ145" s="152">
        <v>198.0</v>
      </c>
      <c r="AR145" s="143">
        <v>-1.0</v>
      </c>
      <c r="AS145" s="144">
        <v>0.9556277560204532</v>
      </c>
      <c r="AT145" s="144">
        <v>0.02737224397954674</v>
      </c>
      <c r="AU145" s="146" t="s">
        <v>714</v>
      </c>
      <c r="AV145" s="146" t="s">
        <v>714</v>
      </c>
      <c r="AW145" s="148" t="s">
        <v>714</v>
      </c>
      <c r="AX145" s="151"/>
      <c r="AY145" s="105"/>
      <c r="AZ145" s="186"/>
      <c r="BA145" s="186"/>
      <c r="BB145" s="222"/>
      <c r="BC145" s="45"/>
      <c r="BD145" s="45"/>
      <c r="BE145" s="45"/>
      <c r="BF145" s="45"/>
    </row>
    <row r="146">
      <c r="A146" s="79">
        <v>143.0</v>
      </c>
      <c r="B146" s="108" t="s">
        <v>715</v>
      </c>
      <c r="C146" s="115" t="s">
        <v>56</v>
      </c>
      <c r="D146" s="110">
        <v>42577.0</v>
      </c>
      <c r="E146" s="110">
        <v>42883.0</v>
      </c>
      <c r="F146" s="107" t="s">
        <v>250</v>
      </c>
      <c r="G146" s="113">
        <v>12340.0</v>
      </c>
      <c r="H146" s="114">
        <v>40.2</v>
      </c>
      <c r="I146" s="119">
        <v>217.0</v>
      </c>
      <c r="J146" s="122" t="s">
        <v>62</v>
      </c>
      <c r="K146" s="121">
        <v>217.0</v>
      </c>
      <c r="L146" s="119" t="s">
        <v>63</v>
      </c>
      <c r="M146" s="119"/>
      <c r="N146" s="119"/>
      <c r="O146" s="124">
        <v>12340.0</v>
      </c>
      <c r="P146" s="124">
        <v>307.0</v>
      </c>
      <c r="Q146" s="122">
        <v>325.0</v>
      </c>
      <c r="R146" s="125">
        <v>222.0</v>
      </c>
      <c r="S146" s="126">
        <v>0.9775</v>
      </c>
      <c r="T146" s="127">
        <v>57183.75</v>
      </c>
      <c r="U146" s="128">
        <f t="shared" si="2"/>
        <v>0</v>
      </c>
      <c r="V146" s="107" t="s">
        <v>69</v>
      </c>
      <c r="W146" s="107" t="s">
        <v>65</v>
      </c>
      <c r="X146" s="107" t="s">
        <v>66</v>
      </c>
      <c r="Y146" s="131">
        <v>0.9</v>
      </c>
      <c r="Z146" s="160"/>
      <c r="AA146" s="111">
        <v>219.0</v>
      </c>
      <c r="AB146" s="111" t="s">
        <v>61</v>
      </c>
      <c r="AC146" s="141"/>
      <c r="AD146" s="141"/>
      <c r="AE146" s="141"/>
      <c r="AF146" s="122"/>
      <c r="AG146" s="147"/>
      <c r="AH146" s="73"/>
      <c r="AI146" s="135"/>
      <c r="AJ146" s="136"/>
      <c r="AK146" s="76"/>
      <c r="AL146" s="135"/>
      <c r="AM146" s="139">
        <v>222.0</v>
      </c>
      <c r="AN146" s="139">
        <v>307.0</v>
      </c>
      <c r="AO146" s="140">
        <v>69.35</v>
      </c>
      <c r="AP146" s="152">
        <v>19859.0</v>
      </c>
      <c r="AQ146" s="152">
        <v>202.0</v>
      </c>
      <c r="AR146" s="143">
        <v>-1.0</v>
      </c>
      <c r="AS146" s="144">
        <v>0.9727165428641205</v>
      </c>
      <c r="AT146" s="144">
        <v>0.004783457135879576</v>
      </c>
      <c r="AU146" s="146" t="s">
        <v>718</v>
      </c>
      <c r="AV146" s="146" t="s">
        <v>718</v>
      </c>
      <c r="AW146" s="148" t="s">
        <v>718</v>
      </c>
      <c r="AX146" s="151"/>
      <c r="AY146" s="105"/>
      <c r="AZ146" s="186"/>
      <c r="BA146" s="186"/>
      <c r="BB146" s="222"/>
      <c r="BC146" s="45"/>
      <c r="BD146" s="45"/>
      <c r="BE146" s="45"/>
      <c r="BF146" s="45"/>
    </row>
    <row r="147">
      <c r="A147" s="79">
        <v>144.0</v>
      </c>
      <c r="B147" s="108" t="s">
        <v>719</v>
      </c>
      <c r="C147" s="115" t="s">
        <v>56</v>
      </c>
      <c r="D147" s="110">
        <v>41673.0</v>
      </c>
      <c r="E147" s="110">
        <v>42884.0</v>
      </c>
      <c r="F147" s="107" t="s">
        <v>109</v>
      </c>
      <c r="G147" s="113">
        <v>29814.0</v>
      </c>
      <c r="H147" s="114">
        <v>24.6</v>
      </c>
      <c r="I147" s="119">
        <v>178.0</v>
      </c>
      <c r="J147" s="122" t="s">
        <v>62</v>
      </c>
      <c r="K147" s="121">
        <v>178.0</v>
      </c>
      <c r="L147" s="119" t="s">
        <v>63</v>
      </c>
      <c r="M147" s="119"/>
      <c r="N147" s="119"/>
      <c r="O147" s="124">
        <v>29814.0</v>
      </c>
      <c r="P147" s="124">
        <v>1212.0</v>
      </c>
      <c r="Q147" s="122">
        <v>318.0</v>
      </c>
      <c r="R147" s="125">
        <v>210.0</v>
      </c>
      <c r="S147" s="126">
        <v>0.8476</v>
      </c>
      <c r="T147" s="127">
        <v>49584.6</v>
      </c>
      <c r="U147" s="128">
        <f t="shared" si="2"/>
        <v>0</v>
      </c>
      <c r="V147" s="170"/>
      <c r="W147" s="170"/>
      <c r="X147" s="107"/>
      <c r="Y147" s="131"/>
      <c r="Z147" s="132"/>
      <c r="AA147" s="133"/>
      <c r="AB147" s="133"/>
      <c r="AC147" s="141"/>
      <c r="AD147" s="141"/>
      <c r="AE147" s="141"/>
      <c r="AF147" s="122"/>
      <c r="AG147" s="147"/>
      <c r="AH147" s="73"/>
      <c r="AI147" s="135"/>
      <c r="AJ147" s="136"/>
      <c r="AK147" s="76"/>
      <c r="AL147" s="135"/>
      <c r="AM147" s="139" t="s">
        <v>71</v>
      </c>
      <c r="AN147" s="139">
        <v>1212.0</v>
      </c>
      <c r="AO147" s="140">
        <v>175.51</v>
      </c>
      <c r="AP147" s="152">
        <v>47981.0</v>
      </c>
      <c r="AQ147" s="152">
        <v>198.0</v>
      </c>
      <c r="AR147" s="143">
        <v>-1.0</v>
      </c>
      <c r="AS147" s="144">
        <v>0.956873565626465</v>
      </c>
      <c r="AT147" s="144">
        <v>-0.10927356562646495</v>
      </c>
      <c r="AU147" s="146" t="s">
        <v>721</v>
      </c>
      <c r="AV147" s="146" t="s">
        <v>721</v>
      </c>
      <c r="AW147" s="148" t="s">
        <v>721</v>
      </c>
      <c r="AX147" s="151"/>
      <c r="AY147" s="105"/>
      <c r="AZ147" s="186"/>
      <c r="BA147" s="186"/>
      <c r="BB147" s="222"/>
      <c r="BC147" s="45"/>
      <c r="BD147" s="45"/>
      <c r="BE147" s="45"/>
      <c r="BF147" s="45"/>
    </row>
    <row r="148">
      <c r="A148" s="79">
        <v>145.0</v>
      </c>
      <c r="B148" s="108" t="s">
        <v>722</v>
      </c>
      <c r="C148" s="115" t="s">
        <v>56</v>
      </c>
      <c r="D148" s="110">
        <v>42633.0</v>
      </c>
      <c r="E148" s="110">
        <v>42885.0</v>
      </c>
      <c r="F148" s="107" t="s">
        <v>109</v>
      </c>
      <c r="G148" s="113">
        <v>15000.0</v>
      </c>
      <c r="H148" s="114">
        <v>59.3</v>
      </c>
      <c r="I148" s="119">
        <v>208.0</v>
      </c>
      <c r="J148" s="122" t="s">
        <v>62</v>
      </c>
      <c r="K148" s="121">
        <v>208.0</v>
      </c>
      <c r="L148" s="119" t="s">
        <v>63</v>
      </c>
      <c r="M148" s="119"/>
      <c r="N148" s="119"/>
      <c r="O148" s="124">
        <v>15000.0</v>
      </c>
      <c r="P148" s="124">
        <v>253.0</v>
      </c>
      <c r="Q148" s="122">
        <v>183.0</v>
      </c>
      <c r="R148" s="125">
        <v>210.0</v>
      </c>
      <c r="S148" s="126">
        <v>0.9905</v>
      </c>
      <c r="T148" s="127">
        <v>57944.25</v>
      </c>
      <c r="U148" s="128">
        <f t="shared" si="2"/>
        <v>0</v>
      </c>
      <c r="V148" s="107" t="s">
        <v>64</v>
      </c>
      <c r="W148" s="107" t="s">
        <v>66</v>
      </c>
      <c r="X148" s="107" t="s">
        <v>66</v>
      </c>
      <c r="Y148" s="131">
        <v>0.9</v>
      </c>
      <c r="Z148" s="160"/>
      <c r="AA148" s="111">
        <v>220.0</v>
      </c>
      <c r="AB148" s="111" t="s">
        <v>62</v>
      </c>
      <c r="AC148" s="141"/>
      <c r="AD148" s="141"/>
      <c r="AE148" s="141"/>
      <c r="AF148" s="122"/>
      <c r="AG148" s="147"/>
      <c r="AH148" s="73"/>
      <c r="AI148" s="135"/>
      <c r="AJ148" s="136"/>
      <c r="AK148" s="76"/>
      <c r="AL148" s="135"/>
      <c r="AM148" s="139">
        <v>220.0</v>
      </c>
      <c r="AN148" s="139">
        <v>253.0</v>
      </c>
      <c r="AO148" s="140">
        <v>47.16</v>
      </c>
      <c r="AP148" s="152">
        <v>24140.0</v>
      </c>
      <c r="AQ148" s="152">
        <v>114.0</v>
      </c>
      <c r="AR148" s="143">
        <v>-1.0</v>
      </c>
      <c r="AS148" s="144">
        <v>0.969198030528648</v>
      </c>
      <c r="AT148" s="144">
        <v>0.0213019694713521</v>
      </c>
      <c r="AU148" s="146" t="s">
        <v>724</v>
      </c>
      <c r="AV148" s="146" t="s">
        <v>724</v>
      </c>
      <c r="AW148" s="148" t="s">
        <v>724</v>
      </c>
      <c r="AX148" s="151"/>
      <c r="AY148" s="105"/>
      <c r="AZ148" s="186"/>
      <c r="BA148" s="186"/>
      <c r="BB148" s="222"/>
      <c r="BC148" s="45"/>
      <c r="BD148" s="45"/>
      <c r="BE148" s="45"/>
      <c r="BF148" s="45"/>
    </row>
    <row r="149">
      <c r="A149" s="79">
        <v>146.0</v>
      </c>
      <c r="B149" s="108" t="s">
        <v>161</v>
      </c>
      <c r="C149" s="115" t="s">
        <v>56</v>
      </c>
      <c r="D149" s="110">
        <v>41310.0</v>
      </c>
      <c r="E149" s="110">
        <v>42887.0</v>
      </c>
      <c r="F149" s="107" t="s">
        <v>59</v>
      </c>
      <c r="G149" s="113">
        <v>57133.0</v>
      </c>
      <c r="H149" s="114">
        <v>36.2</v>
      </c>
      <c r="I149" s="119">
        <v>253.0</v>
      </c>
      <c r="J149" s="122" t="s">
        <v>62</v>
      </c>
      <c r="K149" s="121">
        <v>253.0</v>
      </c>
      <c r="L149" s="119" t="s">
        <v>63</v>
      </c>
      <c r="M149" s="119"/>
      <c r="N149" s="119"/>
      <c r="O149" s="124">
        <v>57133.0</v>
      </c>
      <c r="P149" s="124">
        <v>1578.0</v>
      </c>
      <c r="Q149" s="122">
        <v>297.0</v>
      </c>
      <c r="R149" s="125">
        <v>269.0</v>
      </c>
      <c r="S149" s="126">
        <v>0.9405</v>
      </c>
      <c r="T149" s="127">
        <v>72888.75</v>
      </c>
      <c r="U149" s="128">
        <f t="shared" si="2"/>
        <v>0</v>
      </c>
      <c r="V149" s="107" t="s">
        <v>64</v>
      </c>
      <c r="W149" s="107" t="s">
        <v>69</v>
      </c>
      <c r="X149" s="107" t="s">
        <v>69</v>
      </c>
      <c r="Y149" s="131">
        <v>0.9</v>
      </c>
      <c r="Z149" s="160">
        <v>1.0</v>
      </c>
      <c r="AA149" s="111">
        <v>270.0</v>
      </c>
      <c r="AB149" s="111" t="s">
        <v>61</v>
      </c>
      <c r="AC149" s="141"/>
      <c r="AD149" s="141"/>
      <c r="AE149" s="141"/>
      <c r="AF149" s="122"/>
      <c r="AG149" s="134" t="s">
        <v>166</v>
      </c>
      <c r="AH149" s="73"/>
      <c r="AI149" s="135"/>
      <c r="AJ149" s="136"/>
      <c r="AK149" s="76"/>
      <c r="AL149" s="135"/>
      <c r="AM149" s="139">
        <v>273.0</v>
      </c>
      <c r="AN149" s="139">
        <v>1578.0</v>
      </c>
      <c r="AO149" s="140">
        <v>225.73</v>
      </c>
      <c r="AP149" s="152">
        <v>91947.0</v>
      </c>
      <c r="AQ149" s="152">
        <v>185.0</v>
      </c>
      <c r="AR149" s="143">
        <v>-1.0</v>
      </c>
      <c r="AS149" s="144">
        <v>0.9463851299515661</v>
      </c>
      <c r="AT149" s="144">
        <v>-0.005885129951566093</v>
      </c>
      <c r="AU149" s="146" t="s">
        <v>726</v>
      </c>
      <c r="AV149" s="146" t="s">
        <v>726</v>
      </c>
      <c r="AW149" s="148" t="s">
        <v>726</v>
      </c>
      <c r="AX149" s="151"/>
      <c r="AY149" s="105"/>
      <c r="AZ149" s="186"/>
      <c r="BA149" s="186"/>
      <c r="BB149" s="222"/>
      <c r="BC149" s="45"/>
      <c r="BD149" s="45"/>
      <c r="BE149" s="45"/>
      <c r="BF149" s="45"/>
    </row>
    <row r="150">
      <c r="A150" s="79">
        <v>147.0</v>
      </c>
      <c r="B150" s="108" t="s">
        <v>519</v>
      </c>
      <c r="C150" s="115" t="s">
        <v>56</v>
      </c>
      <c r="D150" s="110">
        <v>42551.0</v>
      </c>
      <c r="E150" s="110">
        <v>42848.0</v>
      </c>
      <c r="F150" s="107" t="s">
        <v>305</v>
      </c>
      <c r="G150" s="113">
        <v>12414.0</v>
      </c>
      <c r="H150" s="114">
        <v>41.7</v>
      </c>
      <c r="I150" s="119">
        <v>293.0</v>
      </c>
      <c r="J150" s="122" t="s">
        <v>62</v>
      </c>
      <c r="K150" s="121">
        <v>293.0</v>
      </c>
      <c r="L150" s="119" t="s">
        <v>63</v>
      </c>
      <c r="M150" s="119"/>
      <c r="N150" s="119"/>
      <c r="O150" s="124">
        <v>12414.0</v>
      </c>
      <c r="P150" s="124">
        <v>298.0</v>
      </c>
      <c r="Q150" s="122">
        <v>295.0</v>
      </c>
      <c r="R150" s="125">
        <v>295.0</v>
      </c>
      <c r="S150" s="126">
        <v>0.9932</v>
      </c>
      <c r="T150" s="127">
        <v>81243.76</v>
      </c>
      <c r="U150" s="128">
        <f t="shared" si="2"/>
        <v>0</v>
      </c>
      <c r="V150" s="107" t="s">
        <v>64</v>
      </c>
      <c r="W150" s="107" t="s">
        <v>69</v>
      </c>
      <c r="X150" s="107" t="s">
        <v>68</v>
      </c>
      <c r="Y150" s="131">
        <v>0.8</v>
      </c>
      <c r="Z150" s="160">
        <v>9.8</v>
      </c>
      <c r="AA150" s="111">
        <v>295.0</v>
      </c>
      <c r="AB150" s="111" t="s">
        <v>62</v>
      </c>
      <c r="AC150" s="141"/>
      <c r="AD150" s="141"/>
      <c r="AE150" s="141"/>
      <c r="AF150" s="122"/>
      <c r="AG150" s="147"/>
      <c r="AH150" s="73"/>
      <c r="AI150" s="135"/>
      <c r="AJ150" s="136"/>
      <c r="AK150" s="76"/>
      <c r="AL150" s="135"/>
      <c r="AM150" s="139">
        <v>295.0</v>
      </c>
      <c r="AN150" s="139">
        <v>298.0</v>
      </c>
      <c r="AO150" s="140">
        <v>44.93</v>
      </c>
      <c r="AP150" s="152">
        <v>19978.0</v>
      </c>
      <c r="AQ150" s="152">
        <v>183.0</v>
      </c>
      <c r="AR150" s="143">
        <v>-1.0</v>
      </c>
      <c r="AS150" s="144">
        <v>0.972610717072119</v>
      </c>
      <c r="AT150" s="144">
        <v>0.02058928292788098</v>
      </c>
      <c r="AU150" s="146" t="s">
        <v>728</v>
      </c>
      <c r="AV150" s="146" t="s">
        <v>728</v>
      </c>
      <c r="AW150" s="148" t="s">
        <v>728</v>
      </c>
      <c r="AX150" s="151"/>
      <c r="AY150" s="105"/>
      <c r="AZ150" s="186"/>
      <c r="BA150" s="186"/>
      <c r="BB150" s="222"/>
      <c r="BC150" s="45"/>
      <c r="BD150" s="45"/>
      <c r="BE150" s="45"/>
      <c r="BF150" s="45"/>
    </row>
    <row r="151">
      <c r="A151" s="79">
        <v>148.0</v>
      </c>
      <c r="B151" s="108" t="s">
        <v>729</v>
      </c>
      <c r="C151" s="115" t="s">
        <v>56</v>
      </c>
      <c r="D151" s="110">
        <v>41334.0</v>
      </c>
      <c r="E151" s="110">
        <v>42891.0</v>
      </c>
      <c r="F151" s="107" t="s">
        <v>79</v>
      </c>
      <c r="G151" s="113">
        <v>54297.0</v>
      </c>
      <c r="H151" s="114">
        <v>34.9</v>
      </c>
      <c r="I151" s="119">
        <v>255.0</v>
      </c>
      <c r="J151" s="122" t="s">
        <v>61</v>
      </c>
      <c r="K151" s="121">
        <v>258.23</v>
      </c>
      <c r="L151" s="119" t="s">
        <v>63</v>
      </c>
      <c r="M151" s="119"/>
      <c r="N151" s="119"/>
      <c r="O151" s="124">
        <v>54297.0</v>
      </c>
      <c r="P151" s="124">
        <v>1558.0</v>
      </c>
      <c r="Q151" s="122">
        <v>330.0</v>
      </c>
      <c r="R151" s="125">
        <v>269.0</v>
      </c>
      <c r="S151" s="126">
        <v>0.96</v>
      </c>
      <c r="T151" s="127">
        <v>74400.0</v>
      </c>
      <c r="U151" s="128">
        <f t="shared" si="2"/>
        <v>0</v>
      </c>
      <c r="V151" s="107" t="s">
        <v>69</v>
      </c>
      <c r="W151" s="107" t="s">
        <v>66</v>
      </c>
      <c r="X151" s="107" t="s">
        <v>68</v>
      </c>
      <c r="Y151" s="131">
        <v>0.9</v>
      </c>
      <c r="Z151" s="132"/>
      <c r="AA151" s="111">
        <v>265.0</v>
      </c>
      <c r="AB151" s="111" t="s">
        <v>61</v>
      </c>
      <c r="AC151" s="141"/>
      <c r="AD151" s="141"/>
      <c r="AE151" s="141"/>
      <c r="AF151" s="122"/>
      <c r="AG151" s="134" t="s">
        <v>732</v>
      </c>
      <c r="AH151" s="73"/>
      <c r="AI151" s="135"/>
      <c r="AJ151" s="136"/>
      <c r="AK151" s="76"/>
      <c r="AL151" s="135"/>
      <c r="AM151" s="139">
        <v>268.0</v>
      </c>
      <c r="AN151" s="139">
        <v>1558.0</v>
      </c>
      <c r="AO151" s="140">
        <v>235.98</v>
      </c>
      <c r="AP151" s="152">
        <v>87383.0</v>
      </c>
      <c r="AQ151" s="152">
        <v>205.0</v>
      </c>
      <c r="AR151" s="143">
        <v>-1.0</v>
      </c>
      <c r="AS151" s="144">
        <v>0.9472234314804184</v>
      </c>
      <c r="AT151" s="144">
        <v>0.012776568519581533</v>
      </c>
      <c r="AU151" s="146" t="s">
        <v>733</v>
      </c>
      <c r="AV151" s="146" t="s">
        <v>733</v>
      </c>
      <c r="AW151" s="148" t="s">
        <v>733</v>
      </c>
      <c r="AX151" s="151"/>
      <c r="AY151" s="105"/>
      <c r="AZ151" s="186"/>
      <c r="BA151" s="186"/>
      <c r="BB151" s="222"/>
      <c r="BC151" s="45"/>
      <c r="BD151" s="45"/>
      <c r="BE151" s="45"/>
      <c r="BF151" s="45"/>
    </row>
    <row r="152">
      <c r="A152" s="79">
        <v>149.0</v>
      </c>
      <c r="B152" s="108" t="s">
        <v>161</v>
      </c>
      <c r="C152" s="115" t="s">
        <v>56</v>
      </c>
      <c r="D152" s="110">
        <v>41310.0</v>
      </c>
      <c r="E152" s="110">
        <v>42905.0</v>
      </c>
      <c r="F152" s="107" t="s">
        <v>59</v>
      </c>
      <c r="G152" s="113">
        <v>57585.0</v>
      </c>
      <c r="H152" s="114">
        <v>36.1</v>
      </c>
      <c r="I152" s="119">
        <v>253.0</v>
      </c>
      <c r="J152" s="122" t="s">
        <v>62</v>
      </c>
      <c r="K152" s="121">
        <v>253.0</v>
      </c>
      <c r="L152" s="119" t="s">
        <v>63</v>
      </c>
      <c r="M152" s="119"/>
      <c r="N152" s="119"/>
      <c r="O152" s="124">
        <v>57585.0</v>
      </c>
      <c r="P152" s="124">
        <v>1596.0</v>
      </c>
      <c r="Q152" s="122">
        <v>297.0</v>
      </c>
      <c r="R152" s="125">
        <v>269.0</v>
      </c>
      <c r="S152" s="126">
        <v>0.9405</v>
      </c>
      <c r="T152" s="127">
        <v>72888.75</v>
      </c>
      <c r="U152" s="128">
        <f t="shared" si="2"/>
        <v>0</v>
      </c>
      <c r="V152" s="107" t="s">
        <v>64</v>
      </c>
      <c r="W152" s="107" t="s">
        <v>69</v>
      </c>
      <c r="X152" s="107" t="s">
        <v>69</v>
      </c>
      <c r="Y152" s="131">
        <v>0.9</v>
      </c>
      <c r="Z152" s="160">
        <v>1.0</v>
      </c>
      <c r="AA152" s="111">
        <v>270.0</v>
      </c>
      <c r="AB152" s="111" t="s">
        <v>61</v>
      </c>
      <c r="AC152" s="141"/>
      <c r="AD152" s="141"/>
      <c r="AE152" s="141"/>
      <c r="AF152" s="122"/>
      <c r="AG152" s="134" t="s">
        <v>166</v>
      </c>
      <c r="AH152" s="73"/>
      <c r="AI152" s="135"/>
      <c r="AJ152" s="136"/>
      <c r="AK152" s="76"/>
      <c r="AL152" s="135"/>
      <c r="AM152" s="139">
        <v>273.0</v>
      </c>
      <c r="AN152" s="139">
        <v>1596.0</v>
      </c>
      <c r="AO152" s="140">
        <v>227.52</v>
      </c>
      <c r="AP152" s="152">
        <v>92674.0</v>
      </c>
      <c r="AQ152" s="152">
        <v>185.0</v>
      </c>
      <c r="AR152" s="143">
        <v>-1.0</v>
      </c>
      <c r="AS152" s="144">
        <v>0.9462539633891974</v>
      </c>
      <c r="AT152" s="144">
        <v>-0.005753963389197425</v>
      </c>
      <c r="AU152" s="146" t="s">
        <v>735</v>
      </c>
      <c r="AV152" s="146" t="s">
        <v>735</v>
      </c>
      <c r="AW152" s="148" t="s">
        <v>735</v>
      </c>
      <c r="AX152" s="151"/>
      <c r="AY152" s="105"/>
      <c r="AZ152" s="186"/>
      <c r="BA152" s="186"/>
      <c r="BB152" s="222"/>
      <c r="BC152" s="45"/>
      <c r="BD152" s="45"/>
      <c r="BE152" s="45"/>
      <c r="BF152" s="45"/>
    </row>
    <row r="153">
      <c r="A153" s="79">
        <v>150.0</v>
      </c>
      <c r="B153" s="108" t="s">
        <v>736</v>
      </c>
      <c r="C153" s="115" t="s">
        <v>56</v>
      </c>
      <c r="D153" s="110">
        <v>42430.0</v>
      </c>
      <c r="E153" s="110">
        <v>42903.0</v>
      </c>
      <c r="F153" s="107" t="s">
        <v>118</v>
      </c>
      <c r="G153" s="113">
        <v>17165.0</v>
      </c>
      <c r="H153" s="114">
        <v>36.2</v>
      </c>
      <c r="I153" s="119">
        <v>238.0</v>
      </c>
      <c r="J153" s="122" t="s">
        <v>61</v>
      </c>
      <c r="K153" s="121">
        <v>241.01</v>
      </c>
      <c r="L153" s="119" t="s">
        <v>63</v>
      </c>
      <c r="M153" s="119"/>
      <c r="N153" s="119"/>
      <c r="O153" s="124">
        <v>17165.0</v>
      </c>
      <c r="P153" s="124">
        <v>474.0</v>
      </c>
      <c r="Q153" s="191"/>
      <c r="R153" s="125">
        <v>243.0</v>
      </c>
      <c r="S153" s="126">
        <v>0.9918</v>
      </c>
      <c r="T153" s="127">
        <v>68235.84</v>
      </c>
      <c r="U153" s="128">
        <f t="shared" si="2"/>
        <v>1</v>
      </c>
      <c r="V153" s="107" t="s">
        <v>66</v>
      </c>
      <c r="W153" s="107" t="s">
        <v>66</v>
      </c>
      <c r="X153" s="107" t="s">
        <v>68</v>
      </c>
      <c r="Y153" s="131">
        <v>0.8</v>
      </c>
      <c r="Z153" s="160">
        <v>25.0</v>
      </c>
      <c r="AA153" s="133"/>
      <c r="AB153" s="133"/>
      <c r="AC153" s="141"/>
      <c r="AD153" s="141"/>
      <c r="AE153" s="141"/>
      <c r="AF153" s="122"/>
      <c r="AG153" s="147"/>
      <c r="AH153" s="73"/>
      <c r="AI153" s="135"/>
      <c r="AJ153" s="136"/>
      <c r="AK153" s="76"/>
      <c r="AL153" s="135"/>
      <c r="AM153" s="139" t="s">
        <v>71</v>
      </c>
      <c r="AN153" s="139">
        <v>474.0</v>
      </c>
      <c r="AO153" s="140"/>
      <c r="AP153" s="152">
        <v>27624.0</v>
      </c>
      <c r="AQ153" s="152"/>
      <c r="AR153" s="143">
        <v>-1.0</v>
      </c>
      <c r="AS153" s="144">
        <v>0.966723723061244</v>
      </c>
      <c r="AT153" s="144">
        <v>0.025076276938756026</v>
      </c>
      <c r="AU153" s="146" t="s">
        <v>738</v>
      </c>
      <c r="AV153" s="146" t="s">
        <v>738</v>
      </c>
      <c r="AW153" s="148" t="s">
        <v>738</v>
      </c>
      <c r="AX153" s="151"/>
      <c r="AY153" s="105"/>
      <c r="AZ153" s="186"/>
      <c r="BA153" s="186"/>
      <c r="BB153" s="222"/>
      <c r="BC153" s="45"/>
      <c r="BD153" s="45"/>
      <c r="BE153" s="45"/>
      <c r="BF153" s="45"/>
    </row>
    <row r="154">
      <c r="A154" s="79">
        <v>151.0</v>
      </c>
      <c r="B154" s="108" t="s">
        <v>739</v>
      </c>
      <c r="C154" s="115" t="s">
        <v>56</v>
      </c>
      <c r="D154" s="110">
        <v>42643.0</v>
      </c>
      <c r="E154" s="110">
        <v>42906.0</v>
      </c>
      <c r="F154" s="107" t="s">
        <v>629</v>
      </c>
      <c r="G154" s="113">
        <v>11536.0</v>
      </c>
      <c r="H154" s="114">
        <v>43.7</v>
      </c>
      <c r="I154" s="119">
        <v>238.0</v>
      </c>
      <c r="J154" s="122" t="s">
        <v>62</v>
      </c>
      <c r="K154" s="121">
        <v>238.0</v>
      </c>
      <c r="L154" s="119" t="s">
        <v>63</v>
      </c>
      <c r="M154" s="119"/>
      <c r="N154" s="119"/>
      <c r="O154" s="124">
        <v>11536.0</v>
      </c>
      <c r="P154" s="124">
        <v>264.0</v>
      </c>
      <c r="Q154" s="122">
        <v>297.0</v>
      </c>
      <c r="R154" s="125">
        <v>249.0</v>
      </c>
      <c r="S154" s="126">
        <v>0.9558</v>
      </c>
      <c r="T154" s="127">
        <v>69391.08</v>
      </c>
      <c r="U154" s="128">
        <f t="shared" si="2"/>
        <v>0</v>
      </c>
      <c r="V154" s="107" t="s">
        <v>67</v>
      </c>
      <c r="W154" s="107" t="s">
        <v>66</v>
      </c>
      <c r="X154" s="107" t="s">
        <v>66</v>
      </c>
      <c r="Y154" s="131">
        <v>0.9</v>
      </c>
      <c r="Z154" s="132"/>
      <c r="AA154" s="133"/>
      <c r="AB154" s="111" t="s">
        <v>62</v>
      </c>
      <c r="AC154" s="141"/>
      <c r="AD154" s="141"/>
      <c r="AE154" s="141"/>
      <c r="AF154" s="122"/>
      <c r="AG154" s="147"/>
      <c r="AH154" s="73"/>
      <c r="AI154" s="135"/>
      <c r="AJ154" s="136"/>
      <c r="AK154" s="76"/>
      <c r="AL154" s="135"/>
      <c r="AM154" s="139" t="s">
        <v>71</v>
      </c>
      <c r="AN154" s="139">
        <v>264.0</v>
      </c>
      <c r="AO154" s="140">
        <v>48.27</v>
      </c>
      <c r="AP154" s="152">
        <v>18565.0</v>
      </c>
      <c r="AQ154" s="152">
        <v>185.0</v>
      </c>
      <c r="AR154" s="143">
        <v>-1.0</v>
      </c>
      <c r="AS154" s="144">
        <v>0.9738995789675818</v>
      </c>
      <c r="AT154" s="144">
        <v>-0.018099578967581853</v>
      </c>
      <c r="AU154" s="146" t="s">
        <v>740</v>
      </c>
      <c r="AV154" s="146" t="s">
        <v>740</v>
      </c>
      <c r="AW154" s="148" t="s">
        <v>740</v>
      </c>
      <c r="AX154" s="151"/>
      <c r="AY154" s="105"/>
      <c r="AZ154" s="186"/>
      <c r="BA154" s="186"/>
      <c r="BB154" s="222"/>
      <c r="BC154" s="45"/>
      <c r="BD154" s="45"/>
      <c r="BE154" s="45"/>
      <c r="BF154" s="45"/>
    </row>
    <row r="155">
      <c r="A155" s="79">
        <v>152.0</v>
      </c>
      <c r="B155" s="108" t="s">
        <v>739</v>
      </c>
      <c r="C155" s="115" t="s">
        <v>56</v>
      </c>
      <c r="D155" s="110">
        <v>42643.0</v>
      </c>
      <c r="E155" s="110">
        <v>42767.0</v>
      </c>
      <c r="F155" s="107" t="s">
        <v>629</v>
      </c>
      <c r="G155" s="113">
        <v>3000.0</v>
      </c>
      <c r="H155" s="114">
        <v>24.0</v>
      </c>
      <c r="I155" s="119">
        <v>241.0</v>
      </c>
      <c r="J155" s="122" t="s">
        <v>62</v>
      </c>
      <c r="K155" s="121">
        <v>241.0</v>
      </c>
      <c r="L155" s="119" t="s">
        <v>63</v>
      </c>
      <c r="M155" s="119"/>
      <c r="N155" s="119"/>
      <c r="O155" s="124">
        <v>3000.0</v>
      </c>
      <c r="P155" s="124">
        <v>125.0</v>
      </c>
      <c r="Q155" s="122">
        <v>290.0</v>
      </c>
      <c r="R155" s="125">
        <v>249.0</v>
      </c>
      <c r="S155" s="126">
        <v>0.9679</v>
      </c>
      <c r="T155" s="127">
        <v>70269.54</v>
      </c>
      <c r="U155" s="128">
        <f t="shared" si="2"/>
        <v>0</v>
      </c>
      <c r="V155" s="107" t="s">
        <v>65</v>
      </c>
      <c r="W155" s="107" t="s">
        <v>66</v>
      </c>
      <c r="X155" s="107" t="s">
        <v>66</v>
      </c>
      <c r="Y155" s="131">
        <v>0.9</v>
      </c>
      <c r="Z155" s="160"/>
      <c r="AA155" s="133"/>
      <c r="AB155" s="111" t="s">
        <v>62</v>
      </c>
      <c r="AC155" s="141"/>
      <c r="AD155" s="141"/>
      <c r="AE155" s="141"/>
      <c r="AF155" s="122"/>
      <c r="AG155" s="147"/>
      <c r="AH155" s="73"/>
      <c r="AI155" s="135"/>
      <c r="AJ155" s="136"/>
      <c r="AK155" s="76"/>
      <c r="AL155" s="135"/>
      <c r="AM155" s="139" t="s">
        <v>71</v>
      </c>
      <c r="AN155" s="139">
        <v>125.0</v>
      </c>
      <c r="AO155" s="140">
        <v>12.18</v>
      </c>
      <c r="AP155" s="152">
        <v>4828.0</v>
      </c>
      <c r="AQ155" s="152">
        <v>180.0</v>
      </c>
      <c r="AR155" s="143">
        <v>-1.0</v>
      </c>
      <c r="AS155" s="144">
        <v>0.9911471767366185</v>
      </c>
      <c r="AT155" s="144">
        <v>-0.02324717673661847</v>
      </c>
      <c r="AU155" s="146" t="s">
        <v>742</v>
      </c>
      <c r="AV155" s="146" t="s">
        <v>742</v>
      </c>
      <c r="AW155" s="148" t="s">
        <v>742</v>
      </c>
      <c r="AX155" s="151"/>
      <c r="AY155" s="105"/>
      <c r="AZ155" s="186"/>
      <c r="BA155" s="186"/>
      <c r="BB155" s="222"/>
      <c r="BC155" s="45"/>
      <c r="BD155" s="45"/>
      <c r="BE155" s="45"/>
      <c r="BF155" s="45"/>
    </row>
    <row r="156">
      <c r="A156" s="79">
        <v>153.0</v>
      </c>
      <c r="B156" s="108" t="s">
        <v>743</v>
      </c>
      <c r="C156" s="115" t="s">
        <v>56</v>
      </c>
      <c r="D156" s="110">
        <v>41744.0</v>
      </c>
      <c r="E156" s="110">
        <v>42939.0</v>
      </c>
      <c r="F156" s="107" t="s">
        <v>59</v>
      </c>
      <c r="G156" s="113">
        <v>55267.0</v>
      </c>
      <c r="H156" s="114">
        <v>46.2</v>
      </c>
      <c r="I156" s="119">
        <v>260.0</v>
      </c>
      <c r="J156" s="122" t="s">
        <v>61</v>
      </c>
      <c r="K156" s="121">
        <v>263.29</v>
      </c>
      <c r="L156" s="119" t="s">
        <v>63</v>
      </c>
      <c r="M156" s="119"/>
      <c r="N156" s="119"/>
      <c r="O156" s="124">
        <v>55267.0</v>
      </c>
      <c r="P156" s="124">
        <v>1196.0</v>
      </c>
      <c r="Q156" s="122">
        <v>330.0</v>
      </c>
      <c r="R156" s="125">
        <v>269.0</v>
      </c>
      <c r="S156" s="126">
        <v>0.9788</v>
      </c>
      <c r="T156" s="127">
        <v>75857.0</v>
      </c>
      <c r="U156" s="128">
        <f t="shared" si="2"/>
        <v>0</v>
      </c>
      <c r="V156" s="107" t="s">
        <v>69</v>
      </c>
      <c r="W156" s="107" t="s">
        <v>69</v>
      </c>
      <c r="X156" s="107" t="s">
        <v>68</v>
      </c>
      <c r="Y156" s="131">
        <v>0.8</v>
      </c>
      <c r="Z156" s="160">
        <v>9.8</v>
      </c>
      <c r="AA156" s="111">
        <v>272.0</v>
      </c>
      <c r="AB156" s="111" t="s">
        <v>61</v>
      </c>
      <c r="AC156" s="182">
        <v>228.0</v>
      </c>
      <c r="AD156" s="182">
        <v>166.0</v>
      </c>
      <c r="AE156" s="182">
        <v>16.8</v>
      </c>
      <c r="AF156" s="122" t="s">
        <v>61</v>
      </c>
      <c r="AG156" s="134" t="s">
        <v>745</v>
      </c>
      <c r="AH156" s="73">
        <v>62.0</v>
      </c>
      <c r="AI156" s="135">
        <v>62.784810126582286</v>
      </c>
      <c r="AJ156" s="136">
        <v>70.45130806451613</v>
      </c>
      <c r="AK156" s="76">
        <v>0.9090491363163371</v>
      </c>
      <c r="AL156" s="135" t="s">
        <v>747</v>
      </c>
      <c r="AM156" s="139">
        <v>275.0</v>
      </c>
      <c r="AN156" s="139">
        <v>1196.0</v>
      </c>
      <c r="AO156" s="140">
        <v>237.9</v>
      </c>
      <c r="AP156" s="152">
        <v>88944.0</v>
      </c>
      <c r="AQ156" s="152">
        <v>205.0</v>
      </c>
      <c r="AR156" s="143">
        <v>-1.0</v>
      </c>
      <c r="AS156" s="144">
        <v>0.9469336551875412</v>
      </c>
      <c r="AT156" s="144">
        <v>0.03186634481245876</v>
      </c>
      <c r="AU156" s="146" t="s">
        <v>748</v>
      </c>
      <c r="AV156" s="146" t="s">
        <v>748</v>
      </c>
      <c r="AW156" s="148" t="s">
        <v>748</v>
      </c>
      <c r="AX156" s="151"/>
      <c r="AY156" s="105"/>
      <c r="AZ156" s="186"/>
      <c r="BA156" s="186"/>
      <c r="BB156" s="222"/>
      <c r="BC156" s="45"/>
      <c r="BD156" s="45"/>
      <c r="BE156" s="45"/>
      <c r="BF156" s="45"/>
    </row>
    <row r="157">
      <c r="A157" s="79">
        <v>154.0</v>
      </c>
      <c r="B157" s="108" t="s">
        <v>749</v>
      </c>
      <c r="C157" s="115" t="s">
        <v>56</v>
      </c>
      <c r="D157" s="110">
        <v>42514.0</v>
      </c>
      <c r="E157" s="110">
        <v>42911.0</v>
      </c>
      <c r="F157" s="107" t="s">
        <v>619</v>
      </c>
      <c r="G157" s="113">
        <v>23102.0</v>
      </c>
      <c r="H157" s="114">
        <v>58.0</v>
      </c>
      <c r="I157" s="119">
        <v>263.0</v>
      </c>
      <c r="J157" s="122" t="s">
        <v>61</v>
      </c>
      <c r="K157" s="121">
        <v>266.33</v>
      </c>
      <c r="L157" s="119" t="s">
        <v>63</v>
      </c>
      <c r="M157" s="119"/>
      <c r="N157" s="119"/>
      <c r="O157" s="124">
        <v>23102.0</v>
      </c>
      <c r="P157" s="124">
        <v>398.0</v>
      </c>
      <c r="Q157" s="122">
        <v>310.0</v>
      </c>
      <c r="R157" s="125">
        <v>274.0</v>
      </c>
      <c r="S157" s="126">
        <v>0.972</v>
      </c>
      <c r="T157" s="127">
        <v>79509.59999999999</v>
      </c>
      <c r="U157" s="128">
        <f t="shared" si="2"/>
        <v>0</v>
      </c>
      <c r="V157" s="107" t="s">
        <v>65</v>
      </c>
      <c r="W157" s="107" t="s">
        <v>69</v>
      </c>
      <c r="X157" s="107" t="s">
        <v>68</v>
      </c>
      <c r="Y157" s="131">
        <v>0.8</v>
      </c>
      <c r="Z157" s="160">
        <v>36.0</v>
      </c>
      <c r="AA157" s="133"/>
      <c r="AB157" s="133"/>
      <c r="AC157" s="141"/>
      <c r="AD157" s="141"/>
      <c r="AE157" s="141"/>
      <c r="AF157" s="122"/>
      <c r="AG157" s="134" t="s">
        <v>752</v>
      </c>
      <c r="AH157" s="73"/>
      <c r="AI157" s="135"/>
      <c r="AJ157" s="136"/>
      <c r="AK157" s="76"/>
      <c r="AL157" s="135"/>
      <c r="AM157" s="139" t="s">
        <v>71</v>
      </c>
      <c r="AN157" s="139">
        <v>398.0</v>
      </c>
      <c r="AO157" s="140">
        <v>88.81</v>
      </c>
      <c r="AP157" s="152">
        <v>37179.0</v>
      </c>
      <c r="AQ157" s="152">
        <v>193.0</v>
      </c>
      <c r="AR157" s="143">
        <v>-1.0</v>
      </c>
      <c r="AS157" s="144">
        <v>0.9613102847762904</v>
      </c>
      <c r="AT157" s="144">
        <v>0.01068971522370954</v>
      </c>
      <c r="AU157" s="146" t="s">
        <v>753</v>
      </c>
      <c r="AV157" s="146" t="s">
        <v>753</v>
      </c>
      <c r="AW157" s="148" t="s">
        <v>753</v>
      </c>
      <c r="AX157" s="151"/>
      <c r="AY157" s="105"/>
      <c r="AZ157" s="186"/>
      <c r="BA157" s="186"/>
      <c r="BB157" s="222"/>
      <c r="BC157" s="45"/>
      <c r="BD157" s="45"/>
      <c r="BE157" s="45"/>
      <c r="BF157" s="45"/>
    </row>
    <row r="158">
      <c r="A158" s="79">
        <v>155.0</v>
      </c>
      <c r="B158" s="108" t="s">
        <v>519</v>
      </c>
      <c r="C158" s="115" t="s">
        <v>56</v>
      </c>
      <c r="D158" s="110">
        <v>42551.0</v>
      </c>
      <c r="E158" s="110">
        <v>42911.0</v>
      </c>
      <c r="F158" s="107" t="s">
        <v>305</v>
      </c>
      <c r="G158" s="113">
        <v>14472.0</v>
      </c>
      <c r="H158" s="114">
        <v>40.1</v>
      </c>
      <c r="I158" s="119">
        <v>291.0</v>
      </c>
      <c r="J158" s="122" t="s">
        <v>62</v>
      </c>
      <c r="K158" s="121">
        <v>291.0</v>
      </c>
      <c r="L158" s="119" t="s">
        <v>63</v>
      </c>
      <c r="M158" s="119"/>
      <c r="N158" s="119"/>
      <c r="O158" s="124">
        <v>14472.0</v>
      </c>
      <c r="P158" s="124">
        <v>361.0</v>
      </c>
      <c r="Q158" s="122">
        <v>290.0</v>
      </c>
      <c r="R158" s="125">
        <v>295.0</v>
      </c>
      <c r="S158" s="126">
        <v>0.9864</v>
      </c>
      <c r="T158" s="127">
        <v>80687.52</v>
      </c>
      <c r="U158" s="128">
        <f t="shared" si="2"/>
        <v>0</v>
      </c>
      <c r="V158" s="107" t="s">
        <v>65</v>
      </c>
      <c r="W158" s="107" t="s">
        <v>69</v>
      </c>
      <c r="X158" s="107" t="s">
        <v>68</v>
      </c>
      <c r="Y158" s="131">
        <v>0.8</v>
      </c>
      <c r="Z158" s="160">
        <v>9.8</v>
      </c>
      <c r="AA158" s="111">
        <v>295.0</v>
      </c>
      <c r="AB158" s="111" t="s">
        <v>62</v>
      </c>
      <c r="AC158" s="141"/>
      <c r="AD158" s="141"/>
      <c r="AE158" s="141"/>
      <c r="AF158" s="122"/>
      <c r="AG158" s="147"/>
      <c r="AH158" s="73"/>
      <c r="AI158" s="135"/>
      <c r="AJ158" s="136"/>
      <c r="AK158" s="76"/>
      <c r="AL158" s="135"/>
      <c r="AM158" s="139">
        <v>295.0</v>
      </c>
      <c r="AN158" s="139">
        <v>361.0</v>
      </c>
      <c r="AO158" s="140">
        <v>51.67</v>
      </c>
      <c r="AP158" s="152">
        <v>23290.0</v>
      </c>
      <c r="AQ158" s="152">
        <v>180.0</v>
      </c>
      <c r="AR158" s="143">
        <v>-1.0</v>
      </c>
      <c r="AS158" s="144">
        <v>0.9698518105630898</v>
      </c>
      <c r="AT158" s="144">
        <v>0.016548189436910277</v>
      </c>
      <c r="AU158" s="146" t="s">
        <v>756</v>
      </c>
      <c r="AV158" s="146" t="s">
        <v>756</v>
      </c>
      <c r="AW158" s="148" t="s">
        <v>756</v>
      </c>
      <c r="AX158" s="151"/>
      <c r="AY158" s="105"/>
      <c r="AZ158" s="186"/>
      <c r="BA158" s="186"/>
      <c r="BB158" s="222"/>
      <c r="BC158" s="45"/>
      <c r="BD158" s="45"/>
      <c r="BE158" s="45"/>
      <c r="BF158" s="45"/>
    </row>
    <row r="159">
      <c r="A159" s="79">
        <v>156.0</v>
      </c>
      <c r="B159" s="108" t="s">
        <v>757</v>
      </c>
      <c r="C159" s="115" t="s">
        <v>56</v>
      </c>
      <c r="D159" s="110">
        <v>42548.0</v>
      </c>
      <c r="E159" s="110">
        <v>42930.0</v>
      </c>
      <c r="F159" s="107" t="s">
        <v>629</v>
      </c>
      <c r="G159" s="113">
        <v>13711.0</v>
      </c>
      <c r="H159" s="114">
        <v>35.8</v>
      </c>
      <c r="I159" s="119">
        <v>241.0</v>
      </c>
      <c r="J159" s="122" t="s">
        <v>61</v>
      </c>
      <c r="K159" s="121">
        <v>244.05</v>
      </c>
      <c r="L159" s="119" t="s">
        <v>63</v>
      </c>
      <c r="M159" s="119"/>
      <c r="N159" s="119"/>
      <c r="O159" s="124">
        <v>13711.0</v>
      </c>
      <c r="P159" s="124">
        <v>383.0</v>
      </c>
      <c r="Q159" s="122">
        <v>286.0</v>
      </c>
      <c r="R159" s="125">
        <v>249.0</v>
      </c>
      <c r="S159" s="126">
        <v>0.9801</v>
      </c>
      <c r="T159" s="127">
        <v>71155.26</v>
      </c>
      <c r="U159" s="128">
        <f t="shared" si="2"/>
        <v>0</v>
      </c>
      <c r="V159" s="107" t="s">
        <v>67</v>
      </c>
      <c r="W159" s="107" t="s">
        <v>64</v>
      </c>
      <c r="X159" s="107" t="s">
        <v>66</v>
      </c>
      <c r="Y159" s="131">
        <v>0.8</v>
      </c>
      <c r="Z159" s="132"/>
      <c r="AA159" s="133"/>
      <c r="AB159" s="133"/>
      <c r="AC159" s="141"/>
      <c r="AD159" s="141"/>
      <c r="AE159" s="141"/>
      <c r="AF159" s="122"/>
      <c r="AG159" s="134" t="s">
        <v>759</v>
      </c>
      <c r="AH159" s="73"/>
      <c r="AI159" s="135"/>
      <c r="AJ159" s="136"/>
      <c r="AK159" s="76"/>
      <c r="AL159" s="135"/>
      <c r="AM159" s="139" t="s">
        <v>71</v>
      </c>
      <c r="AN159" s="139">
        <v>383.0</v>
      </c>
      <c r="AO159" s="140">
        <v>54.57</v>
      </c>
      <c r="AP159" s="152">
        <v>22066.0</v>
      </c>
      <c r="AQ159" s="152">
        <v>178.0</v>
      </c>
      <c r="AR159" s="143">
        <v>-1.0</v>
      </c>
      <c r="AS159" s="144">
        <v>0.9708309144796408</v>
      </c>
      <c r="AT159" s="144">
        <v>0.00926908552035921</v>
      </c>
      <c r="AU159" s="146" t="s">
        <v>760</v>
      </c>
      <c r="AV159" s="146" t="s">
        <v>760</v>
      </c>
      <c r="AW159" s="148" t="s">
        <v>760</v>
      </c>
      <c r="AX159" s="151"/>
      <c r="AY159" s="105"/>
      <c r="AZ159" s="186"/>
      <c r="BA159" s="186"/>
      <c r="BB159" s="222"/>
      <c r="BC159" s="45"/>
      <c r="BD159" s="45"/>
      <c r="BE159" s="45"/>
      <c r="BF159" s="45"/>
    </row>
    <row r="160">
      <c r="A160" s="79">
        <v>157.0</v>
      </c>
      <c r="B160" s="108" t="s">
        <v>762</v>
      </c>
      <c r="C160" s="115" t="s">
        <v>56</v>
      </c>
      <c r="D160" s="110">
        <v>42342.0</v>
      </c>
      <c r="E160" s="110">
        <v>42930.0</v>
      </c>
      <c r="F160" s="107" t="s">
        <v>59</v>
      </c>
      <c r="G160" s="113">
        <v>20500.0</v>
      </c>
      <c r="H160" s="114">
        <v>34.8</v>
      </c>
      <c r="I160" s="119">
        <v>266.0</v>
      </c>
      <c r="J160" s="122" t="s">
        <v>61</v>
      </c>
      <c r="K160" s="121">
        <v>269.37</v>
      </c>
      <c r="L160" s="119" t="s">
        <v>63</v>
      </c>
      <c r="M160" s="119"/>
      <c r="N160" s="119"/>
      <c r="O160" s="124">
        <v>20500.0</v>
      </c>
      <c r="P160" s="124">
        <v>589.0</v>
      </c>
      <c r="Q160" s="122">
        <v>333.0</v>
      </c>
      <c r="R160" s="125">
        <v>269.0</v>
      </c>
      <c r="S160" s="126">
        <v>1.0014</v>
      </c>
      <c r="T160" s="127">
        <v>77608.5</v>
      </c>
      <c r="U160" s="128">
        <f t="shared" si="2"/>
        <v>0</v>
      </c>
      <c r="V160" s="107" t="s">
        <v>64</v>
      </c>
      <c r="W160" s="107" t="s">
        <v>64</v>
      </c>
      <c r="X160" s="107" t="s">
        <v>68</v>
      </c>
      <c r="Y160" s="131">
        <v>0.9</v>
      </c>
      <c r="Z160" s="132"/>
      <c r="AA160" s="111">
        <v>267.0</v>
      </c>
      <c r="AB160" s="111" t="s">
        <v>61</v>
      </c>
      <c r="AC160" s="141"/>
      <c r="AD160" s="141"/>
      <c r="AE160" s="141"/>
      <c r="AF160" s="122"/>
      <c r="AG160" s="147"/>
      <c r="AH160" s="73"/>
      <c r="AI160" s="135"/>
      <c r="AJ160" s="136"/>
      <c r="AK160" s="76"/>
      <c r="AL160" s="135"/>
      <c r="AM160" s="139">
        <v>270.0</v>
      </c>
      <c r="AN160" s="139">
        <v>589.0</v>
      </c>
      <c r="AO160" s="140">
        <v>88.05</v>
      </c>
      <c r="AP160" s="152">
        <v>32992.0</v>
      </c>
      <c r="AQ160" s="152">
        <v>207.0</v>
      </c>
      <c r="AR160" s="143">
        <v>-1.0</v>
      </c>
      <c r="AS160" s="144">
        <v>0.9634678979669968</v>
      </c>
      <c r="AT160" s="144">
        <v>0.037932102033003234</v>
      </c>
      <c r="AU160" s="146" t="s">
        <v>765</v>
      </c>
      <c r="AV160" s="146" t="s">
        <v>765</v>
      </c>
      <c r="AW160" s="148" t="s">
        <v>765</v>
      </c>
      <c r="AX160" s="151"/>
      <c r="AY160" s="105"/>
      <c r="AZ160" s="186"/>
      <c r="BA160" s="186"/>
      <c r="BB160" s="222"/>
      <c r="BC160" s="45"/>
      <c r="BD160" s="45"/>
      <c r="BE160" s="45"/>
      <c r="BF160" s="45"/>
    </row>
    <row r="161">
      <c r="A161" s="79">
        <v>158.0</v>
      </c>
      <c r="B161" s="108" t="s">
        <v>161</v>
      </c>
      <c r="C161" s="115" t="s">
        <v>56</v>
      </c>
      <c r="D161" s="110">
        <v>41310.0</v>
      </c>
      <c r="E161" s="110">
        <v>42937.0</v>
      </c>
      <c r="F161" s="107" t="s">
        <v>59</v>
      </c>
      <c r="G161" s="113">
        <v>58329.0</v>
      </c>
      <c r="H161" s="114">
        <v>35.8</v>
      </c>
      <c r="I161" s="119">
        <v>253.0</v>
      </c>
      <c r="J161" s="122" t="s">
        <v>62</v>
      </c>
      <c r="K161" s="121">
        <v>253.0</v>
      </c>
      <c r="L161" s="119" t="s">
        <v>63</v>
      </c>
      <c r="M161" s="119"/>
      <c r="N161" s="119"/>
      <c r="O161" s="124">
        <v>58329.0</v>
      </c>
      <c r="P161" s="124">
        <v>1628.0</v>
      </c>
      <c r="Q161" s="122">
        <v>297.0</v>
      </c>
      <c r="R161" s="125">
        <v>269.0</v>
      </c>
      <c r="S161" s="126">
        <v>0.9405</v>
      </c>
      <c r="T161" s="127">
        <v>72888.75</v>
      </c>
      <c r="U161" s="128">
        <f t="shared" si="2"/>
        <v>0</v>
      </c>
      <c r="V161" s="107" t="s">
        <v>64</v>
      </c>
      <c r="W161" s="107" t="s">
        <v>69</v>
      </c>
      <c r="X161" s="107" t="s">
        <v>69</v>
      </c>
      <c r="Y161" s="131">
        <v>0.9</v>
      </c>
      <c r="Z161" s="160">
        <v>1.0</v>
      </c>
      <c r="AA161" s="111">
        <v>270.0</v>
      </c>
      <c r="AB161" s="111" t="s">
        <v>61</v>
      </c>
      <c r="AC161" s="141"/>
      <c r="AD161" s="141"/>
      <c r="AE161" s="141"/>
      <c r="AF161" s="122"/>
      <c r="AG161" s="134" t="s">
        <v>166</v>
      </c>
      <c r="AH161" s="73"/>
      <c r="AI161" s="135"/>
      <c r="AJ161" s="136"/>
      <c r="AK161" s="76"/>
      <c r="AL161" s="135"/>
      <c r="AM161" s="139">
        <v>273.0</v>
      </c>
      <c r="AN161" s="139">
        <v>1628.0</v>
      </c>
      <c r="AO161" s="140">
        <v>230.46</v>
      </c>
      <c r="AP161" s="152">
        <v>93871.0</v>
      </c>
      <c r="AQ161" s="152">
        <v>185.0</v>
      </c>
      <c r="AR161" s="143">
        <v>-1.0</v>
      </c>
      <c r="AS161" s="144">
        <v>0.9460392763985097</v>
      </c>
      <c r="AT161" s="144">
        <v>-0.005539276398509707</v>
      </c>
      <c r="AU161" s="146" t="s">
        <v>768</v>
      </c>
      <c r="AV161" s="146" t="s">
        <v>768</v>
      </c>
      <c r="AW161" s="148" t="s">
        <v>768</v>
      </c>
      <c r="AX161" s="151"/>
      <c r="AY161" s="105"/>
      <c r="AZ161" s="186"/>
      <c r="BA161" s="186"/>
      <c r="BB161" s="222"/>
      <c r="BC161" s="45"/>
      <c r="BD161" s="45"/>
      <c r="BE161" s="45"/>
      <c r="BF161" s="45"/>
    </row>
    <row r="162">
      <c r="A162" s="79">
        <v>159.0</v>
      </c>
      <c r="B162" s="108" t="s">
        <v>769</v>
      </c>
      <c r="C162" s="115" t="s">
        <v>56</v>
      </c>
      <c r="D162" s="110">
        <v>42154.0</v>
      </c>
      <c r="E162" s="110">
        <v>42946.0</v>
      </c>
      <c r="F162" s="107" t="s">
        <v>90</v>
      </c>
      <c r="G162" s="113">
        <v>30538.0</v>
      </c>
      <c r="H162" s="114">
        <v>38.5</v>
      </c>
      <c r="I162" s="119">
        <v>249.0</v>
      </c>
      <c r="J162" s="122" t="s">
        <v>61</v>
      </c>
      <c r="K162" s="121">
        <v>252.15</v>
      </c>
      <c r="L162" s="119" t="s">
        <v>63</v>
      </c>
      <c r="M162" s="119"/>
      <c r="N162" s="119"/>
      <c r="O162" s="124">
        <v>30538.0</v>
      </c>
      <c r="P162" s="124">
        <v>793.0</v>
      </c>
      <c r="Q162" s="122">
        <v>303.0</v>
      </c>
      <c r="R162" s="125">
        <v>256.0</v>
      </c>
      <c r="S162" s="126">
        <v>0.985</v>
      </c>
      <c r="T162" s="127">
        <v>76337.5</v>
      </c>
      <c r="U162" s="128">
        <f t="shared" si="2"/>
        <v>0</v>
      </c>
      <c r="V162" s="107" t="s">
        <v>65</v>
      </c>
      <c r="W162" s="107" t="s">
        <v>64</v>
      </c>
      <c r="X162" s="107" t="s">
        <v>66</v>
      </c>
      <c r="Y162" s="131">
        <v>0.8</v>
      </c>
      <c r="Z162" s="132"/>
      <c r="AA162" s="133"/>
      <c r="AB162" s="133"/>
      <c r="AC162" s="141"/>
      <c r="AD162" s="141"/>
      <c r="AE162" s="141"/>
      <c r="AF162" s="122"/>
      <c r="AG162" s="147"/>
      <c r="AH162" s="73"/>
      <c r="AI162" s="135"/>
      <c r="AJ162" s="136"/>
      <c r="AK162" s="76"/>
      <c r="AL162" s="135"/>
      <c r="AM162" s="139" t="s">
        <v>71</v>
      </c>
      <c r="AN162" s="139">
        <v>793.0</v>
      </c>
      <c r="AO162" s="140">
        <v>120.33</v>
      </c>
      <c r="AP162" s="152">
        <v>49146.0</v>
      </c>
      <c r="AQ162" s="152">
        <v>188.0</v>
      </c>
      <c r="AR162" s="143">
        <v>-1.0</v>
      </c>
      <c r="AS162" s="144">
        <v>0.9564703209894259</v>
      </c>
      <c r="AT162" s="144">
        <v>0.028529679010574127</v>
      </c>
      <c r="AU162" s="146" t="s">
        <v>771</v>
      </c>
      <c r="AV162" s="146" t="s">
        <v>771</v>
      </c>
      <c r="AW162" s="148" t="s">
        <v>771</v>
      </c>
      <c r="AX162" s="151"/>
      <c r="AY162" s="105"/>
      <c r="AZ162" s="186"/>
      <c r="BA162" s="186"/>
      <c r="BB162" s="222"/>
      <c r="BC162" s="45"/>
      <c r="BD162" s="45"/>
      <c r="BE162" s="45"/>
      <c r="BF162" s="45"/>
    </row>
    <row r="163">
      <c r="A163" s="79">
        <v>160.0</v>
      </c>
      <c r="B163" s="108" t="s">
        <v>772</v>
      </c>
      <c r="C163" s="115" t="s">
        <v>56</v>
      </c>
      <c r="D163" s="110">
        <v>42709.0</v>
      </c>
      <c r="E163" s="110">
        <v>42947.0</v>
      </c>
      <c r="F163" s="107" t="s">
        <v>675</v>
      </c>
      <c r="G163" s="113">
        <v>11252.0</v>
      </c>
      <c r="H163" s="114">
        <v>47.1</v>
      </c>
      <c r="I163" s="119">
        <v>250.0</v>
      </c>
      <c r="J163" s="122" t="s">
        <v>62</v>
      </c>
      <c r="K163" s="121">
        <v>250.0</v>
      </c>
      <c r="L163" s="119" t="s">
        <v>63</v>
      </c>
      <c r="M163" s="119"/>
      <c r="N163" s="119"/>
      <c r="O163" s="124">
        <v>11252.0</v>
      </c>
      <c r="P163" s="124">
        <v>239.0</v>
      </c>
      <c r="Q163" s="122">
        <v>365.0</v>
      </c>
      <c r="R163" s="125">
        <v>262.0</v>
      </c>
      <c r="S163" s="126">
        <v>0.9542</v>
      </c>
      <c r="T163" s="127">
        <v>69274.92</v>
      </c>
      <c r="U163" s="128">
        <f t="shared" si="2"/>
        <v>0</v>
      </c>
      <c r="V163" s="107" t="s">
        <v>80</v>
      </c>
      <c r="W163" s="107" t="s">
        <v>65</v>
      </c>
      <c r="X163" s="107" t="s">
        <v>69</v>
      </c>
      <c r="Y163" s="131">
        <v>0.9</v>
      </c>
      <c r="Z163" s="132"/>
      <c r="AA163" s="133"/>
      <c r="AB163" s="133"/>
      <c r="AC163" s="141"/>
      <c r="AD163" s="141"/>
      <c r="AE163" s="141"/>
      <c r="AF163" s="122"/>
      <c r="AG163" s="147"/>
      <c r="AH163" s="73"/>
      <c r="AI163" s="135"/>
      <c r="AJ163" s="136"/>
      <c r="AK163" s="76"/>
      <c r="AL163" s="135"/>
      <c r="AM163" s="139" t="s">
        <v>71</v>
      </c>
      <c r="AN163" s="139">
        <v>239.0</v>
      </c>
      <c r="AO163" s="140">
        <v>57.91</v>
      </c>
      <c r="AP163" s="152">
        <v>18108.0</v>
      </c>
      <c r="AQ163" s="152">
        <v>227.0</v>
      </c>
      <c r="AR163" s="143">
        <v>-1.0</v>
      </c>
      <c r="AS163" s="144">
        <v>0.9743319447386201</v>
      </c>
      <c r="AT163" s="144">
        <v>-0.02013194473862001</v>
      </c>
      <c r="AU163" s="146" t="s">
        <v>774</v>
      </c>
      <c r="AV163" s="146" t="s">
        <v>774</v>
      </c>
      <c r="AW163" s="148" t="s">
        <v>774</v>
      </c>
      <c r="AX163" s="151"/>
      <c r="AY163" s="105"/>
      <c r="AZ163" s="186"/>
      <c r="BA163" s="186"/>
      <c r="BB163" s="222"/>
      <c r="BC163" s="45"/>
      <c r="BD163" s="45"/>
      <c r="BE163" s="45"/>
      <c r="BF163" s="45"/>
    </row>
    <row r="164">
      <c r="A164" s="79">
        <v>161.0</v>
      </c>
      <c r="B164" s="108" t="s">
        <v>161</v>
      </c>
      <c r="C164" s="115" t="s">
        <v>56</v>
      </c>
      <c r="D164" s="110">
        <v>41310.0</v>
      </c>
      <c r="E164" s="110">
        <v>42958.0</v>
      </c>
      <c r="F164" s="107" t="s">
        <v>59</v>
      </c>
      <c r="G164" s="113">
        <v>58983.0</v>
      </c>
      <c r="H164" s="114">
        <v>35.8</v>
      </c>
      <c r="I164" s="119">
        <v>253.0</v>
      </c>
      <c r="J164" s="122" t="s">
        <v>62</v>
      </c>
      <c r="K164" s="121">
        <v>253.0</v>
      </c>
      <c r="L164" s="119" t="s">
        <v>63</v>
      </c>
      <c r="M164" s="119"/>
      <c r="N164" s="119"/>
      <c r="O164" s="124">
        <v>58983.0</v>
      </c>
      <c r="P164" s="124">
        <v>1649.0</v>
      </c>
      <c r="Q164" s="122">
        <v>297.0</v>
      </c>
      <c r="R164" s="125">
        <v>269.0</v>
      </c>
      <c r="S164" s="126">
        <v>0.9405</v>
      </c>
      <c r="T164" s="127">
        <v>72888.75</v>
      </c>
      <c r="U164" s="128">
        <f t="shared" si="2"/>
        <v>0</v>
      </c>
      <c r="V164" s="107" t="s">
        <v>69</v>
      </c>
      <c r="W164" s="107" t="s">
        <v>69</v>
      </c>
      <c r="X164" s="107" t="s">
        <v>69</v>
      </c>
      <c r="Y164" s="131">
        <v>0.9</v>
      </c>
      <c r="Z164" s="160">
        <v>1.0</v>
      </c>
      <c r="AA164" s="111">
        <v>270.0</v>
      </c>
      <c r="AB164" s="111" t="s">
        <v>61</v>
      </c>
      <c r="AC164" s="141"/>
      <c r="AD164" s="141"/>
      <c r="AE164" s="141"/>
      <c r="AF164" s="122"/>
      <c r="AG164" s="134" t="s">
        <v>166</v>
      </c>
      <c r="AH164" s="73"/>
      <c r="AI164" s="135"/>
      <c r="AJ164" s="136"/>
      <c r="AK164" s="76"/>
      <c r="AL164" s="135"/>
      <c r="AM164" s="139">
        <v>273.0</v>
      </c>
      <c r="AN164" s="139">
        <v>1649.0</v>
      </c>
      <c r="AO164" s="140">
        <v>233.04</v>
      </c>
      <c r="AP164" s="152">
        <v>94924.0</v>
      </c>
      <c r="AQ164" s="152">
        <v>185.0</v>
      </c>
      <c r="AR164" s="143">
        <v>-1.0</v>
      </c>
      <c r="AS164" s="144">
        <v>0.9458516708813575</v>
      </c>
      <c r="AT164" s="144">
        <v>-0.005351670881357462</v>
      </c>
      <c r="AU164" s="146" t="s">
        <v>775</v>
      </c>
      <c r="AV164" s="146" t="s">
        <v>775</v>
      </c>
      <c r="AW164" s="148" t="s">
        <v>775</v>
      </c>
      <c r="AX164" s="151"/>
      <c r="AY164" s="105"/>
      <c r="AZ164" s="186"/>
      <c r="BA164" s="186"/>
      <c r="BB164" s="222"/>
      <c r="BC164" s="45"/>
      <c r="BD164" s="45"/>
      <c r="BE164" s="45"/>
      <c r="BF164" s="45"/>
    </row>
    <row r="165">
      <c r="A165" s="79">
        <v>162.0</v>
      </c>
      <c r="B165" s="108" t="s">
        <v>777</v>
      </c>
      <c r="C165" s="115" t="s">
        <v>56</v>
      </c>
      <c r="D165" s="110">
        <v>42718.0</v>
      </c>
      <c r="E165" s="110">
        <v>42962.0</v>
      </c>
      <c r="F165" s="107" t="s">
        <v>629</v>
      </c>
      <c r="G165" s="113">
        <v>7287.0</v>
      </c>
      <c r="H165" s="114">
        <v>29.7</v>
      </c>
      <c r="I165" s="119">
        <v>241.0</v>
      </c>
      <c r="J165" s="122" t="s">
        <v>61</v>
      </c>
      <c r="K165" s="121">
        <v>244.05</v>
      </c>
      <c r="L165" s="119" t="s">
        <v>63</v>
      </c>
      <c r="M165" s="119"/>
      <c r="N165" s="119"/>
      <c r="O165" s="124">
        <v>7287.0</v>
      </c>
      <c r="P165" s="124">
        <v>245.0</v>
      </c>
      <c r="Q165" s="122">
        <v>316.0</v>
      </c>
      <c r="R165" s="125">
        <v>249.0</v>
      </c>
      <c r="S165" s="126">
        <v>0.9801</v>
      </c>
      <c r="T165" s="127">
        <v>71155.26</v>
      </c>
      <c r="U165" s="128">
        <f t="shared" si="2"/>
        <v>0</v>
      </c>
      <c r="V165" s="107" t="s">
        <v>64</v>
      </c>
      <c r="W165" s="107" t="s">
        <v>68</v>
      </c>
      <c r="X165" s="107" t="s">
        <v>68</v>
      </c>
      <c r="Y165" s="131">
        <v>0.9</v>
      </c>
      <c r="Z165" s="132"/>
      <c r="AA165" s="111">
        <v>245.0</v>
      </c>
      <c r="AB165" s="111" t="s">
        <v>61</v>
      </c>
      <c r="AC165" s="141"/>
      <c r="AD165" s="141"/>
      <c r="AE165" s="141"/>
      <c r="AF165" s="122"/>
      <c r="AG165" s="134" t="s">
        <v>778</v>
      </c>
      <c r="AH165" s="73"/>
      <c r="AI165" s="135"/>
      <c r="AJ165" s="136"/>
      <c r="AK165" s="76"/>
      <c r="AL165" s="135"/>
      <c r="AM165" s="139">
        <v>248.0</v>
      </c>
      <c r="AN165" s="139">
        <v>245.0</v>
      </c>
      <c r="AO165" s="140">
        <v>32.05</v>
      </c>
      <c r="AP165" s="152">
        <v>11727.0</v>
      </c>
      <c r="AQ165" s="152">
        <v>196.0</v>
      </c>
      <c r="AR165" s="143">
        <v>-1.0</v>
      </c>
      <c r="AS165" s="144">
        <v>0.9812732042577837</v>
      </c>
      <c r="AT165" s="144">
        <v>-0.0011732042577837776</v>
      </c>
      <c r="AU165" s="146" t="s">
        <v>780</v>
      </c>
      <c r="AV165" s="146" t="s">
        <v>780</v>
      </c>
      <c r="AW165" s="148" t="s">
        <v>780</v>
      </c>
      <c r="AX165" s="151"/>
      <c r="AY165" s="105"/>
      <c r="AZ165" s="186"/>
      <c r="BA165" s="186"/>
      <c r="BB165" s="222"/>
      <c r="BC165" s="45"/>
      <c r="BD165" s="45"/>
      <c r="BE165" s="45"/>
      <c r="BF165" s="45"/>
    </row>
    <row r="166">
      <c r="A166" s="79">
        <v>163.0</v>
      </c>
      <c r="B166" s="108" t="s">
        <v>423</v>
      </c>
      <c r="C166" s="115" t="s">
        <v>56</v>
      </c>
      <c r="D166" s="110">
        <v>41210.0</v>
      </c>
      <c r="E166" s="110">
        <v>42969.0</v>
      </c>
      <c r="F166" s="107" t="s">
        <v>79</v>
      </c>
      <c r="G166" s="113">
        <v>66450.0</v>
      </c>
      <c r="H166" s="114">
        <v>37.8</v>
      </c>
      <c r="I166" s="119">
        <v>250.0</v>
      </c>
      <c r="J166" s="122" t="s">
        <v>61</v>
      </c>
      <c r="K166" s="121">
        <v>253.16</v>
      </c>
      <c r="L166" s="119" t="s">
        <v>195</v>
      </c>
      <c r="M166" s="119" t="s">
        <v>424</v>
      </c>
      <c r="N166" s="119">
        <v>20796.0</v>
      </c>
      <c r="O166" s="124">
        <v>48195.0</v>
      </c>
      <c r="P166" s="124">
        <v>1276.0</v>
      </c>
      <c r="Q166" s="122">
        <v>363.0</v>
      </c>
      <c r="R166" s="125">
        <v>269.0</v>
      </c>
      <c r="S166" s="126">
        <v>0.9411</v>
      </c>
      <c r="T166" s="127">
        <v>72935.25</v>
      </c>
      <c r="U166" s="128">
        <f t="shared" si="2"/>
        <v>0</v>
      </c>
      <c r="V166" s="107" t="s">
        <v>65</v>
      </c>
      <c r="W166" s="107" t="s">
        <v>69</v>
      </c>
      <c r="X166" s="107" t="s">
        <v>69</v>
      </c>
      <c r="Y166" s="131">
        <v>0.8</v>
      </c>
      <c r="Z166" s="160">
        <v>6.0</v>
      </c>
      <c r="AA166" s="111">
        <v>265.0</v>
      </c>
      <c r="AB166" s="111" t="s">
        <v>61</v>
      </c>
      <c r="AC166" s="141"/>
      <c r="AD166" s="141"/>
      <c r="AE166" s="141"/>
      <c r="AF166" s="122"/>
      <c r="AG166" s="147"/>
      <c r="AH166" s="73"/>
      <c r="AI166" s="135"/>
      <c r="AJ166" s="136"/>
      <c r="AK166" s="76"/>
      <c r="AL166" s="135"/>
      <c r="AM166" s="139">
        <v>268.0</v>
      </c>
      <c r="AN166" s="139">
        <v>1760.0</v>
      </c>
      <c r="AO166" s="140">
        <v>232.64</v>
      </c>
      <c r="AP166" s="152">
        <v>77562.0</v>
      </c>
      <c r="AQ166" s="152">
        <v>226.0</v>
      </c>
      <c r="AR166" s="143">
        <v>-1.0</v>
      </c>
      <c r="AS166" s="144">
        <v>0.9491385088899199</v>
      </c>
      <c r="AT166" s="144">
        <v>-0.00803850888991986</v>
      </c>
      <c r="AU166" s="146" t="s">
        <v>783</v>
      </c>
      <c r="AV166" s="146" t="s">
        <v>783</v>
      </c>
      <c r="AW166" s="148" t="s">
        <v>783</v>
      </c>
      <c r="AX166" s="151"/>
      <c r="AY166" s="105"/>
      <c r="AZ166" s="186"/>
      <c r="BA166" s="186"/>
      <c r="BB166" s="222"/>
      <c r="BC166" s="45"/>
      <c r="BD166" s="45"/>
      <c r="BE166" s="45"/>
      <c r="BF166" s="45"/>
    </row>
    <row r="167">
      <c r="A167" s="79">
        <v>164.0</v>
      </c>
      <c r="B167" s="108" t="s">
        <v>143</v>
      </c>
      <c r="C167" s="115" t="s">
        <v>56</v>
      </c>
      <c r="D167" s="110">
        <v>41724.0</v>
      </c>
      <c r="E167" s="110">
        <v>42968.0</v>
      </c>
      <c r="F167" s="107" t="s">
        <v>59</v>
      </c>
      <c r="G167" s="113">
        <v>126500.0</v>
      </c>
      <c r="H167" s="114">
        <v>101.6</v>
      </c>
      <c r="I167" s="119">
        <v>247.0</v>
      </c>
      <c r="J167" s="122" t="s">
        <v>61</v>
      </c>
      <c r="K167" s="121">
        <v>250.13</v>
      </c>
      <c r="L167" s="119" t="s">
        <v>63</v>
      </c>
      <c r="M167" s="119"/>
      <c r="N167" s="119"/>
      <c r="O167" s="124">
        <v>126500.0</v>
      </c>
      <c r="P167" s="124">
        <v>1245.0</v>
      </c>
      <c r="Q167" s="122">
        <v>326.0</v>
      </c>
      <c r="R167" s="125">
        <v>269.0</v>
      </c>
      <c r="S167" s="126">
        <v>0.9299</v>
      </c>
      <c r="T167" s="127">
        <v>72067.25</v>
      </c>
      <c r="U167" s="128">
        <f t="shared" si="2"/>
        <v>0</v>
      </c>
      <c r="V167" s="107" t="s">
        <v>80</v>
      </c>
      <c r="W167" s="107" t="s">
        <v>65</v>
      </c>
      <c r="X167" s="107" t="s">
        <v>67</v>
      </c>
      <c r="Y167" s="131">
        <v>0.8</v>
      </c>
      <c r="Z167" s="160">
        <v>10.0</v>
      </c>
      <c r="AA167" s="111">
        <v>270.0</v>
      </c>
      <c r="AB167" s="111" t="s">
        <v>61</v>
      </c>
      <c r="AC167" s="141"/>
      <c r="AD167" s="141"/>
      <c r="AE167" s="141"/>
      <c r="AF167" s="122"/>
      <c r="AG167" s="147"/>
      <c r="AH167" s="73"/>
      <c r="AI167" s="135"/>
      <c r="AJ167" s="136"/>
      <c r="AK167" s="76"/>
      <c r="AL167" s="135"/>
      <c r="AM167" s="139">
        <v>273.0</v>
      </c>
      <c r="AN167" s="139">
        <v>1245.0</v>
      </c>
      <c r="AO167" s="140">
        <v>551.5</v>
      </c>
      <c r="AP167" s="152">
        <v>203582.0</v>
      </c>
      <c r="AQ167" s="152">
        <v>203.0</v>
      </c>
      <c r="AR167" s="143">
        <v>-1.0</v>
      </c>
      <c r="AS167" s="144">
        <v>0.9284176179082771</v>
      </c>
      <c r="AT167" s="144">
        <v>0.0014823820917228003</v>
      </c>
      <c r="AU167" s="146" t="s">
        <v>787</v>
      </c>
      <c r="AV167" s="146" t="s">
        <v>787</v>
      </c>
      <c r="AW167" s="148" t="s">
        <v>787</v>
      </c>
      <c r="AX167" s="151"/>
      <c r="AY167" s="105"/>
      <c r="AZ167" s="186"/>
      <c r="BA167" s="186"/>
      <c r="BB167" s="222"/>
      <c r="BC167" s="45"/>
      <c r="BD167" s="45"/>
      <c r="BE167" s="45"/>
      <c r="BF167" s="45"/>
    </row>
    <row r="168">
      <c r="A168" s="79">
        <v>165.0</v>
      </c>
      <c r="B168" s="108" t="s">
        <v>788</v>
      </c>
      <c r="C168" s="115" t="s">
        <v>56</v>
      </c>
      <c r="D168" s="110">
        <v>41722.0</v>
      </c>
      <c r="E168" s="110">
        <v>42929.0</v>
      </c>
      <c r="F168" s="107" t="s">
        <v>59</v>
      </c>
      <c r="G168" s="113">
        <v>70566.0</v>
      </c>
      <c r="H168" s="114">
        <v>58.4</v>
      </c>
      <c r="I168" s="119">
        <v>251.0</v>
      </c>
      <c r="J168" s="122" t="s">
        <v>61</v>
      </c>
      <c r="K168" s="121">
        <v>254.18</v>
      </c>
      <c r="L168" s="119" t="s">
        <v>63</v>
      </c>
      <c r="M168" s="119"/>
      <c r="N168" s="119"/>
      <c r="O168" s="124">
        <v>70566.0</v>
      </c>
      <c r="P168" s="124">
        <v>1208.0</v>
      </c>
      <c r="Q168" s="122">
        <v>324.0</v>
      </c>
      <c r="R168" s="125">
        <v>269.0</v>
      </c>
      <c r="S168" s="126">
        <v>0.9449</v>
      </c>
      <c r="T168" s="127">
        <v>73229.75</v>
      </c>
      <c r="U168" s="128">
        <f t="shared" si="2"/>
        <v>0</v>
      </c>
      <c r="V168" s="107" t="s">
        <v>64</v>
      </c>
      <c r="W168" s="107" t="s">
        <v>69</v>
      </c>
      <c r="X168" s="107" t="s">
        <v>68</v>
      </c>
      <c r="Y168" s="131">
        <v>0.9</v>
      </c>
      <c r="Z168" s="132"/>
      <c r="AA168" s="111">
        <v>265.0</v>
      </c>
      <c r="AB168" s="111" t="s">
        <v>61</v>
      </c>
      <c r="AC168" s="141"/>
      <c r="AD168" s="141"/>
      <c r="AE168" s="141"/>
      <c r="AF168" s="122"/>
      <c r="AG168" s="134" t="s">
        <v>789</v>
      </c>
      <c r="AH168" s="73"/>
      <c r="AI168" s="135"/>
      <c r="AJ168" s="136"/>
      <c r="AK168" s="76"/>
      <c r="AL168" s="135"/>
      <c r="AM168" s="139">
        <v>268.0</v>
      </c>
      <c r="AN168" s="139">
        <v>1208.0</v>
      </c>
      <c r="AO168" s="140">
        <v>303.42</v>
      </c>
      <c r="AP168" s="152">
        <v>113565.0</v>
      </c>
      <c r="AQ168" s="152">
        <v>201.0</v>
      </c>
      <c r="AR168" s="143">
        <v>-1.0</v>
      </c>
      <c r="AS168" s="144">
        <v>0.9426735464632049</v>
      </c>
      <c r="AT168" s="144">
        <v>0.00222645353679507</v>
      </c>
      <c r="AU168" s="146" t="s">
        <v>790</v>
      </c>
      <c r="AV168" s="146" t="s">
        <v>790</v>
      </c>
      <c r="AW168" s="148" t="s">
        <v>790</v>
      </c>
      <c r="AX168" s="151"/>
      <c r="AY168" s="105"/>
      <c r="AZ168" s="186"/>
      <c r="BA168" s="186"/>
      <c r="BB168" s="222"/>
      <c r="BC168" s="45"/>
      <c r="BD168" s="45"/>
      <c r="BE168" s="45"/>
      <c r="BF168" s="45"/>
    </row>
    <row r="169">
      <c r="A169" s="79">
        <v>166.0</v>
      </c>
      <c r="B169" s="108" t="s">
        <v>792</v>
      </c>
      <c r="C169" s="115" t="s">
        <v>56</v>
      </c>
      <c r="D169" s="110">
        <v>41244.0</v>
      </c>
      <c r="E169" s="110">
        <v>42971.0</v>
      </c>
      <c r="F169" s="107" t="s">
        <v>79</v>
      </c>
      <c r="G169" s="113">
        <v>47871.0</v>
      </c>
      <c r="H169" s="114">
        <v>27.7</v>
      </c>
      <c r="I169" s="119">
        <v>253.0</v>
      </c>
      <c r="J169" s="122" t="s">
        <v>61</v>
      </c>
      <c r="K169" s="121">
        <v>256.2</v>
      </c>
      <c r="L169" s="119" t="s">
        <v>63</v>
      </c>
      <c r="M169" s="119"/>
      <c r="N169" s="119"/>
      <c r="O169" s="124">
        <v>47871.0</v>
      </c>
      <c r="P169" s="124">
        <v>1728.0</v>
      </c>
      <c r="Q169" s="122">
        <v>329.0</v>
      </c>
      <c r="R169" s="125">
        <v>269.0</v>
      </c>
      <c r="S169" s="126">
        <v>0.9524</v>
      </c>
      <c r="T169" s="127">
        <v>73811.0</v>
      </c>
      <c r="U169" s="128">
        <f t="shared" si="2"/>
        <v>0</v>
      </c>
      <c r="V169" s="107" t="s">
        <v>65</v>
      </c>
      <c r="W169" s="107" t="s">
        <v>68</v>
      </c>
      <c r="X169" s="107" t="s">
        <v>68</v>
      </c>
      <c r="Y169" s="131">
        <v>0.9</v>
      </c>
      <c r="Z169" s="132"/>
      <c r="AA169" s="133"/>
      <c r="AB169" s="133"/>
      <c r="AC169" s="141"/>
      <c r="AD169" s="141"/>
      <c r="AE169" s="141"/>
      <c r="AF169" s="122"/>
      <c r="AG169" s="134" t="s">
        <v>794</v>
      </c>
      <c r="AH169" s="73"/>
      <c r="AI169" s="135"/>
      <c r="AJ169" s="136"/>
      <c r="AK169" s="76"/>
      <c r="AL169" s="135"/>
      <c r="AM169" s="139" t="s">
        <v>71</v>
      </c>
      <c r="AN169" s="139">
        <v>1728.0</v>
      </c>
      <c r="AO169" s="140">
        <v>208.25</v>
      </c>
      <c r="AP169" s="152">
        <v>77041.0</v>
      </c>
      <c r="AQ169" s="152">
        <v>204.0</v>
      </c>
      <c r="AR169" s="143">
        <v>-1.0</v>
      </c>
      <c r="AS169" s="144">
        <v>0.9492454421307978</v>
      </c>
      <c r="AT169" s="144">
        <v>0.003154557869202268</v>
      </c>
      <c r="AU169" s="146" t="s">
        <v>795</v>
      </c>
      <c r="AV169" s="146" t="s">
        <v>795</v>
      </c>
      <c r="AW169" s="148" t="s">
        <v>795</v>
      </c>
      <c r="AX169" s="151"/>
      <c r="AY169" s="105"/>
      <c r="AZ169" s="186"/>
      <c r="BA169" s="186"/>
      <c r="BB169" s="222"/>
      <c r="BC169" s="45"/>
      <c r="BD169" s="45"/>
      <c r="BE169" s="45"/>
      <c r="BF169" s="45"/>
    </row>
    <row r="170">
      <c r="A170" s="79">
        <v>167.0</v>
      </c>
      <c r="B170" s="108" t="s">
        <v>798</v>
      </c>
      <c r="C170" s="115" t="s">
        <v>56</v>
      </c>
      <c r="D170" s="110">
        <v>41334.0</v>
      </c>
      <c r="E170" s="110">
        <v>42972.0</v>
      </c>
      <c r="F170" s="107" t="s">
        <v>59</v>
      </c>
      <c r="G170" s="113">
        <v>95000.0</v>
      </c>
      <c r="H170" s="114">
        <v>58.0</v>
      </c>
      <c r="I170" s="119">
        <v>256.0</v>
      </c>
      <c r="J170" s="122" t="s">
        <v>61</v>
      </c>
      <c r="K170" s="121">
        <v>259.24</v>
      </c>
      <c r="L170" s="119" t="s">
        <v>63</v>
      </c>
      <c r="M170" s="119"/>
      <c r="N170" s="119"/>
      <c r="O170" s="124">
        <v>95000.0</v>
      </c>
      <c r="P170" s="124">
        <v>1639.0</v>
      </c>
      <c r="Q170" s="122">
        <v>313.0</v>
      </c>
      <c r="R170" s="125">
        <v>269.0</v>
      </c>
      <c r="S170" s="126">
        <v>0.9637</v>
      </c>
      <c r="T170" s="127">
        <v>74686.75</v>
      </c>
      <c r="U170" s="128">
        <f t="shared" si="2"/>
        <v>0</v>
      </c>
      <c r="V170" s="107" t="s">
        <v>65</v>
      </c>
      <c r="W170" s="107" t="s">
        <v>66</v>
      </c>
      <c r="X170" s="107" t="s">
        <v>68</v>
      </c>
      <c r="Y170" s="131">
        <v>0.9</v>
      </c>
      <c r="Z170" s="160"/>
      <c r="AA170" s="111">
        <v>265.0</v>
      </c>
      <c r="AB170" s="111" t="s">
        <v>61</v>
      </c>
      <c r="AC170" s="141"/>
      <c r="AD170" s="141"/>
      <c r="AE170" s="141"/>
      <c r="AF170" s="122"/>
      <c r="AG170" s="134" t="s">
        <v>803</v>
      </c>
      <c r="AH170" s="73"/>
      <c r="AI170" s="135"/>
      <c r="AJ170" s="136"/>
      <c r="AK170" s="76"/>
      <c r="AL170" s="135"/>
      <c r="AM170" s="139">
        <v>268.0</v>
      </c>
      <c r="AN170" s="139">
        <v>1639.0</v>
      </c>
      <c r="AO170" s="140">
        <v>390.84</v>
      </c>
      <c r="AP170" s="152">
        <v>152888.0</v>
      </c>
      <c r="AQ170" s="152">
        <v>194.0</v>
      </c>
      <c r="AR170" s="143">
        <v>-1.0</v>
      </c>
      <c r="AS170" s="144">
        <v>0.9363685607776299</v>
      </c>
      <c r="AT170" s="144">
        <v>0.027331439222370135</v>
      </c>
      <c r="AU170" s="146" t="s">
        <v>804</v>
      </c>
      <c r="AV170" s="146" t="s">
        <v>804</v>
      </c>
      <c r="AW170" s="148" t="s">
        <v>804</v>
      </c>
      <c r="AX170" s="151"/>
      <c r="AY170" s="105"/>
      <c r="AZ170" s="186"/>
      <c r="BA170" s="186"/>
      <c r="BB170" s="222"/>
      <c r="BC170" s="45"/>
      <c r="BD170" s="45"/>
      <c r="BE170" s="45"/>
      <c r="BF170" s="45"/>
    </row>
    <row r="171">
      <c r="A171" s="79">
        <v>168.0</v>
      </c>
      <c r="B171" s="108" t="s">
        <v>78</v>
      </c>
      <c r="C171" s="115" t="s">
        <v>56</v>
      </c>
      <c r="D171" s="110">
        <v>41432.0</v>
      </c>
      <c r="E171" s="110">
        <v>42981.0</v>
      </c>
      <c r="F171" s="107" t="s">
        <v>79</v>
      </c>
      <c r="G171" s="113">
        <v>91282.0</v>
      </c>
      <c r="H171" s="114">
        <v>58.9</v>
      </c>
      <c r="I171" s="119">
        <v>245.0</v>
      </c>
      <c r="J171" s="122" t="s">
        <v>61</v>
      </c>
      <c r="K171" s="121">
        <v>248.1</v>
      </c>
      <c r="L171" s="119" t="s">
        <v>63</v>
      </c>
      <c r="M171" s="119"/>
      <c r="N171" s="119"/>
      <c r="O171" s="124">
        <v>91282.0</v>
      </c>
      <c r="P171" s="124">
        <v>1550.0</v>
      </c>
      <c r="Q171" s="122">
        <v>307.0</v>
      </c>
      <c r="R171" s="125">
        <v>269.0</v>
      </c>
      <c r="S171" s="126">
        <v>0.9223</v>
      </c>
      <c r="T171" s="127">
        <v>71478.25</v>
      </c>
      <c r="U171" s="128">
        <f t="shared" si="2"/>
        <v>0</v>
      </c>
      <c r="V171" s="107" t="s">
        <v>67</v>
      </c>
      <c r="W171" s="107" t="s">
        <v>69</v>
      </c>
      <c r="X171" s="107" t="s">
        <v>66</v>
      </c>
      <c r="Y171" s="131">
        <v>0.9</v>
      </c>
      <c r="Z171" s="160">
        <v>7.3</v>
      </c>
      <c r="AA171" s="111">
        <v>260.0</v>
      </c>
      <c r="AB171" s="111" t="s">
        <v>61</v>
      </c>
      <c r="AC171" s="141"/>
      <c r="AD171" s="141"/>
      <c r="AE171" s="141"/>
      <c r="AF171" s="122"/>
      <c r="AG171" s="147"/>
      <c r="AH171" s="73"/>
      <c r="AI171" s="135"/>
      <c r="AJ171" s="136"/>
      <c r="AK171" s="76"/>
      <c r="AL171" s="135"/>
      <c r="AM171" s="139">
        <v>263.0</v>
      </c>
      <c r="AN171" s="139">
        <v>1550.0</v>
      </c>
      <c r="AO171" s="140">
        <v>376.28</v>
      </c>
      <c r="AP171" s="152">
        <v>146904.0</v>
      </c>
      <c r="AQ171" s="152">
        <v>191.0</v>
      </c>
      <c r="AR171" s="143">
        <v>-1.0</v>
      </c>
      <c r="AS171" s="144">
        <v>0.9373135249964492</v>
      </c>
      <c r="AT171" s="144">
        <v>-0.015013524996449146</v>
      </c>
      <c r="AU171" s="146" t="s">
        <v>806</v>
      </c>
      <c r="AV171" s="146" t="s">
        <v>806</v>
      </c>
      <c r="AW171" s="148" t="s">
        <v>806</v>
      </c>
      <c r="AX171" s="151"/>
      <c r="AY171" s="105"/>
      <c r="AZ171" s="186"/>
      <c r="BA171" s="186"/>
      <c r="BB171" s="222"/>
      <c r="BC171" s="45"/>
      <c r="BD171" s="45"/>
      <c r="BE171" s="45"/>
      <c r="BF171" s="45"/>
    </row>
    <row r="172">
      <c r="A172" s="79">
        <v>169.0</v>
      </c>
      <c r="B172" s="108" t="s">
        <v>809</v>
      </c>
      <c r="C172" s="115" t="s">
        <v>56</v>
      </c>
      <c r="D172" s="110">
        <v>41913.0</v>
      </c>
      <c r="E172" s="110">
        <v>42956.0</v>
      </c>
      <c r="F172" s="107" t="s">
        <v>59</v>
      </c>
      <c r="G172" s="113">
        <v>47295.0</v>
      </c>
      <c r="H172" s="114">
        <v>45.3</v>
      </c>
      <c r="I172" s="119">
        <v>259.0</v>
      </c>
      <c r="J172" s="122" t="s">
        <v>62</v>
      </c>
      <c r="K172" s="121">
        <v>259.0</v>
      </c>
      <c r="L172" s="119" t="s">
        <v>63</v>
      </c>
      <c r="M172" s="119"/>
      <c r="N172" s="119"/>
      <c r="O172" s="124">
        <v>47295.0</v>
      </c>
      <c r="P172" s="124">
        <v>1044.0</v>
      </c>
      <c r="Q172" s="122">
        <v>316.0</v>
      </c>
      <c r="R172" s="125">
        <v>269.0</v>
      </c>
      <c r="S172" s="126">
        <v>0.9628</v>
      </c>
      <c r="T172" s="127">
        <v>74617.0</v>
      </c>
      <c r="U172" s="128">
        <f t="shared" si="2"/>
        <v>0</v>
      </c>
      <c r="V172" s="107" t="s">
        <v>65</v>
      </c>
      <c r="W172" s="107" t="s">
        <v>69</v>
      </c>
      <c r="X172" s="107" t="s">
        <v>66</v>
      </c>
      <c r="Y172" s="131">
        <v>0.8</v>
      </c>
      <c r="Z172" s="132"/>
      <c r="AA172" s="111">
        <v>274.0</v>
      </c>
      <c r="AB172" s="133"/>
      <c r="AC172" s="141"/>
      <c r="AD172" s="141"/>
      <c r="AE172" s="141"/>
      <c r="AF172" s="122"/>
      <c r="AG172" s="147"/>
      <c r="AH172" s="73"/>
      <c r="AI172" s="135"/>
      <c r="AJ172" s="136"/>
      <c r="AK172" s="76"/>
      <c r="AL172" s="135"/>
      <c r="AM172" s="139">
        <v>274.0</v>
      </c>
      <c r="AN172" s="139">
        <v>1044.0</v>
      </c>
      <c r="AO172" s="140">
        <v>196.54</v>
      </c>
      <c r="AP172" s="152">
        <v>76114.0</v>
      </c>
      <c r="AQ172" s="152">
        <v>196.0</v>
      </c>
      <c r="AR172" s="143">
        <v>-1.0</v>
      </c>
      <c r="AS172" s="144">
        <v>0.9494372836421625</v>
      </c>
      <c r="AT172" s="144">
        <v>0.013362716357837479</v>
      </c>
      <c r="AU172" s="146" t="s">
        <v>811</v>
      </c>
      <c r="AV172" s="146" t="s">
        <v>811</v>
      </c>
      <c r="AW172" s="148" t="s">
        <v>811</v>
      </c>
      <c r="AX172" s="151"/>
      <c r="AY172" s="105"/>
      <c r="AZ172" s="186"/>
      <c r="BA172" s="186"/>
      <c r="BB172" s="222"/>
      <c r="BC172" s="45"/>
      <c r="BD172" s="45"/>
      <c r="BE172" s="45"/>
      <c r="BF172" s="45"/>
    </row>
    <row r="173">
      <c r="A173" s="79">
        <v>170.0</v>
      </c>
      <c r="B173" s="108" t="s">
        <v>587</v>
      </c>
      <c r="C173" s="115" t="s">
        <v>56</v>
      </c>
      <c r="D173" s="110">
        <v>41895.0</v>
      </c>
      <c r="E173" s="110">
        <v>42986.0</v>
      </c>
      <c r="F173" s="107" t="s">
        <v>59</v>
      </c>
      <c r="G173" s="113">
        <v>34428.0</v>
      </c>
      <c r="H173" s="114">
        <v>31.5</v>
      </c>
      <c r="I173" s="119">
        <v>257.0</v>
      </c>
      <c r="J173" s="122" t="s">
        <v>61</v>
      </c>
      <c r="K173" s="121">
        <v>260.25</v>
      </c>
      <c r="L173" s="119" t="s">
        <v>63</v>
      </c>
      <c r="M173" s="119"/>
      <c r="N173" s="119"/>
      <c r="O173" s="124">
        <v>34428.0</v>
      </c>
      <c r="P173" s="124">
        <v>1092.0</v>
      </c>
      <c r="Q173" s="122">
        <v>315.0</v>
      </c>
      <c r="R173" s="125">
        <v>269.0</v>
      </c>
      <c r="S173" s="126">
        <v>0.9675</v>
      </c>
      <c r="T173" s="127">
        <v>74981.25</v>
      </c>
      <c r="U173" s="128">
        <f t="shared" si="2"/>
        <v>0</v>
      </c>
      <c r="V173" s="107" t="s">
        <v>64</v>
      </c>
      <c r="W173" s="107" t="s">
        <v>64</v>
      </c>
      <c r="X173" s="107" t="s">
        <v>68</v>
      </c>
      <c r="Y173" s="131">
        <v>0.6</v>
      </c>
      <c r="Z173" s="160">
        <v>7.2</v>
      </c>
      <c r="AA173" s="111">
        <v>265.0</v>
      </c>
      <c r="AB173" s="111" t="s">
        <v>61</v>
      </c>
      <c r="AC173" s="182">
        <v>257.0</v>
      </c>
      <c r="AD173" s="182">
        <v>69.0</v>
      </c>
      <c r="AE173" s="182">
        <v>51.7</v>
      </c>
      <c r="AF173" s="122" t="s">
        <v>61</v>
      </c>
      <c r="AG173" s="134" t="s">
        <v>590</v>
      </c>
      <c r="AH173" s="73">
        <v>188.0</v>
      </c>
      <c r="AI173" s="135">
        <v>190.37974683544306</v>
      </c>
      <c r="AJ173" s="136">
        <v>70.67414062499999</v>
      </c>
      <c r="AK173" s="76">
        <v>0.9119243951612901</v>
      </c>
      <c r="AL173" s="135" t="s">
        <v>816</v>
      </c>
      <c r="AM173" s="139">
        <v>268.0</v>
      </c>
      <c r="AN173" s="139">
        <v>1092.0</v>
      </c>
      <c r="AO173" s="140">
        <v>142.29</v>
      </c>
      <c r="AP173" s="152">
        <v>55406.0</v>
      </c>
      <c r="AQ173" s="152">
        <v>196.0</v>
      </c>
      <c r="AR173" s="143">
        <v>-1.0</v>
      </c>
      <c r="AS173" s="144">
        <v>0.954490911783857</v>
      </c>
      <c r="AT173" s="144">
        <v>0.013009088216142994</v>
      </c>
      <c r="AU173" s="146" t="s">
        <v>817</v>
      </c>
      <c r="AV173" s="146" t="s">
        <v>817</v>
      </c>
      <c r="AW173" s="148" t="s">
        <v>817</v>
      </c>
      <c r="AX173" s="151"/>
      <c r="AY173" s="105"/>
      <c r="AZ173" s="186"/>
      <c r="BA173" s="186"/>
      <c r="BB173" s="222"/>
      <c r="BC173" s="45"/>
      <c r="BD173" s="45"/>
      <c r="BE173" s="45"/>
      <c r="BF173" s="45"/>
    </row>
    <row r="174">
      <c r="A174" s="79">
        <v>171.0</v>
      </c>
      <c r="B174" s="108" t="s">
        <v>819</v>
      </c>
      <c r="C174" s="115" t="s">
        <v>56</v>
      </c>
      <c r="D174" s="110">
        <v>41456.0</v>
      </c>
      <c r="E174" s="110">
        <v>42988.0</v>
      </c>
      <c r="F174" s="107" t="s">
        <v>79</v>
      </c>
      <c r="G174" s="113">
        <v>70109.0</v>
      </c>
      <c r="H174" s="114">
        <v>45.7</v>
      </c>
      <c r="I174" s="119">
        <v>249.0</v>
      </c>
      <c r="J174" s="122" t="s">
        <v>62</v>
      </c>
      <c r="K174" s="121">
        <v>249.0</v>
      </c>
      <c r="L174" s="119" t="s">
        <v>63</v>
      </c>
      <c r="M174" s="119"/>
      <c r="N174" s="119"/>
      <c r="O174" s="124">
        <v>70109.0</v>
      </c>
      <c r="P174" s="124">
        <v>1533.0</v>
      </c>
      <c r="Q174" s="122">
        <v>403.0</v>
      </c>
      <c r="R174" s="125">
        <v>269.0</v>
      </c>
      <c r="S174" s="126">
        <v>0.9257</v>
      </c>
      <c r="T174" s="127">
        <v>71741.75</v>
      </c>
      <c r="U174" s="128">
        <f t="shared" si="2"/>
        <v>0</v>
      </c>
      <c r="V174" s="107" t="s">
        <v>65</v>
      </c>
      <c r="W174" s="107" t="s">
        <v>64</v>
      </c>
      <c r="X174" s="107" t="s">
        <v>68</v>
      </c>
      <c r="Y174" s="131">
        <v>0.9</v>
      </c>
      <c r="Z174" s="160"/>
      <c r="AA174" s="111">
        <v>265.0</v>
      </c>
      <c r="AB174" s="111"/>
      <c r="AC174" s="182">
        <v>249.0</v>
      </c>
      <c r="AD174" s="182">
        <v>53.0</v>
      </c>
      <c r="AE174" s="182">
        <v>52.2</v>
      </c>
      <c r="AF174" s="122" t="s">
        <v>62</v>
      </c>
      <c r="AG174" s="147"/>
      <c r="AH174" s="73">
        <v>196.0</v>
      </c>
      <c r="AI174" s="135">
        <v>196.0</v>
      </c>
      <c r="AJ174" s="136">
        <v>66.31530612244899</v>
      </c>
      <c r="AK174" s="76">
        <v>0.8556813693219225</v>
      </c>
      <c r="AL174" s="135" t="s">
        <v>820</v>
      </c>
      <c r="AM174" s="139">
        <v>265.0</v>
      </c>
      <c r="AN174" s="139">
        <v>1533.0</v>
      </c>
      <c r="AO174" s="140">
        <v>378.7</v>
      </c>
      <c r="AP174" s="152">
        <v>112829.0</v>
      </c>
      <c r="AQ174" s="152">
        <v>250.0</v>
      </c>
      <c r="AR174" s="143">
        <v>-1.0</v>
      </c>
      <c r="AS174" s="144">
        <v>0.9427952191571916</v>
      </c>
      <c r="AT174" s="144">
        <v>-0.017095219157191588</v>
      </c>
      <c r="AU174" s="146" t="s">
        <v>821</v>
      </c>
      <c r="AV174" s="146" t="s">
        <v>821</v>
      </c>
      <c r="AW174" s="148" t="s">
        <v>821</v>
      </c>
      <c r="AX174" s="151"/>
      <c r="AY174" s="105"/>
      <c r="AZ174" s="186"/>
      <c r="BA174" s="186"/>
      <c r="BB174" s="222"/>
      <c r="BC174" s="45"/>
      <c r="BD174" s="45"/>
      <c r="BE174" s="45"/>
      <c r="BF174" s="45"/>
    </row>
    <row r="175">
      <c r="A175" s="79">
        <v>172.0</v>
      </c>
      <c r="B175" s="108" t="s">
        <v>161</v>
      </c>
      <c r="C175" s="115" t="s">
        <v>56</v>
      </c>
      <c r="D175" s="110">
        <v>41310.0</v>
      </c>
      <c r="E175" s="110">
        <v>42992.0</v>
      </c>
      <c r="F175" s="107" t="s">
        <v>59</v>
      </c>
      <c r="G175" s="113">
        <v>59487.0</v>
      </c>
      <c r="H175" s="114">
        <v>35.3</v>
      </c>
      <c r="I175" s="119">
        <v>253.0</v>
      </c>
      <c r="J175" s="122" t="s">
        <v>62</v>
      </c>
      <c r="K175" s="121">
        <v>253.0</v>
      </c>
      <c r="L175" s="119" t="s">
        <v>63</v>
      </c>
      <c r="M175" s="119"/>
      <c r="N175" s="119"/>
      <c r="O175" s="124">
        <v>59487.0</v>
      </c>
      <c r="P175" s="124">
        <v>1683.0</v>
      </c>
      <c r="Q175" s="122">
        <v>297.0</v>
      </c>
      <c r="R175" s="125">
        <v>269.0</v>
      </c>
      <c r="S175" s="126">
        <v>0.9405</v>
      </c>
      <c r="T175" s="127">
        <v>72888.75</v>
      </c>
      <c r="U175" s="128">
        <f t="shared" si="2"/>
        <v>0</v>
      </c>
      <c r="V175" s="107" t="s">
        <v>69</v>
      </c>
      <c r="W175" s="107" t="s">
        <v>69</v>
      </c>
      <c r="X175" s="107" t="s">
        <v>69</v>
      </c>
      <c r="Y175" s="131">
        <v>0.9</v>
      </c>
      <c r="Z175" s="160">
        <v>1.0</v>
      </c>
      <c r="AA175" s="111">
        <v>270.0</v>
      </c>
      <c r="AB175" s="111" t="s">
        <v>61</v>
      </c>
      <c r="AC175" s="141"/>
      <c r="AD175" s="141"/>
      <c r="AE175" s="141"/>
      <c r="AF175" s="122"/>
      <c r="AG175" s="134" t="s">
        <v>166</v>
      </c>
      <c r="AH175" s="73"/>
      <c r="AI175" s="135"/>
      <c r="AJ175" s="136"/>
      <c r="AK175" s="76"/>
      <c r="AL175" s="135"/>
      <c r="AM175" s="139">
        <v>273.0</v>
      </c>
      <c r="AN175" s="139">
        <v>1683.0</v>
      </c>
      <c r="AO175" s="140">
        <v>235.03</v>
      </c>
      <c r="AP175" s="152">
        <v>95735.0</v>
      </c>
      <c r="AQ175" s="152">
        <v>185.0</v>
      </c>
      <c r="AR175" s="143">
        <v>-1.0</v>
      </c>
      <c r="AS175" s="144">
        <v>0.9457079435306384</v>
      </c>
      <c r="AT175" s="144">
        <v>-0.005207943530638359</v>
      </c>
      <c r="AU175" s="146" t="s">
        <v>825</v>
      </c>
      <c r="AV175" s="146" t="s">
        <v>825</v>
      </c>
      <c r="AW175" s="148" t="s">
        <v>825</v>
      </c>
      <c r="AX175" s="151"/>
      <c r="AY175" s="105"/>
      <c r="AZ175" s="186"/>
      <c r="BA175" s="186"/>
      <c r="BB175" s="222"/>
      <c r="BC175" s="45"/>
      <c r="BD175" s="45"/>
      <c r="BE175" s="45"/>
      <c r="BF175" s="45"/>
    </row>
    <row r="176">
      <c r="A176" s="79">
        <v>173.0</v>
      </c>
      <c r="B176" s="108" t="s">
        <v>772</v>
      </c>
      <c r="C176" s="115" t="s">
        <v>56</v>
      </c>
      <c r="D176" s="110">
        <v>42705.0</v>
      </c>
      <c r="E176" s="110">
        <v>43007.0</v>
      </c>
      <c r="F176" s="107" t="s">
        <v>675</v>
      </c>
      <c r="G176" s="113">
        <v>17351.0</v>
      </c>
      <c r="H176" s="114">
        <v>57.3</v>
      </c>
      <c r="I176" s="119">
        <v>244.0</v>
      </c>
      <c r="J176" s="122" t="s">
        <v>62</v>
      </c>
      <c r="K176" s="121">
        <v>244.0</v>
      </c>
      <c r="L176" s="119" t="s">
        <v>63</v>
      </c>
      <c r="M176" s="119"/>
      <c r="N176" s="119"/>
      <c r="O176" s="124">
        <v>17351.0</v>
      </c>
      <c r="P176" s="124">
        <v>303.0</v>
      </c>
      <c r="Q176" s="122">
        <v>365.0</v>
      </c>
      <c r="R176" s="125">
        <v>262.0</v>
      </c>
      <c r="S176" s="126">
        <v>0.9313</v>
      </c>
      <c r="T176" s="127">
        <v>67612.38</v>
      </c>
      <c r="U176" s="128">
        <f t="shared" si="2"/>
        <v>0</v>
      </c>
      <c r="V176" s="107" t="s">
        <v>80</v>
      </c>
      <c r="W176" s="107" t="s">
        <v>64</v>
      </c>
      <c r="X176" s="107" t="s">
        <v>64</v>
      </c>
      <c r="Y176" s="131">
        <v>0.9</v>
      </c>
      <c r="Z176" s="132"/>
      <c r="AA176" s="133"/>
      <c r="AB176" s="133"/>
      <c r="AC176" s="141"/>
      <c r="AD176" s="141"/>
      <c r="AE176" s="141"/>
      <c r="AF176" s="122"/>
      <c r="AG176" s="147"/>
      <c r="AH176" s="73"/>
      <c r="AI176" s="135"/>
      <c r="AJ176" s="136"/>
      <c r="AK176" s="76"/>
      <c r="AL176" s="135"/>
      <c r="AM176" s="139" t="s">
        <v>71</v>
      </c>
      <c r="AN176" s="139">
        <v>303.0</v>
      </c>
      <c r="AO176" s="140">
        <v>90.35</v>
      </c>
      <c r="AP176" s="152">
        <v>27924.0</v>
      </c>
      <c r="AQ176" s="152">
        <v>227.0</v>
      </c>
      <c r="AR176" s="143">
        <v>-1.0</v>
      </c>
      <c r="AS176" s="144">
        <v>0.966525021972941</v>
      </c>
      <c r="AT176" s="144">
        <v>-0.03522502197294097</v>
      </c>
      <c r="AU176" s="146" t="s">
        <v>828</v>
      </c>
      <c r="AV176" s="146" t="s">
        <v>828</v>
      </c>
      <c r="AW176" s="148" t="s">
        <v>828</v>
      </c>
      <c r="AX176" s="151"/>
      <c r="AY176" s="105"/>
      <c r="AZ176" s="186"/>
      <c r="BA176" s="186"/>
      <c r="BB176" s="222"/>
      <c r="BC176" s="45"/>
      <c r="BD176" s="45"/>
      <c r="BE176" s="45"/>
      <c r="BF176" s="45"/>
    </row>
    <row r="177">
      <c r="A177" s="79">
        <v>174.0</v>
      </c>
      <c r="B177" s="108" t="s">
        <v>829</v>
      </c>
      <c r="C177" s="115" t="s">
        <v>56</v>
      </c>
      <c r="D177" s="110">
        <v>42865.0</v>
      </c>
      <c r="E177" s="110">
        <v>43018.0</v>
      </c>
      <c r="F177" s="107" t="s">
        <v>629</v>
      </c>
      <c r="G177" s="113">
        <v>5500.0</v>
      </c>
      <c r="H177" s="114">
        <v>35.7</v>
      </c>
      <c r="I177" s="119">
        <v>240.0</v>
      </c>
      <c r="J177" s="122" t="s">
        <v>61</v>
      </c>
      <c r="K177" s="121">
        <v>243.04</v>
      </c>
      <c r="L177" s="119" t="s">
        <v>63</v>
      </c>
      <c r="M177" s="119"/>
      <c r="N177" s="119"/>
      <c r="O177" s="124">
        <v>5500.0</v>
      </c>
      <c r="P177" s="124">
        <v>154.0</v>
      </c>
      <c r="Q177" s="122">
        <v>265.0</v>
      </c>
      <c r="R177" s="125">
        <v>249.0</v>
      </c>
      <c r="S177" s="126">
        <v>0.9761</v>
      </c>
      <c r="T177" s="127">
        <v>70864.86</v>
      </c>
      <c r="U177" s="128">
        <f t="shared" si="2"/>
        <v>0</v>
      </c>
      <c r="V177" s="107" t="s">
        <v>65</v>
      </c>
      <c r="W177" s="107" t="s">
        <v>69</v>
      </c>
      <c r="X177" s="107" t="s">
        <v>69</v>
      </c>
      <c r="Y177" s="131">
        <v>0.8</v>
      </c>
      <c r="Z177" s="132"/>
      <c r="AA177" s="133"/>
      <c r="AB177" s="133"/>
      <c r="AC177" s="141"/>
      <c r="AD177" s="141"/>
      <c r="AE177" s="141"/>
      <c r="AF177" s="122"/>
      <c r="AG177" s="147"/>
      <c r="AH177" s="73"/>
      <c r="AI177" s="135"/>
      <c r="AJ177" s="136"/>
      <c r="AK177" s="76"/>
      <c r="AL177" s="135"/>
      <c r="AM177" s="139" t="s">
        <v>71</v>
      </c>
      <c r="AN177" s="139">
        <v>154.0</v>
      </c>
      <c r="AO177" s="140">
        <v>20.33</v>
      </c>
      <c r="AP177" s="152">
        <v>8851.0</v>
      </c>
      <c r="AQ177" s="152">
        <v>165.0</v>
      </c>
      <c r="AR177" s="143">
        <v>-1.0</v>
      </c>
      <c r="AS177" s="144">
        <v>0.985045362639867</v>
      </c>
      <c r="AT177" s="144">
        <v>-0.008945362639867005</v>
      </c>
      <c r="AU177" s="146" t="s">
        <v>832</v>
      </c>
      <c r="AV177" s="146" t="s">
        <v>832</v>
      </c>
      <c r="AW177" s="148" t="s">
        <v>832</v>
      </c>
      <c r="AX177" s="151"/>
      <c r="AY177" s="105"/>
      <c r="AZ177" s="186"/>
      <c r="BA177" s="186"/>
      <c r="BB177" s="222"/>
      <c r="BC177" s="45"/>
      <c r="BD177" s="45"/>
      <c r="BE177" s="45"/>
      <c r="BF177" s="45"/>
    </row>
    <row r="178">
      <c r="A178" s="79">
        <v>175.0</v>
      </c>
      <c r="B178" s="108" t="s">
        <v>519</v>
      </c>
      <c r="C178" s="115" t="s">
        <v>56</v>
      </c>
      <c r="D178" s="110">
        <v>42551.0</v>
      </c>
      <c r="E178" s="110">
        <v>43018.0</v>
      </c>
      <c r="F178" s="107" t="s">
        <v>305</v>
      </c>
      <c r="G178" s="113">
        <v>20649.1</v>
      </c>
      <c r="H178" s="114">
        <v>44.1</v>
      </c>
      <c r="I178" s="119">
        <v>287.4</v>
      </c>
      <c r="J178" s="122" t="s">
        <v>62</v>
      </c>
      <c r="K178" s="121">
        <v>287.4</v>
      </c>
      <c r="L178" s="119" t="s">
        <v>63</v>
      </c>
      <c r="M178" s="119"/>
      <c r="N178" s="119"/>
      <c r="O178" s="124">
        <v>20649.1</v>
      </c>
      <c r="P178" s="124">
        <v>468.0</v>
      </c>
      <c r="Q178" s="122">
        <v>279.0</v>
      </c>
      <c r="R178" s="125">
        <v>295.0</v>
      </c>
      <c r="S178" s="126">
        <v>0.9742</v>
      </c>
      <c r="T178" s="127">
        <v>79689.56</v>
      </c>
      <c r="U178" s="128">
        <f t="shared" si="2"/>
        <v>0</v>
      </c>
      <c r="V178" s="107" t="s">
        <v>65</v>
      </c>
      <c r="W178" s="107" t="s">
        <v>69</v>
      </c>
      <c r="X178" s="107" t="s">
        <v>68</v>
      </c>
      <c r="Y178" s="131">
        <v>0.8</v>
      </c>
      <c r="Z178" s="160">
        <v>9.6</v>
      </c>
      <c r="AA178" s="111">
        <v>295.0</v>
      </c>
      <c r="AB178" s="111" t="s">
        <v>62</v>
      </c>
      <c r="AC178" s="182">
        <v>287.0</v>
      </c>
      <c r="AD178" s="182">
        <v>19.0</v>
      </c>
      <c r="AE178" s="182">
        <v>73.0</v>
      </c>
      <c r="AF178" s="122" t="s">
        <v>62</v>
      </c>
      <c r="AG178" s="134" t="s">
        <v>835</v>
      </c>
      <c r="AH178" s="73">
        <v>268.0</v>
      </c>
      <c r="AI178" s="135">
        <v>268.0</v>
      </c>
      <c r="AJ178" s="136">
        <v>78.28432835820894</v>
      </c>
      <c r="AK178" s="76">
        <v>0.9570211290734588</v>
      </c>
      <c r="AL178" s="135" t="s">
        <v>836</v>
      </c>
      <c r="AM178" s="139">
        <v>295.0</v>
      </c>
      <c r="AN178" s="139">
        <v>468.0</v>
      </c>
      <c r="AO178" s="140">
        <v>71.37</v>
      </c>
      <c r="AP178" s="152">
        <v>33232.0</v>
      </c>
      <c r="AQ178" s="152">
        <v>173.0</v>
      </c>
      <c r="AR178" s="143">
        <v>-1.0</v>
      </c>
      <c r="AS178" s="144">
        <v>0.9633359703021118</v>
      </c>
      <c r="AT178" s="144">
        <v>0.010864029697888133</v>
      </c>
      <c r="AU178" s="146" t="s">
        <v>837</v>
      </c>
      <c r="AV178" s="146" t="s">
        <v>837</v>
      </c>
      <c r="AW178" s="148" t="s">
        <v>837</v>
      </c>
      <c r="AX178" s="151"/>
      <c r="AY178" s="105"/>
      <c r="AZ178" s="186"/>
      <c r="BA178" s="186"/>
      <c r="BB178" s="222"/>
      <c r="BC178" s="45"/>
      <c r="BD178" s="45"/>
      <c r="BE178" s="45"/>
      <c r="BF178" s="45"/>
    </row>
    <row r="179">
      <c r="A179" s="79">
        <v>176.0</v>
      </c>
      <c r="B179" s="108" t="s">
        <v>839</v>
      </c>
      <c r="C179" s="115" t="s">
        <v>56</v>
      </c>
      <c r="D179" s="110">
        <v>42703.0</v>
      </c>
      <c r="E179" s="110">
        <v>42874.0</v>
      </c>
      <c r="F179" s="107" t="s">
        <v>305</v>
      </c>
      <c r="G179" s="113">
        <v>5000.0</v>
      </c>
      <c r="H179" s="114">
        <v>29.1</v>
      </c>
      <c r="I179" s="119">
        <v>291.0</v>
      </c>
      <c r="J179" s="122" t="s">
        <v>61</v>
      </c>
      <c r="K179" s="121">
        <v>294.68</v>
      </c>
      <c r="L179" s="119" t="s">
        <v>63</v>
      </c>
      <c r="M179" s="119"/>
      <c r="N179" s="119"/>
      <c r="O179" s="124">
        <v>5000.0</v>
      </c>
      <c r="P179" s="124">
        <v>172.0</v>
      </c>
      <c r="Q179" s="122">
        <v>263.0</v>
      </c>
      <c r="R179" s="125">
        <v>295.0</v>
      </c>
      <c r="S179" s="126">
        <v>0.9989</v>
      </c>
      <c r="T179" s="127">
        <v>81710.02</v>
      </c>
      <c r="U179" s="128">
        <f t="shared" si="2"/>
        <v>0</v>
      </c>
      <c r="V179" s="107" t="s">
        <v>69</v>
      </c>
      <c r="W179" s="107" t="s">
        <v>69</v>
      </c>
      <c r="X179" s="107" t="s">
        <v>68</v>
      </c>
      <c r="Y179" s="131">
        <v>0.9</v>
      </c>
      <c r="Z179" s="160">
        <v>9.6</v>
      </c>
      <c r="AA179" s="111">
        <v>293.0</v>
      </c>
      <c r="AB179" s="111" t="s">
        <v>61</v>
      </c>
      <c r="AC179" s="182"/>
      <c r="AD179" s="182"/>
      <c r="AE179" s="141"/>
      <c r="AF179" s="122"/>
      <c r="AG179" s="147"/>
      <c r="AH179" s="73"/>
      <c r="AI179" s="135"/>
      <c r="AJ179" s="136"/>
      <c r="AK179" s="76"/>
      <c r="AL179" s="135"/>
      <c r="AM179" s="139">
        <v>297.0</v>
      </c>
      <c r="AN179" s="139">
        <v>172.0</v>
      </c>
      <c r="AO179" s="140">
        <v>16.09</v>
      </c>
      <c r="AP179" s="152">
        <v>8047.0</v>
      </c>
      <c r="AQ179" s="152">
        <v>163.0</v>
      </c>
      <c r="AR179" s="143">
        <v>-1.0</v>
      </c>
      <c r="AS179" s="144">
        <v>0.9861833912415955</v>
      </c>
      <c r="AT179" s="144">
        <v>0.012716608758404524</v>
      </c>
      <c r="AU179" s="146" t="s">
        <v>841</v>
      </c>
      <c r="AV179" s="146" t="s">
        <v>841</v>
      </c>
      <c r="AW179" s="148" t="s">
        <v>841</v>
      </c>
      <c r="AX179" s="151"/>
      <c r="AY179" s="105"/>
      <c r="AZ179" s="186"/>
      <c r="BA179" s="186"/>
      <c r="BB179" s="222"/>
      <c r="BC179" s="45"/>
      <c r="BD179" s="45"/>
      <c r="BE179" s="45"/>
      <c r="BF179" s="45"/>
    </row>
    <row r="180">
      <c r="A180" s="79">
        <v>177.0</v>
      </c>
      <c r="B180" s="108" t="s">
        <v>839</v>
      </c>
      <c r="C180" s="115" t="s">
        <v>56</v>
      </c>
      <c r="D180" s="110">
        <v>42703.0</v>
      </c>
      <c r="E180" s="110">
        <v>42971.0</v>
      </c>
      <c r="F180" s="107" t="s">
        <v>305</v>
      </c>
      <c r="G180" s="113">
        <v>10000.0</v>
      </c>
      <c r="H180" s="114">
        <v>37.2</v>
      </c>
      <c r="I180" s="119">
        <v>284.0</v>
      </c>
      <c r="J180" s="122" t="s">
        <v>61</v>
      </c>
      <c r="K180" s="121">
        <v>287.59</v>
      </c>
      <c r="L180" s="119" t="s">
        <v>63</v>
      </c>
      <c r="M180" s="119"/>
      <c r="N180" s="119"/>
      <c r="O180" s="124">
        <v>10000.0</v>
      </c>
      <c r="P180" s="124">
        <v>269.0</v>
      </c>
      <c r="Q180" s="122">
        <v>263.0</v>
      </c>
      <c r="R180" s="125">
        <v>295.0</v>
      </c>
      <c r="S180" s="126">
        <v>0.9749</v>
      </c>
      <c r="T180" s="127">
        <v>79746.81999999999</v>
      </c>
      <c r="U180" s="128">
        <f t="shared" si="2"/>
        <v>0</v>
      </c>
      <c r="V180" s="107" t="s">
        <v>69</v>
      </c>
      <c r="W180" s="107" t="s">
        <v>69</v>
      </c>
      <c r="X180" s="107" t="s">
        <v>68</v>
      </c>
      <c r="Y180" s="131">
        <v>0.9</v>
      </c>
      <c r="Z180" s="160">
        <v>9.6</v>
      </c>
      <c r="AA180" s="111">
        <v>293.0</v>
      </c>
      <c r="AB180" s="111" t="s">
        <v>61</v>
      </c>
      <c r="AC180" s="141"/>
      <c r="AD180" s="141"/>
      <c r="AE180" s="141"/>
      <c r="AF180" s="122"/>
      <c r="AG180" s="147"/>
      <c r="AH180" s="73"/>
      <c r="AI180" s="135"/>
      <c r="AJ180" s="136"/>
      <c r="AK180" s="76"/>
      <c r="AL180" s="135"/>
      <c r="AM180" s="139">
        <v>297.0</v>
      </c>
      <c r="AN180" s="139">
        <v>269.0</v>
      </c>
      <c r="AO180" s="140">
        <v>32.57</v>
      </c>
      <c r="AP180" s="152">
        <v>16093.0</v>
      </c>
      <c r="AQ180" s="152">
        <v>163.0</v>
      </c>
      <c r="AR180" s="143">
        <v>-1.0</v>
      </c>
      <c r="AS180" s="144">
        <v>0.976334470120253</v>
      </c>
      <c r="AT180" s="144">
        <v>-0.0014344701202529953</v>
      </c>
      <c r="AU180" s="146" t="s">
        <v>844</v>
      </c>
      <c r="AV180" s="146" t="s">
        <v>844</v>
      </c>
      <c r="AW180" s="148" t="s">
        <v>844</v>
      </c>
      <c r="AX180" s="151"/>
      <c r="AY180" s="105"/>
      <c r="AZ180" s="186"/>
      <c r="BA180" s="186"/>
      <c r="BB180" s="222"/>
      <c r="BC180" s="45"/>
      <c r="BD180" s="45"/>
      <c r="BE180" s="45"/>
      <c r="BF180" s="45"/>
    </row>
    <row r="181">
      <c r="A181" s="79">
        <v>178.0</v>
      </c>
      <c r="B181" s="108" t="s">
        <v>845</v>
      </c>
      <c r="C181" s="115" t="s">
        <v>56</v>
      </c>
      <c r="D181" s="110">
        <v>42384.0</v>
      </c>
      <c r="E181" s="110">
        <v>43016.0</v>
      </c>
      <c r="F181" s="107" t="s">
        <v>305</v>
      </c>
      <c r="G181" s="113">
        <v>46000.0</v>
      </c>
      <c r="H181" s="114">
        <v>72.7</v>
      </c>
      <c r="I181" s="119">
        <v>272.0</v>
      </c>
      <c r="J181" s="122" t="s">
        <v>62</v>
      </c>
      <c r="K181" s="121">
        <v>272.0</v>
      </c>
      <c r="L181" s="119" t="s">
        <v>63</v>
      </c>
      <c r="M181" s="119"/>
      <c r="N181" s="119"/>
      <c r="O181" s="124">
        <v>46000.0</v>
      </c>
      <c r="P181" s="124">
        <v>633.0</v>
      </c>
      <c r="Q181" s="122">
        <v>367.0</v>
      </c>
      <c r="R181" s="125">
        <v>295.0</v>
      </c>
      <c r="S181" s="126">
        <v>0.922</v>
      </c>
      <c r="T181" s="127">
        <v>75419.6</v>
      </c>
      <c r="U181" s="128">
        <f t="shared" si="2"/>
        <v>0</v>
      </c>
      <c r="V181" s="107" t="s">
        <v>80</v>
      </c>
      <c r="W181" s="107" t="s">
        <v>65</v>
      </c>
      <c r="X181" s="107" t="s">
        <v>64</v>
      </c>
      <c r="Y181" s="131">
        <v>0.9</v>
      </c>
      <c r="Z181" s="132"/>
      <c r="AA181" s="111">
        <v>294.0</v>
      </c>
      <c r="AB181" s="111" t="s">
        <v>62</v>
      </c>
      <c r="AC181" s="141"/>
      <c r="AD181" s="141"/>
      <c r="AE181" s="141"/>
      <c r="AF181" s="122"/>
      <c r="AG181" s="134" t="s">
        <v>847</v>
      </c>
      <c r="AH181" s="73"/>
      <c r="AI181" s="135"/>
      <c r="AJ181" s="136"/>
      <c r="AK181" s="76"/>
      <c r="AL181" s="135"/>
      <c r="AM181" s="139">
        <v>294.0</v>
      </c>
      <c r="AN181" s="139">
        <v>633.0</v>
      </c>
      <c r="AO181" s="140">
        <v>214.78</v>
      </c>
      <c r="AP181" s="152">
        <v>74030.0</v>
      </c>
      <c r="AQ181" s="152">
        <v>228.0</v>
      </c>
      <c r="AR181" s="143">
        <v>-1.0</v>
      </c>
      <c r="AS181" s="144">
        <v>0.9498763672572502</v>
      </c>
      <c r="AT181" s="144">
        <v>-0.02787636725725018</v>
      </c>
      <c r="AU181" s="146" t="s">
        <v>848</v>
      </c>
      <c r="AV181" s="146" t="s">
        <v>848</v>
      </c>
      <c r="AW181" s="148" t="s">
        <v>848</v>
      </c>
      <c r="AX181" s="151"/>
      <c r="AY181" s="105"/>
      <c r="AZ181" s="186"/>
      <c r="BA181" s="186"/>
      <c r="BB181" s="222"/>
      <c r="BC181" s="45"/>
      <c r="BD181" s="45"/>
      <c r="BE181" s="45"/>
      <c r="BF181" s="45"/>
    </row>
    <row r="182">
      <c r="A182" s="79">
        <v>179.0</v>
      </c>
      <c r="B182" s="108" t="s">
        <v>849</v>
      </c>
      <c r="C182" s="115" t="s">
        <v>850</v>
      </c>
      <c r="D182" s="110">
        <v>42736.0</v>
      </c>
      <c r="E182" s="110">
        <v>43038.0</v>
      </c>
      <c r="F182" s="107" t="s">
        <v>675</v>
      </c>
      <c r="G182" s="113">
        <v>18827.0</v>
      </c>
      <c r="H182" s="114">
        <v>62.1</v>
      </c>
      <c r="I182" s="119">
        <v>256.0</v>
      </c>
      <c r="J182" s="122" t="s">
        <v>62</v>
      </c>
      <c r="K182" s="121">
        <v>256.0</v>
      </c>
      <c r="L182" s="119" t="s">
        <v>63</v>
      </c>
      <c r="M182" s="119" t="s">
        <v>379</v>
      </c>
      <c r="N182" s="119"/>
      <c r="O182" s="124">
        <v>18827.0</v>
      </c>
      <c r="P182" s="124">
        <v>303.0</v>
      </c>
      <c r="Q182" s="191"/>
      <c r="R182" s="125">
        <v>262.0</v>
      </c>
      <c r="S182" s="126">
        <v>0.9771</v>
      </c>
      <c r="T182" s="127">
        <v>70937.45999999999</v>
      </c>
      <c r="U182" s="128">
        <f t="shared" si="2"/>
        <v>0</v>
      </c>
      <c r="V182" s="170"/>
      <c r="W182" s="170"/>
      <c r="X182" s="170"/>
      <c r="Y182" s="131"/>
      <c r="Z182" s="160"/>
      <c r="AA182" s="133"/>
      <c r="AB182" s="133"/>
      <c r="AC182" s="141"/>
      <c r="AD182" s="141"/>
      <c r="AE182" s="141"/>
      <c r="AF182" s="122"/>
      <c r="AG182" s="147"/>
      <c r="AH182" s="73"/>
      <c r="AI182" s="135"/>
      <c r="AJ182" s="136"/>
      <c r="AK182" s="76"/>
      <c r="AL182" s="135"/>
      <c r="AM182" s="139" t="s">
        <v>71</v>
      </c>
      <c r="AN182" s="139">
        <v>303.0</v>
      </c>
      <c r="AO182" s="140"/>
      <c r="AP182" s="152">
        <v>30299.0</v>
      </c>
      <c r="AQ182" s="152"/>
      <c r="AR182" s="143">
        <v>-1.0</v>
      </c>
      <c r="AS182" s="144">
        <v>0.9650248698189103</v>
      </c>
      <c r="AT182" s="144">
        <v>0.012075130181089633</v>
      </c>
      <c r="AU182" s="146" t="s">
        <v>852</v>
      </c>
      <c r="AV182" s="146" t="s">
        <v>852</v>
      </c>
      <c r="AW182" s="148" t="s">
        <v>852</v>
      </c>
      <c r="AX182" s="151"/>
      <c r="AY182" s="105"/>
      <c r="AZ182" s="186"/>
      <c r="BA182" s="186"/>
      <c r="BB182" s="222"/>
      <c r="BC182" s="45"/>
      <c r="BD182" s="45"/>
      <c r="BE182" s="45"/>
      <c r="BF182" s="45"/>
    </row>
    <row r="183">
      <c r="A183" s="79">
        <v>180.0</v>
      </c>
      <c r="B183" s="108" t="s">
        <v>853</v>
      </c>
      <c r="C183" s="115" t="s">
        <v>56</v>
      </c>
      <c r="D183" s="110">
        <v>42839.0</v>
      </c>
      <c r="E183" s="110">
        <v>43040.0</v>
      </c>
      <c r="F183" s="107" t="s">
        <v>675</v>
      </c>
      <c r="G183" s="113">
        <v>5451.0</v>
      </c>
      <c r="H183" s="114">
        <v>27.0</v>
      </c>
      <c r="I183" s="119">
        <v>256.0</v>
      </c>
      <c r="J183" s="122" t="s">
        <v>61</v>
      </c>
      <c r="K183" s="121">
        <v>259.24</v>
      </c>
      <c r="L183" s="119" t="s">
        <v>63</v>
      </c>
      <c r="M183" s="119"/>
      <c r="N183" s="119"/>
      <c r="O183" s="124">
        <v>5451.0</v>
      </c>
      <c r="P183" s="124">
        <v>202.0</v>
      </c>
      <c r="Q183" s="122">
        <v>273.0</v>
      </c>
      <c r="R183" s="125">
        <v>262.0</v>
      </c>
      <c r="S183" s="126">
        <v>0.9895</v>
      </c>
      <c r="T183" s="127">
        <v>71837.7</v>
      </c>
      <c r="U183" s="128">
        <f t="shared" si="2"/>
        <v>0</v>
      </c>
      <c r="V183" s="107" t="s">
        <v>69</v>
      </c>
      <c r="W183" s="107" t="s">
        <v>69</v>
      </c>
      <c r="X183" s="107" t="s">
        <v>68</v>
      </c>
      <c r="Y183" s="131">
        <v>0.7</v>
      </c>
      <c r="Z183" s="160">
        <v>4.8</v>
      </c>
      <c r="AA183" s="111">
        <v>259.0</v>
      </c>
      <c r="AB183" s="111" t="s">
        <v>62</v>
      </c>
      <c r="AC183" s="141"/>
      <c r="AD183" s="141"/>
      <c r="AE183" s="141"/>
      <c r="AF183" s="122"/>
      <c r="AG183" s="147"/>
      <c r="AH183" s="73"/>
      <c r="AI183" s="135"/>
      <c r="AJ183" s="136"/>
      <c r="AK183" s="76"/>
      <c r="AL183" s="135"/>
      <c r="AM183" s="139">
        <v>259.0</v>
      </c>
      <c r="AN183" s="139">
        <v>202.0</v>
      </c>
      <c r="AO183" s="140">
        <v>20.61</v>
      </c>
      <c r="AP183" s="152">
        <v>8773.0</v>
      </c>
      <c r="AQ183" s="152">
        <v>170.0</v>
      </c>
      <c r="AR183" s="143">
        <v>-1.0</v>
      </c>
      <c r="AS183" s="144">
        <v>0.9851540953163269</v>
      </c>
      <c r="AT183" s="144">
        <v>0.00434590468367313</v>
      </c>
      <c r="AU183" s="146" t="s">
        <v>855</v>
      </c>
      <c r="AV183" s="146" t="s">
        <v>855</v>
      </c>
      <c r="AW183" s="148" t="s">
        <v>855</v>
      </c>
      <c r="AX183" s="151"/>
      <c r="AY183" s="105"/>
      <c r="AZ183" s="186"/>
      <c r="BA183" s="186"/>
      <c r="BB183" s="222"/>
      <c r="BC183" s="45"/>
      <c r="BD183" s="45"/>
      <c r="BE183" s="45"/>
      <c r="BF183" s="45"/>
    </row>
    <row r="184">
      <c r="A184" s="79">
        <v>181.0</v>
      </c>
      <c r="B184" s="108" t="s">
        <v>856</v>
      </c>
      <c r="C184" s="115" t="s">
        <v>56</v>
      </c>
      <c r="D184" s="110">
        <v>41472.0</v>
      </c>
      <c r="E184" s="110">
        <v>42644.0</v>
      </c>
      <c r="F184" s="107" t="s">
        <v>109</v>
      </c>
      <c r="G184" s="113">
        <v>77500.0</v>
      </c>
      <c r="H184" s="114">
        <v>66.1</v>
      </c>
      <c r="I184" s="119">
        <v>191.0</v>
      </c>
      <c r="J184" s="122" t="s">
        <v>61</v>
      </c>
      <c r="K184" s="121">
        <v>193.42</v>
      </c>
      <c r="L184" s="119" t="s">
        <v>63</v>
      </c>
      <c r="M184" s="119"/>
      <c r="N184" s="119"/>
      <c r="O184" s="124">
        <v>77500.0</v>
      </c>
      <c r="P184" s="124">
        <v>1173.0</v>
      </c>
      <c r="Q184" s="122">
        <v>273.0</v>
      </c>
      <c r="R184" s="125">
        <v>210.0</v>
      </c>
      <c r="S184" s="126">
        <v>0.921</v>
      </c>
      <c r="T184" s="127">
        <v>53878.5</v>
      </c>
      <c r="U184" s="128">
        <f t="shared" si="2"/>
        <v>0</v>
      </c>
      <c r="V184" s="107"/>
      <c r="W184" s="107"/>
      <c r="X184" s="107"/>
      <c r="Y184" s="131"/>
      <c r="Z184" s="160"/>
      <c r="AA184" s="133"/>
      <c r="AB184" s="133"/>
      <c r="AC184" s="141"/>
      <c r="AD184" s="141"/>
      <c r="AE184" s="141"/>
      <c r="AF184" s="122"/>
      <c r="AG184" s="147"/>
      <c r="AH184" s="73"/>
      <c r="AI184" s="135"/>
      <c r="AJ184" s="136"/>
      <c r="AK184" s="76"/>
      <c r="AL184" s="135"/>
      <c r="AM184" s="139" t="s">
        <v>71</v>
      </c>
      <c r="AN184" s="139">
        <v>1173.0</v>
      </c>
      <c r="AO184" s="140">
        <v>376.61</v>
      </c>
      <c r="AP184" s="152">
        <v>124724.0</v>
      </c>
      <c r="AQ184" s="152">
        <v>170.0</v>
      </c>
      <c r="AR184" s="143">
        <v>-1.0</v>
      </c>
      <c r="AS184" s="144">
        <v>0.9408524767074363</v>
      </c>
      <c r="AT184" s="144">
        <v>-0.019852476707436284</v>
      </c>
      <c r="AU184" s="146" t="s">
        <v>862</v>
      </c>
      <c r="AV184" s="146" t="s">
        <v>862</v>
      </c>
      <c r="AW184" s="148" t="s">
        <v>862</v>
      </c>
      <c r="AX184" s="151"/>
      <c r="AY184" s="105"/>
      <c r="AZ184" s="186"/>
      <c r="BA184" s="186"/>
      <c r="BB184" s="222"/>
      <c r="BC184" s="45"/>
      <c r="BD184" s="45"/>
      <c r="BE184" s="45"/>
      <c r="BF184" s="45"/>
    </row>
    <row r="185">
      <c r="A185" s="79">
        <v>182.0</v>
      </c>
      <c r="B185" s="108" t="s">
        <v>161</v>
      </c>
      <c r="C185" s="115" t="s">
        <v>56</v>
      </c>
      <c r="D185" s="110">
        <v>41310.0</v>
      </c>
      <c r="E185" s="110">
        <v>43042.0</v>
      </c>
      <c r="F185" s="107" t="s">
        <v>59</v>
      </c>
      <c r="G185" s="113">
        <v>60373.0</v>
      </c>
      <c r="H185" s="114">
        <v>34.8</v>
      </c>
      <c r="I185" s="119">
        <v>252.0</v>
      </c>
      <c r="J185" s="122" t="s">
        <v>62</v>
      </c>
      <c r="K185" s="121">
        <v>252.0</v>
      </c>
      <c r="L185" s="119" t="s">
        <v>63</v>
      </c>
      <c r="M185" s="119"/>
      <c r="N185" s="119"/>
      <c r="O185" s="124">
        <v>60373.0</v>
      </c>
      <c r="P185" s="124">
        <v>1733.0</v>
      </c>
      <c r="Q185" s="122">
        <v>297.0</v>
      </c>
      <c r="R185" s="125">
        <v>269.0</v>
      </c>
      <c r="S185" s="126">
        <v>0.9368</v>
      </c>
      <c r="T185" s="127">
        <v>72602.0</v>
      </c>
      <c r="U185" s="128">
        <f t="shared" si="2"/>
        <v>0</v>
      </c>
      <c r="V185" s="107" t="s">
        <v>69</v>
      </c>
      <c r="W185" s="107" t="s">
        <v>69</v>
      </c>
      <c r="X185" s="107" t="s">
        <v>69</v>
      </c>
      <c r="Y185" s="131">
        <v>0.9</v>
      </c>
      <c r="Z185" s="160">
        <v>1.0</v>
      </c>
      <c r="AA185" s="111">
        <v>270.0</v>
      </c>
      <c r="AB185" s="111" t="s">
        <v>61</v>
      </c>
      <c r="AC185" s="141"/>
      <c r="AD185" s="141"/>
      <c r="AE185" s="141"/>
      <c r="AF185" s="122"/>
      <c r="AG185" s="134" t="s">
        <v>166</v>
      </c>
      <c r="AH185" s="73"/>
      <c r="AI185" s="135"/>
      <c r="AJ185" s="136"/>
      <c r="AK185" s="76"/>
      <c r="AL185" s="135"/>
      <c r="AM185" s="139">
        <v>273.0</v>
      </c>
      <c r="AN185" s="139">
        <v>1733.0</v>
      </c>
      <c r="AO185" s="140">
        <v>238.99</v>
      </c>
      <c r="AP185" s="152">
        <v>97161.0</v>
      </c>
      <c r="AQ185" s="152">
        <v>185.0</v>
      </c>
      <c r="AR185" s="143">
        <v>-1.0</v>
      </c>
      <c r="AS185" s="144">
        <v>0.9454567529209479</v>
      </c>
      <c r="AT185" s="144">
        <v>-0.008656752920947919</v>
      </c>
      <c r="AU185" s="146" t="s">
        <v>864</v>
      </c>
      <c r="AV185" s="146" t="s">
        <v>864</v>
      </c>
      <c r="AW185" s="148" t="s">
        <v>864</v>
      </c>
      <c r="AX185" s="151"/>
      <c r="AY185" s="105"/>
      <c r="AZ185" s="186"/>
      <c r="BA185" s="186"/>
      <c r="BB185" s="222"/>
      <c r="BC185" s="45"/>
      <c r="BD185" s="45"/>
      <c r="BE185" s="45"/>
      <c r="BF185" s="45"/>
    </row>
    <row r="186">
      <c r="A186" s="79">
        <v>183.0</v>
      </c>
      <c r="B186" s="188"/>
      <c r="C186" s="115"/>
      <c r="D186" s="189"/>
      <c r="E186" s="189"/>
      <c r="F186" s="107"/>
      <c r="G186" s="113"/>
      <c r="H186" s="114"/>
      <c r="I186" s="194"/>
      <c r="J186" s="122"/>
      <c r="K186" s="121"/>
      <c r="L186" s="119"/>
      <c r="M186" s="119"/>
      <c r="N186" s="119"/>
      <c r="O186" s="124"/>
      <c r="P186" s="124"/>
      <c r="Q186" s="191"/>
      <c r="R186" s="125"/>
      <c r="S186" s="126"/>
      <c r="T186" s="127"/>
      <c r="U186" s="128" t="str">
        <f t="shared" si="2"/>
        <v/>
      </c>
      <c r="V186" s="170"/>
      <c r="W186" s="170"/>
      <c r="X186" s="170"/>
      <c r="Y186" s="131"/>
      <c r="Z186" s="160"/>
      <c r="AA186" s="133"/>
      <c r="AB186" s="133"/>
      <c r="AC186" s="141"/>
      <c r="AD186" s="141"/>
      <c r="AE186" s="141"/>
      <c r="AF186" s="122"/>
      <c r="AG186" s="147"/>
      <c r="AH186" s="73"/>
      <c r="AI186" s="135"/>
      <c r="AJ186" s="136"/>
      <c r="AK186" s="76"/>
      <c r="AL186" s="135"/>
      <c r="AM186" s="139" t="s">
        <v>71</v>
      </c>
      <c r="AN186" s="139"/>
      <c r="AO186" s="140"/>
      <c r="AP186" s="152"/>
      <c r="AQ186" s="152"/>
      <c r="AR186" s="143"/>
      <c r="AS186" s="144"/>
      <c r="AT186" s="144"/>
      <c r="AU186" s="146"/>
      <c r="AV186" s="146"/>
      <c r="AW186" s="148"/>
      <c r="AX186" s="151"/>
      <c r="AY186" s="105"/>
      <c r="AZ186" s="186"/>
      <c r="BA186" s="186"/>
      <c r="BB186" s="222"/>
      <c r="BC186" s="45"/>
      <c r="BD186" s="45"/>
      <c r="BE186" s="45"/>
      <c r="BF186" s="45"/>
    </row>
    <row r="187">
      <c r="A187" s="79">
        <v>184.0</v>
      </c>
      <c r="B187" s="188"/>
      <c r="C187" s="115"/>
      <c r="D187" s="189"/>
      <c r="E187" s="189"/>
      <c r="F187" s="107"/>
      <c r="G187" s="113"/>
      <c r="H187" s="114"/>
      <c r="I187" s="119"/>
      <c r="J187" s="191"/>
      <c r="K187" s="121"/>
      <c r="L187" s="119"/>
      <c r="M187" s="119"/>
      <c r="N187" s="119"/>
      <c r="O187" s="124"/>
      <c r="P187" s="124"/>
      <c r="Q187" s="191"/>
      <c r="R187" s="125"/>
      <c r="S187" s="126"/>
      <c r="T187" s="127"/>
      <c r="U187" s="128" t="str">
        <f t="shared" si="2"/>
        <v/>
      </c>
      <c r="V187" s="170"/>
      <c r="W187" s="170"/>
      <c r="X187" s="170"/>
      <c r="Y187" s="131"/>
      <c r="Z187" s="132"/>
      <c r="AA187" s="133"/>
      <c r="AB187" s="133"/>
      <c r="AC187" s="141"/>
      <c r="AD187" s="141"/>
      <c r="AE187" s="141"/>
      <c r="AF187" s="122"/>
      <c r="AG187" s="147"/>
      <c r="AH187" s="73"/>
      <c r="AI187" s="135"/>
      <c r="AJ187" s="136"/>
      <c r="AK187" s="76"/>
      <c r="AL187" s="135"/>
      <c r="AM187" s="139" t="s">
        <v>71</v>
      </c>
      <c r="AN187" s="139"/>
      <c r="AO187" s="140"/>
      <c r="AP187" s="152"/>
      <c r="AQ187" s="152"/>
      <c r="AR187" s="143"/>
      <c r="AS187" s="144"/>
      <c r="AT187" s="144"/>
      <c r="AU187" s="146"/>
      <c r="AV187" s="146"/>
      <c r="AW187" s="148"/>
      <c r="AX187" s="151"/>
      <c r="AY187" s="105"/>
      <c r="AZ187" s="186"/>
      <c r="BA187" s="186"/>
      <c r="BB187" s="222"/>
      <c r="BC187" s="45"/>
      <c r="BD187" s="45"/>
      <c r="BE187" s="45"/>
      <c r="BF187" s="45"/>
    </row>
    <row r="188">
      <c r="A188" s="79">
        <v>185.0</v>
      </c>
      <c r="B188" s="188"/>
      <c r="C188" s="115"/>
      <c r="D188" s="189"/>
      <c r="E188" s="189"/>
      <c r="F188" s="107"/>
      <c r="G188" s="113"/>
      <c r="H188" s="114"/>
      <c r="I188" s="194"/>
      <c r="J188" s="122"/>
      <c r="K188" s="121"/>
      <c r="L188" s="119"/>
      <c r="M188" s="119"/>
      <c r="N188" s="119"/>
      <c r="O188" s="124"/>
      <c r="P188" s="124"/>
      <c r="Q188" s="191"/>
      <c r="R188" s="125"/>
      <c r="S188" s="126"/>
      <c r="T188" s="127"/>
      <c r="U188" s="128" t="str">
        <f t="shared" si="2"/>
        <v/>
      </c>
      <c r="V188" s="170"/>
      <c r="W188" s="170"/>
      <c r="X188" s="170"/>
      <c r="Y188" s="131"/>
      <c r="Z188" s="160"/>
      <c r="AA188" s="133"/>
      <c r="AB188" s="133"/>
      <c r="AC188" s="141"/>
      <c r="AD188" s="141"/>
      <c r="AE188" s="141"/>
      <c r="AF188" s="122"/>
      <c r="AG188" s="147"/>
      <c r="AH188" s="73"/>
      <c r="AI188" s="135"/>
      <c r="AJ188" s="136"/>
      <c r="AK188" s="76"/>
      <c r="AL188" s="135"/>
      <c r="AM188" s="139" t="s">
        <v>71</v>
      </c>
      <c r="AN188" s="139"/>
      <c r="AO188" s="140"/>
      <c r="AP188" s="152"/>
      <c r="AQ188" s="152"/>
      <c r="AR188" s="143"/>
      <c r="AS188" s="144"/>
      <c r="AT188" s="144"/>
      <c r="AU188" s="146"/>
      <c r="AV188" s="146"/>
      <c r="AW188" s="148"/>
      <c r="AX188" s="151"/>
      <c r="AY188" s="105"/>
      <c r="AZ188" s="186"/>
      <c r="BA188" s="186"/>
      <c r="BB188" s="222"/>
      <c r="BC188" s="45"/>
      <c r="BD188" s="45"/>
      <c r="BE188" s="45"/>
      <c r="BF188" s="45"/>
    </row>
    <row r="189">
      <c r="A189" s="79">
        <v>186.0</v>
      </c>
      <c r="B189" s="188"/>
      <c r="C189" s="115"/>
      <c r="D189" s="189"/>
      <c r="E189" s="189"/>
      <c r="F189" s="107"/>
      <c r="G189" s="113"/>
      <c r="H189" s="114"/>
      <c r="I189" s="194"/>
      <c r="J189" s="122"/>
      <c r="K189" s="121"/>
      <c r="L189" s="119"/>
      <c r="M189" s="119"/>
      <c r="N189" s="119"/>
      <c r="O189" s="124"/>
      <c r="P189" s="124"/>
      <c r="Q189" s="191"/>
      <c r="R189" s="125"/>
      <c r="S189" s="126"/>
      <c r="T189" s="127"/>
      <c r="U189" s="128" t="str">
        <f t="shared" si="2"/>
        <v/>
      </c>
      <c r="V189" s="170"/>
      <c r="W189" s="170"/>
      <c r="X189" s="170"/>
      <c r="Y189" s="131"/>
      <c r="Z189" s="132"/>
      <c r="AA189" s="133"/>
      <c r="AB189" s="133"/>
      <c r="AC189" s="141"/>
      <c r="AD189" s="141"/>
      <c r="AE189" s="141"/>
      <c r="AF189" s="122"/>
      <c r="AG189" s="147"/>
      <c r="AH189" s="73"/>
      <c r="AI189" s="135"/>
      <c r="AJ189" s="136"/>
      <c r="AK189" s="76"/>
      <c r="AL189" s="135"/>
      <c r="AM189" s="139" t="s">
        <v>71</v>
      </c>
      <c r="AN189" s="139"/>
      <c r="AO189" s="140"/>
      <c r="AP189" s="152"/>
      <c r="AQ189" s="152"/>
      <c r="AR189" s="143"/>
      <c r="AS189" s="144"/>
      <c r="AT189" s="144"/>
      <c r="AU189" s="146"/>
      <c r="AV189" s="146"/>
      <c r="AW189" s="148"/>
      <c r="AX189" s="151"/>
      <c r="AY189" s="105"/>
      <c r="AZ189" s="186"/>
      <c r="BA189" s="186"/>
      <c r="BB189" s="222"/>
      <c r="BC189" s="45"/>
      <c r="BD189" s="45"/>
      <c r="BE189" s="45"/>
      <c r="BF189" s="45"/>
    </row>
    <row r="190">
      <c r="A190" s="79">
        <v>187.0</v>
      </c>
      <c r="B190" s="188"/>
      <c r="C190" s="115"/>
      <c r="D190" s="189"/>
      <c r="E190" s="189"/>
      <c r="F190" s="107"/>
      <c r="G190" s="113"/>
      <c r="H190" s="114"/>
      <c r="I190" s="194"/>
      <c r="J190" s="122"/>
      <c r="K190" s="121"/>
      <c r="L190" s="119"/>
      <c r="M190" s="119"/>
      <c r="N190" s="119"/>
      <c r="O190" s="124"/>
      <c r="P190" s="124"/>
      <c r="Q190" s="191"/>
      <c r="R190" s="125"/>
      <c r="S190" s="126"/>
      <c r="T190" s="127"/>
      <c r="U190" s="128" t="str">
        <f t="shared" si="2"/>
        <v/>
      </c>
      <c r="V190" s="170"/>
      <c r="W190" s="170"/>
      <c r="X190" s="170"/>
      <c r="Y190" s="131"/>
      <c r="Z190" s="132"/>
      <c r="AA190" s="133"/>
      <c r="AB190" s="133"/>
      <c r="AC190" s="141"/>
      <c r="AD190" s="141"/>
      <c r="AE190" s="141"/>
      <c r="AF190" s="122"/>
      <c r="AG190" s="147"/>
      <c r="AH190" s="73"/>
      <c r="AI190" s="135"/>
      <c r="AJ190" s="136"/>
      <c r="AK190" s="76"/>
      <c r="AL190" s="135"/>
      <c r="AM190" s="139" t="s">
        <v>71</v>
      </c>
      <c r="AN190" s="139"/>
      <c r="AO190" s="140"/>
      <c r="AP190" s="152"/>
      <c r="AQ190" s="152"/>
      <c r="AR190" s="143"/>
      <c r="AS190" s="144"/>
      <c r="AT190" s="144"/>
      <c r="AU190" s="146"/>
      <c r="AV190" s="146"/>
      <c r="AW190" s="148"/>
      <c r="AX190" s="151"/>
      <c r="AY190" s="105"/>
      <c r="AZ190" s="186"/>
      <c r="BA190" s="186"/>
      <c r="BB190" s="222"/>
      <c r="BC190" s="45"/>
      <c r="BD190" s="45"/>
      <c r="BE190" s="45"/>
      <c r="BF190" s="45"/>
    </row>
    <row r="191">
      <c r="A191" s="79">
        <v>188.0</v>
      </c>
      <c r="B191" s="188"/>
      <c r="C191" s="115"/>
      <c r="D191" s="189"/>
      <c r="E191" s="189"/>
      <c r="F191" s="107"/>
      <c r="G191" s="113"/>
      <c r="H191" s="114"/>
      <c r="I191" s="119"/>
      <c r="J191" s="191"/>
      <c r="K191" s="121"/>
      <c r="L191" s="119"/>
      <c r="M191" s="119"/>
      <c r="N191" s="119"/>
      <c r="O191" s="124"/>
      <c r="P191" s="124"/>
      <c r="Q191" s="191"/>
      <c r="R191" s="125"/>
      <c r="S191" s="126"/>
      <c r="T191" s="127"/>
      <c r="U191" s="128" t="str">
        <f t="shared" si="2"/>
        <v/>
      </c>
      <c r="V191" s="170"/>
      <c r="W191" s="170"/>
      <c r="X191" s="170"/>
      <c r="Y191" s="131"/>
      <c r="Z191" s="132"/>
      <c r="AA191" s="133"/>
      <c r="AB191" s="133"/>
      <c r="AC191" s="141"/>
      <c r="AD191" s="141"/>
      <c r="AE191" s="141"/>
      <c r="AF191" s="122"/>
      <c r="AG191" s="147"/>
      <c r="AH191" s="73"/>
      <c r="AI191" s="135"/>
      <c r="AJ191" s="136"/>
      <c r="AK191" s="76"/>
      <c r="AL191" s="135"/>
      <c r="AM191" s="139" t="s">
        <v>71</v>
      </c>
      <c r="AN191" s="139"/>
      <c r="AO191" s="140"/>
      <c r="AP191" s="152"/>
      <c r="AQ191" s="152"/>
      <c r="AR191" s="143"/>
      <c r="AS191" s="144"/>
      <c r="AT191" s="144"/>
      <c r="AU191" s="146"/>
      <c r="AV191" s="146"/>
      <c r="AW191" s="148"/>
      <c r="AX191" s="151"/>
      <c r="AY191" s="105"/>
      <c r="AZ191" s="186"/>
      <c r="BA191" s="186"/>
      <c r="BB191" s="222"/>
      <c r="BC191" s="45"/>
      <c r="BD191" s="45"/>
      <c r="BE191" s="45"/>
      <c r="BF191" s="45"/>
    </row>
    <row r="192">
      <c r="A192" s="79">
        <v>189.0</v>
      </c>
      <c r="B192" s="188"/>
      <c r="C192" s="115"/>
      <c r="D192" s="189"/>
      <c r="E192" s="189"/>
      <c r="F192" s="107"/>
      <c r="G192" s="113"/>
      <c r="H192" s="114"/>
      <c r="I192" s="194"/>
      <c r="J192" s="122"/>
      <c r="K192" s="121"/>
      <c r="L192" s="119"/>
      <c r="M192" s="119"/>
      <c r="N192" s="119"/>
      <c r="O192" s="124"/>
      <c r="P192" s="124"/>
      <c r="Q192" s="191"/>
      <c r="R192" s="125"/>
      <c r="S192" s="126"/>
      <c r="T192" s="127"/>
      <c r="U192" s="128" t="str">
        <f t="shared" si="2"/>
        <v/>
      </c>
      <c r="V192" s="170"/>
      <c r="W192" s="170"/>
      <c r="X192" s="170"/>
      <c r="Y192" s="131"/>
      <c r="Z192" s="160"/>
      <c r="AA192" s="133"/>
      <c r="AB192" s="133"/>
      <c r="AC192" s="141"/>
      <c r="AD192" s="141"/>
      <c r="AE192" s="141"/>
      <c r="AF192" s="122"/>
      <c r="AG192" s="147"/>
      <c r="AH192" s="73"/>
      <c r="AI192" s="135"/>
      <c r="AJ192" s="136"/>
      <c r="AK192" s="76"/>
      <c r="AL192" s="135"/>
      <c r="AM192" s="139" t="s">
        <v>71</v>
      </c>
      <c r="AN192" s="139"/>
      <c r="AO192" s="140"/>
      <c r="AP192" s="152"/>
      <c r="AQ192" s="152"/>
      <c r="AR192" s="143"/>
      <c r="AS192" s="144"/>
      <c r="AT192" s="144"/>
      <c r="AU192" s="146"/>
      <c r="AV192" s="146"/>
      <c r="AW192" s="148"/>
      <c r="AX192" s="151"/>
      <c r="AY192" s="105"/>
      <c r="AZ192" s="186"/>
      <c r="BA192" s="186"/>
      <c r="BB192" s="222"/>
      <c r="BC192" s="45"/>
      <c r="BD192" s="45"/>
      <c r="BE192" s="45"/>
      <c r="BF192" s="45"/>
    </row>
    <row r="193">
      <c r="A193" s="79">
        <v>190.0</v>
      </c>
      <c r="B193" s="188"/>
      <c r="C193" s="115"/>
      <c r="D193" s="189"/>
      <c r="E193" s="189"/>
      <c r="F193" s="107"/>
      <c r="G193" s="113"/>
      <c r="H193" s="114"/>
      <c r="I193" s="119"/>
      <c r="J193" s="191"/>
      <c r="K193" s="121"/>
      <c r="L193" s="119"/>
      <c r="M193" s="119"/>
      <c r="N193" s="119"/>
      <c r="O193" s="124"/>
      <c r="P193" s="124"/>
      <c r="Q193" s="191"/>
      <c r="R193" s="125"/>
      <c r="S193" s="126"/>
      <c r="T193" s="127"/>
      <c r="U193" s="128" t="str">
        <f t="shared" si="2"/>
        <v/>
      </c>
      <c r="V193" s="170"/>
      <c r="W193" s="170"/>
      <c r="X193" s="170"/>
      <c r="Y193" s="131"/>
      <c r="Z193" s="132"/>
      <c r="AA193" s="133"/>
      <c r="AB193" s="133"/>
      <c r="AC193" s="141"/>
      <c r="AD193" s="141"/>
      <c r="AE193" s="141"/>
      <c r="AF193" s="122"/>
      <c r="AG193" s="147"/>
      <c r="AH193" s="73"/>
      <c r="AI193" s="135"/>
      <c r="AJ193" s="136"/>
      <c r="AK193" s="76"/>
      <c r="AL193" s="135"/>
      <c r="AM193" s="139" t="s">
        <v>71</v>
      </c>
      <c r="AN193" s="139"/>
      <c r="AO193" s="140"/>
      <c r="AP193" s="152"/>
      <c r="AQ193" s="152"/>
      <c r="AR193" s="143"/>
      <c r="AS193" s="144"/>
      <c r="AT193" s="144"/>
      <c r="AU193" s="146"/>
      <c r="AV193" s="146"/>
      <c r="AW193" s="148"/>
      <c r="AX193" s="151"/>
      <c r="AY193" s="105"/>
      <c r="AZ193" s="186"/>
      <c r="BA193" s="186"/>
      <c r="BB193" s="222"/>
      <c r="BC193" s="45"/>
      <c r="BD193" s="45"/>
      <c r="BE193" s="45"/>
      <c r="BF193" s="45"/>
    </row>
    <row r="194">
      <c r="A194" s="79">
        <v>191.0</v>
      </c>
      <c r="B194" s="188"/>
      <c r="C194" s="115"/>
      <c r="D194" s="189"/>
      <c r="E194" s="189"/>
      <c r="F194" s="107"/>
      <c r="G194" s="113"/>
      <c r="H194" s="114"/>
      <c r="I194" s="194"/>
      <c r="J194" s="122"/>
      <c r="K194" s="121"/>
      <c r="L194" s="119"/>
      <c r="M194" s="119"/>
      <c r="N194" s="119"/>
      <c r="O194" s="124"/>
      <c r="P194" s="124"/>
      <c r="Q194" s="191"/>
      <c r="R194" s="125"/>
      <c r="S194" s="126"/>
      <c r="T194" s="127"/>
      <c r="U194" s="128" t="str">
        <f t="shared" si="2"/>
        <v/>
      </c>
      <c r="V194" s="170"/>
      <c r="W194" s="170"/>
      <c r="X194" s="170"/>
      <c r="Y194" s="131"/>
      <c r="Z194" s="160"/>
      <c r="AA194" s="133"/>
      <c r="AB194" s="133"/>
      <c r="AC194" s="141"/>
      <c r="AD194" s="141"/>
      <c r="AE194" s="141"/>
      <c r="AF194" s="122"/>
      <c r="AG194" s="147"/>
      <c r="AH194" s="73"/>
      <c r="AI194" s="135"/>
      <c r="AJ194" s="136"/>
      <c r="AK194" s="76"/>
      <c r="AL194" s="135"/>
      <c r="AM194" s="139" t="s">
        <v>71</v>
      </c>
      <c r="AN194" s="139"/>
      <c r="AO194" s="140"/>
      <c r="AP194" s="152"/>
      <c r="AQ194" s="152"/>
      <c r="AR194" s="143"/>
      <c r="AS194" s="144"/>
      <c r="AT194" s="144"/>
      <c r="AU194" s="146"/>
      <c r="AV194" s="146"/>
      <c r="AW194" s="148"/>
      <c r="AX194" s="151"/>
      <c r="AY194" s="105"/>
      <c r="AZ194" s="186"/>
      <c r="BA194" s="186"/>
      <c r="BB194" s="222"/>
      <c r="BC194" s="45"/>
      <c r="BD194" s="45"/>
      <c r="BE194" s="45"/>
      <c r="BF194" s="45"/>
    </row>
    <row r="195">
      <c r="A195" s="79">
        <v>192.0</v>
      </c>
      <c r="B195" s="188"/>
      <c r="C195" s="115"/>
      <c r="D195" s="189"/>
      <c r="E195" s="189"/>
      <c r="F195" s="107"/>
      <c r="G195" s="113"/>
      <c r="H195" s="114"/>
      <c r="I195" s="194"/>
      <c r="J195" s="122"/>
      <c r="K195" s="121"/>
      <c r="L195" s="119"/>
      <c r="M195" s="119"/>
      <c r="N195" s="119"/>
      <c r="O195" s="124"/>
      <c r="P195" s="124"/>
      <c r="Q195" s="191"/>
      <c r="R195" s="125"/>
      <c r="S195" s="126"/>
      <c r="T195" s="127"/>
      <c r="U195" s="128" t="str">
        <f t="shared" si="2"/>
        <v/>
      </c>
      <c r="V195" s="170"/>
      <c r="W195" s="170"/>
      <c r="X195" s="170"/>
      <c r="Y195" s="131"/>
      <c r="Z195" s="132"/>
      <c r="AA195" s="133"/>
      <c r="AB195" s="133"/>
      <c r="AC195" s="141"/>
      <c r="AD195" s="141"/>
      <c r="AE195" s="141"/>
      <c r="AF195" s="122"/>
      <c r="AG195" s="147"/>
      <c r="AH195" s="73"/>
      <c r="AI195" s="135"/>
      <c r="AJ195" s="136"/>
      <c r="AK195" s="76"/>
      <c r="AL195" s="135"/>
      <c r="AM195" s="139" t="s">
        <v>71</v>
      </c>
      <c r="AN195" s="139"/>
      <c r="AO195" s="140"/>
      <c r="AP195" s="152"/>
      <c r="AQ195" s="152"/>
      <c r="AR195" s="143"/>
      <c r="AS195" s="144"/>
      <c r="AT195" s="144"/>
      <c r="AU195" s="146"/>
      <c r="AV195" s="146"/>
      <c r="AW195" s="148"/>
      <c r="AX195" s="151"/>
      <c r="AY195" s="105"/>
      <c r="AZ195" s="186"/>
      <c r="BA195" s="186"/>
      <c r="BB195" s="222"/>
      <c r="BC195" s="45"/>
      <c r="BD195" s="45"/>
      <c r="BE195" s="45"/>
      <c r="BF195" s="45"/>
    </row>
    <row r="196">
      <c r="A196" s="79">
        <v>193.0</v>
      </c>
      <c r="B196" s="188"/>
      <c r="C196" s="115"/>
      <c r="D196" s="189"/>
      <c r="E196" s="189"/>
      <c r="F196" s="107"/>
      <c r="G196" s="113"/>
      <c r="H196" s="114"/>
      <c r="I196" s="194"/>
      <c r="J196" s="122"/>
      <c r="K196" s="121"/>
      <c r="L196" s="119"/>
      <c r="M196" s="119"/>
      <c r="N196" s="119"/>
      <c r="O196" s="124"/>
      <c r="P196" s="124"/>
      <c r="Q196" s="191"/>
      <c r="R196" s="125"/>
      <c r="S196" s="126"/>
      <c r="T196" s="127"/>
      <c r="U196" s="128" t="str">
        <f t="shared" si="2"/>
        <v/>
      </c>
      <c r="V196" s="170"/>
      <c r="W196" s="170"/>
      <c r="X196" s="170"/>
      <c r="Y196" s="131"/>
      <c r="Z196" s="132"/>
      <c r="AA196" s="133"/>
      <c r="AB196" s="133"/>
      <c r="AC196" s="141"/>
      <c r="AD196" s="141"/>
      <c r="AE196" s="141"/>
      <c r="AF196" s="122"/>
      <c r="AG196" s="147"/>
      <c r="AH196" s="73"/>
      <c r="AI196" s="135"/>
      <c r="AJ196" s="136"/>
      <c r="AK196" s="76"/>
      <c r="AL196" s="135"/>
      <c r="AM196" s="139" t="s">
        <v>71</v>
      </c>
      <c r="AN196" s="139"/>
      <c r="AO196" s="140"/>
      <c r="AP196" s="152"/>
      <c r="AQ196" s="152"/>
      <c r="AR196" s="143"/>
      <c r="AS196" s="144"/>
      <c r="AT196" s="144"/>
      <c r="AU196" s="146"/>
      <c r="AV196" s="146"/>
      <c r="AW196" s="148"/>
      <c r="AX196" s="151"/>
      <c r="AY196" s="105"/>
      <c r="AZ196" s="186"/>
      <c r="BA196" s="186"/>
      <c r="BB196" s="222"/>
      <c r="BC196" s="45"/>
      <c r="BD196" s="45"/>
      <c r="BE196" s="45"/>
      <c r="BF196" s="45"/>
    </row>
    <row r="197">
      <c r="A197" s="79">
        <v>194.0</v>
      </c>
      <c r="B197" s="188"/>
      <c r="C197" s="115"/>
      <c r="D197" s="189"/>
      <c r="E197" s="189"/>
      <c r="F197" s="107"/>
      <c r="G197" s="113"/>
      <c r="H197" s="114"/>
      <c r="I197" s="194"/>
      <c r="J197" s="122"/>
      <c r="K197" s="121"/>
      <c r="L197" s="119"/>
      <c r="M197" s="119"/>
      <c r="N197" s="119"/>
      <c r="O197" s="124"/>
      <c r="P197" s="124"/>
      <c r="Q197" s="191"/>
      <c r="R197" s="125"/>
      <c r="S197" s="126"/>
      <c r="T197" s="127"/>
      <c r="U197" s="128" t="str">
        <f t="shared" si="2"/>
        <v/>
      </c>
      <c r="V197" s="170"/>
      <c r="W197" s="170"/>
      <c r="X197" s="170"/>
      <c r="Y197" s="131"/>
      <c r="Z197" s="160"/>
      <c r="AA197" s="133"/>
      <c r="AB197" s="133"/>
      <c r="AC197" s="141"/>
      <c r="AD197" s="141"/>
      <c r="AE197" s="141"/>
      <c r="AF197" s="122"/>
      <c r="AG197" s="147"/>
      <c r="AH197" s="73"/>
      <c r="AI197" s="135"/>
      <c r="AJ197" s="136"/>
      <c r="AK197" s="76"/>
      <c r="AL197" s="135"/>
      <c r="AM197" s="139" t="s">
        <v>71</v>
      </c>
      <c r="AN197" s="139"/>
      <c r="AO197" s="140"/>
      <c r="AP197" s="152"/>
      <c r="AQ197" s="152"/>
      <c r="AR197" s="143"/>
      <c r="AS197" s="144"/>
      <c r="AT197" s="144"/>
      <c r="AU197" s="146"/>
      <c r="AV197" s="146"/>
      <c r="AW197" s="148"/>
      <c r="AX197" s="151"/>
      <c r="AY197" s="105"/>
      <c r="AZ197" s="186"/>
      <c r="BA197" s="186"/>
      <c r="BB197" s="222"/>
      <c r="BC197" s="45"/>
      <c r="BD197" s="45"/>
      <c r="BE197" s="45"/>
      <c r="BF197" s="45"/>
    </row>
    <row r="198">
      <c r="A198" s="79">
        <v>195.0</v>
      </c>
      <c r="B198" s="188"/>
      <c r="C198" s="115"/>
      <c r="D198" s="189"/>
      <c r="E198" s="189"/>
      <c r="F198" s="107"/>
      <c r="G198" s="113"/>
      <c r="H198" s="114"/>
      <c r="I198" s="194"/>
      <c r="J198" s="122"/>
      <c r="K198" s="121"/>
      <c r="L198" s="119"/>
      <c r="M198" s="119"/>
      <c r="N198" s="119"/>
      <c r="O198" s="124"/>
      <c r="P198" s="124"/>
      <c r="Q198" s="191"/>
      <c r="R198" s="125"/>
      <c r="S198" s="126"/>
      <c r="T198" s="127"/>
      <c r="U198" s="128" t="str">
        <f t="shared" si="2"/>
        <v/>
      </c>
      <c r="V198" s="170"/>
      <c r="W198" s="170"/>
      <c r="X198" s="170"/>
      <c r="Y198" s="131"/>
      <c r="Z198" s="132"/>
      <c r="AA198" s="133"/>
      <c r="AB198" s="133"/>
      <c r="AC198" s="141"/>
      <c r="AD198" s="141"/>
      <c r="AE198" s="141"/>
      <c r="AF198" s="122"/>
      <c r="AG198" s="147"/>
      <c r="AH198" s="73"/>
      <c r="AI198" s="135"/>
      <c r="AJ198" s="136"/>
      <c r="AK198" s="76"/>
      <c r="AL198" s="135"/>
      <c r="AM198" s="139" t="s">
        <v>71</v>
      </c>
      <c r="AN198" s="139"/>
      <c r="AO198" s="140"/>
      <c r="AP198" s="152"/>
      <c r="AQ198" s="152"/>
      <c r="AR198" s="143"/>
      <c r="AS198" s="144"/>
      <c r="AT198" s="144"/>
      <c r="AU198" s="146"/>
      <c r="AV198" s="146"/>
      <c r="AW198" s="148"/>
      <c r="AX198" s="151"/>
      <c r="AY198" s="105"/>
      <c r="AZ198" s="186"/>
      <c r="BA198" s="186"/>
      <c r="BB198" s="222"/>
      <c r="BC198" s="45"/>
      <c r="BD198" s="45"/>
      <c r="BE198" s="45"/>
      <c r="BF198" s="45"/>
    </row>
    <row r="199">
      <c r="A199" s="79">
        <v>196.0</v>
      </c>
      <c r="B199" s="188"/>
      <c r="C199" s="115"/>
      <c r="D199" s="189"/>
      <c r="E199" s="189"/>
      <c r="F199" s="107"/>
      <c r="G199" s="113"/>
      <c r="H199" s="114"/>
      <c r="I199" s="194"/>
      <c r="J199" s="122"/>
      <c r="K199" s="121"/>
      <c r="L199" s="119"/>
      <c r="M199" s="119"/>
      <c r="N199" s="119"/>
      <c r="O199" s="124"/>
      <c r="P199" s="124"/>
      <c r="Q199" s="191"/>
      <c r="R199" s="125"/>
      <c r="S199" s="126"/>
      <c r="T199" s="127"/>
      <c r="U199" s="128" t="str">
        <f t="shared" si="2"/>
        <v/>
      </c>
      <c r="V199" s="170"/>
      <c r="W199" s="170"/>
      <c r="X199" s="170"/>
      <c r="Y199" s="131"/>
      <c r="Z199" s="132"/>
      <c r="AA199" s="133"/>
      <c r="AB199" s="133"/>
      <c r="AC199" s="141"/>
      <c r="AD199" s="141"/>
      <c r="AE199" s="141"/>
      <c r="AF199" s="122"/>
      <c r="AG199" s="147"/>
      <c r="AH199" s="73"/>
      <c r="AI199" s="135"/>
      <c r="AJ199" s="136"/>
      <c r="AK199" s="76"/>
      <c r="AL199" s="135"/>
      <c r="AM199" s="139" t="s">
        <v>71</v>
      </c>
      <c r="AN199" s="139"/>
      <c r="AO199" s="140"/>
      <c r="AP199" s="152"/>
      <c r="AQ199" s="152"/>
      <c r="AR199" s="143"/>
      <c r="AS199" s="144"/>
      <c r="AT199" s="144"/>
      <c r="AU199" s="146"/>
      <c r="AV199" s="146"/>
      <c r="AW199" s="148"/>
      <c r="AX199" s="151"/>
      <c r="AY199" s="105"/>
      <c r="AZ199" s="186"/>
      <c r="BA199" s="186"/>
      <c r="BB199" s="222"/>
      <c r="BC199" s="45"/>
      <c r="BD199" s="45"/>
      <c r="BE199" s="45"/>
      <c r="BF199" s="45"/>
    </row>
    <row r="200">
      <c r="A200" s="79">
        <v>197.0</v>
      </c>
      <c r="B200" s="188"/>
      <c r="C200" s="115"/>
      <c r="D200" s="189"/>
      <c r="E200" s="189"/>
      <c r="F200" s="107"/>
      <c r="G200" s="113"/>
      <c r="H200" s="114"/>
      <c r="I200" s="194"/>
      <c r="J200" s="122"/>
      <c r="K200" s="121"/>
      <c r="L200" s="119"/>
      <c r="M200" s="119"/>
      <c r="N200" s="119"/>
      <c r="O200" s="124"/>
      <c r="P200" s="124"/>
      <c r="Q200" s="191"/>
      <c r="R200" s="125"/>
      <c r="S200" s="126"/>
      <c r="T200" s="127"/>
      <c r="U200" s="128" t="str">
        <f t="shared" si="2"/>
        <v/>
      </c>
      <c r="V200" s="170"/>
      <c r="W200" s="170"/>
      <c r="X200" s="170"/>
      <c r="Y200" s="131"/>
      <c r="Z200" s="160"/>
      <c r="AA200" s="133"/>
      <c r="AB200" s="133"/>
      <c r="AC200" s="141"/>
      <c r="AD200" s="141"/>
      <c r="AE200" s="141"/>
      <c r="AF200" s="122"/>
      <c r="AG200" s="147"/>
      <c r="AH200" s="73"/>
      <c r="AI200" s="135"/>
      <c r="AJ200" s="136"/>
      <c r="AK200" s="76"/>
      <c r="AL200" s="135"/>
      <c r="AM200" s="139" t="s">
        <v>71</v>
      </c>
      <c r="AN200" s="139"/>
      <c r="AO200" s="140"/>
      <c r="AP200" s="152"/>
      <c r="AQ200" s="152"/>
      <c r="AR200" s="143"/>
      <c r="AS200" s="144"/>
      <c r="AT200" s="144"/>
      <c r="AU200" s="146"/>
      <c r="AV200" s="146"/>
      <c r="AW200" s="148"/>
      <c r="AX200" s="151"/>
      <c r="AY200" s="105"/>
      <c r="AZ200" s="186"/>
      <c r="BA200" s="186"/>
      <c r="BB200" s="222"/>
      <c r="BC200" s="45"/>
      <c r="BD200" s="45"/>
      <c r="BE200" s="45"/>
      <c r="BF200" s="45"/>
    </row>
    <row r="201">
      <c r="A201" s="79">
        <v>198.0</v>
      </c>
      <c r="B201" s="188"/>
      <c r="C201" s="115"/>
      <c r="D201" s="189"/>
      <c r="E201" s="189"/>
      <c r="F201" s="107"/>
      <c r="G201" s="113"/>
      <c r="H201" s="114"/>
      <c r="I201" s="194"/>
      <c r="J201" s="122"/>
      <c r="K201" s="121"/>
      <c r="L201" s="119"/>
      <c r="M201" s="119"/>
      <c r="N201" s="119"/>
      <c r="O201" s="124"/>
      <c r="P201" s="124"/>
      <c r="Q201" s="191"/>
      <c r="R201" s="125"/>
      <c r="S201" s="126"/>
      <c r="T201" s="127"/>
      <c r="U201" s="128" t="str">
        <f t="shared" si="2"/>
        <v/>
      </c>
      <c r="V201" s="170"/>
      <c r="W201" s="170"/>
      <c r="X201" s="170"/>
      <c r="Y201" s="131"/>
      <c r="Z201" s="132"/>
      <c r="AA201" s="133"/>
      <c r="AB201" s="133"/>
      <c r="AC201" s="141"/>
      <c r="AD201" s="141"/>
      <c r="AE201" s="141"/>
      <c r="AF201" s="122"/>
      <c r="AG201" s="147"/>
      <c r="AH201" s="73"/>
      <c r="AI201" s="135"/>
      <c r="AJ201" s="136"/>
      <c r="AK201" s="76"/>
      <c r="AL201" s="135"/>
      <c r="AM201" s="139" t="s">
        <v>71</v>
      </c>
      <c r="AN201" s="139"/>
      <c r="AO201" s="140"/>
      <c r="AP201" s="152"/>
      <c r="AQ201" s="152"/>
      <c r="AR201" s="143"/>
      <c r="AS201" s="144"/>
      <c r="AT201" s="144"/>
      <c r="AU201" s="146"/>
      <c r="AV201" s="146"/>
      <c r="AW201" s="148"/>
      <c r="AX201" s="151"/>
      <c r="AY201" s="105"/>
      <c r="AZ201" s="186"/>
      <c r="BA201" s="186"/>
      <c r="BB201" s="222"/>
      <c r="BC201" s="45"/>
      <c r="BD201" s="45"/>
      <c r="BE201" s="45"/>
      <c r="BF201" s="45"/>
    </row>
    <row r="202">
      <c r="A202" s="79">
        <v>199.0</v>
      </c>
      <c r="B202" s="188"/>
      <c r="C202" s="115"/>
      <c r="D202" s="189"/>
      <c r="E202" s="189"/>
      <c r="F202" s="107"/>
      <c r="G202" s="113"/>
      <c r="H202" s="114"/>
      <c r="I202" s="194"/>
      <c r="J202" s="122"/>
      <c r="K202" s="121"/>
      <c r="L202" s="119"/>
      <c r="M202" s="119"/>
      <c r="N202" s="119"/>
      <c r="O202" s="124"/>
      <c r="P202" s="124"/>
      <c r="Q202" s="191"/>
      <c r="R202" s="125"/>
      <c r="S202" s="126"/>
      <c r="T202" s="127"/>
      <c r="U202" s="128" t="str">
        <f t="shared" si="2"/>
        <v/>
      </c>
      <c r="V202" s="170"/>
      <c r="W202" s="170"/>
      <c r="X202" s="170"/>
      <c r="Y202" s="131"/>
      <c r="Z202" s="132"/>
      <c r="AA202" s="133"/>
      <c r="AB202" s="133"/>
      <c r="AC202" s="141"/>
      <c r="AD202" s="141"/>
      <c r="AE202" s="141"/>
      <c r="AF202" s="122"/>
      <c r="AG202" s="147"/>
      <c r="AH202" s="73"/>
      <c r="AI202" s="135"/>
      <c r="AJ202" s="136"/>
      <c r="AK202" s="76"/>
      <c r="AL202" s="135"/>
      <c r="AM202" s="139" t="s">
        <v>71</v>
      </c>
      <c r="AN202" s="139"/>
      <c r="AO202" s="140"/>
      <c r="AP202" s="152"/>
      <c r="AQ202" s="152"/>
      <c r="AR202" s="143"/>
      <c r="AS202" s="144"/>
      <c r="AT202" s="144"/>
      <c r="AU202" s="146"/>
      <c r="AV202" s="146"/>
      <c r="AW202" s="148"/>
      <c r="AX202" s="151"/>
      <c r="AY202" s="105"/>
      <c r="AZ202" s="186"/>
      <c r="BA202" s="186"/>
      <c r="BB202" s="222"/>
      <c r="BC202" s="45"/>
      <c r="BD202" s="45"/>
      <c r="BE202" s="45"/>
      <c r="BF202" s="45"/>
    </row>
    <row r="203">
      <c r="A203" s="79">
        <v>200.0</v>
      </c>
      <c r="B203" s="188"/>
      <c r="C203" s="115"/>
      <c r="D203" s="189"/>
      <c r="E203" s="189"/>
      <c r="F203" s="107"/>
      <c r="G203" s="113"/>
      <c r="H203" s="114"/>
      <c r="I203" s="194"/>
      <c r="J203" s="122"/>
      <c r="K203" s="121"/>
      <c r="L203" s="119"/>
      <c r="M203" s="119"/>
      <c r="N203" s="119"/>
      <c r="O203" s="124"/>
      <c r="P203" s="124"/>
      <c r="Q203" s="191"/>
      <c r="R203" s="125"/>
      <c r="S203" s="126"/>
      <c r="T203" s="127"/>
      <c r="U203" s="128" t="str">
        <f t="shared" si="2"/>
        <v/>
      </c>
      <c r="V203" s="170"/>
      <c r="W203" s="170"/>
      <c r="X203" s="170"/>
      <c r="Y203" s="131"/>
      <c r="Z203" s="160"/>
      <c r="AA203" s="133"/>
      <c r="AB203" s="133"/>
      <c r="AC203" s="141"/>
      <c r="AD203" s="141"/>
      <c r="AE203" s="141"/>
      <c r="AF203" s="122"/>
      <c r="AG203" s="147"/>
      <c r="AH203" s="73"/>
      <c r="AI203" s="135"/>
      <c r="AJ203" s="136"/>
      <c r="AK203" s="76"/>
      <c r="AL203" s="135"/>
      <c r="AM203" s="139" t="s">
        <v>71</v>
      </c>
      <c r="AN203" s="139"/>
      <c r="AO203" s="140"/>
      <c r="AP203" s="152"/>
      <c r="AQ203" s="152"/>
      <c r="AR203" s="143"/>
      <c r="AS203" s="144"/>
      <c r="AT203" s="144"/>
      <c r="AU203" s="146"/>
      <c r="AV203" s="146"/>
      <c r="AW203" s="148"/>
      <c r="AX203" s="151"/>
      <c r="AY203" s="105"/>
      <c r="AZ203" s="186"/>
      <c r="BA203" s="186"/>
      <c r="BB203" s="222"/>
      <c r="BC203" s="45"/>
      <c r="BD203" s="45"/>
      <c r="BE203" s="45"/>
      <c r="BF203" s="45"/>
    </row>
    <row r="204">
      <c r="A204" s="79">
        <v>201.0</v>
      </c>
      <c r="B204" s="188"/>
      <c r="C204" s="115"/>
      <c r="D204" s="189"/>
      <c r="E204" s="189"/>
      <c r="F204" s="107"/>
      <c r="G204" s="113"/>
      <c r="H204" s="114"/>
      <c r="I204" s="194"/>
      <c r="J204" s="122"/>
      <c r="K204" s="121"/>
      <c r="L204" s="119"/>
      <c r="M204" s="119"/>
      <c r="N204" s="119"/>
      <c r="O204" s="124"/>
      <c r="P204" s="124"/>
      <c r="Q204" s="191"/>
      <c r="R204" s="125"/>
      <c r="S204" s="126"/>
      <c r="T204" s="127"/>
      <c r="U204" s="128" t="str">
        <f t="shared" si="2"/>
        <v/>
      </c>
      <c r="V204" s="170"/>
      <c r="W204" s="170"/>
      <c r="X204" s="170"/>
      <c r="Y204" s="131"/>
      <c r="Z204" s="132"/>
      <c r="AA204" s="133"/>
      <c r="AB204" s="133"/>
      <c r="AC204" s="141"/>
      <c r="AD204" s="141"/>
      <c r="AE204" s="141"/>
      <c r="AF204" s="122"/>
      <c r="AG204" s="147"/>
      <c r="AH204" s="73"/>
      <c r="AI204" s="135"/>
      <c r="AJ204" s="136"/>
      <c r="AK204" s="76"/>
      <c r="AL204" s="135"/>
      <c r="AM204" s="139" t="s">
        <v>71</v>
      </c>
      <c r="AN204" s="139"/>
      <c r="AO204" s="140"/>
      <c r="AP204" s="152"/>
      <c r="AQ204" s="152"/>
      <c r="AR204" s="143"/>
      <c r="AS204" s="144"/>
      <c r="AT204" s="144"/>
      <c r="AU204" s="146"/>
      <c r="AV204" s="146"/>
      <c r="AW204" s="148"/>
      <c r="AX204" s="151"/>
      <c r="AY204" s="105"/>
      <c r="AZ204" s="186"/>
      <c r="BA204" s="186"/>
      <c r="BB204" s="222"/>
      <c r="BC204" s="45"/>
      <c r="BD204" s="45"/>
      <c r="BE204" s="45"/>
      <c r="BF204" s="45"/>
    </row>
    <row r="205">
      <c r="A205" s="79">
        <v>202.0</v>
      </c>
      <c r="B205" s="188"/>
      <c r="C205" s="115"/>
      <c r="D205" s="189"/>
      <c r="E205" s="189"/>
      <c r="F205" s="107"/>
      <c r="G205" s="113"/>
      <c r="H205" s="114"/>
      <c r="I205" s="194"/>
      <c r="J205" s="122"/>
      <c r="K205" s="121"/>
      <c r="L205" s="119"/>
      <c r="M205" s="119"/>
      <c r="N205" s="119"/>
      <c r="O205" s="124"/>
      <c r="P205" s="124"/>
      <c r="Q205" s="191"/>
      <c r="R205" s="125"/>
      <c r="S205" s="126"/>
      <c r="T205" s="127"/>
      <c r="U205" s="128" t="str">
        <f t="shared" si="2"/>
        <v/>
      </c>
      <c r="V205" s="170"/>
      <c r="W205" s="170"/>
      <c r="X205" s="170"/>
      <c r="Y205" s="131"/>
      <c r="Z205" s="132"/>
      <c r="AA205" s="133"/>
      <c r="AB205" s="133"/>
      <c r="AC205" s="141"/>
      <c r="AD205" s="141"/>
      <c r="AE205" s="141"/>
      <c r="AF205" s="122"/>
      <c r="AG205" s="147"/>
      <c r="AH205" s="73"/>
      <c r="AI205" s="135"/>
      <c r="AJ205" s="136"/>
      <c r="AK205" s="76"/>
      <c r="AL205" s="135"/>
      <c r="AM205" s="139" t="s">
        <v>71</v>
      </c>
      <c r="AN205" s="139"/>
      <c r="AO205" s="140"/>
      <c r="AP205" s="152"/>
      <c r="AQ205" s="152"/>
      <c r="AR205" s="143"/>
      <c r="AS205" s="144"/>
      <c r="AT205" s="144"/>
      <c r="AU205" s="146"/>
      <c r="AV205" s="146"/>
      <c r="AW205" s="148"/>
      <c r="AX205" s="151"/>
      <c r="AY205" s="105"/>
      <c r="AZ205" s="186"/>
      <c r="BA205" s="186"/>
      <c r="BB205" s="222"/>
      <c r="BC205" s="45"/>
      <c r="BD205" s="45"/>
      <c r="BE205" s="45"/>
      <c r="BF205" s="45"/>
    </row>
    <row r="206">
      <c r="A206" s="79">
        <v>203.0</v>
      </c>
      <c r="B206" s="188"/>
      <c r="C206" s="115"/>
      <c r="D206" s="189"/>
      <c r="E206" s="189"/>
      <c r="F206" s="107"/>
      <c r="G206" s="113"/>
      <c r="H206" s="114"/>
      <c r="I206" s="194"/>
      <c r="J206" s="122"/>
      <c r="K206" s="121"/>
      <c r="L206" s="119"/>
      <c r="M206" s="119"/>
      <c r="N206" s="119"/>
      <c r="O206" s="124"/>
      <c r="P206" s="124"/>
      <c r="Q206" s="191"/>
      <c r="R206" s="125"/>
      <c r="S206" s="126"/>
      <c r="T206" s="127"/>
      <c r="U206" s="128" t="str">
        <f t="shared" si="2"/>
        <v/>
      </c>
      <c r="V206" s="170"/>
      <c r="W206" s="170"/>
      <c r="X206" s="170"/>
      <c r="Y206" s="131"/>
      <c r="Z206" s="160"/>
      <c r="AA206" s="133"/>
      <c r="AB206" s="133"/>
      <c r="AC206" s="141"/>
      <c r="AD206" s="141"/>
      <c r="AE206" s="141"/>
      <c r="AF206" s="122"/>
      <c r="AG206" s="147"/>
      <c r="AH206" s="73"/>
      <c r="AI206" s="135"/>
      <c r="AJ206" s="136"/>
      <c r="AK206" s="76"/>
      <c r="AL206" s="135"/>
      <c r="AM206" s="139" t="s">
        <v>71</v>
      </c>
      <c r="AN206" s="139"/>
      <c r="AO206" s="140"/>
      <c r="AP206" s="152"/>
      <c r="AQ206" s="152"/>
      <c r="AR206" s="143"/>
      <c r="AS206" s="144"/>
      <c r="AT206" s="144"/>
      <c r="AU206" s="146"/>
      <c r="AV206" s="146"/>
      <c r="AW206" s="148"/>
      <c r="AX206" s="151"/>
      <c r="AY206" s="105"/>
      <c r="AZ206" s="186"/>
      <c r="BA206" s="186"/>
      <c r="BB206" s="222"/>
      <c r="BC206" s="45"/>
      <c r="BD206" s="45"/>
      <c r="BE206" s="45"/>
      <c r="BF206" s="45"/>
    </row>
    <row r="207">
      <c r="A207" s="79">
        <v>204.0</v>
      </c>
      <c r="B207" s="188"/>
      <c r="C207" s="115"/>
      <c r="D207" s="189"/>
      <c r="E207" s="189"/>
      <c r="F207" s="107"/>
      <c r="G207" s="113"/>
      <c r="H207" s="114"/>
      <c r="I207" s="194"/>
      <c r="J207" s="122"/>
      <c r="K207" s="121"/>
      <c r="L207" s="119"/>
      <c r="M207" s="119"/>
      <c r="N207" s="119"/>
      <c r="O207" s="124"/>
      <c r="P207" s="124"/>
      <c r="Q207" s="191"/>
      <c r="R207" s="125"/>
      <c r="S207" s="126"/>
      <c r="T207" s="127"/>
      <c r="U207" s="128" t="str">
        <f t="shared" si="2"/>
        <v/>
      </c>
      <c r="V207" s="170"/>
      <c r="W207" s="170"/>
      <c r="X207" s="170"/>
      <c r="Y207" s="131"/>
      <c r="Z207" s="132"/>
      <c r="AA207" s="133"/>
      <c r="AB207" s="133"/>
      <c r="AC207" s="141"/>
      <c r="AD207" s="141"/>
      <c r="AE207" s="141"/>
      <c r="AF207" s="122"/>
      <c r="AG207" s="147"/>
      <c r="AH207" s="73"/>
      <c r="AI207" s="135"/>
      <c r="AJ207" s="136"/>
      <c r="AK207" s="76"/>
      <c r="AL207" s="135"/>
      <c r="AM207" s="139" t="s">
        <v>71</v>
      </c>
      <c r="AN207" s="139"/>
      <c r="AO207" s="140"/>
      <c r="AP207" s="152"/>
      <c r="AQ207" s="152"/>
      <c r="AR207" s="143"/>
      <c r="AS207" s="144"/>
      <c r="AT207" s="144"/>
      <c r="AU207" s="146"/>
      <c r="AV207" s="146"/>
      <c r="AW207" s="148"/>
      <c r="AX207" s="151"/>
      <c r="AY207" s="105"/>
      <c r="AZ207" s="186"/>
      <c r="BA207" s="186"/>
      <c r="BB207" s="222"/>
      <c r="BC207" s="45"/>
      <c r="BD207" s="45"/>
      <c r="BE207" s="45"/>
      <c r="BF207" s="45"/>
    </row>
    <row r="208">
      <c r="A208" s="79">
        <v>205.0</v>
      </c>
      <c r="B208" s="188"/>
      <c r="C208" s="115"/>
      <c r="D208" s="189"/>
      <c r="E208" s="189"/>
      <c r="F208" s="107"/>
      <c r="G208" s="113"/>
      <c r="H208" s="114"/>
      <c r="I208" s="194"/>
      <c r="J208" s="122"/>
      <c r="K208" s="121"/>
      <c r="L208" s="119"/>
      <c r="M208" s="119"/>
      <c r="N208" s="119"/>
      <c r="O208" s="124"/>
      <c r="P208" s="124"/>
      <c r="Q208" s="191"/>
      <c r="R208" s="125"/>
      <c r="S208" s="126"/>
      <c r="T208" s="127"/>
      <c r="U208" s="128" t="str">
        <f t="shared" si="2"/>
        <v/>
      </c>
      <c r="V208" s="170"/>
      <c r="W208" s="170"/>
      <c r="X208" s="170"/>
      <c r="Y208" s="131"/>
      <c r="Z208" s="132"/>
      <c r="AA208" s="133"/>
      <c r="AB208" s="133"/>
      <c r="AC208" s="141"/>
      <c r="AD208" s="141"/>
      <c r="AE208" s="141"/>
      <c r="AF208" s="122"/>
      <c r="AG208" s="147"/>
      <c r="AH208" s="73"/>
      <c r="AI208" s="135"/>
      <c r="AJ208" s="136"/>
      <c r="AK208" s="76"/>
      <c r="AL208" s="135"/>
      <c r="AM208" s="139" t="s">
        <v>71</v>
      </c>
      <c r="AN208" s="139"/>
      <c r="AO208" s="140"/>
      <c r="AP208" s="152"/>
      <c r="AQ208" s="152"/>
      <c r="AR208" s="143"/>
      <c r="AS208" s="144"/>
      <c r="AT208" s="144"/>
      <c r="AU208" s="146"/>
      <c r="AV208" s="146"/>
      <c r="AW208" s="148"/>
      <c r="AX208" s="151"/>
      <c r="AY208" s="105"/>
      <c r="AZ208" s="186"/>
      <c r="BA208" s="186"/>
      <c r="BB208" s="222"/>
      <c r="BC208" s="45"/>
      <c r="BD208" s="45"/>
      <c r="BE208" s="45"/>
      <c r="BF208" s="45"/>
    </row>
    <row r="209">
      <c r="A209" s="79">
        <v>206.0</v>
      </c>
      <c r="B209" s="188"/>
      <c r="C209" s="115"/>
      <c r="D209" s="189"/>
      <c r="E209" s="189"/>
      <c r="F209" s="107"/>
      <c r="G209" s="113"/>
      <c r="H209" s="114"/>
      <c r="I209" s="194"/>
      <c r="J209" s="122"/>
      <c r="K209" s="121"/>
      <c r="L209" s="119"/>
      <c r="M209" s="119"/>
      <c r="N209" s="119"/>
      <c r="O209" s="124"/>
      <c r="P209" s="124"/>
      <c r="Q209" s="191"/>
      <c r="R209" s="125"/>
      <c r="S209" s="126"/>
      <c r="T209" s="127"/>
      <c r="U209" s="128" t="str">
        <f t="shared" si="2"/>
        <v/>
      </c>
      <c r="V209" s="170"/>
      <c r="W209" s="170"/>
      <c r="X209" s="170"/>
      <c r="Y209" s="131"/>
      <c r="Z209" s="160"/>
      <c r="AA209" s="133"/>
      <c r="AB209" s="133"/>
      <c r="AC209" s="141"/>
      <c r="AD209" s="141"/>
      <c r="AE209" s="141"/>
      <c r="AF209" s="122"/>
      <c r="AG209" s="147"/>
      <c r="AH209" s="73"/>
      <c r="AI209" s="135"/>
      <c r="AJ209" s="136"/>
      <c r="AK209" s="76"/>
      <c r="AL209" s="135"/>
      <c r="AM209" s="139" t="s">
        <v>71</v>
      </c>
      <c r="AN209" s="139"/>
      <c r="AO209" s="140"/>
      <c r="AP209" s="152"/>
      <c r="AQ209" s="152"/>
      <c r="AR209" s="143"/>
      <c r="AS209" s="144"/>
      <c r="AT209" s="144"/>
      <c r="AU209" s="146"/>
      <c r="AV209" s="146"/>
      <c r="AW209" s="148"/>
      <c r="AX209" s="151"/>
      <c r="AY209" s="105"/>
      <c r="AZ209" s="186"/>
      <c r="BA209" s="186"/>
      <c r="BB209" s="222"/>
      <c r="BC209" s="45"/>
      <c r="BD209" s="45"/>
      <c r="BE209" s="45"/>
      <c r="BF209" s="45"/>
    </row>
    <row r="210">
      <c r="A210" s="79">
        <v>207.0</v>
      </c>
      <c r="B210" s="188"/>
      <c r="C210" s="115"/>
      <c r="D210" s="189"/>
      <c r="E210" s="189"/>
      <c r="F210" s="107"/>
      <c r="G210" s="113"/>
      <c r="H210" s="114"/>
      <c r="I210" s="194"/>
      <c r="J210" s="122"/>
      <c r="K210" s="121"/>
      <c r="L210" s="119"/>
      <c r="M210" s="119"/>
      <c r="N210" s="119"/>
      <c r="O210" s="124"/>
      <c r="P210" s="124"/>
      <c r="Q210" s="191"/>
      <c r="R210" s="125"/>
      <c r="S210" s="126"/>
      <c r="T210" s="127"/>
      <c r="U210" s="128" t="str">
        <f t="shared" si="2"/>
        <v/>
      </c>
      <c r="V210" s="170"/>
      <c r="W210" s="170"/>
      <c r="X210" s="170"/>
      <c r="Y210" s="131"/>
      <c r="Z210" s="132"/>
      <c r="AA210" s="133"/>
      <c r="AB210" s="133"/>
      <c r="AC210" s="141"/>
      <c r="AD210" s="141"/>
      <c r="AE210" s="141"/>
      <c r="AF210" s="122"/>
      <c r="AG210" s="147"/>
      <c r="AH210" s="73"/>
      <c r="AI210" s="135"/>
      <c r="AJ210" s="136"/>
      <c r="AK210" s="76"/>
      <c r="AL210" s="135"/>
      <c r="AM210" s="139" t="s">
        <v>71</v>
      </c>
      <c r="AN210" s="139"/>
      <c r="AO210" s="140"/>
      <c r="AP210" s="152"/>
      <c r="AQ210" s="152"/>
      <c r="AR210" s="143"/>
      <c r="AS210" s="144"/>
      <c r="AT210" s="144"/>
      <c r="AU210" s="146"/>
      <c r="AV210" s="146"/>
      <c r="AW210" s="148"/>
      <c r="AX210" s="151"/>
      <c r="AY210" s="105"/>
      <c r="AZ210" s="186"/>
      <c r="BA210" s="186"/>
      <c r="BB210" s="222"/>
      <c r="BC210" s="45"/>
      <c r="BD210" s="45"/>
      <c r="BE210" s="45"/>
      <c r="BF210" s="45"/>
    </row>
    <row r="211">
      <c r="A211" s="79">
        <v>208.0</v>
      </c>
      <c r="B211" s="188"/>
      <c r="C211" s="115"/>
      <c r="D211" s="189"/>
      <c r="E211" s="189"/>
      <c r="F211" s="107"/>
      <c r="G211" s="113"/>
      <c r="H211" s="114"/>
      <c r="I211" s="194"/>
      <c r="J211" s="122"/>
      <c r="K211" s="121"/>
      <c r="L211" s="119"/>
      <c r="M211" s="119"/>
      <c r="N211" s="119"/>
      <c r="O211" s="124"/>
      <c r="P211" s="124"/>
      <c r="Q211" s="191"/>
      <c r="R211" s="125"/>
      <c r="S211" s="126"/>
      <c r="T211" s="127"/>
      <c r="U211" s="128" t="str">
        <f t="shared" si="2"/>
        <v/>
      </c>
      <c r="V211" s="170"/>
      <c r="W211" s="170"/>
      <c r="X211" s="170"/>
      <c r="Y211" s="131"/>
      <c r="Z211" s="132"/>
      <c r="AA211" s="133"/>
      <c r="AB211" s="133"/>
      <c r="AC211" s="141"/>
      <c r="AD211" s="141"/>
      <c r="AE211" s="141"/>
      <c r="AF211" s="122"/>
      <c r="AG211" s="147"/>
      <c r="AH211" s="73"/>
      <c r="AI211" s="135"/>
      <c r="AJ211" s="136"/>
      <c r="AK211" s="76"/>
      <c r="AL211" s="135"/>
      <c r="AM211" s="139" t="s">
        <v>71</v>
      </c>
      <c r="AN211" s="139"/>
      <c r="AO211" s="140"/>
      <c r="AP211" s="152"/>
      <c r="AQ211" s="152"/>
      <c r="AR211" s="143"/>
      <c r="AS211" s="144"/>
      <c r="AT211" s="144"/>
      <c r="AU211" s="146"/>
      <c r="AV211" s="146"/>
      <c r="AW211" s="148"/>
      <c r="AX211" s="151"/>
      <c r="AY211" s="105"/>
      <c r="AZ211" s="186"/>
      <c r="BA211" s="186"/>
      <c r="BB211" s="222"/>
      <c r="BC211" s="45"/>
      <c r="BD211" s="45"/>
      <c r="BE211" s="45"/>
      <c r="BF211" s="45"/>
    </row>
    <row r="212">
      <c r="A212" s="79">
        <v>209.0</v>
      </c>
      <c r="B212" s="188"/>
      <c r="C212" s="115"/>
      <c r="D212" s="189"/>
      <c r="E212" s="189"/>
      <c r="F212" s="107"/>
      <c r="G212" s="113"/>
      <c r="H212" s="114"/>
      <c r="I212" s="194"/>
      <c r="J212" s="122"/>
      <c r="K212" s="121"/>
      <c r="L212" s="119"/>
      <c r="M212" s="119"/>
      <c r="N212" s="119"/>
      <c r="O212" s="124"/>
      <c r="P212" s="124"/>
      <c r="Q212" s="191"/>
      <c r="R212" s="125"/>
      <c r="S212" s="126"/>
      <c r="T212" s="127"/>
      <c r="U212" s="128" t="str">
        <f t="shared" si="2"/>
        <v/>
      </c>
      <c r="V212" s="170"/>
      <c r="W212" s="170"/>
      <c r="X212" s="170"/>
      <c r="Y212" s="131"/>
      <c r="Z212" s="160"/>
      <c r="AA212" s="133"/>
      <c r="AB212" s="133"/>
      <c r="AC212" s="141"/>
      <c r="AD212" s="141"/>
      <c r="AE212" s="141"/>
      <c r="AF212" s="122"/>
      <c r="AG212" s="147"/>
      <c r="AH212" s="73"/>
      <c r="AI212" s="135"/>
      <c r="AJ212" s="136"/>
      <c r="AK212" s="76"/>
      <c r="AL212" s="135"/>
      <c r="AM212" s="139" t="s">
        <v>71</v>
      </c>
      <c r="AN212" s="139"/>
      <c r="AO212" s="140"/>
      <c r="AP212" s="152"/>
      <c r="AQ212" s="152"/>
      <c r="AR212" s="143"/>
      <c r="AS212" s="144"/>
      <c r="AT212" s="144"/>
      <c r="AU212" s="146"/>
      <c r="AV212" s="146"/>
      <c r="AW212" s="148"/>
      <c r="AX212" s="151"/>
      <c r="AY212" s="105"/>
      <c r="AZ212" s="186"/>
      <c r="BA212" s="186"/>
      <c r="BB212" s="222"/>
      <c r="BC212" s="45"/>
      <c r="BD212" s="45"/>
      <c r="BE212" s="45"/>
      <c r="BF212" s="45"/>
    </row>
    <row r="213">
      <c r="A213" s="79">
        <v>210.0</v>
      </c>
      <c r="B213" s="188"/>
      <c r="C213" s="115"/>
      <c r="D213" s="189"/>
      <c r="E213" s="189"/>
      <c r="F213" s="107"/>
      <c r="G213" s="113"/>
      <c r="H213" s="114"/>
      <c r="I213" s="194"/>
      <c r="J213" s="122"/>
      <c r="K213" s="121"/>
      <c r="L213" s="119"/>
      <c r="M213" s="119"/>
      <c r="N213" s="119"/>
      <c r="O213" s="124"/>
      <c r="P213" s="124"/>
      <c r="Q213" s="191"/>
      <c r="R213" s="125"/>
      <c r="S213" s="126"/>
      <c r="T213" s="127"/>
      <c r="U213" s="128" t="str">
        <f t="shared" si="2"/>
        <v/>
      </c>
      <c r="V213" s="170"/>
      <c r="W213" s="170"/>
      <c r="X213" s="170"/>
      <c r="Y213" s="131"/>
      <c r="Z213" s="132"/>
      <c r="AA213" s="133"/>
      <c r="AB213" s="133"/>
      <c r="AC213" s="141"/>
      <c r="AD213" s="141"/>
      <c r="AE213" s="141"/>
      <c r="AF213" s="122"/>
      <c r="AG213" s="147"/>
      <c r="AH213" s="73"/>
      <c r="AI213" s="135"/>
      <c r="AJ213" s="136"/>
      <c r="AK213" s="76"/>
      <c r="AL213" s="135"/>
      <c r="AM213" s="139" t="s">
        <v>71</v>
      </c>
      <c r="AN213" s="139"/>
      <c r="AO213" s="140"/>
      <c r="AP213" s="152"/>
      <c r="AQ213" s="152"/>
      <c r="AR213" s="143"/>
      <c r="AS213" s="144"/>
      <c r="AT213" s="144"/>
      <c r="AU213" s="146"/>
      <c r="AV213" s="146"/>
      <c r="AW213" s="148"/>
      <c r="AX213" s="151"/>
      <c r="AY213" s="105"/>
      <c r="AZ213" s="186"/>
      <c r="BA213" s="186"/>
      <c r="BB213" s="222"/>
      <c r="BC213" s="45"/>
      <c r="BD213" s="45"/>
      <c r="BE213" s="45"/>
      <c r="BF213" s="45"/>
    </row>
    <row r="214">
      <c r="A214" s="79">
        <v>211.0</v>
      </c>
      <c r="B214" s="188"/>
      <c r="C214" s="115"/>
      <c r="D214" s="189"/>
      <c r="E214" s="189"/>
      <c r="F214" s="107"/>
      <c r="G214" s="113"/>
      <c r="H214" s="114"/>
      <c r="I214" s="194"/>
      <c r="J214" s="122"/>
      <c r="K214" s="121"/>
      <c r="L214" s="119"/>
      <c r="M214" s="119"/>
      <c r="N214" s="119"/>
      <c r="O214" s="124"/>
      <c r="P214" s="124"/>
      <c r="Q214" s="191"/>
      <c r="R214" s="125"/>
      <c r="S214" s="126"/>
      <c r="T214" s="127"/>
      <c r="U214" s="128" t="str">
        <f t="shared" si="2"/>
        <v/>
      </c>
      <c r="V214" s="170"/>
      <c r="W214" s="170"/>
      <c r="X214" s="170"/>
      <c r="Y214" s="131"/>
      <c r="Z214" s="132"/>
      <c r="AA214" s="133"/>
      <c r="AB214" s="133"/>
      <c r="AC214" s="141"/>
      <c r="AD214" s="141"/>
      <c r="AE214" s="141"/>
      <c r="AF214" s="122"/>
      <c r="AG214" s="147"/>
      <c r="AH214" s="73"/>
      <c r="AI214" s="135"/>
      <c r="AJ214" s="136"/>
      <c r="AK214" s="76"/>
      <c r="AL214" s="135"/>
      <c r="AM214" s="139" t="s">
        <v>71</v>
      </c>
      <c r="AN214" s="139"/>
      <c r="AO214" s="140"/>
      <c r="AP214" s="152"/>
      <c r="AQ214" s="152"/>
      <c r="AR214" s="143"/>
      <c r="AS214" s="144"/>
      <c r="AT214" s="144"/>
      <c r="AU214" s="146"/>
      <c r="AV214" s="146"/>
      <c r="AW214" s="148"/>
      <c r="AX214" s="151"/>
      <c r="AY214" s="105"/>
      <c r="AZ214" s="186"/>
      <c r="BA214" s="186"/>
      <c r="BB214" s="222"/>
      <c r="BC214" s="45"/>
      <c r="BD214" s="45"/>
      <c r="BE214" s="45"/>
      <c r="BF214" s="45"/>
    </row>
    <row r="215">
      <c r="A215" s="79">
        <v>212.0</v>
      </c>
      <c r="B215" s="188"/>
      <c r="C215" s="115"/>
      <c r="D215" s="189"/>
      <c r="E215" s="189"/>
      <c r="F215" s="107"/>
      <c r="G215" s="113"/>
      <c r="H215" s="114"/>
      <c r="I215" s="194"/>
      <c r="J215" s="122"/>
      <c r="K215" s="121"/>
      <c r="L215" s="119"/>
      <c r="M215" s="119"/>
      <c r="N215" s="119"/>
      <c r="O215" s="124"/>
      <c r="P215" s="124"/>
      <c r="Q215" s="191"/>
      <c r="R215" s="125"/>
      <c r="S215" s="126"/>
      <c r="T215" s="127"/>
      <c r="U215" s="128" t="str">
        <f t="shared" si="2"/>
        <v/>
      </c>
      <c r="V215" s="170"/>
      <c r="W215" s="170"/>
      <c r="X215" s="170"/>
      <c r="Y215" s="131"/>
      <c r="Z215" s="160"/>
      <c r="AA215" s="133"/>
      <c r="AB215" s="133"/>
      <c r="AC215" s="141"/>
      <c r="AD215" s="141"/>
      <c r="AE215" s="141"/>
      <c r="AF215" s="122"/>
      <c r="AG215" s="147"/>
      <c r="AH215" s="73"/>
      <c r="AI215" s="135"/>
      <c r="AJ215" s="136"/>
      <c r="AK215" s="76"/>
      <c r="AL215" s="135"/>
      <c r="AM215" s="139" t="s">
        <v>71</v>
      </c>
      <c r="AN215" s="139"/>
      <c r="AO215" s="140"/>
      <c r="AP215" s="152"/>
      <c r="AQ215" s="152"/>
      <c r="AR215" s="143"/>
      <c r="AS215" s="144"/>
      <c r="AT215" s="144"/>
      <c r="AU215" s="146"/>
      <c r="AV215" s="146"/>
      <c r="AW215" s="148"/>
      <c r="AX215" s="151"/>
      <c r="AY215" s="105"/>
      <c r="AZ215" s="186"/>
      <c r="BA215" s="186"/>
      <c r="BB215" s="222"/>
      <c r="BC215" s="45"/>
      <c r="BD215" s="45"/>
      <c r="BE215" s="45"/>
      <c r="BF215" s="45"/>
    </row>
    <row r="216">
      <c r="A216" s="79">
        <v>213.0</v>
      </c>
      <c r="B216" s="188"/>
      <c r="C216" s="115"/>
      <c r="D216" s="189"/>
      <c r="E216" s="189"/>
      <c r="F216" s="107"/>
      <c r="G216" s="113"/>
      <c r="H216" s="114"/>
      <c r="I216" s="194"/>
      <c r="J216" s="122"/>
      <c r="K216" s="121"/>
      <c r="L216" s="119"/>
      <c r="M216" s="119"/>
      <c r="N216" s="119"/>
      <c r="O216" s="124"/>
      <c r="P216" s="124"/>
      <c r="Q216" s="191"/>
      <c r="R216" s="125"/>
      <c r="S216" s="126"/>
      <c r="T216" s="127"/>
      <c r="U216" s="128" t="str">
        <f t="shared" si="2"/>
        <v/>
      </c>
      <c r="V216" s="170"/>
      <c r="W216" s="170"/>
      <c r="X216" s="170"/>
      <c r="Y216" s="131"/>
      <c r="Z216" s="132"/>
      <c r="AA216" s="133"/>
      <c r="AB216" s="133"/>
      <c r="AC216" s="141"/>
      <c r="AD216" s="141"/>
      <c r="AE216" s="141"/>
      <c r="AF216" s="122"/>
      <c r="AG216" s="147"/>
      <c r="AH216" s="73"/>
      <c r="AI216" s="135"/>
      <c r="AJ216" s="136"/>
      <c r="AK216" s="76"/>
      <c r="AL216" s="135"/>
      <c r="AM216" s="139" t="s">
        <v>71</v>
      </c>
      <c r="AN216" s="139"/>
      <c r="AO216" s="140"/>
      <c r="AP216" s="152"/>
      <c r="AQ216" s="152"/>
      <c r="AR216" s="143"/>
      <c r="AS216" s="144"/>
      <c r="AT216" s="144"/>
      <c r="AU216" s="146"/>
      <c r="AV216" s="146"/>
      <c r="AW216" s="148"/>
      <c r="AX216" s="151"/>
      <c r="AY216" s="105"/>
      <c r="AZ216" s="186"/>
      <c r="BA216" s="186"/>
      <c r="BB216" s="222"/>
      <c r="BC216" s="45"/>
      <c r="BD216" s="45"/>
      <c r="BE216" s="45"/>
      <c r="BF216" s="45"/>
    </row>
  </sheetData>
  <mergeCells count="4">
    <mergeCell ref="AA1:AB1"/>
    <mergeCell ref="AC1:AF1"/>
    <mergeCell ref="AH1:AL1"/>
    <mergeCell ref="AU1:BA1"/>
  </mergeCells>
  <conditionalFormatting sqref="E6">
    <cfRule type="expression" dxfId="1" priority="1">
      <formula>$AX5="Data changed"</formula>
    </cfRule>
  </conditionalFormatting>
  <conditionalFormatting sqref="B134">
    <cfRule type="expression" dxfId="1" priority="2">
      <formula>#REF!="Data changed"</formula>
    </cfRule>
  </conditionalFormatting>
  <conditionalFormatting sqref="AZ4:AZ216">
    <cfRule type="expression" dxfId="0" priority="3">
      <formula>AZ4&lt;&gt;BA4</formula>
    </cfRule>
  </conditionalFormatting>
  <conditionalFormatting sqref="AX4:AX216">
    <cfRule type="notContainsBlanks" dxfId="0" priority="4">
      <formula>LEN(TRIM(AX4))&gt;0</formula>
    </cfRule>
  </conditionalFormatting>
  <conditionalFormatting sqref="A4:AX216">
    <cfRule type="expression" dxfId="1" priority="5">
      <formula>$AX4="Data changed"</formula>
    </cfRule>
  </conditionalFormatting>
  <conditionalFormatting sqref="AT4:AT216">
    <cfRule type="colorScale" priority="6">
      <colorScale>
        <cfvo type="formula" val="0"/>
        <cfvo type="formula" val="0.005"/>
        <cfvo type="max"/>
        <color rgb="FFFFFFFF"/>
        <color rgb="FF89F282"/>
        <color rgb="FF12E504"/>
      </colorScale>
    </cfRule>
  </conditionalFormatting>
  <conditionalFormatting sqref="U1:U216">
    <cfRule type="cellIs" dxfId="0" priority="7" operator="greaterThanOrEqual">
      <formula>1</formula>
    </cfRule>
  </conditionalFormatting>
  <conditionalFormatting sqref="H:H">
    <cfRule type="colorScale" priority="8">
      <colorScale>
        <cfvo type="min"/>
        <cfvo type="formula" val="300"/>
        <cfvo type="formula" val="350"/>
        <color rgb="FFFFFFFF"/>
        <color rgb="FF3C78D8"/>
        <color rgb="FFFF0000"/>
      </colorScale>
    </cfRule>
  </conditionalFormatting>
  <conditionalFormatting sqref="H:H">
    <cfRule type="containsText" dxfId="2" priority="9" operator="containsText" text="wrong">
      <formula>NOT(ISERROR(SEARCH(("wrong"),(H1))))</formula>
    </cfRule>
  </conditionalFormatting>
  <conditionalFormatting sqref="S:S AK:AK">
    <cfRule type="colorScale" priority="10">
      <colorScale>
        <cfvo type="min"/>
        <cfvo type="max"/>
        <color rgb="FF9CFF00"/>
        <color rgb="FF12E504"/>
      </colorScale>
    </cfRule>
  </conditionalFormatting>
  <conditionalFormatting sqref="E4:E216">
    <cfRule type="expression" dxfId="0" priority="11">
      <formula>AND(E4&lt;&gt;"",E4&lt;D4)</formula>
    </cfRule>
  </conditionalFormatting>
  <conditionalFormatting sqref="M4:N216">
    <cfRule type="expression" dxfId="4" priority="12">
      <formula>$L4="No"</formula>
    </cfRule>
  </conditionalFormatting>
  <dataValidations>
    <dataValidation type="list" allowBlank="1" showErrorMessage="1" sqref="C4:C21">
      <formula1>Administrative!$M$1:$P$1</formula1>
    </dataValidation>
    <dataValidation type="list" allowBlank="1" showErrorMessage="1" sqref="M4:M216">
      <formula1>Administrative!$AA$40:$AA$64</formula1>
    </dataValidation>
    <dataValidation type="list" allowBlank="1" showErrorMessage="1" sqref="L4:L216 AY4:AY216">
      <formula1>"Yes,No"</formula1>
    </dataValidation>
    <dataValidation type="decimal" allowBlank="1" showInputMessage="1" showErrorMessage="1" prompt="Enter a number between 200 and 1000" sqref="AA4:AA216">
      <formula1>200.0</formula1>
      <formula2>1000.0</formula2>
    </dataValidation>
    <dataValidation type="decimal" allowBlank="1" showErrorMessage="1" sqref="I4 I6:I216 Q4:Q216">
      <formula1>1.0</formula1>
      <formula2>1000.0</formula2>
    </dataValidation>
    <dataValidation type="decimal" allowBlank="1" showErrorMessage="1" sqref="G4:G216">
      <formula1>0.0</formula1>
      <formula2>1000000.0</formula2>
    </dataValidation>
    <dataValidation type="list" allowBlank="1" showErrorMessage="1" sqref="F4:F216">
      <formula1>Administrative!$L$5:$L$73</formula1>
    </dataValidation>
    <dataValidation type="list" allowBlank="1" showErrorMessage="1" sqref="Y4:Y216">
      <formula1>Administrative!$Z$5:$Z$23</formula1>
    </dataValidation>
    <dataValidation type="list" allowBlank="1" sqref="C22:C216">
      <formula1>Administrative!$M$1:$P$1</formula1>
    </dataValidation>
    <dataValidation type="list" allowBlank="1" showErrorMessage="1" sqref="J4:J216 AB4:AB216 AF4:AF216">
      <formula1>"On,Off"</formula1>
    </dataValidation>
    <dataValidation type="list" allowBlank="1" showErrorMessage="1" sqref="V4:X216">
      <formula1>Administrative!$X$5:$X$23</formula1>
    </dataValidation>
  </dataValidations>
  <drawing r:id="rId1"/>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Pr>
    <tabColor rgb="FF6AA84F"/>
  </sheetPr>
  <sheetViews>
    <sheetView workbookViewId="0">
      <pane xSplit="2.0" ySplit="3.0" topLeftCell="C4" activePane="bottomRight" state="frozen"/>
      <selection activeCell="C1" sqref="C1" pane="topRight"/>
      <selection activeCell="A4" sqref="A4" pane="bottomLeft"/>
      <selection activeCell="C4" sqref="C4" pane="bottomRight"/>
    </sheetView>
  </sheetViews>
  <sheetFormatPr customHeight="1" defaultColWidth="14.43" defaultRowHeight="15.75"/>
  <cols>
    <col customWidth="1" min="1" max="1" width="6.71"/>
    <col customWidth="1" min="2" max="2" width="18.14"/>
    <col customWidth="1" min="3" max="3" width="19.29"/>
    <col customWidth="1" min="4" max="4" width="18.71"/>
    <col customWidth="1" min="5" max="5" width="19.71"/>
    <col customWidth="1" min="6" max="6" width="19.57"/>
    <col customWidth="1" min="7" max="7" width="15.71"/>
    <col customWidth="1" min="8" max="8" width="21.29"/>
    <col customWidth="1" min="9" max="9" width="15.86"/>
    <col customWidth="1" min="10" max="10" width="13.14"/>
    <col customWidth="1" min="11" max="11" width="17.71"/>
    <col customWidth="1" min="12" max="12" width="14.57"/>
    <col customWidth="1" min="13" max="13" width="16.86"/>
    <col customWidth="1" min="14" max="14" width="15.29"/>
    <col customWidth="1" min="15" max="15" width="20.29"/>
    <col customWidth="1" min="16" max="16" width="22.43"/>
    <col customWidth="1" min="17" max="17" width="22.29"/>
    <col customWidth="1" min="18" max="18" width="16.14"/>
    <col customWidth="1" min="19" max="19" width="17.29"/>
    <col customWidth="1" min="20" max="20" width="19.57"/>
    <col customWidth="1" min="21" max="21" width="16.14"/>
    <col customWidth="1" min="22" max="22" width="18.14"/>
    <col customWidth="1" min="23" max="23" width="20.57"/>
    <col customWidth="1" min="24" max="24" width="18.14"/>
    <col customWidth="1" min="25" max="26" width="15.86"/>
    <col customWidth="1" min="27" max="28" width="20.71"/>
    <col customWidth="1" min="29" max="30" width="18.14"/>
    <col customWidth="1" min="31" max="31" width="20.14"/>
    <col customWidth="1" min="32" max="32" width="18.14"/>
    <col customWidth="1" min="33" max="33" width="70.0"/>
    <col customWidth="1" min="34" max="34" width="21.29"/>
    <col customWidth="1" min="35" max="35" width="18.14"/>
    <col customWidth="1" min="36" max="36" width="24.29"/>
    <col customWidth="1" min="37" max="37" width="14.57"/>
    <col customWidth="1" min="38" max="38" width="36.43"/>
    <col customWidth="1" min="39" max="39" width="20.86"/>
    <col customWidth="1" min="40" max="40" width="18.0"/>
    <col customWidth="1" min="41" max="43" width="14.14"/>
    <col customWidth="1" min="44" max="44" width="15.71"/>
    <col customWidth="1" min="45" max="45" width="25.14"/>
    <col customWidth="1" min="46" max="46" width="18.71"/>
    <col customWidth="1" min="47" max="48" width="16.57"/>
    <col customWidth="1" min="49" max="58" width="18.14"/>
  </cols>
  <sheetData>
    <row r="1" ht="39.75" customHeight="1">
      <c r="A1" s="214" t="s">
        <v>0</v>
      </c>
      <c r="B1" s="215" t="str">
        <f>Administrative!$O$1</f>
        <v>UK</v>
      </c>
      <c r="C1" s="9"/>
      <c r="D1" s="10" t="str">
        <f>IF(COUNTIF(AX:AX, "new data")=1,COUNTIF(AX:AX, "new data") &amp; " new entry",IF(COUNTIF(AX:AX, "new data")&gt;1,COUNTIF(AX:AX, "new data") &amp; " new entries",""))</f>
        <v/>
      </c>
      <c r="E1" s="10" t="str">
        <f>IF(COUNTIF(AX:AX, "data changed")=1,COUNTIF(AX:AX, "data changed") &amp; " entry has changed",IF(COUNTIF(AX:AX, "data changed")&gt;1,COUNTIF(AX:AX, "data changed") &amp; " entries have changed",""))</f>
        <v/>
      </c>
      <c r="F1" s="11"/>
      <c r="G1" s="12"/>
      <c r="H1" s="13" t="s">
        <v>1</v>
      </c>
      <c r="I1" s="14"/>
      <c r="J1" s="15"/>
      <c r="K1" s="16"/>
      <c r="L1" s="19"/>
      <c r="M1" s="19"/>
      <c r="N1" s="22"/>
      <c r="O1" s="18"/>
      <c r="P1" s="18"/>
      <c r="Q1" s="17" t="str">
        <f>"Average: " &amp; ROUND(AVERAGE(Q4:Q41),0) &amp;char(10)&amp;"Enter average if you don't know"</f>
        <v>Average: 338
Enter average if you don't know</v>
      </c>
      <c r="R1" s="21"/>
      <c r="S1" s="21"/>
      <c r="T1" s="12"/>
      <c r="U1" s="26"/>
      <c r="V1" s="26"/>
      <c r="W1" s="26"/>
      <c r="X1" s="26"/>
      <c r="Y1" s="13"/>
      <c r="Z1" s="13"/>
      <c r="AA1" s="23" t="s">
        <v>2</v>
      </c>
      <c r="AB1" s="24"/>
      <c r="AC1" s="27" t="str">
        <f>"Optional: Answer these four questions according to any recent non-stop trip (no overnight parking during the trip) after any charge level and you will get a second percentage calculation in column "&amp;substitute(address(1,column(AK1),4),"1","")&amp;"."</f>
        <v>Optional: Answer these four questions according to any recent non-stop trip (no overnight parking during the trip) after any charge level and you will get a second percentage calculation in column AK.</v>
      </c>
      <c r="AD1" s="28"/>
      <c r="AE1" s="28"/>
      <c r="AF1" s="24"/>
      <c r="AG1" s="31"/>
      <c r="AH1" s="32" t="s">
        <v>3</v>
      </c>
      <c r="AI1" s="28"/>
      <c r="AJ1" s="28"/>
      <c r="AK1" s="28"/>
      <c r="AL1" s="24"/>
      <c r="AM1" s="34"/>
      <c r="AN1" s="34"/>
      <c r="AO1" s="35" t="s">
        <v>4</v>
      </c>
      <c r="AP1" s="36"/>
      <c r="AQ1" s="41"/>
      <c r="AR1" s="36" t="s">
        <v>6</v>
      </c>
      <c r="AS1" s="39"/>
      <c r="AT1" s="35" t="s">
        <v>7</v>
      </c>
      <c r="AU1" s="40" t="s">
        <v>8</v>
      </c>
      <c r="AV1" s="28"/>
      <c r="AW1" s="28"/>
      <c r="AX1" s="28"/>
      <c r="AY1" s="28"/>
      <c r="AZ1" s="28"/>
      <c r="BA1" s="24"/>
      <c r="BB1" s="43"/>
      <c r="BC1" s="46"/>
      <c r="BD1" s="46"/>
      <c r="BE1" s="46"/>
      <c r="BF1" s="46"/>
    </row>
    <row r="2">
      <c r="A2" s="53" t="s">
        <v>9</v>
      </c>
      <c r="B2" s="48" t="s">
        <v>10</v>
      </c>
      <c r="C2" s="48" t="s">
        <v>10</v>
      </c>
      <c r="D2" s="50" t="s">
        <v>10</v>
      </c>
      <c r="E2" s="50" t="s">
        <v>10</v>
      </c>
      <c r="F2" s="48" t="s">
        <v>10</v>
      </c>
      <c r="G2" s="55" t="s">
        <v>10</v>
      </c>
      <c r="H2" s="54" t="s">
        <v>9</v>
      </c>
      <c r="I2" s="55" t="s">
        <v>10</v>
      </c>
      <c r="J2" s="56" t="s">
        <v>10</v>
      </c>
      <c r="K2" s="54" t="s">
        <v>9</v>
      </c>
      <c r="L2" s="56" t="s">
        <v>10</v>
      </c>
      <c r="M2" s="57" t="s">
        <v>11</v>
      </c>
      <c r="N2" s="57" t="s">
        <v>11</v>
      </c>
      <c r="O2" s="54" t="s">
        <v>9</v>
      </c>
      <c r="P2" s="54" t="s">
        <v>9</v>
      </c>
      <c r="Q2" s="56" t="s">
        <v>10</v>
      </c>
      <c r="R2" s="58" t="s">
        <v>9</v>
      </c>
      <c r="S2" s="58" t="s">
        <v>9</v>
      </c>
      <c r="T2" s="58" t="s">
        <v>9</v>
      </c>
      <c r="U2" s="58" t="s">
        <v>9</v>
      </c>
      <c r="V2" s="61" t="s">
        <v>12</v>
      </c>
      <c r="W2" s="61" t="s">
        <v>12</v>
      </c>
      <c r="X2" s="61" t="s">
        <v>12</v>
      </c>
      <c r="Y2" s="64" t="s">
        <v>12</v>
      </c>
      <c r="Z2" s="63" t="s">
        <v>12</v>
      </c>
      <c r="AA2" s="64" t="s">
        <v>12</v>
      </c>
      <c r="AB2" s="64" t="s">
        <v>12</v>
      </c>
      <c r="AC2" s="64" t="s">
        <v>12</v>
      </c>
      <c r="AD2" s="64" t="s">
        <v>12</v>
      </c>
      <c r="AE2" s="64" t="s">
        <v>12</v>
      </c>
      <c r="AF2" s="64" t="s">
        <v>12</v>
      </c>
      <c r="AG2" s="66" t="s">
        <v>12</v>
      </c>
      <c r="AH2" s="54" t="s">
        <v>9</v>
      </c>
      <c r="AI2" s="54" t="s">
        <v>9</v>
      </c>
      <c r="AJ2" s="68" t="s">
        <v>9</v>
      </c>
      <c r="AK2" s="54" t="s">
        <v>9</v>
      </c>
      <c r="AL2" s="54" t="s">
        <v>9</v>
      </c>
      <c r="AM2" s="54" t="s">
        <v>9</v>
      </c>
      <c r="AN2" s="59" t="s">
        <v>9</v>
      </c>
      <c r="AO2" s="69" t="s">
        <v>9</v>
      </c>
      <c r="AP2" s="69" t="s">
        <v>9</v>
      </c>
      <c r="AQ2" s="72" t="s">
        <v>9</v>
      </c>
      <c r="AR2" s="69" t="s">
        <v>9</v>
      </c>
      <c r="AS2" s="70" t="s">
        <v>9</v>
      </c>
      <c r="AT2" s="71" t="s">
        <v>9</v>
      </c>
      <c r="AU2" s="75" t="s">
        <v>9</v>
      </c>
      <c r="AV2" s="75" t="s">
        <v>9</v>
      </c>
      <c r="AW2" s="75" t="s">
        <v>9</v>
      </c>
      <c r="AX2" s="75" t="s">
        <v>9</v>
      </c>
      <c r="AY2" s="76" t="s">
        <v>9</v>
      </c>
      <c r="AZ2" s="76" t="s">
        <v>9</v>
      </c>
      <c r="BA2" s="76" t="s">
        <v>9</v>
      </c>
      <c r="BB2" s="76" t="s">
        <v>9</v>
      </c>
      <c r="BC2" s="81"/>
      <c r="BD2" s="81"/>
      <c r="BE2" s="81"/>
      <c r="BF2" s="81"/>
    </row>
    <row r="3">
      <c r="A3" s="79" t="s">
        <v>13</v>
      </c>
      <c r="B3" s="84" t="s">
        <v>14</v>
      </c>
      <c r="C3" s="83" t="s">
        <v>15</v>
      </c>
      <c r="D3" s="85" t="s">
        <v>16</v>
      </c>
      <c r="E3" s="85" t="s">
        <v>17</v>
      </c>
      <c r="F3" s="83" t="s">
        <v>18</v>
      </c>
      <c r="G3" s="86" t="s">
        <v>21</v>
      </c>
      <c r="H3" s="87" t="str">
        <f t="array" ref="H3:H41">{"Mileage per day";IF(C4:C41="",,IF(C4:C41&lt;&gt;$B$1,"Wrong location. Select correct page below",IF(isblank(G4:G41),,IF(isblank(AN4:AN41),,Round(G4:G41/AN4:AN41,1)))))}</f>
        <v>Mileage per day</v>
      </c>
      <c r="I3" s="86" t="s">
        <v>474</v>
      </c>
      <c r="J3" s="82" t="s">
        <v>23</v>
      </c>
      <c r="K3" s="217" t="str">
        <f t="array" ref="K3:K41">{"Typical range after correction if range mode was off";IF(isblank(J4:J41),,IF(isblank(I4:I41),,IF(J4:J41="On",I4:I41,Round(IF(J4:J41="Off",I4:I41*Administrative!$AD$5,IF(J4:J41="Unknown",I4:I41*Administrative!$AD$6)),2))))}</f>
        <v>Typical range after correction if range mode was off</v>
      </c>
      <c r="L3" s="82" t="s">
        <v>26</v>
      </c>
      <c r="M3" s="82" t="s">
        <v>29</v>
      </c>
      <c r="N3" s="82" t="s">
        <v>30</v>
      </c>
      <c r="O3" s="87" t="str">
        <f t="array" ref="O3:O41">{"Mileage in mi after correction if battery was replaced";if((R4:R41="")+(K4:K41="")+(G4:G41="")+(L4:L41=""),,if(L4:L41="No",G4:G41,if((M4:M41="")+(N4:N41=""),,if((R4:R41-K4:K41)*G4:G41/(R4:R41-(K4:K41-vlookup(M4:M41,Administrative!$AA$5:$AB$64,2,0)))&lt;G4:G41-N4:N41,G4:G41-N4:N41,Round((R4:R41-K4:K41)*G4:G41/(R4:R41-(K4:K41-vlookup(M4:M41,Administrative!$AA$5:$AB$64,2,0))))))))}</f>
        <v>Mileage in mi after correction if battery was replaced</v>
      </c>
      <c r="P3" s="90" t="str">
        <f t="array" ref="P3:P41">{"Battery age (days) after correction if battery was replaced";if((R4:R41="")+(K4:K41="")+(AN4:AN41="")+(L4:L41=""),,if(L4:L41="No",AN4:AN41,if((M4:M41="")+(N4:N41=""),,round(if((R4:R41-K4:K41)*AN4:AN41/(R4:R41-(K4:K41-vlookup(M4:M41,Administrative!$AA$5:$AB$64,2,0)))&lt;AN4:AN41*(G4:G41-N4:N41)/G4:G41,AN4:AN41*(G4:G41-N4:N41)/G4:G41,(R4:R41-K4:K41)*AN4:AN41/(R4:R41-(K4:K41-vlookup(M4:M41,Administrative!$AA$5:$AB$64,2,0))))))))}</f>
        <v>Battery age (days) after correction if battery was replaced</v>
      </c>
      <c r="Q3" s="82" t="s">
        <v>32</v>
      </c>
      <c r="R3" s="87" t="str">
        <f>IFERROR(__xludf.DUMMYFUNCTION("{""Typical range of this model when new"";arrayformula(if((F4:F41="""")+(C4:C41=""""),,vlookup(F4:F41,{Administrative!$L$1:$L$73,filter(Administrative!$M$1:$P$73,Administrative!$M$1:$P$1=$B$1)},2,0)))}"),"Typical range of this model when new")</f>
        <v>Typical range of this model when new</v>
      </c>
      <c r="S3" s="87" t="str">
        <f t="array" ref="S3:S41">{"Remaining original range";if((K4:K41="")+(R4:R41="")+(R4:R41="unknown"),,round(K4:K41/R4:R41,4))}</f>
        <v>Remaining original range</v>
      </c>
      <c r="T3" s="87" t="str">
        <f t="array" ref="T3:T41">{"Remaining usable capacity until typical range shows zero";if((S4:S41="")+(F4:F41=""),,S4:S41*vlookup(F4:F41,{Administrative!$L$4:$L$73,Administrative!$Q$4:$Q$73},2,0))}</f>
        <v>Remaining usable capacity until typical range shows zero</v>
      </c>
      <c r="U3" s="91" t="s">
        <v>33</v>
      </c>
      <c r="V3" s="83" t="s">
        <v>34</v>
      </c>
      <c r="W3" s="83" t="s">
        <v>35</v>
      </c>
      <c r="X3" s="83" t="s">
        <v>46</v>
      </c>
      <c r="Y3" s="82" t="s">
        <v>37</v>
      </c>
      <c r="Z3" s="92" t="s">
        <v>38</v>
      </c>
      <c r="AA3" s="42" t="s">
        <v>47</v>
      </c>
      <c r="AB3" s="82" t="s">
        <v>40</v>
      </c>
      <c r="AC3" s="83" t="s">
        <v>48</v>
      </c>
      <c r="AD3" s="83" t="s">
        <v>49</v>
      </c>
      <c r="AE3" s="82" t="s">
        <v>43</v>
      </c>
      <c r="AF3" s="83" t="s">
        <v>44</v>
      </c>
      <c r="AG3" s="79" t="s">
        <v>45</v>
      </c>
      <c r="AH3" s="94" t="str">
        <f t="array" ref="AH3:AH41">{"Typical range consumption for trip";if((AC4:AC41&lt;&gt;"")*(AD4:AD41&lt;&gt;"")*(AE4:AE41&lt;&gt;"")*(AF4:AF41&lt;&gt;""),AC4:AC41-AD4:AD41,if((AC4:AC41="")*(AD4:AD41="")*(AE4:AE41="")*(AF4:AF41=""),,"Answer all trip questions"))}</f>
        <v>Typical range consumption for trip</v>
      </c>
      <c r="AI3" s="95" t="str">
        <f t="array" ref="AI3:AI41">{"Typical range after correction if range mode was off";if((AC4:AC41="")+(AD4:AD41="")+(AE4:AE41="")+(AF4:AF41=""),,if(AF4:AF41="On",AH4:AH41,if(AF4:AF41="Off",AH4:AH41*Administrative!$AD$5,"error")))}</f>
        <v>Typical range after correction if range mode was off</v>
      </c>
      <c r="AJ3" s="96" t="str">
        <f t="array" ref="AJ3:AJ41">{"Remaining usable capacity until typical range shows zero according to trip data";if((K4:K41="")+(AI4:AI41="")+(AC4:AC41="")+(AD4:AD41="")+(AE4:AE41="")+(AF4:AF41=""),,K4:K41*SUBSTITUTE(AE4:AE41,",",".")/AI4:AI41)}</f>
        <v>Remaining usable capacity until typical range shows zero according to trip data</v>
      </c>
      <c r="AK3" s="87" t="str">
        <f t="array" ref="AK3:AK41">{"Remaining original capacity";if((AJ4:AJ41="")+(F4:F41="")+(AC4:AC41="")+(AD4:AD41="")+(AE4:AE41="")+(AF4:AF41=""),,AJ4:AJ41*1000/vlookup(F4:F41,{Administrative!$L$4:$L$73,Administrative!$Q$4:$Q$73},2,0))}</f>
        <v>Remaining original capacity</v>
      </c>
      <c r="AL3" s="87" t="str">
        <f t="array" ref="AL3:AL41">{"trip based battery capacity calculation explained";if((F4:F41="")+(K4:K41="")+(AC4:AC41="")+(AD4:AD41="")+(AE4:AE41="")+(AF4:AF41="")+(AI4:AI41="")+(AK4:AK41=""),,"("&amp;round(K4:K41,2)&amp;" * "&amp;AE4:AE41&amp;" / "&amp;Round(AI4:AI41,2)&amp;") / "&amp;vlookup(F4:F41,{Administrative!$L$4:$L$73,Administrative!$Q$4:$Q$73},2,0)/1000&amp;" = "&amp;Round(AK4:AK41,4))}</f>
        <v>trip based battery capacity calculation explained</v>
      </c>
      <c r="AM3" s="95" t="str">
        <f t="array" ref="AM3:AM41">{"100% range when the car was new after range mode adjustment";if(AA4:AA41="","",round(AA4:AA41*if(AB4:AB41="off",Administrative!$AD$5,1)))}</f>
        <v>100% range when the car was new after range mode adjustment</v>
      </c>
      <c r="AN3" s="97" t="str">
        <f t="array" ref="AN3:AN41">{"Vehicle age (days)";if((E4:E41="")+(D4:D41=""),,E4:E41-D4:D41+1)}</f>
        <v>Vehicle age (days)</v>
      </c>
      <c r="AO3" s="98" t="str">
        <f t="array" ref="AO3:AO41">{"Cycles";if((O4:O41="")+(Q4:Q41=""),,round(((O4:O41*Q4:Q41)+(Administrative!$AE$5*P4:P41))/((1+S4:S41)/2*vlookup(F4:F41,{Administrative!$L$4:$L$73,Administrative!$Q$4:$Q$73},2,0)),2))}</f>
        <v>Cycles</v>
      </c>
      <c r="AP3" s="87" t="str">
        <f t="array" ref="AP3:AP41">{"Mileage in km";if(O4:O41="",,round(CONVERT(O4:O41,"mi","km")))}</f>
        <v>Mileage in km</v>
      </c>
      <c r="AQ3" s="90" t="str">
        <f t="array" ref="AQ3:AQ41">{"wh/mi to wh/km";if(Q4:Q41="",,round(Q4:Q41*0.621371192))}</f>
        <v>wh/mi to wh/km</v>
      </c>
      <c r="AR3" s="99" t="str">
        <f t="array" ref="AR3:AR41">{Charts!$E$1;if(S4:S41="",,if(Charts!$E$1=B4:B41,S4:S41,-1))}</f>
        <v/>
      </c>
      <c r="AS3" s="100" t="str">
        <f t="array" ref="AS3:AS41">{"Average capacity of all cars at this mileage according to chart trendline";IF(ISBLANK(AP4:AP41),,Administrative!$AU$27-AP4:AP41/(Administrative!$AU$28*100)+Administrative!$AU$29*exp(-AP4:AP41/Administrative!$AU$30))}</f>
        <v>Average capacity of all cars at this mileage according to chart trendline</v>
      </c>
      <c r="AT3" s="102" t="str">
        <f t="array" ref="AT3:AT41">{"Your capacity minus chart trendline at this mileage";if((S4:S41="")+(AS4:AS41=""),,S4:S41-AS4:AS41)}</f>
        <v>Your capacity minus chart trendline at this mileage</v>
      </c>
      <c r="AU3" s="103" t="str">
        <f t="array" ref="AU3:AU41">{"Dynamic data (copy from here)";if(B4:B41="",,B4:B41&amp;"|"&amp;C4:C41&amp;"|"&amp;TEXT(D4:D41,"dd-mmm-YYYY")&amp;"|"&amp;TEXT(E4:E41,"dd-mmm-YYYY")&amp;"|"&amp;F4:F41&amp;"|"&amp;G4:G41&amp;"|"&amp;I4:I41&amp;"|"&amp;J4:J41&amp;"|"&amp;L4:L41&amp;"|"&amp;M4:M41&amp;"|"&amp;N4:N41&amp;"|"&amp;Q4:Q41&amp;"|"&amp;V4:V41&amp;"|"&amp;W4:W41&amp;"|"&amp;X4:X41&amp;"|"&amp;Y4:Y41&amp;"|"&amp;Z4:Z41&amp;"|"&amp;AA4:AA41&amp;"|"&amp;AB4:AB41&amp;"|"&amp;AC4:AC41&amp;"|"&amp;AD4:AD41&amp;"|"&amp;AE4:AE41&amp;"|"&amp;AF4:AF41&amp;"|"&amp;AG4:AG41)}</f>
        <v>Dynamic data (copy from here)</v>
      </c>
      <c r="AV3" s="104" t="s">
        <v>50</v>
      </c>
      <c r="AW3" s="103" t="str">
        <f t="array" ref="AW3:AW41">{"Mixed data";if(AX4:AX41="New data",AU4:AU41,AV4:AV41)}</f>
        <v>Mixed data</v>
      </c>
      <c r="AX3" s="95" t="str">
        <f t="array" ref="AX3:AX41">{"Data changed or new data?";if(AU4:AU41=AV4:AV41,,if((AU4&lt;&gt;"")*(AV4:AV41=""),"New data","Data changed"))}</f>
        <v>Data changed or new data?</v>
      </c>
      <c r="AY3" s="105" t="s">
        <v>51</v>
      </c>
      <c r="AZ3" s="103" t="str">
        <f>IFERROR(__xludf.DUMMYFUNCTION("{""Dynamic data changes for selected entry"";IFERROR(TRANSPOSE(SPLIT(INDEX(AU4:AY41,MATCH(""Yes"",AY4:AY41,0),1),""|"",True)))}"),"Dynamic data changes for selected entry")</f>
        <v>Dynamic data changes for selected entry</v>
      </c>
      <c r="BA3" s="103" t="str">
        <f>IFERROR(__xludf.DUMMYFUNCTION("{""Static data changes for selected entry"";IFERROR(TRANSPOSE(SPLIT(INDEX(AU4:AY41,MATCH(""Yes"",AY4:AY41,0),2),""|"",True)))}"),"Static data changes for selected entry")</f>
        <v>Static data changes for selected entry</v>
      </c>
      <c r="BB3" s="106" t="s">
        <v>52</v>
      </c>
      <c r="BC3" s="81"/>
      <c r="BD3" s="81"/>
      <c r="BE3" s="81"/>
      <c r="BF3" s="81"/>
    </row>
    <row r="4">
      <c r="A4" s="79">
        <v>1.0</v>
      </c>
      <c r="B4" s="108" t="s">
        <v>636</v>
      </c>
      <c r="C4" s="115" t="s">
        <v>638</v>
      </c>
      <c r="D4" s="110">
        <v>42184.0</v>
      </c>
      <c r="E4" s="110">
        <v>42229.0</v>
      </c>
      <c r="F4" s="107" t="s">
        <v>59</v>
      </c>
      <c r="G4" s="113">
        <v>2800.0</v>
      </c>
      <c r="H4" s="114">
        <v>60.9</v>
      </c>
      <c r="I4" s="119">
        <v>246.0</v>
      </c>
      <c r="J4" s="122" t="s">
        <v>62</v>
      </c>
      <c r="K4" s="121">
        <v>246.0</v>
      </c>
      <c r="L4" s="119" t="s">
        <v>63</v>
      </c>
      <c r="M4" s="119"/>
      <c r="N4" s="119"/>
      <c r="O4" s="124">
        <v>2800.0</v>
      </c>
      <c r="P4" s="124">
        <v>46.0</v>
      </c>
      <c r="Q4" s="231">
        <v>323.0</v>
      </c>
      <c r="R4" s="125">
        <v>248.0</v>
      </c>
      <c r="S4" s="126">
        <v>0.9919</v>
      </c>
      <c r="T4" s="127">
        <v>76872.25</v>
      </c>
      <c r="U4" s="129">
        <f t="shared" ref="U4:U41" si="1">IF(isblank(B4),,COUNTBLANK(B4:E4,F4:G4,I4:J4,L4:N4,Q4)-If(L4="No",2,0))
</f>
        <v>0</v>
      </c>
      <c r="V4" s="107" t="s">
        <v>65</v>
      </c>
      <c r="W4" s="107" t="s">
        <v>64</v>
      </c>
      <c r="X4" s="107" t="s">
        <v>66</v>
      </c>
      <c r="Y4" s="131">
        <v>0.8</v>
      </c>
      <c r="Z4" s="232"/>
      <c r="AA4" s="111">
        <v>246.0</v>
      </c>
      <c r="AB4" s="111" t="s">
        <v>62</v>
      </c>
      <c r="AC4" s="171"/>
      <c r="AD4" s="171"/>
      <c r="AE4" s="171"/>
      <c r="AF4" s="122"/>
      <c r="AG4" s="134" t="s">
        <v>646</v>
      </c>
      <c r="AH4" s="73"/>
      <c r="AI4" s="135"/>
      <c r="AJ4" s="136"/>
      <c r="AK4" s="76"/>
      <c r="AL4" s="135"/>
      <c r="AM4" s="139">
        <v>246.0</v>
      </c>
      <c r="AN4" s="139">
        <v>46.0</v>
      </c>
      <c r="AO4" s="154">
        <v>11.72</v>
      </c>
      <c r="AP4" s="233">
        <v>4506.0</v>
      </c>
      <c r="AQ4" s="233">
        <v>201.0</v>
      </c>
      <c r="AR4" s="158">
        <v>-1.0</v>
      </c>
      <c r="AS4" s="161">
        <v>0.9916821126885109</v>
      </c>
      <c r="AT4" s="161">
        <v>2.1788731148908447E-4</v>
      </c>
      <c r="AU4" s="146" t="s">
        <v>648</v>
      </c>
      <c r="AV4" s="146" t="s">
        <v>648</v>
      </c>
      <c r="AW4" s="166" t="s">
        <v>648</v>
      </c>
      <c r="AX4" s="151"/>
      <c r="AY4" s="168"/>
      <c r="AZ4" s="153"/>
      <c r="BA4" s="153"/>
      <c r="BB4" s="163"/>
      <c r="BC4" s="169"/>
      <c r="BD4" s="169"/>
      <c r="BE4" s="169"/>
      <c r="BF4" s="169"/>
    </row>
    <row r="5">
      <c r="A5" s="79">
        <v>2.0</v>
      </c>
      <c r="B5" s="108" t="s">
        <v>651</v>
      </c>
      <c r="C5" s="115" t="s">
        <v>638</v>
      </c>
      <c r="D5" s="110">
        <v>41780.0</v>
      </c>
      <c r="E5" s="110">
        <v>42300.0</v>
      </c>
      <c r="F5" s="107" t="s">
        <v>109</v>
      </c>
      <c r="G5" s="113">
        <v>10500.0</v>
      </c>
      <c r="H5" s="114">
        <v>20.2</v>
      </c>
      <c r="I5" s="119">
        <v>180.0</v>
      </c>
      <c r="J5" s="122" t="s">
        <v>62</v>
      </c>
      <c r="K5" s="121">
        <v>180.0</v>
      </c>
      <c r="L5" s="119" t="s">
        <v>63</v>
      </c>
      <c r="M5" s="119"/>
      <c r="N5" s="119"/>
      <c r="O5" s="124">
        <v>10500.0</v>
      </c>
      <c r="P5" s="124">
        <v>521.0</v>
      </c>
      <c r="Q5" s="231">
        <v>353.0</v>
      </c>
      <c r="R5" s="125">
        <v>180.0</v>
      </c>
      <c r="S5" s="126">
        <v>1.0</v>
      </c>
      <c r="T5" s="127">
        <v>58500.0</v>
      </c>
      <c r="U5" s="129">
        <f t="shared" si="1"/>
        <v>0</v>
      </c>
      <c r="V5" s="107" t="s">
        <v>66</v>
      </c>
      <c r="W5" s="107" t="s">
        <v>69</v>
      </c>
      <c r="X5" s="107" t="s">
        <v>66</v>
      </c>
      <c r="Y5" s="131">
        <v>0.7</v>
      </c>
      <c r="Z5" s="232"/>
      <c r="AA5" s="111">
        <v>240.0</v>
      </c>
      <c r="AB5" s="133"/>
      <c r="AC5" s="171"/>
      <c r="AD5" s="171"/>
      <c r="AE5" s="171"/>
      <c r="AF5" s="122"/>
      <c r="AG5" s="134" t="s">
        <v>654</v>
      </c>
      <c r="AH5" s="73"/>
      <c r="AI5" s="135"/>
      <c r="AJ5" s="136"/>
      <c r="AK5" s="76"/>
      <c r="AL5" s="135"/>
      <c r="AM5" s="139">
        <v>240.0</v>
      </c>
      <c r="AN5" s="139">
        <v>521.0</v>
      </c>
      <c r="AO5" s="154">
        <v>63.39</v>
      </c>
      <c r="AP5" s="233">
        <v>16898.0</v>
      </c>
      <c r="AQ5" s="233">
        <v>219.0</v>
      </c>
      <c r="AR5" s="158">
        <v>-1.0</v>
      </c>
      <c r="AS5" s="161">
        <v>0.9755151563834769</v>
      </c>
      <c r="AT5" s="161">
        <v>0.024484843616523144</v>
      </c>
      <c r="AU5" s="146" t="s">
        <v>655</v>
      </c>
      <c r="AV5" s="172" t="s">
        <v>655</v>
      </c>
      <c r="AW5" s="166" t="s">
        <v>655</v>
      </c>
      <c r="AX5" s="151"/>
      <c r="AY5" s="168"/>
      <c r="AZ5" s="173"/>
      <c r="BA5" s="173"/>
      <c r="BB5" s="163"/>
      <c r="BC5" s="169"/>
      <c r="BD5" s="169"/>
      <c r="BE5" s="169"/>
      <c r="BF5" s="169"/>
    </row>
    <row r="6">
      <c r="A6" s="79">
        <v>3.0</v>
      </c>
      <c r="B6" s="108" t="s">
        <v>657</v>
      </c>
      <c r="C6" s="115" t="s">
        <v>638</v>
      </c>
      <c r="D6" s="110">
        <v>42289.0</v>
      </c>
      <c r="E6" s="110">
        <v>42676.0</v>
      </c>
      <c r="F6" s="107" t="s">
        <v>86</v>
      </c>
      <c r="G6" s="113">
        <v>34653.0</v>
      </c>
      <c r="H6" s="114">
        <v>89.3</v>
      </c>
      <c r="I6" s="119">
        <v>256.0</v>
      </c>
      <c r="J6" s="122" t="s">
        <v>61</v>
      </c>
      <c r="K6" s="121">
        <v>259.24</v>
      </c>
      <c r="L6" s="119" t="s">
        <v>63</v>
      </c>
      <c r="M6" s="119"/>
      <c r="N6" s="119"/>
      <c r="O6" s="124">
        <v>34653.0</v>
      </c>
      <c r="P6" s="124">
        <v>388.0</v>
      </c>
      <c r="Q6" s="231">
        <v>345.0</v>
      </c>
      <c r="R6" s="125">
        <v>267.0</v>
      </c>
      <c r="S6" s="126">
        <v>0.9709</v>
      </c>
      <c r="T6" s="127">
        <v>75244.75</v>
      </c>
      <c r="U6" s="129">
        <f t="shared" si="1"/>
        <v>0</v>
      </c>
      <c r="V6" s="107" t="s">
        <v>127</v>
      </c>
      <c r="W6" s="107" t="s">
        <v>64</v>
      </c>
      <c r="X6" s="107" t="s">
        <v>69</v>
      </c>
      <c r="Y6" s="131">
        <v>0.9</v>
      </c>
      <c r="Z6" s="232"/>
      <c r="AA6" s="133"/>
      <c r="AB6" s="133"/>
      <c r="AC6" s="171"/>
      <c r="AD6" s="171"/>
      <c r="AE6" s="171"/>
      <c r="AF6" s="122"/>
      <c r="AG6" s="134" t="s">
        <v>660</v>
      </c>
      <c r="AH6" s="73"/>
      <c r="AI6" s="135"/>
      <c r="AJ6" s="136"/>
      <c r="AK6" s="76"/>
      <c r="AL6" s="135"/>
      <c r="AM6" s="139" t="s">
        <v>71</v>
      </c>
      <c r="AN6" s="139">
        <v>388.0</v>
      </c>
      <c r="AO6" s="154">
        <v>156.56</v>
      </c>
      <c r="AP6" s="233">
        <v>55769.0</v>
      </c>
      <c r="AQ6" s="233">
        <v>214.0</v>
      </c>
      <c r="AR6" s="158">
        <v>-1.0</v>
      </c>
      <c r="AS6" s="161">
        <v>0.9543847037257589</v>
      </c>
      <c r="AT6" s="161">
        <v>0.016515296274241087</v>
      </c>
      <c r="AU6" s="146" t="s">
        <v>662</v>
      </c>
      <c r="AV6" s="146" t="s">
        <v>662</v>
      </c>
      <c r="AW6" s="166" t="s">
        <v>662</v>
      </c>
      <c r="AX6" s="151"/>
      <c r="AY6" s="168"/>
      <c r="AZ6" s="178"/>
      <c r="BA6" s="178"/>
      <c r="BB6" s="184"/>
      <c r="BC6" s="169"/>
      <c r="BD6" s="169"/>
      <c r="BE6" s="169"/>
      <c r="BF6" s="169"/>
    </row>
    <row r="7">
      <c r="A7" s="79">
        <v>4.0</v>
      </c>
      <c r="B7" s="108" t="s">
        <v>663</v>
      </c>
      <c r="C7" s="115" t="s">
        <v>638</v>
      </c>
      <c r="D7" s="110">
        <v>42138.0</v>
      </c>
      <c r="E7" s="110">
        <v>42694.0</v>
      </c>
      <c r="F7" s="107" t="s">
        <v>59</v>
      </c>
      <c r="G7" s="113">
        <v>45959.0</v>
      </c>
      <c r="H7" s="114">
        <v>82.5</v>
      </c>
      <c r="I7" s="119">
        <v>231.0</v>
      </c>
      <c r="J7" s="122" t="s">
        <v>61</v>
      </c>
      <c r="K7" s="121">
        <v>233.92</v>
      </c>
      <c r="L7" s="119" t="s">
        <v>63</v>
      </c>
      <c r="M7" s="119"/>
      <c r="N7" s="119"/>
      <c r="O7" s="124">
        <v>45959.0</v>
      </c>
      <c r="P7" s="124">
        <v>557.0</v>
      </c>
      <c r="Q7" s="231">
        <v>379.0</v>
      </c>
      <c r="R7" s="125">
        <v>248.0</v>
      </c>
      <c r="S7" s="126">
        <v>0.9432</v>
      </c>
      <c r="T7" s="127">
        <v>73098.0</v>
      </c>
      <c r="U7" s="129">
        <f t="shared" si="1"/>
        <v>0</v>
      </c>
      <c r="V7" s="107" t="s">
        <v>67</v>
      </c>
      <c r="W7" s="107" t="s">
        <v>66</v>
      </c>
      <c r="X7" s="107" t="s">
        <v>68</v>
      </c>
      <c r="Y7" s="131">
        <v>0.7</v>
      </c>
      <c r="Z7" s="232"/>
      <c r="AA7" s="133"/>
      <c r="AB7" s="133"/>
      <c r="AC7" s="171"/>
      <c r="AD7" s="171"/>
      <c r="AE7" s="171"/>
      <c r="AF7" s="122"/>
      <c r="AG7" s="147"/>
      <c r="AH7" s="73"/>
      <c r="AI7" s="135"/>
      <c r="AJ7" s="136"/>
      <c r="AK7" s="76"/>
      <c r="AL7" s="135"/>
      <c r="AM7" s="139" t="s">
        <v>71</v>
      </c>
      <c r="AN7" s="139">
        <v>557.0</v>
      </c>
      <c r="AO7" s="154">
        <v>231.35</v>
      </c>
      <c r="AP7" s="233">
        <v>73964.0</v>
      </c>
      <c r="AQ7" s="233">
        <v>235.0</v>
      </c>
      <c r="AR7" s="158">
        <v>-1.0</v>
      </c>
      <c r="AS7" s="161">
        <v>0.9498904581332163</v>
      </c>
      <c r="AT7" s="161">
        <v>-0.006690458133216226</v>
      </c>
      <c r="AU7" s="146" t="s">
        <v>665</v>
      </c>
      <c r="AV7" s="146" t="s">
        <v>665</v>
      </c>
      <c r="AW7" s="166" t="s">
        <v>665</v>
      </c>
      <c r="AX7" s="151"/>
      <c r="AY7" s="168"/>
      <c r="AZ7" s="178"/>
      <c r="BA7" s="178"/>
      <c r="BB7" s="184"/>
      <c r="BC7" s="169"/>
      <c r="BD7" s="169"/>
      <c r="BE7" s="169"/>
      <c r="BF7" s="169"/>
    </row>
    <row r="8">
      <c r="A8" s="79">
        <v>5.0</v>
      </c>
      <c r="B8" s="108" t="s">
        <v>667</v>
      </c>
      <c r="C8" s="115" t="s">
        <v>638</v>
      </c>
      <c r="D8" s="110">
        <v>42065.0</v>
      </c>
      <c r="E8" s="110">
        <v>42718.0</v>
      </c>
      <c r="F8" s="107" t="s">
        <v>59</v>
      </c>
      <c r="G8" s="113">
        <v>37895.0</v>
      </c>
      <c r="H8" s="114">
        <v>57.9</v>
      </c>
      <c r="I8" s="119">
        <v>238.0</v>
      </c>
      <c r="J8" s="122" t="s">
        <v>62</v>
      </c>
      <c r="K8" s="121">
        <v>238.0</v>
      </c>
      <c r="L8" s="119" t="s">
        <v>63</v>
      </c>
      <c r="M8" s="119"/>
      <c r="N8" s="119"/>
      <c r="O8" s="124">
        <v>37895.0</v>
      </c>
      <c r="P8" s="124">
        <v>654.0</v>
      </c>
      <c r="Q8" s="231">
        <v>358.0</v>
      </c>
      <c r="R8" s="125">
        <v>248.0</v>
      </c>
      <c r="S8" s="126">
        <v>0.9597</v>
      </c>
      <c r="T8" s="127">
        <v>74376.75</v>
      </c>
      <c r="U8" s="129">
        <f t="shared" si="1"/>
        <v>0</v>
      </c>
      <c r="V8" s="107" t="s">
        <v>69</v>
      </c>
      <c r="W8" s="107" t="s">
        <v>64</v>
      </c>
      <c r="X8" s="107" t="s">
        <v>68</v>
      </c>
      <c r="Y8" s="131">
        <v>0.8</v>
      </c>
      <c r="Z8" s="232"/>
      <c r="AA8" s="133"/>
      <c r="AB8" s="133"/>
      <c r="AC8" s="171"/>
      <c r="AD8" s="171"/>
      <c r="AE8" s="171"/>
      <c r="AF8" s="122"/>
      <c r="AG8" s="147"/>
      <c r="AH8" s="73"/>
      <c r="AI8" s="135"/>
      <c r="AJ8" s="136"/>
      <c r="AK8" s="76"/>
      <c r="AL8" s="135"/>
      <c r="AM8" s="139" t="s">
        <v>71</v>
      </c>
      <c r="AN8" s="139">
        <v>654.0</v>
      </c>
      <c r="AO8" s="154">
        <v>178.68</v>
      </c>
      <c r="AP8" s="233">
        <v>60986.0</v>
      </c>
      <c r="AQ8" s="233">
        <v>222.0</v>
      </c>
      <c r="AR8" s="158">
        <v>-1.0</v>
      </c>
      <c r="AS8" s="161">
        <v>0.9529443894947364</v>
      </c>
      <c r="AT8" s="161">
        <v>0.006755610505263632</v>
      </c>
      <c r="AU8" s="146" t="s">
        <v>671</v>
      </c>
      <c r="AV8" s="146" t="s">
        <v>671</v>
      </c>
      <c r="AW8" s="166" t="s">
        <v>671</v>
      </c>
      <c r="AX8" s="151"/>
      <c r="AY8" s="168"/>
      <c r="AZ8" s="173"/>
      <c r="BA8" s="173"/>
      <c r="BB8" s="184"/>
      <c r="BC8" s="169"/>
      <c r="BD8" s="169"/>
      <c r="BE8" s="169"/>
      <c r="BF8" s="169"/>
    </row>
    <row r="9">
      <c r="A9" s="79">
        <v>6.0</v>
      </c>
      <c r="B9" s="108" t="s">
        <v>672</v>
      </c>
      <c r="C9" s="115" t="s">
        <v>638</v>
      </c>
      <c r="D9" s="110">
        <v>42541.0</v>
      </c>
      <c r="E9" s="110">
        <v>42728.0</v>
      </c>
      <c r="F9" s="107" t="s">
        <v>59</v>
      </c>
      <c r="G9" s="113">
        <v>16800.0</v>
      </c>
      <c r="H9" s="114">
        <v>89.4</v>
      </c>
      <c r="I9" s="119">
        <v>242.0</v>
      </c>
      <c r="J9" s="122" t="s">
        <v>61</v>
      </c>
      <c r="K9" s="121">
        <v>245.06</v>
      </c>
      <c r="L9" s="119" t="s">
        <v>63</v>
      </c>
      <c r="M9" s="119"/>
      <c r="N9" s="119"/>
      <c r="O9" s="124">
        <v>16800.0</v>
      </c>
      <c r="P9" s="124">
        <v>188.0</v>
      </c>
      <c r="Q9" s="231">
        <v>318.0</v>
      </c>
      <c r="R9" s="125">
        <v>248.0</v>
      </c>
      <c r="S9" s="126">
        <v>0.9881</v>
      </c>
      <c r="T9" s="127">
        <v>76577.75</v>
      </c>
      <c r="U9" s="129">
        <f t="shared" si="1"/>
        <v>0</v>
      </c>
      <c r="V9" s="107" t="s">
        <v>64</v>
      </c>
      <c r="W9" s="107" t="s">
        <v>69</v>
      </c>
      <c r="X9" s="107" t="s">
        <v>68</v>
      </c>
      <c r="Y9" s="131">
        <v>0.9</v>
      </c>
      <c r="Z9" s="232"/>
      <c r="AA9" s="133"/>
      <c r="AB9" s="133"/>
      <c r="AC9" s="171"/>
      <c r="AD9" s="171"/>
      <c r="AE9" s="171"/>
      <c r="AF9" s="122"/>
      <c r="AG9" s="147"/>
      <c r="AH9" s="73"/>
      <c r="AI9" s="135"/>
      <c r="AJ9" s="136"/>
      <c r="AK9" s="76"/>
      <c r="AL9" s="135"/>
      <c r="AM9" s="139" t="s">
        <v>71</v>
      </c>
      <c r="AN9" s="139">
        <v>188.0</v>
      </c>
      <c r="AO9" s="154">
        <v>69.35</v>
      </c>
      <c r="AP9" s="233">
        <v>27037.0</v>
      </c>
      <c r="AQ9" s="233">
        <v>198.0</v>
      </c>
      <c r="AR9" s="158">
        <v>-1.0</v>
      </c>
      <c r="AS9" s="161">
        <v>0.9671188013687543</v>
      </c>
      <c r="AT9" s="161">
        <v>0.0209811986312457</v>
      </c>
      <c r="AU9" s="146" t="s">
        <v>677</v>
      </c>
      <c r="AV9" s="146" t="s">
        <v>677</v>
      </c>
      <c r="AW9" s="166" t="s">
        <v>677</v>
      </c>
      <c r="AX9" s="151"/>
      <c r="AY9" s="168"/>
      <c r="AZ9" s="173"/>
      <c r="BA9" s="173"/>
      <c r="BB9" s="184"/>
      <c r="BC9" s="169"/>
      <c r="BD9" s="169"/>
      <c r="BE9" s="169"/>
      <c r="BF9" s="169"/>
    </row>
    <row r="10">
      <c r="A10" s="79">
        <v>7.0</v>
      </c>
      <c r="B10" s="108" t="s">
        <v>681</v>
      </c>
      <c r="C10" s="115" t="s">
        <v>638</v>
      </c>
      <c r="D10" s="110">
        <v>42375.0</v>
      </c>
      <c r="E10" s="110">
        <v>42850.0</v>
      </c>
      <c r="F10" s="107" t="s">
        <v>86</v>
      </c>
      <c r="G10" s="113">
        <v>49129.0</v>
      </c>
      <c r="H10" s="114">
        <v>103.2</v>
      </c>
      <c r="I10" s="119">
        <v>266.0</v>
      </c>
      <c r="J10" s="122" t="s">
        <v>61</v>
      </c>
      <c r="K10" s="121">
        <v>269.37</v>
      </c>
      <c r="L10" s="119" t="s">
        <v>63</v>
      </c>
      <c r="M10" s="119"/>
      <c r="N10" s="119"/>
      <c r="O10" s="124">
        <v>49129.0</v>
      </c>
      <c r="P10" s="124">
        <v>476.0</v>
      </c>
      <c r="Q10" s="231">
        <v>320.0</v>
      </c>
      <c r="R10" s="125">
        <v>267.0</v>
      </c>
      <c r="S10" s="126">
        <v>1.0089</v>
      </c>
      <c r="T10" s="127">
        <v>78189.75</v>
      </c>
      <c r="U10" s="129">
        <f t="shared" si="1"/>
        <v>0</v>
      </c>
      <c r="V10" s="107" t="s">
        <v>67</v>
      </c>
      <c r="W10" s="107" t="s">
        <v>68</v>
      </c>
      <c r="X10" s="107" t="s">
        <v>68</v>
      </c>
      <c r="Y10" s="131">
        <v>0.8</v>
      </c>
      <c r="Z10" s="232"/>
      <c r="AA10" s="133"/>
      <c r="AB10" s="133"/>
      <c r="AC10" s="171"/>
      <c r="AD10" s="171"/>
      <c r="AE10" s="171"/>
      <c r="AF10" s="122"/>
      <c r="AG10" s="147"/>
      <c r="AH10" s="73"/>
      <c r="AI10" s="135"/>
      <c r="AJ10" s="136"/>
      <c r="AK10" s="76"/>
      <c r="AL10" s="135"/>
      <c r="AM10" s="139" t="s">
        <v>71</v>
      </c>
      <c r="AN10" s="139">
        <v>476.0</v>
      </c>
      <c r="AO10" s="154">
        <v>201.98</v>
      </c>
      <c r="AP10" s="233">
        <v>79065.0</v>
      </c>
      <c r="AQ10" s="233">
        <v>199.0</v>
      </c>
      <c r="AR10" s="158">
        <v>-1.0</v>
      </c>
      <c r="AS10" s="161">
        <v>0.9488334391271193</v>
      </c>
      <c r="AT10" s="161">
        <v>0.06006656087288065</v>
      </c>
      <c r="AU10" s="146" t="s">
        <v>684</v>
      </c>
      <c r="AV10" s="234" t="s">
        <v>684</v>
      </c>
      <c r="AW10" s="166" t="s">
        <v>684</v>
      </c>
      <c r="AX10" s="151"/>
      <c r="AY10" s="168"/>
      <c r="AZ10" s="173"/>
      <c r="BA10" s="173"/>
      <c r="BB10" s="184"/>
      <c r="BC10" s="169"/>
      <c r="BD10" s="169"/>
      <c r="BE10" s="169"/>
      <c r="BF10" s="169"/>
    </row>
    <row r="11">
      <c r="A11" s="79">
        <v>8.0</v>
      </c>
      <c r="B11" s="108" t="s">
        <v>686</v>
      </c>
      <c r="C11" s="115" t="s">
        <v>638</v>
      </c>
      <c r="D11" s="110">
        <v>42003.0</v>
      </c>
      <c r="E11" s="110">
        <v>42842.0</v>
      </c>
      <c r="F11" s="107" t="s">
        <v>59</v>
      </c>
      <c r="G11" s="113">
        <v>49900.0</v>
      </c>
      <c r="H11" s="114">
        <v>59.4</v>
      </c>
      <c r="I11" s="119">
        <v>239.0</v>
      </c>
      <c r="J11" s="122" t="s">
        <v>62</v>
      </c>
      <c r="K11" s="121">
        <v>239.0</v>
      </c>
      <c r="L11" s="119" t="s">
        <v>63</v>
      </c>
      <c r="M11" s="119"/>
      <c r="N11" s="119"/>
      <c r="O11" s="124">
        <v>49900.0</v>
      </c>
      <c r="P11" s="124">
        <v>840.0</v>
      </c>
      <c r="Q11" s="231">
        <v>323.0</v>
      </c>
      <c r="R11" s="125">
        <v>248.0</v>
      </c>
      <c r="S11" s="126">
        <v>0.9637</v>
      </c>
      <c r="T11" s="127">
        <v>74686.75</v>
      </c>
      <c r="U11" s="129">
        <f t="shared" si="1"/>
        <v>0</v>
      </c>
      <c r="V11" s="107" t="s">
        <v>64</v>
      </c>
      <c r="W11" s="107" t="s">
        <v>69</v>
      </c>
      <c r="X11" s="107" t="s">
        <v>68</v>
      </c>
      <c r="Y11" s="131">
        <v>0.8</v>
      </c>
      <c r="Z11" s="235">
        <v>7.0</v>
      </c>
      <c r="AA11" s="111">
        <v>247.0</v>
      </c>
      <c r="AB11" s="111" t="s">
        <v>62</v>
      </c>
      <c r="AC11" s="171"/>
      <c r="AD11" s="171"/>
      <c r="AE11" s="171"/>
      <c r="AF11" s="122"/>
      <c r="AG11" s="147"/>
      <c r="AH11" s="73"/>
      <c r="AI11" s="135"/>
      <c r="AJ11" s="136"/>
      <c r="AK11" s="76"/>
      <c r="AL11" s="135"/>
      <c r="AM11" s="139">
        <v>247.0</v>
      </c>
      <c r="AN11" s="139">
        <v>840.0</v>
      </c>
      <c r="AO11" s="154">
        <v>211.85</v>
      </c>
      <c r="AP11" s="233">
        <v>80306.0</v>
      </c>
      <c r="AQ11" s="233">
        <v>201.0</v>
      </c>
      <c r="AR11" s="158">
        <v>-1.0</v>
      </c>
      <c r="AS11" s="161">
        <v>0.9485851807244777</v>
      </c>
      <c r="AT11" s="161">
        <v>0.015114819275522273</v>
      </c>
      <c r="AU11" s="146" t="s">
        <v>693</v>
      </c>
      <c r="AV11" s="234" t="s">
        <v>693</v>
      </c>
      <c r="AW11" s="166" t="s">
        <v>693</v>
      </c>
      <c r="AX11" s="151"/>
      <c r="AY11" s="168"/>
      <c r="AZ11" s="173"/>
      <c r="BA11" s="173"/>
      <c r="BB11" s="184"/>
      <c r="BC11" s="169"/>
      <c r="BD11" s="169"/>
      <c r="BE11" s="169"/>
      <c r="BF11" s="169"/>
    </row>
    <row r="12">
      <c r="A12" s="79">
        <v>9.0</v>
      </c>
      <c r="B12" s="108" t="s">
        <v>694</v>
      </c>
      <c r="C12" s="115" t="s">
        <v>638</v>
      </c>
      <c r="D12" s="110">
        <v>42811.0</v>
      </c>
      <c r="E12" s="110">
        <v>42847.0</v>
      </c>
      <c r="F12" s="107" t="s">
        <v>250</v>
      </c>
      <c r="G12" s="113">
        <v>2271.0</v>
      </c>
      <c r="H12" s="114">
        <v>61.4</v>
      </c>
      <c r="I12" s="119">
        <v>205.0</v>
      </c>
      <c r="J12" s="122" t="s">
        <v>61</v>
      </c>
      <c r="K12" s="121">
        <v>207.59</v>
      </c>
      <c r="L12" s="119" t="s">
        <v>63</v>
      </c>
      <c r="M12" s="119"/>
      <c r="N12" s="119"/>
      <c r="O12" s="124">
        <v>2271.0</v>
      </c>
      <c r="P12" s="124">
        <v>37.0</v>
      </c>
      <c r="Q12" s="236"/>
      <c r="R12" s="125">
        <v>207.0</v>
      </c>
      <c r="S12" s="126">
        <v>1.0029</v>
      </c>
      <c r="T12" s="127">
        <v>58669.649999999994</v>
      </c>
      <c r="U12" s="129">
        <f t="shared" si="1"/>
        <v>1</v>
      </c>
      <c r="V12" s="170"/>
      <c r="W12" s="170"/>
      <c r="X12" s="170"/>
      <c r="Y12" s="131"/>
      <c r="Z12" s="232"/>
      <c r="AA12" s="133"/>
      <c r="AB12" s="133"/>
      <c r="AC12" s="171"/>
      <c r="AD12" s="171"/>
      <c r="AE12" s="171"/>
      <c r="AF12" s="122"/>
      <c r="AG12" s="147"/>
      <c r="AH12" s="73"/>
      <c r="AI12" s="135"/>
      <c r="AJ12" s="136"/>
      <c r="AK12" s="76"/>
      <c r="AL12" s="135"/>
      <c r="AM12" s="139" t="s">
        <v>71</v>
      </c>
      <c r="AN12" s="139">
        <v>37.0</v>
      </c>
      <c r="AO12" s="154"/>
      <c r="AP12" s="233">
        <v>3655.0</v>
      </c>
      <c r="AQ12" s="233"/>
      <c r="AR12" s="158">
        <v>-1.0</v>
      </c>
      <c r="AS12" s="161">
        <v>0.993131874030774</v>
      </c>
      <c r="AT12" s="161">
        <v>0.009768125969225938</v>
      </c>
      <c r="AU12" s="146" t="s">
        <v>698</v>
      </c>
      <c r="AV12" s="234" t="s">
        <v>698</v>
      </c>
      <c r="AW12" s="166" t="s">
        <v>698</v>
      </c>
      <c r="AX12" s="151"/>
      <c r="AY12" s="168"/>
      <c r="AZ12" s="173"/>
      <c r="BA12" s="173"/>
      <c r="BB12" s="184"/>
      <c r="BC12" s="169"/>
      <c r="BD12" s="169"/>
      <c r="BE12" s="169"/>
      <c r="BF12" s="169"/>
    </row>
    <row r="13">
      <c r="A13" s="79">
        <v>10.0</v>
      </c>
      <c r="B13" s="108" t="s">
        <v>699</v>
      </c>
      <c r="C13" s="115" t="s">
        <v>638</v>
      </c>
      <c r="D13" s="110"/>
      <c r="E13" s="110">
        <v>42965.0</v>
      </c>
      <c r="F13" s="107" t="s">
        <v>675</v>
      </c>
      <c r="G13" s="113">
        <v>3000.0</v>
      </c>
      <c r="H13" s="114"/>
      <c r="I13" s="119">
        <v>238.7</v>
      </c>
      <c r="J13" s="122" t="s">
        <v>62</v>
      </c>
      <c r="K13" s="121">
        <v>238.7</v>
      </c>
      <c r="L13" s="119" t="s">
        <v>63</v>
      </c>
      <c r="M13" s="119"/>
      <c r="N13" s="119"/>
      <c r="O13" s="124">
        <v>3000.0</v>
      </c>
      <c r="P13" s="124"/>
      <c r="Q13" s="231">
        <v>305.0</v>
      </c>
      <c r="R13" s="125">
        <v>241.0</v>
      </c>
      <c r="S13" s="126">
        <v>0.9905</v>
      </c>
      <c r="T13" s="127">
        <v>71910.3</v>
      </c>
      <c r="U13" s="129">
        <f t="shared" si="1"/>
        <v>1</v>
      </c>
      <c r="V13" s="170"/>
      <c r="W13" s="170"/>
      <c r="X13" s="170"/>
      <c r="Y13" s="131"/>
      <c r="Z13" s="232"/>
      <c r="AA13" s="133"/>
      <c r="AB13" s="133"/>
      <c r="AC13" s="171"/>
      <c r="AD13" s="171"/>
      <c r="AE13" s="171"/>
      <c r="AF13" s="122"/>
      <c r="AG13" s="147"/>
      <c r="AH13" s="73"/>
      <c r="AI13" s="135"/>
      <c r="AJ13" s="136"/>
      <c r="AK13" s="76"/>
      <c r="AL13" s="135"/>
      <c r="AM13" s="139" t="s">
        <v>71</v>
      </c>
      <c r="AN13" s="139"/>
      <c r="AO13" s="154">
        <v>12.66</v>
      </c>
      <c r="AP13" s="233">
        <v>4828.0</v>
      </c>
      <c r="AQ13" s="233">
        <v>190.0</v>
      </c>
      <c r="AR13" s="158">
        <v>-1.0</v>
      </c>
      <c r="AS13" s="161">
        <v>0.9911471767366185</v>
      </c>
      <c r="AT13" s="161">
        <v>-6.471767366184045E-4</v>
      </c>
      <c r="AU13" s="146" t="s">
        <v>704</v>
      </c>
      <c r="AV13" s="146" t="s">
        <v>704</v>
      </c>
      <c r="AW13" s="166" t="s">
        <v>704</v>
      </c>
      <c r="AX13" s="151"/>
      <c r="AY13" s="168"/>
      <c r="AZ13" s="173"/>
      <c r="BA13" s="173"/>
      <c r="BB13" s="184"/>
      <c r="BC13" s="169"/>
      <c r="BD13" s="169"/>
      <c r="BE13" s="169"/>
      <c r="BF13" s="169"/>
    </row>
    <row r="14">
      <c r="A14" s="79">
        <v>11.0</v>
      </c>
      <c r="B14" s="108" t="s">
        <v>705</v>
      </c>
      <c r="C14" s="115" t="s">
        <v>638</v>
      </c>
      <c r="D14" s="110">
        <v>42064.0</v>
      </c>
      <c r="E14" s="110">
        <v>43012.0</v>
      </c>
      <c r="F14" s="107" t="s">
        <v>59</v>
      </c>
      <c r="G14" s="113">
        <v>58633.0</v>
      </c>
      <c r="H14" s="114">
        <v>61.8</v>
      </c>
      <c r="I14" s="119">
        <v>241.0</v>
      </c>
      <c r="J14" s="122" t="s">
        <v>62</v>
      </c>
      <c r="K14" s="121">
        <v>241.0</v>
      </c>
      <c r="L14" s="119" t="s">
        <v>63</v>
      </c>
      <c r="M14" s="119"/>
      <c r="N14" s="119"/>
      <c r="O14" s="124">
        <v>58633.0</v>
      </c>
      <c r="P14" s="124">
        <v>949.0</v>
      </c>
      <c r="Q14" s="231">
        <v>355.0</v>
      </c>
      <c r="R14" s="125">
        <v>248.0</v>
      </c>
      <c r="S14" s="126">
        <v>0.9718</v>
      </c>
      <c r="T14" s="127">
        <v>75314.5</v>
      </c>
      <c r="U14" s="129">
        <f t="shared" si="1"/>
        <v>0</v>
      </c>
      <c r="V14" s="107" t="s">
        <v>64</v>
      </c>
      <c r="W14" s="107" t="s">
        <v>64</v>
      </c>
      <c r="X14" s="107" t="s">
        <v>66</v>
      </c>
      <c r="Y14" s="131">
        <v>0.8</v>
      </c>
      <c r="Z14" s="235">
        <v>22.0</v>
      </c>
      <c r="AA14" s="111">
        <v>245.0</v>
      </c>
      <c r="AB14" s="133"/>
      <c r="AC14" s="171"/>
      <c r="AD14" s="171"/>
      <c r="AE14" s="171"/>
      <c r="AF14" s="122"/>
      <c r="AG14" s="147"/>
      <c r="AH14" s="73"/>
      <c r="AI14" s="135"/>
      <c r="AJ14" s="136"/>
      <c r="AK14" s="76"/>
      <c r="AL14" s="135"/>
      <c r="AM14" s="139">
        <v>245.0</v>
      </c>
      <c r="AN14" s="139">
        <v>949.0</v>
      </c>
      <c r="AO14" s="154">
        <v>272.46</v>
      </c>
      <c r="AP14" s="233">
        <v>94361.0</v>
      </c>
      <c r="AQ14" s="233">
        <v>221.0</v>
      </c>
      <c r="AR14" s="158">
        <v>-1.0</v>
      </c>
      <c r="AS14" s="161">
        <v>0.9459518343675922</v>
      </c>
      <c r="AT14" s="161">
        <v>0.02584816563240777</v>
      </c>
      <c r="AU14" s="146" t="s">
        <v>707</v>
      </c>
      <c r="AV14" s="146" t="s">
        <v>707</v>
      </c>
      <c r="AW14" s="166" t="s">
        <v>707</v>
      </c>
      <c r="AX14" s="151"/>
      <c r="AY14" s="168"/>
      <c r="AZ14" s="173"/>
      <c r="BA14" s="173"/>
      <c r="BB14" s="184"/>
      <c r="BC14" s="169"/>
      <c r="BD14" s="169"/>
      <c r="BE14" s="169"/>
      <c r="BF14" s="169"/>
    </row>
    <row r="15">
      <c r="A15" s="79">
        <v>12.0</v>
      </c>
      <c r="B15" s="188"/>
      <c r="C15" s="115"/>
      <c r="D15" s="110"/>
      <c r="E15" s="110"/>
      <c r="F15" s="107"/>
      <c r="G15" s="113"/>
      <c r="H15" s="114"/>
      <c r="I15" s="194"/>
      <c r="J15" s="122"/>
      <c r="K15" s="121"/>
      <c r="L15" s="119"/>
      <c r="M15" s="119"/>
      <c r="N15" s="119"/>
      <c r="O15" s="124"/>
      <c r="P15" s="124"/>
      <c r="Q15" s="236"/>
      <c r="R15" s="125"/>
      <c r="S15" s="126"/>
      <c r="T15" s="127"/>
      <c r="U15" s="129" t="str">
        <f t="shared" si="1"/>
        <v/>
      </c>
      <c r="V15" s="170"/>
      <c r="W15" s="170"/>
      <c r="X15" s="170"/>
      <c r="Y15" s="131"/>
      <c r="Z15" s="232"/>
      <c r="AA15" s="133"/>
      <c r="AB15" s="133"/>
      <c r="AC15" s="171"/>
      <c r="AD15" s="171"/>
      <c r="AE15" s="171"/>
      <c r="AF15" s="122"/>
      <c r="AG15" s="147"/>
      <c r="AH15" s="73"/>
      <c r="AI15" s="135"/>
      <c r="AJ15" s="136"/>
      <c r="AK15" s="76"/>
      <c r="AL15" s="135"/>
      <c r="AM15" s="139" t="s">
        <v>71</v>
      </c>
      <c r="AN15" s="139"/>
      <c r="AO15" s="154"/>
      <c r="AP15" s="233"/>
      <c r="AQ15" s="233"/>
      <c r="AR15" s="158"/>
      <c r="AS15" s="161"/>
      <c r="AT15" s="161"/>
      <c r="AU15" s="146"/>
      <c r="AV15" s="146"/>
      <c r="AW15" s="166"/>
      <c r="AX15" s="151"/>
      <c r="AY15" s="168"/>
      <c r="AZ15" s="173"/>
      <c r="BA15" s="173"/>
      <c r="BB15" s="184"/>
      <c r="BC15" s="169"/>
      <c r="BD15" s="169"/>
      <c r="BE15" s="169"/>
      <c r="BF15" s="169"/>
    </row>
    <row r="16">
      <c r="A16" s="79">
        <v>13.0</v>
      </c>
      <c r="B16" s="188"/>
      <c r="C16" s="115"/>
      <c r="D16" s="110"/>
      <c r="E16" s="110"/>
      <c r="F16" s="107"/>
      <c r="G16" s="113"/>
      <c r="H16" s="114"/>
      <c r="I16" s="194"/>
      <c r="J16" s="122"/>
      <c r="K16" s="121"/>
      <c r="L16" s="119"/>
      <c r="M16" s="119"/>
      <c r="N16" s="119"/>
      <c r="O16" s="124"/>
      <c r="P16" s="124"/>
      <c r="Q16" s="236"/>
      <c r="R16" s="125"/>
      <c r="S16" s="126"/>
      <c r="T16" s="127"/>
      <c r="U16" s="129" t="str">
        <f t="shared" si="1"/>
        <v/>
      </c>
      <c r="V16" s="170"/>
      <c r="W16" s="170"/>
      <c r="X16" s="170"/>
      <c r="Y16" s="131"/>
      <c r="Z16" s="232"/>
      <c r="AA16" s="133"/>
      <c r="AB16" s="133"/>
      <c r="AC16" s="171"/>
      <c r="AD16" s="171"/>
      <c r="AE16" s="171"/>
      <c r="AF16" s="122"/>
      <c r="AG16" s="147"/>
      <c r="AH16" s="73"/>
      <c r="AI16" s="135"/>
      <c r="AJ16" s="136"/>
      <c r="AK16" s="76"/>
      <c r="AL16" s="135"/>
      <c r="AM16" s="139" t="s">
        <v>71</v>
      </c>
      <c r="AN16" s="139"/>
      <c r="AO16" s="154"/>
      <c r="AP16" s="233"/>
      <c r="AQ16" s="233"/>
      <c r="AR16" s="158"/>
      <c r="AS16" s="161"/>
      <c r="AT16" s="161"/>
      <c r="AU16" s="146"/>
      <c r="AV16" s="146"/>
      <c r="AW16" s="166"/>
      <c r="AX16" s="151"/>
      <c r="AY16" s="168"/>
      <c r="AZ16" s="173"/>
      <c r="BA16" s="173"/>
      <c r="BB16" s="184"/>
      <c r="BC16" s="169"/>
      <c r="BD16" s="169"/>
      <c r="BE16" s="169"/>
      <c r="BF16" s="169"/>
    </row>
    <row r="17">
      <c r="A17" s="79">
        <v>14.0</v>
      </c>
      <c r="B17" s="188"/>
      <c r="C17" s="115"/>
      <c r="D17" s="110"/>
      <c r="E17" s="110"/>
      <c r="F17" s="107"/>
      <c r="G17" s="113"/>
      <c r="H17" s="114"/>
      <c r="I17" s="194"/>
      <c r="J17" s="191"/>
      <c r="K17" s="121"/>
      <c r="L17" s="119"/>
      <c r="M17" s="119"/>
      <c r="N17" s="119"/>
      <c r="O17" s="124"/>
      <c r="P17" s="124"/>
      <c r="Q17" s="236"/>
      <c r="R17" s="125"/>
      <c r="S17" s="126"/>
      <c r="T17" s="127"/>
      <c r="U17" s="129" t="str">
        <f t="shared" si="1"/>
        <v/>
      </c>
      <c r="V17" s="170"/>
      <c r="W17" s="170"/>
      <c r="X17" s="170"/>
      <c r="Y17" s="131"/>
      <c r="Z17" s="232"/>
      <c r="AA17" s="133"/>
      <c r="AB17" s="133"/>
      <c r="AC17" s="171"/>
      <c r="AD17" s="171"/>
      <c r="AE17" s="171"/>
      <c r="AF17" s="122"/>
      <c r="AG17" s="147"/>
      <c r="AH17" s="73"/>
      <c r="AI17" s="135"/>
      <c r="AJ17" s="136"/>
      <c r="AK17" s="76"/>
      <c r="AL17" s="135"/>
      <c r="AM17" s="139" t="s">
        <v>71</v>
      </c>
      <c r="AN17" s="139"/>
      <c r="AO17" s="154"/>
      <c r="AP17" s="233"/>
      <c r="AQ17" s="233"/>
      <c r="AR17" s="158"/>
      <c r="AS17" s="161"/>
      <c r="AT17" s="161"/>
      <c r="AU17" s="146"/>
      <c r="AV17" s="146"/>
      <c r="AW17" s="166"/>
      <c r="AX17" s="151"/>
      <c r="AY17" s="168"/>
      <c r="AZ17" s="173"/>
      <c r="BA17" s="173"/>
      <c r="BB17" s="184"/>
      <c r="BC17" s="169"/>
      <c r="BD17" s="169"/>
      <c r="BE17" s="169"/>
      <c r="BF17" s="169"/>
    </row>
    <row r="18">
      <c r="A18" s="79">
        <v>15.0</v>
      </c>
      <c r="B18" s="188"/>
      <c r="C18" s="115"/>
      <c r="D18" s="110"/>
      <c r="E18" s="110"/>
      <c r="F18" s="107"/>
      <c r="G18" s="113"/>
      <c r="H18" s="114"/>
      <c r="I18" s="194"/>
      <c r="J18" s="122"/>
      <c r="K18" s="121"/>
      <c r="L18" s="119"/>
      <c r="M18" s="119"/>
      <c r="N18" s="119"/>
      <c r="O18" s="124"/>
      <c r="P18" s="124"/>
      <c r="Q18" s="236"/>
      <c r="R18" s="125"/>
      <c r="S18" s="126"/>
      <c r="T18" s="127"/>
      <c r="U18" s="129" t="str">
        <f t="shared" si="1"/>
        <v/>
      </c>
      <c r="V18" s="170"/>
      <c r="W18" s="170"/>
      <c r="X18" s="170"/>
      <c r="Y18" s="131"/>
      <c r="Z18" s="232"/>
      <c r="AA18" s="133"/>
      <c r="AB18" s="133"/>
      <c r="AC18" s="171"/>
      <c r="AD18" s="171"/>
      <c r="AE18" s="171"/>
      <c r="AF18" s="122"/>
      <c r="AG18" s="147"/>
      <c r="AH18" s="73"/>
      <c r="AI18" s="135"/>
      <c r="AJ18" s="136"/>
      <c r="AK18" s="76"/>
      <c r="AL18" s="135"/>
      <c r="AM18" s="139" t="s">
        <v>71</v>
      </c>
      <c r="AN18" s="139"/>
      <c r="AO18" s="154"/>
      <c r="AP18" s="233"/>
      <c r="AQ18" s="233"/>
      <c r="AR18" s="158"/>
      <c r="AS18" s="161"/>
      <c r="AT18" s="161"/>
      <c r="AU18" s="146"/>
      <c r="AV18" s="146"/>
      <c r="AW18" s="166"/>
      <c r="AX18" s="151"/>
      <c r="AY18" s="168"/>
      <c r="AZ18" s="173"/>
      <c r="BA18" s="173"/>
      <c r="BB18" s="184"/>
      <c r="BC18" s="169"/>
      <c r="BD18" s="169"/>
      <c r="BE18" s="169"/>
      <c r="BF18" s="169"/>
    </row>
    <row r="19">
      <c r="A19" s="79">
        <v>16.0</v>
      </c>
      <c r="B19" s="188"/>
      <c r="C19" s="115"/>
      <c r="D19" s="110"/>
      <c r="E19" s="110"/>
      <c r="F19" s="107"/>
      <c r="G19" s="113"/>
      <c r="H19" s="114"/>
      <c r="I19" s="194"/>
      <c r="J19" s="122"/>
      <c r="K19" s="121"/>
      <c r="L19" s="119"/>
      <c r="M19" s="119"/>
      <c r="N19" s="119"/>
      <c r="O19" s="124"/>
      <c r="P19" s="124"/>
      <c r="Q19" s="236"/>
      <c r="R19" s="125"/>
      <c r="S19" s="126"/>
      <c r="T19" s="127"/>
      <c r="U19" s="129" t="str">
        <f t="shared" si="1"/>
        <v/>
      </c>
      <c r="V19" s="170"/>
      <c r="W19" s="170"/>
      <c r="X19" s="170"/>
      <c r="Y19" s="131"/>
      <c r="Z19" s="232"/>
      <c r="AA19" s="133"/>
      <c r="AB19" s="133"/>
      <c r="AC19" s="171"/>
      <c r="AD19" s="171"/>
      <c r="AE19" s="171"/>
      <c r="AF19" s="122"/>
      <c r="AG19" s="147"/>
      <c r="AH19" s="73"/>
      <c r="AI19" s="135"/>
      <c r="AJ19" s="136"/>
      <c r="AK19" s="76"/>
      <c r="AL19" s="135"/>
      <c r="AM19" s="139" t="s">
        <v>71</v>
      </c>
      <c r="AN19" s="139"/>
      <c r="AO19" s="154"/>
      <c r="AP19" s="233"/>
      <c r="AQ19" s="233"/>
      <c r="AR19" s="158"/>
      <c r="AS19" s="161"/>
      <c r="AT19" s="161"/>
      <c r="AU19" s="146"/>
      <c r="AV19" s="146"/>
      <c r="AW19" s="166"/>
      <c r="AX19" s="151"/>
      <c r="AY19" s="168"/>
      <c r="AZ19" s="173"/>
      <c r="BA19" s="173"/>
      <c r="BB19" s="184"/>
      <c r="BC19" s="169"/>
      <c r="BD19" s="169"/>
      <c r="BE19" s="169"/>
      <c r="BF19" s="169"/>
    </row>
    <row r="20">
      <c r="A20" s="79">
        <v>17.0</v>
      </c>
      <c r="B20" s="188"/>
      <c r="C20" s="115"/>
      <c r="D20" s="110"/>
      <c r="E20" s="110"/>
      <c r="F20" s="107"/>
      <c r="G20" s="113"/>
      <c r="H20" s="114"/>
      <c r="I20" s="119"/>
      <c r="J20" s="191"/>
      <c r="K20" s="121"/>
      <c r="L20" s="119"/>
      <c r="M20" s="119"/>
      <c r="N20" s="119"/>
      <c r="O20" s="124"/>
      <c r="P20" s="124"/>
      <c r="Q20" s="236"/>
      <c r="R20" s="125"/>
      <c r="S20" s="126"/>
      <c r="T20" s="127"/>
      <c r="U20" s="129" t="str">
        <f t="shared" si="1"/>
        <v/>
      </c>
      <c r="V20" s="170"/>
      <c r="W20" s="170"/>
      <c r="X20" s="170"/>
      <c r="Y20" s="131"/>
      <c r="Z20" s="232"/>
      <c r="AA20" s="133"/>
      <c r="AB20" s="133"/>
      <c r="AC20" s="171"/>
      <c r="AD20" s="171"/>
      <c r="AE20" s="171"/>
      <c r="AF20" s="122"/>
      <c r="AG20" s="147"/>
      <c r="AH20" s="73"/>
      <c r="AI20" s="135"/>
      <c r="AJ20" s="136"/>
      <c r="AK20" s="76"/>
      <c r="AL20" s="135"/>
      <c r="AM20" s="139" t="s">
        <v>71</v>
      </c>
      <c r="AN20" s="139"/>
      <c r="AO20" s="154"/>
      <c r="AP20" s="233"/>
      <c r="AQ20" s="233"/>
      <c r="AR20" s="158"/>
      <c r="AS20" s="161"/>
      <c r="AT20" s="161"/>
      <c r="AU20" s="146"/>
      <c r="AV20" s="146"/>
      <c r="AW20" s="166"/>
      <c r="AX20" s="151"/>
      <c r="AY20" s="168"/>
      <c r="AZ20" s="173"/>
      <c r="BA20" s="173"/>
      <c r="BB20" s="184"/>
      <c r="BC20" s="169"/>
      <c r="BD20" s="169"/>
      <c r="BE20" s="169"/>
      <c r="BF20" s="169"/>
    </row>
    <row r="21">
      <c r="A21" s="79">
        <v>18.0</v>
      </c>
      <c r="B21" s="188"/>
      <c r="C21" s="115"/>
      <c r="D21" s="110"/>
      <c r="E21" s="110"/>
      <c r="F21" s="107"/>
      <c r="G21" s="113"/>
      <c r="H21" s="114"/>
      <c r="I21" s="194"/>
      <c r="J21" s="122"/>
      <c r="K21" s="121"/>
      <c r="L21" s="119"/>
      <c r="M21" s="119"/>
      <c r="N21" s="119"/>
      <c r="O21" s="124"/>
      <c r="P21" s="124"/>
      <c r="Q21" s="236"/>
      <c r="R21" s="125"/>
      <c r="S21" s="126"/>
      <c r="T21" s="127"/>
      <c r="U21" s="129" t="str">
        <f t="shared" si="1"/>
        <v/>
      </c>
      <c r="V21" s="170"/>
      <c r="W21" s="170"/>
      <c r="X21" s="170"/>
      <c r="Y21" s="131"/>
      <c r="Z21" s="232"/>
      <c r="AA21" s="133"/>
      <c r="AB21" s="133"/>
      <c r="AC21" s="171"/>
      <c r="AD21" s="171"/>
      <c r="AE21" s="171"/>
      <c r="AF21" s="122"/>
      <c r="AG21" s="147"/>
      <c r="AH21" s="73"/>
      <c r="AI21" s="135"/>
      <c r="AJ21" s="136"/>
      <c r="AK21" s="76"/>
      <c r="AL21" s="135"/>
      <c r="AM21" s="139" t="s">
        <v>71</v>
      </c>
      <c r="AN21" s="139"/>
      <c r="AO21" s="154"/>
      <c r="AP21" s="233"/>
      <c r="AQ21" s="233"/>
      <c r="AR21" s="158"/>
      <c r="AS21" s="161"/>
      <c r="AT21" s="161"/>
      <c r="AU21" s="146"/>
      <c r="AV21" s="146"/>
      <c r="AW21" s="166"/>
      <c r="AX21" s="151"/>
      <c r="AY21" s="168"/>
      <c r="AZ21" s="173"/>
      <c r="BA21" s="173"/>
      <c r="BB21" s="184"/>
      <c r="BC21" s="169"/>
      <c r="BD21" s="169"/>
      <c r="BE21" s="169"/>
      <c r="BF21" s="169"/>
    </row>
    <row r="22">
      <c r="A22" s="79">
        <v>19.0</v>
      </c>
      <c r="B22" s="188"/>
      <c r="C22" s="115"/>
      <c r="D22" s="110"/>
      <c r="E22" s="110"/>
      <c r="F22" s="107"/>
      <c r="G22" s="113"/>
      <c r="H22" s="114"/>
      <c r="I22" s="194"/>
      <c r="J22" s="122"/>
      <c r="K22" s="121"/>
      <c r="L22" s="119"/>
      <c r="M22" s="119"/>
      <c r="N22" s="119"/>
      <c r="O22" s="124"/>
      <c r="P22" s="124"/>
      <c r="Q22" s="236"/>
      <c r="R22" s="125"/>
      <c r="S22" s="126"/>
      <c r="T22" s="127"/>
      <c r="U22" s="129" t="str">
        <f t="shared" si="1"/>
        <v/>
      </c>
      <c r="V22" s="170"/>
      <c r="W22" s="170"/>
      <c r="X22" s="170"/>
      <c r="Y22" s="131"/>
      <c r="Z22" s="232"/>
      <c r="AA22" s="133"/>
      <c r="AB22" s="133"/>
      <c r="AC22" s="171"/>
      <c r="AD22" s="171"/>
      <c r="AE22" s="171"/>
      <c r="AF22" s="122"/>
      <c r="AG22" s="147"/>
      <c r="AH22" s="73"/>
      <c r="AI22" s="135"/>
      <c r="AJ22" s="136"/>
      <c r="AK22" s="76"/>
      <c r="AL22" s="135"/>
      <c r="AM22" s="139" t="s">
        <v>71</v>
      </c>
      <c r="AN22" s="139"/>
      <c r="AO22" s="154"/>
      <c r="AP22" s="233"/>
      <c r="AQ22" s="233"/>
      <c r="AR22" s="158"/>
      <c r="AS22" s="161"/>
      <c r="AT22" s="161"/>
      <c r="AU22" s="146"/>
      <c r="AV22" s="146"/>
      <c r="AW22" s="166"/>
      <c r="AX22" s="151"/>
      <c r="AY22" s="168"/>
      <c r="AZ22" s="173"/>
      <c r="BA22" s="173"/>
      <c r="BB22" s="184"/>
      <c r="BC22" s="169"/>
      <c r="BD22" s="169"/>
      <c r="BE22" s="169"/>
      <c r="BF22" s="169"/>
    </row>
    <row r="23">
      <c r="A23" s="79">
        <v>20.0</v>
      </c>
      <c r="B23" s="188"/>
      <c r="C23" s="115"/>
      <c r="D23" s="110"/>
      <c r="E23" s="110"/>
      <c r="F23" s="107"/>
      <c r="G23" s="113"/>
      <c r="H23" s="114"/>
      <c r="I23" s="119"/>
      <c r="J23" s="191"/>
      <c r="K23" s="121"/>
      <c r="L23" s="119"/>
      <c r="M23" s="119"/>
      <c r="N23" s="119"/>
      <c r="O23" s="124"/>
      <c r="P23" s="124"/>
      <c r="Q23" s="236"/>
      <c r="R23" s="125"/>
      <c r="S23" s="126"/>
      <c r="T23" s="127"/>
      <c r="U23" s="129" t="str">
        <f t="shared" si="1"/>
        <v/>
      </c>
      <c r="V23" s="170"/>
      <c r="W23" s="170"/>
      <c r="X23" s="170"/>
      <c r="Y23" s="131"/>
      <c r="Z23" s="232"/>
      <c r="AA23" s="133"/>
      <c r="AB23" s="133"/>
      <c r="AC23" s="171"/>
      <c r="AD23" s="171"/>
      <c r="AE23" s="171"/>
      <c r="AF23" s="122"/>
      <c r="AG23" s="147"/>
      <c r="AH23" s="73"/>
      <c r="AI23" s="135"/>
      <c r="AJ23" s="136"/>
      <c r="AK23" s="76"/>
      <c r="AL23" s="135"/>
      <c r="AM23" s="139" t="s">
        <v>71</v>
      </c>
      <c r="AN23" s="139"/>
      <c r="AO23" s="154"/>
      <c r="AP23" s="233"/>
      <c r="AQ23" s="233"/>
      <c r="AR23" s="158"/>
      <c r="AS23" s="161"/>
      <c r="AT23" s="161"/>
      <c r="AU23" s="146"/>
      <c r="AV23" s="146"/>
      <c r="AW23" s="166"/>
      <c r="AX23" s="151"/>
      <c r="AY23" s="168"/>
      <c r="AZ23" s="173"/>
      <c r="BA23" s="173"/>
      <c r="BB23" s="184"/>
      <c r="BC23" s="169"/>
      <c r="BD23" s="169"/>
      <c r="BE23" s="169"/>
      <c r="BF23" s="169"/>
    </row>
    <row r="24">
      <c r="A24" s="79">
        <v>21.0</v>
      </c>
      <c r="B24" s="188"/>
      <c r="C24" s="115"/>
      <c r="D24" s="110"/>
      <c r="E24" s="110"/>
      <c r="F24" s="107"/>
      <c r="G24" s="113"/>
      <c r="H24" s="114"/>
      <c r="I24" s="194"/>
      <c r="J24" s="122"/>
      <c r="K24" s="121"/>
      <c r="L24" s="119"/>
      <c r="M24" s="119"/>
      <c r="N24" s="119"/>
      <c r="O24" s="124"/>
      <c r="P24" s="124"/>
      <c r="Q24" s="236"/>
      <c r="R24" s="125"/>
      <c r="S24" s="126"/>
      <c r="T24" s="127"/>
      <c r="U24" s="129" t="str">
        <f t="shared" si="1"/>
        <v/>
      </c>
      <c r="V24" s="170"/>
      <c r="W24" s="170"/>
      <c r="X24" s="170"/>
      <c r="Y24" s="131"/>
      <c r="Z24" s="232"/>
      <c r="AA24" s="133"/>
      <c r="AB24" s="133"/>
      <c r="AC24" s="171"/>
      <c r="AD24" s="171"/>
      <c r="AE24" s="171"/>
      <c r="AF24" s="122"/>
      <c r="AG24" s="147"/>
      <c r="AH24" s="73"/>
      <c r="AI24" s="135"/>
      <c r="AJ24" s="136"/>
      <c r="AK24" s="76"/>
      <c r="AL24" s="135"/>
      <c r="AM24" s="139" t="s">
        <v>71</v>
      </c>
      <c r="AN24" s="139"/>
      <c r="AO24" s="154"/>
      <c r="AP24" s="233"/>
      <c r="AQ24" s="233"/>
      <c r="AR24" s="158"/>
      <c r="AS24" s="161"/>
      <c r="AT24" s="161"/>
      <c r="AU24" s="146"/>
      <c r="AV24" s="146"/>
      <c r="AW24" s="166"/>
      <c r="AX24" s="151"/>
      <c r="AY24" s="168"/>
      <c r="AZ24" s="173"/>
      <c r="BA24" s="173"/>
      <c r="BB24" s="184"/>
      <c r="BC24" s="169"/>
      <c r="BD24" s="169"/>
      <c r="BE24" s="169"/>
      <c r="BF24" s="169"/>
    </row>
    <row r="25">
      <c r="A25" s="79">
        <v>22.0</v>
      </c>
      <c r="B25" s="188"/>
      <c r="C25" s="115"/>
      <c r="D25" s="110"/>
      <c r="E25" s="110"/>
      <c r="F25" s="107"/>
      <c r="G25" s="113"/>
      <c r="H25" s="114"/>
      <c r="I25" s="194"/>
      <c r="J25" s="122"/>
      <c r="K25" s="121"/>
      <c r="L25" s="119"/>
      <c r="M25" s="119"/>
      <c r="N25" s="119"/>
      <c r="O25" s="124"/>
      <c r="P25" s="124"/>
      <c r="Q25" s="236"/>
      <c r="R25" s="125"/>
      <c r="S25" s="126"/>
      <c r="T25" s="127"/>
      <c r="U25" s="129" t="str">
        <f t="shared" si="1"/>
        <v/>
      </c>
      <c r="V25" s="170"/>
      <c r="W25" s="170"/>
      <c r="X25" s="170"/>
      <c r="Y25" s="131"/>
      <c r="Z25" s="232"/>
      <c r="AA25" s="133"/>
      <c r="AB25" s="133"/>
      <c r="AC25" s="171"/>
      <c r="AD25" s="171"/>
      <c r="AE25" s="171"/>
      <c r="AF25" s="122"/>
      <c r="AG25" s="147"/>
      <c r="AH25" s="73"/>
      <c r="AI25" s="135"/>
      <c r="AJ25" s="136"/>
      <c r="AK25" s="76"/>
      <c r="AL25" s="135"/>
      <c r="AM25" s="139" t="s">
        <v>71</v>
      </c>
      <c r="AN25" s="139"/>
      <c r="AO25" s="154"/>
      <c r="AP25" s="233"/>
      <c r="AQ25" s="233"/>
      <c r="AR25" s="158"/>
      <c r="AS25" s="161"/>
      <c r="AT25" s="161"/>
      <c r="AU25" s="146"/>
      <c r="AV25" s="146"/>
      <c r="AW25" s="166"/>
      <c r="AX25" s="151"/>
      <c r="AY25" s="168"/>
      <c r="AZ25" s="173"/>
      <c r="BA25" s="173"/>
      <c r="BB25" s="184"/>
      <c r="BC25" s="169"/>
      <c r="BD25" s="169"/>
      <c r="BE25" s="169"/>
      <c r="BF25" s="169"/>
    </row>
    <row r="26">
      <c r="A26" s="79">
        <v>23.0</v>
      </c>
      <c r="B26" s="188"/>
      <c r="C26" s="115"/>
      <c r="D26" s="110"/>
      <c r="E26" s="110"/>
      <c r="F26" s="107"/>
      <c r="G26" s="113"/>
      <c r="H26" s="114"/>
      <c r="I26" s="194"/>
      <c r="J26" s="122"/>
      <c r="K26" s="121"/>
      <c r="L26" s="119"/>
      <c r="M26" s="119"/>
      <c r="N26" s="119"/>
      <c r="O26" s="124"/>
      <c r="P26" s="124"/>
      <c r="Q26" s="236"/>
      <c r="R26" s="125"/>
      <c r="S26" s="126"/>
      <c r="T26" s="127"/>
      <c r="U26" s="129" t="str">
        <f t="shared" si="1"/>
        <v/>
      </c>
      <c r="V26" s="170"/>
      <c r="W26" s="170"/>
      <c r="X26" s="170"/>
      <c r="Y26" s="131"/>
      <c r="Z26" s="232"/>
      <c r="AA26" s="133"/>
      <c r="AB26" s="133"/>
      <c r="AC26" s="171"/>
      <c r="AD26" s="171"/>
      <c r="AE26" s="171"/>
      <c r="AF26" s="122"/>
      <c r="AG26" s="147"/>
      <c r="AH26" s="73"/>
      <c r="AI26" s="135"/>
      <c r="AJ26" s="136"/>
      <c r="AK26" s="76"/>
      <c r="AL26" s="135"/>
      <c r="AM26" s="139" t="s">
        <v>71</v>
      </c>
      <c r="AN26" s="139"/>
      <c r="AO26" s="154"/>
      <c r="AP26" s="233"/>
      <c r="AQ26" s="233"/>
      <c r="AR26" s="158"/>
      <c r="AS26" s="161"/>
      <c r="AT26" s="161"/>
      <c r="AU26" s="146"/>
      <c r="AV26" s="146"/>
      <c r="AW26" s="166"/>
      <c r="AX26" s="151"/>
      <c r="AY26" s="168"/>
      <c r="AZ26" s="173"/>
      <c r="BA26" s="173"/>
      <c r="BB26" s="184"/>
      <c r="BC26" s="169"/>
      <c r="BD26" s="169"/>
      <c r="BE26" s="169"/>
      <c r="BF26" s="169"/>
    </row>
    <row r="27">
      <c r="A27" s="79">
        <v>24.0</v>
      </c>
      <c r="B27" s="188"/>
      <c r="C27" s="115"/>
      <c r="D27" s="110"/>
      <c r="E27" s="110"/>
      <c r="F27" s="107"/>
      <c r="G27" s="113"/>
      <c r="H27" s="114"/>
      <c r="I27" s="194"/>
      <c r="J27" s="122"/>
      <c r="K27" s="121"/>
      <c r="L27" s="119"/>
      <c r="M27" s="119"/>
      <c r="N27" s="119"/>
      <c r="O27" s="124"/>
      <c r="P27" s="124"/>
      <c r="Q27" s="236"/>
      <c r="R27" s="125"/>
      <c r="S27" s="126"/>
      <c r="T27" s="127"/>
      <c r="U27" s="129" t="str">
        <f t="shared" si="1"/>
        <v/>
      </c>
      <c r="V27" s="170"/>
      <c r="W27" s="170"/>
      <c r="X27" s="170"/>
      <c r="Y27" s="131"/>
      <c r="Z27" s="232"/>
      <c r="AA27" s="133"/>
      <c r="AB27" s="133"/>
      <c r="AC27" s="171"/>
      <c r="AD27" s="171"/>
      <c r="AE27" s="171"/>
      <c r="AF27" s="122"/>
      <c r="AG27" s="147"/>
      <c r="AH27" s="73"/>
      <c r="AI27" s="135"/>
      <c r="AJ27" s="136"/>
      <c r="AK27" s="76"/>
      <c r="AL27" s="135"/>
      <c r="AM27" s="139" t="s">
        <v>71</v>
      </c>
      <c r="AN27" s="139"/>
      <c r="AO27" s="154"/>
      <c r="AP27" s="233"/>
      <c r="AQ27" s="233"/>
      <c r="AR27" s="158"/>
      <c r="AS27" s="161"/>
      <c r="AT27" s="161"/>
      <c r="AU27" s="146"/>
      <c r="AV27" s="146"/>
      <c r="AW27" s="166"/>
      <c r="AX27" s="151"/>
      <c r="AY27" s="168"/>
      <c r="AZ27" s="173"/>
      <c r="BA27" s="173"/>
      <c r="BB27" s="184"/>
      <c r="BC27" s="169"/>
      <c r="BD27" s="169"/>
      <c r="BE27" s="169"/>
      <c r="BF27" s="169"/>
    </row>
    <row r="28">
      <c r="A28" s="79">
        <v>25.0</v>
      </c>
      <c r="B28" s="188"/>
      <c r="C28" s="115"/>
      <c r="D28" s="110"/>
      <c r="E28" s="110"/>
      <c r="F28" s="107"/>
      <c r="G28" s="113"/>
      <c r="H28" s="114"/>
      <c r="I28" s="194"/>
      <c r="J28" s="122"/>
      <c r="K28" s="121"/>
      <c r="L28" s="119"/>
      <c r="M28" s="119"/>
      <c r="N28" s="119"/>
      <c r="O28" s="124"/>
      <c r="P28" s="124"/>
      <c r="Q28" s="236"/>
      <c r="R28" s="125"/>
      <c r="S28" s="126"/>
      <c r="T28" s="127"/>
      <c r="U28" s="129" t="str">
        <f t="shared" si="1"/>
        <v/>
      </c>
      <c r="V28" s="170"/>
      <c r="W28" s="170"/>
      <c r="X28" s="170"/>
      <c r="Y28" s="131"/>
      <c r="Z28" s="232"/>
      <c r="AA28" s="133"/>
      <c r="AB28" s="133"/>
      <c r="AC28" s="171"/>
      <c r="AD28" s="171"/>
      <c r="AE28" s="171"/>
      <c r="AF28" s="122"/>
      <c r="AG28" s="147"/>
      <c r="AH28" s="73"/>
      <c r="AI28" s="135"/>
      <c r="AJ28" s="136"/>
      <c r="AK28" s="76"/>
      <c r="AL28" s="135"/>
      <c r="AM28" s="139" t="s">
        <v>71</v>
      </c>
      <c r="AN28" s="139"/>
      <c r="AO28" s="154"/>
      <c r="AP28" s="233"/>
      <c r="AQ28" s="233"/>
      <c r="AR28" s="158"/>
      <c r="AS28" s="161"/>
      <c r="AT28" s="161"/>
      <c r="AU28" s="146"/>
      <c r="AV28" s="146"/>
      <c r="AW28" s="166"/>
      <c r="AX28" s="151"/>
      <c r="AY28" s="168"/>
      <c r="AZ28" s="173"/>
      <c r="BA28" s="173"/>
      <c r="BB28" s="184"/>
      <c r="BC28" s="169"/>
      <c r="BD28" s="169"/>
      <c r="BE28" s="169"/>
      <c r="BF28" s="169"/>
    </row>
    <row r="29">
      <c r="A29" s="79">
        <v>26.0</v>
      </c>
      <c r="B29" s="188"/>
      <c r="C29" s="115"/>
      <c r="D29" s="110"/>
      <c r="E29" s="110"/>
      <c r="F29" s="107"/>
      <c r="G29" s="113"/>
      <c r="H29" s="114"/>
      <c r="I29" s="194"/>
      <c r="J29" s="122"/>
      <c r="K29" s="121"/>
      <c r="L29" s="119"/>
      <c r="M29" s="119"/>
      <c r="N29" s="119"/>
      <c r="O29" s="124"/>
      <c r="P29" s="124"/>
      <c r="Q29" s="236"/>
      <c r="R29" s="125"/>
      <c r="S29" s="126"/>
      <c r="T29" s="127"/>
      <c r="U29" s="129" t="str">
        <f t="shared" si="1"/>
        <v/>
      </c>
      <c r="V29" s="170"/>
      <c r="W29" s="170"/>
      <c r="X29" s="170"/>
      <c r="Y29" s="131"/>
      <c r="Z29" s="232"/>
      <c r="AA29" s="133"/>
      <c r="AB29" s="133"/>
      <c r="AC29" s="171"/>
      <c r="AD29" s="171"/>
      <c r="AE29" s="171"/>
      <c r="AF29" s="122"/>
      <c r="AG29" s="147"/>
      <c r="AH29" s="73"/>
      <c r="AI29" s="135"/>
      <c r="AJ29" s="136"/>
      <c r="AK29" s="76"/>
      <c r="AL29" s="135"/>
      <c r="AM29" s="139" t="s">
        <v>71</v>
      </c>
      <c r="AN29" s="139"/>
      <c r="AO29" s="154"/>
      <c r="AP29" s="233"/>
      <c r="AQ29" s="233"/>
      <c r="AR29" s="158"/>
      <c r="AS29" s="161"/>
      <c r="AT29" s="161"/>
      <c r="AU29" s="146"/>
      <c r="AV29" s="146"/>
      <c r="AW29" s="166"/>
      <c r="AX29" s="151"/>
      <c r="AY29" s="168"/>
      <c r="AZ29" s="173"/>
      <c r="BA29" s="173"/>
      <c r="BB29" s="184"/>
      <c r="BC29" s="169"/>
      <c r="BD29" s="169"/>
      <c r="BE29" s="169"/>
      <c r="BF29" s="169"/>
    </row>
    <row r="30">
      <c r="A30" s="79">
        <v>27.0</v>
      </c>
      <c r="B30" s="188"/>
      <c r="C30" s="115"/>
      <c r="D30" s="110"/>
      <c r="E30" s="110"/>
      <c r="F30" s="107"/>
      <c r="G30" s="113"/>
      <c r="H30" s="114"/>
      <c r="I30" s="194"/>
      <c r="J30" s="122"/>
      <c r="K30" s="121"/>
      <c r="L30" s="119"/>
      <c r="M30" s="119"/>
      <c r="N30" s="119"/>
      <c r="O30" s="124"/>
      <c r="P30" s="124"/>
      <c r="Q30" s="236"/>
      <c r="R30" s="125"/>
      <c r="S30" s="126"/>
      <c r="T30" s="127"/>
      <c r="U30" s="129" t="str">
        <f t="shared" si="1"/>
        <v/>
      </c>
      <c r="V30" s="170"/>
      <c r="W30" s="170"/>
      <c r="X30" s="170"/>
      <c r="Y30" s="131"/>
      <c r="Z30" s="232"/>
      <c r="AA30" s="133"/>
      <c r="AB30" s="133"/>
      <c r="AC30" s="171"/>
      <c r="AD30" s="171"/>
      <c r="AE30" s="171"/>
      <c r="AF30" s="122"/>
      <c r="AG30" s="147"/>
      <c r="AH30" s="73"/>
      <c r="AI30" s="135"/>
      <c r="AJ30" s="136"/>
      <c r="AK30" s="76"/>
      <c r="AL30" s="135"/>
      <c r="AM30" s="139" t="s">
        <v>71</v>
      </c>
      <c r="AN30" s="139"/>
      <c r="AO30" s="154"/>
      <c r="AP30" s="233"/>
      <c r="AQ30" s="233"/>
      <c r="AR30" s="158"/>
      <c r="AS30" s="161"/>
      <c r="AT30" s="161"/>
      <c r="AU30" s="146"/>
      <c r="AV30" s="146"/>
      <c r="AW30" s="166"/>
      <c r="AX30" s="151"/>
      <c r="AY30" s="168"/>
      <c r="AZ30" s="173"/>
      <c r="BA30" s="173"/>
      <c r="BB30" s="184"/>
      <c r="BC30" s="169"/>
      <c r="BD30" s="169"/>
      <c r="BE30" s="169"/>
      <c r="BF30" s="169"/>
    </row>
    <row r="31">
      <c r="A31" s="79">
        <v>28.0</v>
      </c>
      <c r="B31" s="188"/>
      <c r="C31" s="115"/>
      <c r="D31" s="110"/>
      <c r="E31" s="110"/>
      <c r="F31" s="107"/>
      <c r="G31" s="113"/>
      <c r="H31" s="114"/>
      <c r="I31" s="194"/>
      <c r="J31" s="122"/>
      <c r="K31" s="121"/>
      <c r="L31" s="119"/>
      <c r="M31" s="119"/>
      <c r="N31" s="119"/>
      <c r="O31" s="124"/>
      <c r="P31" s="124"/>
      <c r="Q31" s="236"/>
      <c r="R31" s="125"/>
      <c r="S31" s="126"/>
      <c r="T31" s="127"/>
      <c r="U31" s="129" t="str">
        <f t="shared" si="1"/>
        <v/>
      </c>
      <c r="V31" s="170"/>
      <c r="W31" s="170"/>
      <c r="X31" s="170"/>
      <c r="Y31" s="131"/>
      <c r="Z31" s="232"/>
      <c r="AA31" s="133"/>
      <c r="AB31" s="133"/>
      <c r="AC31" s="171"/>
      <c r="AD31" s="171"/>
      <c r="AE31" s="171"/>
      <c r="AF31" s="122"/>
      <c r="AG31" s="147"/>
      <c r="AH31" s="73"/>
      <c r="AI31" s="135"/>
      <c r="AJ31" s="136"/>
      <c r="AK31" s="76"/>
      <c r="AL31" s="135"/>
      <c r="AM31" s="139" t="s">
        <v>71</v>
      </c>
      <c r="AN31" s="139"/>
      <c r="AO31" s="154"/>
      <c r="AP31" s="233"/>
      <c r="AQ31" s="233"/>
      <c r="AR31" s="158"/>
      <c r="AS31" s="161"/>
      <c r="AT31" s="161"/>
      <c r="AU31" s="146"/>
      <c r="AV31" s="146"/>
      <c r="AW31" s="166"/>
      <c r="AX31" s="151"/>
      <c r="AY31" s="168"/>
      <c r="AZ31" s="173"/>
      <c r="BA31" s="173"/>
      <c r="BB31" s="184"/>
      <c r="BC31" s="169"/>
      <c r="BD31" s="169"/>
      <c r="BE31" s="169"/>
      <c r="BF31" s="169"/>
    </row>
    <row r="32">
      <c r="A32" s="79">
        <v>29.0</v>
      </c>
      <c r="B32" s="188"/>
      <c r="C32" s="115"/>
      <c r="D32" s="110"/>
      <c r="E32" s="110"/>
      <c r="F32" s="107"/>
      <c r="G32" s="113"/>
      <c r="H32" s="114"/>
      <c r="I32" s="194"/>
      <c r="J32" s="122"/>
      <c r="K32" s="121"/>
      <c r="L32" s="119"/>
      <c r="M32" s="119"/>
      <c r="N32" s="119"/>
      <c r="O32" s="124"/>
      <c r="P32" s="124"/>
      <c r="Q32" s="236"/>
      <c r="R32" s="125"/>
      <c r="S32" s="126"/>
      <c r="T32" s="127"/>
      <c r="U32" s="129" t="str">
        <f t="shared" si="1"/>
        <v/>
      </c>
      <c r="V32" s="170"/>
      <c r="W32" s="170"/>
      <c r="X32" s="170"/>
      <c r="Y32" s="131"/>
      <c r="Z32" s="232"/>
      <c r="AA32" s="133"/>
      <c r="AB32" s="133"/>
      <c r="AC32" s="171"/>
      <c r="AD32" s="171"/>
      <c r="AE32" s="171"/>
      <c r="AF32" s="122"/>
      <c r="AG32" s="147"/>
      <c r="AH32" s="73"/>
      <c r="AI32" s="135"/>
      <c r="AJ32" s="136"/>
      <c r="AK32" s="76"/>
      <c r="AL32" s="135"/>
      <c r="AM32" s="139" t="s">
        <v>71</v>
      </c>
      <c r="AN32" s="139"/>
      <c r="AO32" s="154"/>
      <c r="AP32" s="233"/>
      <c r="AQ32" s="233"/>
      <c r="AR32" s="158"/>
      <c r="AS32" s="161"/>
      <c r="AT32" s="161"/>
      <c r="AU32" s="146"/>
      <c r="AV32" s="146"/>
      <c r="AW32" s="166"/>
      <c r="AX32" s="151"/>
      <c r="AY32" s="168"/>
      <c r="AZ32" s="173"/>
      <c r="BA32" s="173"/>
      <c r="BB32" s="184"/>
      <c r="BC32" s="169"/>
      <c r="BD32" s="169"/>
      <c r="BE32" s="169"/>
      <c r="BF32" s="169"/>
    </row>
    <row r="33">
      <c r="A33" s="79">
        <v>30.0</v>
      </c>
      <c r="B33" s="188"/>
      <c r="C33" s="115"/>
      <c r="D33" s="110"/>
      <c r="E33" s="110"/>
      <c r="F33" s="107"/>
      <c r="G33" s="113"/>
      <c r="H33" s="114"/>
      <c r="I33" s="194"/>
      <c r="J33" s="122"/>
      <c r="K33" s="121"/>
      <c r="L33" s="119"/>
      <c r="M33" s="119"/>
      <c r="N33" s="119"/>
      <c r="O33" s="124"/>
      <c r="P33" s="124"/>
      <c r="Q33" s="236"/>
      <c r="R33" s="125"/>
      <c r="S33" s="126"/>
      <c r="T33" s="127"/>
      <c r="U33" s="129" t="str">
        <f t="shared" si="1"/>
        <v/>
      </c>
      <c r="V33" s="170"/>
      <c r="W33" s="170"/>
      <c r="X33" s="170"/>
      <c r="Y33" s="131"/>
      <c r="Z33" s="232"/>
      <c r="AA33" s="133"/>
      <c r="AB33" s="133"/>
      <c r="AC33" s="171"/>
      <c r="AD33" s="171"/>
      <c r="AE33" s="171"/>
      <c r="AF33" s="122"/>
      <c r="AG33" s="147"/>
      <c r="AH33" s="73"/>
      <c r="AI33" s="135"/>
      <c r="AJ33" s="136"/>
      <c r="AK33" s="76"/>
      <c r="AL33" s="135"/>
      <c r="AM33" s="139" t="s">
        <v>71</v>
      </c>
      <c r="AN33" s="139"/>
      <c r="AO33" s="154"/>
      <c r="AP33" s="233"/>
      <c r="AQ33" s="233"/>
      <c r="AR33" s="158"/>
      <c r="AS33" s="161"/>
      <c r="AT33" s="161"/>
      <c r="AU33" s="146"/>
      <c r="AV33" s="146"/>
      <c r="AW33" s="166"/>
      <c r="AX33" s="151"/>
      <c r="AY33" s="168"/>
      <c r="AZ33" s="173"/>
      <c r="BA33" s="173"/>
      <c r="BB33" s="184"/>
      <c r="BC33" s="169"/>
      <c r="BD33" s="169"/>
      <c r="BE33" s="169"/>
      <c r="BF33" s="169"/>
    </row>
    <row r="34">
      <c r="A34" s="79">
        <v>31.0</v>
      </c>
      <c r="B34" s="188"/>
      <c r="C34" s="115"/>
      <c r="D34" s="110"/>
      <c r="E34" s="110"/>
      <c r="F34" s="107"/>
      <c r="G34" s="113"/>
      <c r="H34" s="114"/>
      <c r="I34" s="194"/>
      <c r="J34" s="122"/>
      <c r="K34" s="121"/>
      <c r="L34" s="119"/>
      <c r="M34" s="119"/>
      <c r="N34" s="119"/>
      <c r="O34" s="124"/>
      <c r="P34" s="124"/>
      <c r="Q34" s="236"/>
      <c r="R34" s="125"/>
      <c r="S34" s="126"/>
      <c r="T34" s="127"/>
      <c r="U34" s="129" t="str">
        <f t="shared" si="1"/>
        <v/>
      </c>
      <c r="V34" s="170"/>
      <c r="W34" s="170"/>
      <c r="X34" s="170"/>
      <c r="Y34" s="131"/>
      <c r="Z34" s="232"/>
      <c r="AA34" s="133"/>
      <c r="AB34" s="133"/>
      <c r="AC34" s="171"/>
      <c r="AD34" s="171"/>
      <c r="AE34" s="171"/>
      <c r="AF34" s="122"/>
      <c r="AG34" s="147"/>
      <c r="AH34" s="73"/>
      <c r="AI34" s="135"/>
      <c r="AJ34" s="136"/>
      <c r="AK34" s="76"/>
      <c r="AL34" s="135"/>
      <c r="AM34" s="139" t="s">
        <v>71</v>
      </c>
      <c r="AN34" s="139"/>
      <c r="AO34" s="154"/>
      <c r="AP34" s="233"/>
      <c r="AQ34" s="233"/>
      <c r="AR34" s="158"/>
      <c r="AS34" s="161"/>
      <c r="AT34" s="161"/>
      <c r="AU34" s="146"/>
      <c r="AV34" s="146"/>
      <c r="AW34" s="166"/>
      <c r="AX34" s="151"/>
      <c r="AY34" s="168"/>
      <c r="AZ34" s="173"/>
      <c r="BA34" s="173"/>
      <c r="BB34" s="184"/>
      <c r="BC34" s="169"/>
      <c r="BD34" s="169"/>
      <c r="BE34" s="169"/>
      <c r="BF34" s="169"/>
    </row>
    <row r="35">
      <c r="A35" s="79">
        <v>32.0</v>
      </c>
      <c r="B35" s="188"/>
      <c r="C35" s="115"/>
      <c r="D35" s="110"/>
      <c r="E35" s="110"/>
      <c r="F35" s="107"/>
      <c r="G35" s="113"/>
      <c r="H35" s="114"/>
      <c r="I35" s="194"/>
      <c r="J35" s="122"/>
      <c r="K35" s="121"/>
      <c r="L35" s="119"/>
      <c r="M35" s="119"/>
      <c r="N35" s="119"/>
      <c r="O35" s="124"/>
      <c r="P35" s="124"/>
      <c r="Q35" s="236"/>
      <c r="R35" s="125"/>
      <c r="S35" s="126"/>
      <c r="T35" s="127"/>
      <c r="U35" s="129" t="str">
        <f t="shared" si="1"/>
        <v/>
      </c>
      <c r="V35" s="170"/>
      <c r="W35" s="170"/>
      <c r="X35" s="170"/>
      <c r="Y35" s="131"/>
      <c r="Z35" s="232"/>
      <c r="AA35" s="133"/>
      <c r="AB35" s="133"/>
      <c r="AC35" s="171"/>
      <c r="AD35" s="171"/>
      <c r="AE35" s="171"/>
      <c r="AF35" s="122"/>
      <c r="AG35" s="147"/>
      <c r="AH35" s="73"/>
      <c r="AI35" s="135"/>
      <c r="AJ35" s="136"/>
      <c r="AK35" s="76"/>
      <c r="AL35" s="135"/>
      <c r="AM35" s="139" t="s">
        <v>71</v>
      </c>
      <c r="AN35" s="139"/>
      <c r="AO35" s="154"/>
      <c r="AP35" s="233"/>
      <c r="AQ35" s="233"/>
      <c r="AR35" s="158"/>
      <c r="AS35" s="161"/>
      <c r="AT35" s="161"/>
      <c r="AU35" s="146"/>
      <c r="AV35" s="146"/>
      <c r="AW35" s="166"/>
      <c r="AX35" s="151"/>
      <c r="AY35" s="168"/>
      <c r="AZ35" s="173"/>
      <c r="BA35" s="173"/>
      <c r="BB35" s="184"/>
      <c r="BC35" s="169"/>
      <c r="BD35" s="169"/>
      <c r="BE35" s="169"/>
      <c r="BF35" s="169"/>
    </row>
    <row r="36">
      <c r="A36" s="79">
        <v>33.0</v>
      </c>
      <c r="B36" s="188"/>
      <c r="C36" s="115"/>
      <c r="D36" s="110"/>
      <c r="E36" s="110"/>
      <c r="F36" s="107"/>
      <c r="G36" s="113"/>
      <c r="H36" s="114"/>
      <c r="I36" s="194"/>
      <c r="J36" s="122"/>
      <c r="K36" s="121"/>
      <c r="L36" s="119"/>
      <c r="M36" s="119"/>
      <c r="N36" s="119"/>
      <c r="O36" s="124"/>
      <c r="P36" s="124"/>
      <c r="Q36" s="236"/>
      <c r="R36" s="125"/>
      <c r="S36" s="126"/>
      <c r="T36" s="127"/>
      <c r="U36" s="129" t="str">
        <f t="shared" si="1"/>
        <v/>
      </c>
      <c r="V36" s="170"/>
      <c r="W36" s="170"/>
      <c r="X36" s="170"/>
      <c r="Y36" s="131"/>
      <c r="Z36" s="232"/>
      <c r="AA36" s="133"/>
      <c r="AB36" s="133"/>
      <c r="AC36" s="171"/>
      <c r="AD36" s="171"/>
      <c r="AE36" s="171"/>
      <c r="AF36" s="122"/>
      <c r="AG36" s="147"/>
      <c r="AH36" s="73"/>
      <c r="AI36" s="135"/>
      <c r="AJ36" s="136"/>
      <c r="AK36" s="76"/>
      <c r="AL36" s="135"/>
      <c r="AM36" s="139" t="s">
        <v>71</v>
      </c>
      <c r="AN36" s="139"/>
      <c r="AO36" s="154"/>
      <c r="AP36" s="233"/>
      <c r="AQ36" s="233"/>
      <c r="AR36" s="158"/>
      <c r="AS36" s="161"/>
      <c r="AT36" s="161"/>
      <c r="AU36" s="146"/>
      <c r="AV36" s="146"/>
      <c r="AW36" s="166"/>
      <c r="AX36" s="151"/>
      <c r="AY36" s="168"/>
      <c r="AZ36" s="173"/>
      <c r="BA36" s="173"/>
      <c r="BB36" s="184"/>
      <c r="BC36" s="169"/>
      <c r="BD36" s="169"/>
      <c r="BE36" s="169"/>
      <c r="BF36" s="169"/>
    </row>
    <row r="37">
      <c r="A37" s="79">
        <v>34.0</v>
      </c>
      <c r="B37" s="188"/>
      <c r="C37" s="115"/>
      <c r="D37" s="110"/>
      <c r="E37" s="110"/>
      <c r="F37" s="107"/>
      <c r="G37" s="113"/>
      <c r="H37" s="114"/>
      <c r="I37" s="194"/>
      <c r="J37" s="122"/>
      <c r="K37" s="121"/>
      <c r="L37" s="119"/>
      <c r="M37" s="119"/>
      <c r="N37" s="119"/>
      <c r="O37" s="124"/>
      <c r="P37" s="124"/>
      <c r="Q37" s="236"/>
      <c r="R37" s="125"/>
      <c r="S37" s="126"/>
      <c r="T37" s="127"/>
      <c r="U37" s="129" t="str">
        <f t="shared" si="1"/>
        <v/>
      </c>
      <c r="V37" s="170"/>
      <c r="W37" s="170"/>
      <c r="X37" s="170"/>
      <c r="Y37" s="131"/>
      <c r="Z37" s="232"/>
      <c r="AA37" s="133"/>
      <c r="AB37" s="133"/>
      <c r="AC37" s="171"/>
      <c r="AD37" s="171"/>
      <c r="AE37" s="171"/>
      <c r="AF37" s="122"/>
      <c r="AG37" s="147"/>
      <c r="AH37" s="73"/>
      <c r="AI37" s="135"/>
      <c r="AJ37" s="136"/>
      <c r="AK37" s="76"/>
      <c r="AL37" s="135"/>
      <c r="AM37" s="139" t="s">
        <v>71</v>
      </c>
      <c r="AN37" s="139"/>
      <c r="AO37" s="154"/>
      <c r="AP37" s="233"/>
      <c r="AQ37" s="233"/>
      <c r="AR37" s="158"/>
      <c r="AS37" s="161"/>
      <c r="AT37" s="161"/>
      <c r="AU37" s="146"/>
      <c r="AV37" s="146"/>
      <c r="AW37" s="166"/>
      <c r="AX37" s="151"/>
      <c r="AY37" s="168"/>
      <c r="AZ37" s="173"/>
      <c r="BA37" s="173"/>
      <c r="BB37" s="184"/>
      <c r="BC37" s="169"/>
      <c r="BD37" s="169"/>
      <c r="BE37" s="169"/>
      <c r="BF37" s="169"/>
    </row>
    <row r="38">
      <c r="A38" s="79">
        <v>35.0</v>
      </c>
      <c r="B38" s="188"/>
      <c r="C38" s="115"/>
      <c r="D38" s="110"/>
      <c r="E38" s="110"/>
      <c r="F38" s="107"/>
      <c r="G38" s="113"/>
      <c r="H38" s="114"/>
      <c r="I38" s="194"/>
      <c r="J38" s="122"/>
      <c r="K38" s="121"/>
      <c r="L38" s="119"/>
      <c r="M38" s="119"/>
      <c r="N38" s="119"/>
      <c r="O38" s="124"/>
      <c r="P38" s="124"/>
      <c r="Q38" s="236"/>
      <c r="R38" s="125"/>
      <c r="S38" s="126"/>
      <c r="T38" s="127"/>
      <c r="U38" s="129" t="str">
        <f t="shared" si="1"/>
        <v/>
      </c>
      <c r="V38" s="170"/>
      <c r="W38" s="170"/>
      <c r="X38" s="170"/>
      <c r="Y38" s="131"/>
      <c r="Z38" s="232"/>
      <c r="AA38" s="133"/>
      <c r="AB38" s="133"/>
      <c r="AC38" s="171"/>
      <c r="AD38" s="171"/>
      <c r="AE38" s="171"/>
      <c r="AF38" s="122"/>
      <c r="AG38" s="147"/>
      <c r="AH38" s="73"/>
      <c r="AI38" s="135"/>
      <c r="AJ38" s="136"/>
      <c r="AK38" s="76"/>
      <c r="AL38" s="135"/>
      <c r="AM38" s="139" t="s">
        <v>71</v>
      </c>
      <c r="AN38" s="139"/>
      <c r="AO38" s="154"/>
      <c r="AP38" s="233"/>
      <c r="AQ38" s="233"/>
      <c r="AR38" s="158"/>
      <c r="AS38" s="161"/>
      <c r="AT38" s="161"/>
      <c r="AU38" s="146"/>
      <c r="AV38" s="146"/>
      <c r="AW38" s="166"/>
      <c r="AX38" s="151"/>
      <c r="AY38" s="168"/>
      <c r="AZ38" s="173"/>
      <c r="BA38" s="173"/>
      <c r="BB38" s="184"/>
      <c r="BC38" s="169"/>
      <c r="BD38" s="169"/>
      <c r="BE38" s="169"/>
      <c r="BF38" s="169"/>
    </row>
    <row r="39">
      <c r="A39" s="79">
        <v>36.0</v>
      </c>
      <c r="B39" s="188"/>
      <c r="C39" s="115"/>
      <c r="D39" s="110"/>
      <c r="E39" s="110"/>
      <c r="F39" s="107"/>
      <c r="G39" s="113"/>
      <c r="H39" s="114"/>
      <c r="I39" s="194"/>
      <c r="J39" s="122"/>
      <c r="K39" s="121"/>
      <c r="L39" s="119"/>
      <c r="M39" s="119"/>
      <c r="N39" s="119"/>
      <c r="O39" s="124"/>
      <c r="P39" s="124"/>
      <c r="Q39" s="236"/>
      <c r="R39" s="125"/>
      <c r="S39" s="126"/>
      <c r="T39" s="127"/>
      <c r="U39" s="129" t="str">
        <f t="shared" si="1"/>
        <v/>
      </c>
      <c r="V39" s="170"/>
      <c r="W39" s="170"/>
      <c r="X39" s="170"/>
      <c r="Y39" s="131"/>
      <c r="Z39" s="232"/>
      <c r="AA39" s="133"/>
      <c r="AB39" s="133"/>
      <c r="AC39" s="171"/>
      <c r="AD39" s="171"/>
      <c r="AE39" s="171"/>
      <c r="AF39" s="122"/>
      <c r="AG39" s="147"/>
      <c r="AH39" s="73"/>
      <c r="AI39" s="135"/>
      <c r="AJ39" s="136"/>
      <c r="AK39" s="76"/>
      <c r="AL39" s="135"/>
      <c r="AM39" s="139" t="s">
        <v>71</v>
      </c>
      <c r="AN39" s="139"/>
      <c r="AO39" s="154"/>
      <c r="AP39" s="233"/>
      <c r="AQ39" s="233"/>
      <c r="AR39" s="158"/>
      <c r="AS39" s="161"/>
      <c r="AT39" s="161"/>
      <c r="AU39" s="146"/>
      <c r="AV39" s="146"/>
      <c r="AW39" s="166"/>
      <c r="AX39" s="151"/>
      <c r="AY39" s="168"/>
      <c r="AZ39" s="173"/>
      <c r="BA39" s="173"/>
      <c r="BB39" s="184"/>
      <c r="BC39" s="169"/>
      <c r="BD39" s="169"/>
      <c r="BE39" s="169"/>
      <c r="BF39" s="169"/>
    </row>
    <row r="40">
      <c r="A40" s="79">
        <v>37.0</v>
      </c>
      <c r="B40" s="188"/>
      <c r="C40" s="115"/>
      <c r="D40" s="110"/>
      <c r="E40" s="110"/>
      <c r="F40" s="107"/>
      <c r="G40" s="113"/>
      <c r="H40" s="114"/>
      <c r="I40" s="194"/>
      <c r="J40" s="122"/>
      <c r="K40" s="121"/>
      <c r="L40" s="119"/>
      <c r="M40" s="119"/>
      <c r="N40" s="119"/>
      <c r="O40" s="124"/>
      <c r="P40" s="124"/>
      <c r="Q40" s="236"/>
      <c r="R40" s="125"/>
      <c r="S40" s="126"/>
      <c r="T40" s="127"/>
      <c r="U40" s="129" t="str">
        <f t="shared" si="1"/>
        <v/>
      </c>
      <c r="V40" s="170"/>
      <c r="W40" s="170"/>
      <c r="X40" s="170"/>
      <c r="Y40" s="131"/>
      <c r="Z40" s="232"/>
      <c r="AA40" s="133"/>
      <c r="AB40" s="133"/>
      <c r="AC40" s="171"/>
      <c r="AD40" s="171"/>
      <c r="AE40" s="171"/>
      <c r="AF40" s="122"/>
      <c r="AG40" s="147"/>
      <c r="AH40" s="73"/>
      <c r="AI40" s="135"/>
      <c r="AJ40" s="136"/>
      <c r="AK40" s="76"/>
      <c r="AL40" s="135"/>
      <c r="AM40" s="139" t="s">
        <v>71</v>
      </c>
      <c r="AN40" s="139"/>
      <c r="AO40" s="154"/>
      <c r="AP40" s="233"/>
      <c r="AQ40" s="233"/>
      <c r="AR40" s="158"/>
      <c r="AS40" s="161"/>
      <c r="AT40" s="161"/>
      <c r="AU40" s="146"/>
      <c r="AV40" s="146"/>
      <c r="AW40" s="166"/>
      <c r="AX40" s="151"/>
      <c r="AY40" s="168"/>
      <c r="AZ40" s="173"/>
      <c r="BA40" s="173"/>
      <c r="BB40" s="184"/>
      <c r="BC40" s="169"/>
      <c r="BD40" s="169"/>
      <c r="BE40" s="169"/>
      <c r="BF40" s="169"/>
    </row>
    <row r="41">
      <c r="A41" s="79">
        <v>38.0</v>
      </c>
      <c r="B41" s="188"/>
      <c r="C41" s="115"/>
      <c r="D41" s="110"/>
      <c r="E41" s="110"/>
      <c r="F41" s="107"/>
      <c r="G41" s="113"/>
      <c r="H41" s="114"/>
      <c r="I41" s="194"/>
      <c r="J41" s="122"/>
      <c r="K41" s="121"/>
      <c r="L41" s="119"/>
      <c r="M41" s="119"/>
      <c r="N41" s="119"/>
      <c r="O41" s="124"/>
      <c r="P41" s="124"/>
      <c r="Q41" s="236"/>
      <c r="R41" s="125"/>
      <c r="S41" s="126"/>
      <c r="T41" s="127"/>
      <c r="U41" s="129" t="str">
        <f t="shared" si="1"/>
        <v/>
      </c>
      <c r="V41" s="170"/>
      <c r="W41" s="170"/>
      <c r="X41" s="170"/>
      <c r="Y41" s="131"/>
      <c r="Z41" s="232"/>
      <c r="AA41" s="133"/>
      <c r="AB41" s="133"/>
      <c r="AC41" s="171"/>
      <c r="AD41" s="171"/>
      <c r="AE41" s="171"/>
      <c r="AF41" s="122"/>
      <c r="AG41" s="147"/>
      <c r="AH41" s="73"/>
      <c r="AI41" s="135"/>
      <c r="AJ41" s="136"/>
      <c r="AK41" s="76"/>
      <c r="AL41" s="135"/>
      <c r="AM41" s="139" t="s">
        <v>71</v>
      </c>
      <c r="AN41" s="139"/>
      <c r="AO41" s="154"/>
      <c r="AP41" s="233"/>
      <c r="AQ41" s="233"/>
      <c r="AR41" s="158"/>
      <c r="AS41" s="161"/>
      <c r="AT41" s="161"/>
      <c r="AU41" s="146"/>
      <c r="AV41" s="146"/>
      <c r="AW41" s="166"/>
      <c r="AX41" s="151"/>
      <c r="AY41" s="168"/>
      <c r="AZ41" s="173"/>
      <c r="BA41" s="173"/>
      <c r="BB41" s="184"/>
      <c r="BC41" s="169"/>
      <c r="BD41" s="169"/>
      <c r="BE41" s="169"/>
      <c r="BF41" s="169"/>
    </row>
  </sheetData>
  <mergeCells count="4">
    <mergeCell ref="AH1:AL1"/>
    <mergeCell ref="AC1:AF1"/>
    <mergeCell ref="AA1:AB1"/>
    <mergeCell ref="AU1:BA1"/>
  </mergeCells>
  <conditionalFormatting sqref="AZ4:AZ41">
    <cfRule type="expression" dxfId="0" priority="1">
      <formula>AZ4&lt;&gt;BA4</formula>
    </cfRule>
  </conditionalFormatting>
  <conditionalFormatting sqref="AX4:AX41">
    <cfRule type="notContainsBlanks" dxfId="0" priority="2">
      <formula>LEN(TRIM(AX4))&gt;0</formula>
    </cfRule>
  </conditionalFormatting>
  <conditionalFormatting sqref="A4:AX41">
    <cfRule type="expression" dxfId="1" priority="3">
      <formula>$AX4="Data changed"</formula>
    </cfRule>
  </conditionalFormatting>
  <conditionalFormatting sqref="AT4:AT41">
    <cfRule type="colorScale" priority="4">
      <colorScale>
        <cfvo type="formula" val="0"/>
        <cfvo type="formula" val="0.005"/>
        <cfvo type="max"/>
        <color rgb="FFFFFFFF"/>
        <color rgb="FF89F282"/>
        <color rgb="FF12E504"/>
      </colorScale>
    </cfRule>
  </conditionalFormatting>
  <conditionalFormatting sqref="U1:U41">
    <cfRule type="cellIs" dxfId="0" priority="5" operator="greaterThanOrEqual">
      <formula>1</formula>
    </cfRule>
  </conditionalFormatting>
  <conditionalFormatting sqref="H:H">
    <cfRule type="colorScale" priority="6">
      <colorScale>
        <cfvo type="min"/>
        <cfvo type="formula" val="300"/>
        <cfvo type="formula" val="350"/>
        <color rgb="FFFFFFFF"/>
        <color rgb="FF3C78D8"/>
        <color rgb="FFFF0000"/>
      </colorScale>
    </cfRule>
  </conditionalFormatting>
  <conditionalFormatting sqref="H:H">
    <cfRule type="containsText" dxfId="2" priority="7" operator="containsText" text="wrong">
      <formula>NOT(ISERROR(SEARCH(("wrong"),(H1))))</formula>
    </cfRule>
  </conditionalFormatting>
  <conditionalFormatting sqref="S:S AK:AK">
    <cfRule type="colorScale" priority="8">
      <colorScale>
        <cfvo type="min"/>
        <cfvo type="max"/>
        <color rgb="FF9CFF00"/>
        <color rgb="FF12E504"/>
      </colorScale>
    </cfRule>
  </conditionalFormatting>
  <conditionalFormatting sqref="E4:E41">
    <cfRule type="expression" dxfId="0" priority="9">
      <formula>AND(E4&lt;&gt;"",E4&lt;D4)</formula>
    </cfRule>
  </conditionalFormatting>
  <conditionalFormatting sqref="M4:N41">
    <cfRule type="expression" dxfId="3" priority="10">
      <formula>$L4="No"</formula>
    </cfRule>
  </conditionalFormatting>
  <dataValidations>
    <dataValidation type="list" allowBlank="1" showErrorMessage="1" sqref="M4:M41">
      <formula1>Administrative!$AA$40:$AA$64</formula1>
    </dataValidation>
    <dataValidation type="list" allowBlank="1" showErrorMessage="1" sqref="L4:L41 AY4:AY41">
      <formula1>"Yes,No"</formula1>
    </dataValidation>
    <dataValidation type="decimal" allowBlank="1" showInputMessage="1" showErrorMessage="1" prompt="Enter a number between 200 and 1000" sqref="AA4:AA41">
      <formula1>200.0</formula1>
      <formula2>1000.0</formula2>
    </dataValidation>
    <dataValidation type="decimal" allowBlank="1" showErrorMessage="1" sqref="I4:I41 Q4:Q41">
      <formula1>1.0</formula1>
      <formula2>1000.0</formula2>
    </dataValidation>
    <dataValidation type="decimal" allowBlank="1" showErrorMessage="1" sqref="G4:G41">
      <formula1>0.0</formula1>
      <formula2>1000000.0</formula2>
    </dataValidation>
    <dataValidation type="list" allowBlank="1" showErrorMessage="1" sqref="F4:F41">
      <formula1>Administrative!$L$5:$L$73</formula1>
    </dataValidation>
    <dataValidation type="list" allowBlank="1" showErrorMessage="1" sqref="Y4:Y41">
      <formula1>Administrative!$Z$5:$Z$23</formula1>
    </dataValidation>
    <dataValidation type="list" allowBlank="1" sqref="C4:C41">
      <formula1>Administrative!$M$1:$P$1</formula1>
    </dataValidation>
    <dataValidation type="list" allowBlank="1" showErrorMessage="1" sqref="J4:J41 AB4:AB41 AF4:AF41">
      <formula1>"On,Off"</formula1>
    </dataValidation>
    <dataValidation type="list" allowBlank="1" showErrorMessage="1" sqref="V4:X41">
      <formula1>Administrative!$X$5:$X$23</formula1>
    </dataValidation>
  </dataValidations>
  <drawing r:id="rId1"/>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18.57"/>
    <col customWidth="1" min="2" max="2" width="13.29"/>
    <col customWidth="1" min="3" max="3" width="4.0"/>
    <col customWidth="1" min="4" max="4" width="13.29"/>
    <col customWidth="1" min="5" max="5" width="4.0"/>
    <col customWidth="1" min="6" max="6" width="11.14"/>
    <col customWidth="1" min="7" max="7" width="4.0"/>
    <col customWidth="1" min="8" max="8" width="12.57"/>
    <col customWidth="1" min="9" max="9" width="4.0"/>
    <col customWidth="1" min="10" max="11" width="14.57"/>
    <col customWidth="1" min="12" max="16" width="5.71"/>
    <col customWidth="1" min="17" max="17" width="39.29"/>
    <col customWidth="1" min="18" max="19" width="14.14"/>
    <col customWidth="1" min="29" max="30" width="15.14"/>
  </cols>
  <sheetData>
    <row r="1" ht="25.5" customHeight="1">
      <c r="A1" s="239"/>
      <c r="B1" s="240" t="s">
        <v>793</v>
      </c>
      <c r="C1" s="28"/>
      <c r="D1" s="28"/>
      <c r="E1" s="28"/>
      <c r="F1" s="240" t="s">
        <v>797</v>
      </c>
      <c r="G1" s="28"/>
      <c r="H1" s="28"/>
      <c r="I1" s="28"/>
      <c r="J1" s="241" t="s">
        <v>799</v>
      </c>
      <c r="K1" s="24"/>
      <c r="L1" s="241" t="s">
        <v>801</v>
      </c>
      <c r="M1" s="28"/>
      <c r="N1" s="28"/>
      <c r="O1" s="24"/>
      <c r="Q1" s="242" t="s">
        <v>802</v>
      </c>
      <c r="R1" s="24"/>
      <c r="AC1" s="243" t="str">
        <f>A1&amp;"|"&amp;B1&amp;"|"&amp;C1&amp;"|"&amp;D1&amp;"|"&amp;E1&amp;"|"&amp;F1&amp;"|"&amp;G1&amp;"|"&amp;H1&amp;"|"&amp;I1&amp;"|"&amp;J1&amp;"|"&amp;K1&amp;"|"&amp;L1&amp;"|"&amp;Q1&amp;"|"&amp;R1&amp;"|"</f>
        <v>|EPA Rated Range
(based on EPA 5-cycle test)||||Typical Range||||Old EPA rated range if different than current one||Design studio screenshots|Range units Tesla Model S&amp;X displays||</v>
      </c>
      <c r="AD1" s="244" t="s">
        <v>807</v>
      </c>
      <c r="AE1" s="245" t="str">
        <f t="shared" ref="AE1:AE3" si="1">IF(AC1=AD1,,"data changed")</f>
        <v/>
      </c>
      <c r="AF1" s="246" t="s">
        <v>51</v>
      </c>
      <c r="AG1" s="247" t="str">
        <f>IFERROR(__xludf.DUMMYFUNCTION("IFERROR(TRANSPOSE(SPLIT(INDEX(AC2:AF61,MATCH(""Yes"",AF2:AF61,0),1),""|"",True)))"),"")</f>
        <v/>
      </c>
      <c r="AH1" s="247" t="str">
        <f>IFERROR(__xludf.DUMMYFUNCTION("IFERROR(TRANSPOSE(SPLIT(INDEX(AC2:AF61,MATCH(""Yes"",AF2:AF61,0),2),""|"",True)))"),"")</f>
        <v/>
      </c>
    </row>
    <row r="2" ht="16.5" customHeight="1">
      <c r="A2" s="248"/>
      <c r="B2" s="249" t="s">
        <v>814</v>
      </c>
      <c r="C2" s="249"/>
      <c r="D2" s="250" t="s">
        <v>818</v>
      </c>
      <c r="E2" s="250"/>
      <c r="F2" s="251" t="s">
        <v>814</v>
      </c>
      <c r="G2" s="252"/>
      <c r="H2" s="253" t="s">
        <v>818</v>
      </c>
      <c r="I2" s="253"/>
      <c r="J2" s="249" t="s">
        <v>814</v>
      </c>
      <c r="K2" s="250" t="s">
        <v>818</v>
      </c>
      <c r="L2" s="254"/>
      <c r="M2" s="255"/>
      <c r="N2" s="255"/>
      <c r="O2" s="255"/>
      <c r="Q2" s="256" t="s">
        <v>823</v>
      </c>
      <c r="R2" s="256" t="s">
        <v>824</v>
      </c>
      <c r="AC2" s="243" t="str">
        <f t="shared" ref="AC2:AC61" si="2">A2&amp;"|"&amp;B2&amp;"|"&amp;C2&amp;"|"&amp;D2&amp;"|"&amp;E2&amp;"|"&amp;F2&amp;"|"&amp;G2&amp;"|"&amp;H2&amp;"|"&amp;I2&amp;"|"&amp;J2&amp;"|"&amp;K2&amp;"|"&amp;L2&amp;"|"&amp;M2&amp;"|"&amp;N2&amp;"|"</f>
        <v>|Miles||Kilometres||Miles||Kilometres||Miles|Kilometres||||</v>
      </c>
      <c r="AD2" s="243" t="s">
        <v>827</v>
      </c>
      <c r="AE2" s="245" t="str">
        <f t="shared" si="1"/>
        <v/>
      </c>
      <c r="AF2" s="257"/>
      <c r="AG2" s="247"/>
      <c r="AH2" s="247"/>
    </row>
    <row r="3" ht="16.5" customHeight="1">
      <c r="A3" s="258" t="s">
        <v>109</v>
      </c>
      <c r="B3" s="259">
        <f>HYPERLINK("http://i.imgur.com/XDlwDbT.gif",210)</f>
        <v>210</v>
      </c>
      <c r="C3" s="260" t="str">
        <f t="shared" ref="C3:C25" si="3">if(isnumber(B3),"1*","")</f>
        <v>1*</v>
      </c>
      <c r="D3" s="261">
        <f>HYPERLINK("http://i.imgur.com/vtxCdya.gif",338)</f>
        <v>338</v>
      </c>
      <c r="E3" s="262" t="str">
        <f t="shared" ref="E3:E25" si="4">if(isnumber(D3),"1*","")</f>
        <v>1*</v>
      </c>
      <c r="F3" s="263">
        <f>vlookup(A3,Administrative!$L$5:$P$73,4,0)</f>
        <v>180</v>
      </c>
      <c r="G3" s="251" t="str">
        <f t="shared" ref="G3:G25" si="5">if(isnumber(F3),"2*","")</f>
        <v>2*</v>
      </c>
      <c r="H3" s="264">
        <f>vlookup(A3,Administrative!$L$5:$P$73,5,0)</f>
        <v>289</v>
      </c>
      <c r="I3" s="265" t="str">
        <f t="shared" ref="I3:I25" si="6">if(isnumber(H3),"2*","")</f>
        <v>2*</v>
      </c>
      <c r="J3" s="266">
        <f>HYPERLINK("http://www.fueleconomy.gov/feg/Find.do?action=sbs&amp;id=34776",208)</f>
        <v>208</v>
      </c>
      <c r="K3" s="267">
        <f>HYPERLINK("http://i.imgur.com/LjbNfjt.gif",335)</f>
        <v>335</v>
      </c>
      <c r="L3" s="268" t="str">
        <f>HYPERLINK("http://i.imgur.com/XDlwDbT.gif","4")</f>
        <v>4</v>
      </c>
      <c r="M3" s="255"/>
      <c r="N3" s="255"/>
      <c r="O3" s="255"/>
      <c r="Q3" s="269" t="s">
        <v>857</v>
      </c>
      <c r="R3" s="270" t="s">
        <v>858</v>
      </c>
      <c r="AC3" s="243" t="str">
        <f t="shared" si="2"/>
        <v>Model S 60|210|1*|338|1*|180|2*|289|2*|208|335|4|||</v>
      </c>
      <c r="AD3" s="243" t="s">
        <v>861</v>
      </c>
      <c r="AE3" s="245" t="str">
        <f t="shared" si="1"/>
        <v/>
      </c>
      <c r="AF3" s="257"/>
      <c r="AG3" s="247"/>
      <c r="AH3" s="247"/>
    </row>
    <row r="4" ht="16.5" customHeight="1">
      <c r="A4" s="258" t="s">
        <v>250</v>
      </c>
      <c r="B4" s="259">
        <f>HYPERLINK("http://i.imgur.com/hV5MnFS.gif",218)</f>
        <v>218</v>
      </c>
      <c r="C4" s="260" t="str">
        <f t="shared" si="3"/>
        <v>1*</v>
      </c>
      <c r="D4" s="261">
        <f>HYPERLINK("http://i.imgur.com/yZj2BoW.gif",351)</f>
        <v>351</v>
      </c>
      <c r="E4" s="262" t="str">
        <f t="shared" si="4"/>
        <v>1*</v>
      </c>
      <c r="F4" s="263">
        <f>vlookup(A4,Administrative!$L$5:$P$73,4,0)</f>
        <v>207</v>
      </c>
      <c r="G4" s="251" t="str">
        <f t="shared" si="5"/>
        <v>2*</v>
      </c>
      <c r="H4" s="264">
        <f>vlookup(A4,Administrative!$L$5:$P$73,5,0)</f>
        <v>333</v>
      </c>
      <c r="I4" s="265" t="str">
        <f t="shared" si="6"/>
        <v>2*</v>
      </c>
      <c r="J4" s="271"/>
      <c r="K4" s="272"/>
      <c r="L4" s="268">
        <f>HYPERLINK("http://i.imgur.com/nxkleq5.jpg",1)</f>
        <v>1</v>
      </c>
      <c r="M4" s="268" t="str">
        <f>HYPERLINK("http://i.imgur.com/hV5MnFS.gif","5")</f>
        <v>5</v>
      </c>
      <c r="N4" s="255"/>
      <c r="O4" s="255"/>
      <c r="Q4" s="270" t="s">
        <v>867</v>
      </c>
      <c r="R4" s="269" t="s">
        <v>868</v>
      </c>
      <c r="AC4" s="243" t="str">
        <f t="shared" si="2"/>
        <v>Model S 60D|218|1*|351|1*|207|2*|333|2*|||1|5||</v>
      </c>
      <c r="AD4" s="243" t="s">
        <v>869</v>
      </c>
      <c r="AE4" s="245"/>
      <c r="AF4" s="257"/>
      <c r="AG4" s="247"/>
      <c r="AH4" s="247"/>
    </row>
    <row r="5" ht="16.5" customHeight="1">
      <c r="A5" s="258" t="s">
        <v>870</v>
      </c>
      <c r="B5" s="259">
        <f>HYPERLINK("http://www.fueleconomy.gov/feg/Find.do?action=sbs&amp;id=37233",234)</f>
        <v>234</v>
      </c>
      <c r="C5" s="260" t="str">
        <f t="shared" si="3"/>
        <v>1*</v>
      </c>
      <c r="D5" s="273">
        <v>370.0</v>
      </c>
      <c r="E5" s="262" t="str">
        <f t="shared" si="4"/>
        <v>1*</v>
      </c>
      <c r="F5" s="263">
        <f>vlookup(A5,Administrative!$L$5:$P$73,4,0)</f>
        <v>224</v>
      </c>
      <c r="G5" s="251" t="str">
        <f t="shared" si="5"/>
        <v>2*</v>
      </c>
      <c r="H5" s="264">
        <f>vlookup(A5,Administrative!$L$5:$P$73,5,0)</f>
        <v>360</v>
      </c>
      <c r="I5" s="265" t="str">
        <f t="shared" si="6"/>
        <v>2*</v>
      </c>
      <c r="J5" s="274"/>
      <c r="K5" s="274"/>
      <c r="L5" s="254"/>
      <c r="M5" s="255"/>
      <c r="N5" s="255"/>
      <c r="O5" s="255"/>
      <c r="Q5" s="275"/>
      <c r="R5" s="275"/>
      <c r="AC5" s="243" t="str">
        <f t="shared" si="2"/>
        <v>Model S 70|234|1*|370|1*|224|2*|360|2*||||||</v>
      </c>
      <c r="AD5" s="243" t="s">
        <v>874</v>
      </c>
      <c r="AE5" s="245" t="str">
        <f t="shared" ref="AE5:AE25" si="7">IF(AC5=AD5,,"data changed")</f>
        <v/>
      </c>
      <c r="AF5" s="257"/>
      <c r="AG5" s="247"/>
      <c r="AH5" s="247"/>
    </row>
    <row r="6" ht="16.5" customHeight="1">
      <c r="A6" s="258" t="s">
        <v>118</v>
      </c>
      <c r="B6" s="259">
        <f>HYPERLINK("http://i.imgur.com/n7kJAE1.gif",240)</f>
        <v>240</v>
      </c>
      <c r="C6" s="260" t="str">
        <f t="shared" si="3"/>
        <v>1*</v>
      </c>
      <c r="D6" s="261">
        <f>HYPERLINK("http://i.imgur.com/RLCXUQi.gif",385)</f>
        <v>385</v>
      </c>
      <c r="E6" s="262" t="str">
        <f t="shared" si="4"/>
        <v>1*</v>
      </c>
      <c r="F6" s="263">
        <f>vlookup(A6,Administrative!$L$5:$P$73,4,0)</f>
        <v>227</v>
      </c>
      <c r="G6" s="251" t="str">
        <f t="shared" si="5"/>
        <v>2*</v>
      </c>
      <c r="H6" s="264">
        <f>vlookup(A6,Administrative!$L$5:$P$73,5,0)</f>
        <v>365</v>
      </c>
      <c r="I6" s="265" t="str">
        <f t="shared" si="6"/>
        <v>2*</v>
      </c>
      <c r="J6" s="274"/>
      <c r="K6" s="274"/>
      <c r="L6" s="268">
        <f>HYPERLINK("http://i.imgur.com/OEpPQpQ.jpg",2)</f>
        <v>2</v>
      </c>
      <c r="M6" s="268" t="str">
        <f>HYPERLINK("http://i.imgur.com/x94onzU.jpg","3")</f>
        <v>3</v>
      </c>
      <c r="N6" s="276">
        <f>HYPERLINK("http://i.imgur.com/n7kJAE1.gif",6)</f>
        <v>6</v>
      </c>
      <c r="O6" s="255"/>
      <c r="Q6" s="277" t="s">
        <v>880</v>
      </c>
      <c r="R6" s="278"/>
      <c r="AC6" s="243" t="str">
        <f t="shared" si="2"/>
        <v>Model S 70D|240|1*|385|1*|227|2*|365|2*|||2|3|6|</v>
      </c>
      <c r="AD6" s="243" t="s">
        <v>881</v>
      </c>
      <c r="AE6" s="245" t="str">
        <f t="shared" si="7"/>
        <v/>
      </c>
      <c r="AF6" s="257"/>
      <c r="AG6" s="247"/>
      <c r="AH6" s="247"/>
    </row>
    <row r="7" ht="16.5" customHeight="1">
      <c r="A7" s="258" t="s">
        <v>629</v>
      </c>
      <c r="B7" s="259">
        <f>HYPERLINK("http://i.imgur.com/XDlwDbT.gif",249)</f>
        <v>249</v>
      </c>
      <c r="C7" s="260" t="str">
        <f t="shared" si="3"/>
        <v>1*</v>
      </c>
      <c r="D7" s="261">
        <f>HYPERLINK("http://i.imgur.com/vtxCdya.gif",400)</f>
        <v>400</v>
      </c>
      <c r="E7" s="262" t="str">
        <f t="shared" si="4"/>
        <v>1*</v>
      </c>
      <c r="F7" s="263">
        <f>vlookup(A7,Administrative!$L$5:$P$73,4,0)</f>
        <v>240</v>
      </c>
      <c r="G7" s="251" t="str">
        <f t="shared" si="5"/>
        <v>2*</v>
      </c>
      <c r="H7" s="264">
        <f>vlookup(A7,Administrative!$L$5:$P$73,5,0)</f>
        <v>386</v>
      </c>
      <c r="I7" s="265" t="str">
        <f t="shared" si="6"/>
        <v>2*</v>
      </c>
      <c r="J7" s="274"/>
      <c r="K7" s="274"/>
      <c r="L7" s="268" t="str">
        <f>HYPERLINK("http://i.imgur.com/XDlwDbT.gif","4")</f>
        <v>4</v>
      </c>
      <c r="M7" s="255"/>
      <c r="N7" s="255"/>
      <c r="O7" s="255"/>
      <c r="Q7" s="279" t="s">
        <v>886</v>
      </c>
      <c r="R7" s="280"/>
      <c r="AC7" s="243" t="str">
        <f t="shared" si="2"/>
        <v>Model S 75|249|1*|400|1*|240|2*|386|2*|||4|||</v>
      </c>
      <c r="AD7" s="243" t="s">
        <v>887</v>
      </c>
      <c r="AE7" s="245" t="str">
        <f t="shared" si="7"/>
        <v/>
      </c>
      <c r="AF7" s="257"/>
      <c r="AG7" s="247"/>
      <c r="AH7" s="247"/>
    </row>
    <row r="8" ht="16.5" customHeight="1">
      <c r="A8" s="258" t="s">
        <v>675</v>
      </c>
      <c r="B8" s="259">
        <f>HYPERLINK("http://imgur.com/hV5MnFS",259)</f>
        <v>259</v>
      </c>
      <c r="C8" s="260" t="str">
        <f t="shared" si="3"/>
        <v>1*</v>
      </c>
      <c r="D8" s="261">
        <f>HYPERLINK("http://i.imgur.com/yZj2BoW.gif",416)</f>
        <v>416</v>
      </c>
      <c r="E8" s="262" t="str">
        <f t="shared" si="4"/>
        <v>1*</v>
      </c>
      <c r="F8" s="263">
        <f>vlookup(A8,Administrative!$L$5:$P$73,4,0)</f>
        <v>241</v>
      </c>
      <c r="G8" s="251" t="str">
        <f t="shared" si="5"/>
        <v>2*</v>
      </c>
      <c r="H8" s="264">
        <f>vlookup(A8,Administrative!$L$5:$P$73,5,0)</f>
        <v>388</v>
      </c>
      <c r="I8" s="265" t="str">
        <f t="shared" si="6"/>
        <v>2*</v>
      </c>
      <c r="J8" s="274"/>
      <c r="K8" s="274"/>
      <c r="L8" s="268" t="str">
        <f>HYPERLINK("http://i.imgur.com/hV5MnFS.gif","5")</f>
        <v>5</v>
      </c>
      <c r="M8" s="254"/>
      <c r="N8" s="254"/>
      <c r="O8" s="255"/>
      <c r="AC8" s="243" t="str">
        <f t="shared" si="2"/>
        <v>Model S 75D|259|1*|416|1*|241|2*|388|2*|||5|||</v>
      </c>
      <c r="AD8" s="243" t="s">
        <v>891</v>
      </c>
      <c r="AE8" s="245" t="str">
        <f t="shared" si="7"/>
        <v/>
      </c>
      <c r="AF8" s="257"/>
      <c r="AG8" s="247"/>
      <c r="AH8" s="247"/>
    </row>
    <row r="9" ht="16.5" customHeight="1">
      <c r="A9" s="258" t="s">
        <v>59</v>
      </c>
      <c r="B9" s="259">
        <f t="shared" ref="B9:B11" si="8">HYPERLINK("http://www.fueleconomy.gov/feg/Find.do?action=sbs&amp;id=37234",265)</f>
        <v>265</v>
      </c>
      <c r="C9" s="260" t="str">
        <f t="shared" si="3"/>
        <v>1*</v>
      </c>
      <c r="D9" s="261">
        <f t="shared" ref="D9:D11" si="9">HYPERLINK("http://i.imgur.com/LjbNfjt.gif",425)</f>
        <v>425</v>
      </c>
      <c r="E9" s="262" t="str">
        <f t="shared" si="4"/>
        <v>1*</v>
      </c>
      <c r="F9" s="263">
        <f>vlookup(A9,Administrative!$L$5:$P$73,4,0)</f>
        <v>248</v>
      </c>
      <c r="G9" s="251" t="str">
        <f t="shared" si="5"/>
        <v>2*</v>
      </c>
      <c r="H9" s="264">
        <f>vlookup(A9,Administrative!$L$5:$P$73,5,0)</f>
        <v>399</v>
      </c>
      <c r="I9" s="265" t="str">
        <f t="shared" si="6"/>
        <v>2*</v>
      </c>
      <c r="J9" s="274"/>
      <c r="K9" s="274"/>
      <c r="L9" s="268">
        <f>HYPERLINK("http://i.imgur.com/OEpPQpQ.jpg",2)</f>
        <v>2</v>
      </c>
      <c r="M9" s="254"/>
      <c r="N9" s="254"/>
      <c r="O9" s="255"/>
      <c r="AC9" s="243" t="str">
        <f t="shared" si="2"/>
        <v>Model S 85|265|1*|425|1*|248|2*|399|2*|||2|||</v>
      </c>
      <c r="AD9" s="243" t="s">
        <v>893</v>
      </c>
      <c r="AE9" s="245" t="str">
        <f t="shared" si="7"/>
        <v/>
      </c>
      <c r="AF9" s="257"/>
      <c r="AG9" s="247"/>
      <c r="AH9" s="247"/>
    </row>
    <row r="10" ht="16.5" customHeight="1">
      <c r="A10" s="258" t="s">
        <v>79</v>
      </c>
      <c r="B10" s="259">
        <f t="shared" si="8"/>
        <v>265</v>
      </c>
      <c r="C10" s="260" t="str">
        <f t="shared" si="3"/>
        <v>1*</v>
      </c>
      <c r="D10" s="261">
        <f t="shared" si="9"/>
        <v>425</v>
      </c>
      <c r="E10" s="262" t="str">
        <f t="shared" si="4"/>
        <v>1*</v>
      </c>
      <c r="F10" s="263">
        <f>vlookup(A10,Administrative!$L$5:$P$73,4,0)</f>
        <v>248</v>
      </c>
      <c r="G10" s="251" t="str">
        <f t="shared" si="5"/>
        <v>2*</v>
      </c>
      <c r="H10" s="264">
        <f>vlookup(A10,Administrative!$L$5:$P$73,5,0)</f>
        <v>399</v>
      </c>
      <c r="I10" s="265" t="str">
        <f t="shared" si="6"/>
        <v>2*</v>
      </c>
      <c r="J10" s="274"/>
      <c r="K10" s="274"/>
      <c r="L10" s="254"/>
      <c r="M10" s="254"/>
      <c r="N10" s="254"/>
      <c r="O10" s="255"/>
      <c r="AC10" s="243" t="str">
        <f t="shared" si="2"/>
        <v>Model S P85|265|1*|425|1*|248|2*|399|2*||||||</v>
      </c>
      <c r="AD10" s="243" t="s">
        <v>895</v>
      </c>
      <c r="AE10" s="245" t="str">
        <f t="shared" si="7"/>
        <v/>
      </c>
      <c r="AF10" s="257"/>
      <c r="AG10" s="281"/>
      <c r="AH10" s="281"/>
    </row>
    <row r="11" ht="16.5" customHeight="1">
      <c r="A11" s="258" t="s">
        <v>57</v>
      </c>
      <c r="B11" s="259">
        <f t="shared" si="8"/>
        <v>265</v>
      </c>
      <c r="C11" s="260" t="str">
        <f t="shared" si="3"/>
        <v>1*</v>
      </c>
      <c r="D11" s="261">
        <f t="shared" si="9"/>
        <v>425</v>
      </c>
      <c r="E11" s="262" t="str">
        <f t="shared" si="4"/>
        <v>1*</v>
      </c>
      <c r="F11" s="263">
        <f>vlookup(A11,Administrative!$L$5:$P$73,4,0)</f>
        <v>248</v>
      </c>
      <c r="G11" s="251" t="str">
        <f t="shared" si="5"/>
        <v>2*</v>
      </c>
      <c r="H11" s="264">
        <f>vlookup(A11,Administrative!$L$5:$P$73,5,0)</f>
        <v>399</v>
      </c>
      <c r="I11" s="265" t="str">
        <f t="shared" si="6"/>
        <v>2*</v>
      </c>
      <c r="J11" s="274"/>
      <c r="K11" s="274"/>
      <c r="L11" s="255"/>
      <c r="M11" s="255"/>
      <c r="N11" s="255"/>
      <c r="O11" s="255"/>
      <c r="AC11" s="243" t="str">
        <f t="shared" si="2"/>
        <v>Model S P85+|265|1*|425|1*|248|2*|399|2*||||||</v>
      </c>
      <c r="AD11" s="243" t="s">
        <v>898</v>
      </c>
      <c r="AE11" s="245" t="str">
        <f t="shared" si="7"/>
        <v/>
      </c>
      <c r="AF11" s="257"/>
      <c r="AG11" s="247"/>
      <c r="AH11" s="247"/>
    </row>
    <row r="12" ht="16.5" customHeight="1">
      <c r="A12" s="258" t="s">
        <v>86</v>
      </c>
      <c r="B12" s="259">
        <f>HYPERLINK("http://www.fueleconomy.gov/feg/Find.do?action=sbs&amp;id=37239",270)</f>
        <v>270</v>
      </c>
      <c r="C12" s="260" t="str">
        <f t="shared" si="3"/>
        <v>1*</v>
      </c>
      <c r="D12" s="261">
        <f>HYPERLINK("http://i.imgur.com/LjbNfjt.gif",435)</f>
        <v>435</v>
      </c>
      <c r="E12" s="262" t="str">
        <f t="shared" si="4"/>
        <v>1*</v>
      </c>
      <c r="F12" s="263">
        <f>vlookup(A12,Administrative!$L$5:$P$73,4,0)</f>
        <v>267</v>
      </c>
      <c r="G12" s="251" t="str">
        <f t="shared" si="5"/>
        <v>2*</v>
      </c>
      <c r="H12" s="264">
        <f>vlookup(A12,Administrative!$L$5:$P$73,5,0)</f>
        <v>430</v>
      </c>
      <c r="I12" s="265" t="str">
        <f t="shared" si="6"/>
        <v>2*</v>
      </c>
      <c r="J12" s="274"/>
      <c r="K12" s="274"/>
      <c r="L12" s="268">
        <f t="shared" ref="L12:L13" si="10">HYPERLINK("http://i.imgur.com/nxkleq5.jpg",1)</f>
        <v>1</v>
      </c>
      <c r="M12" s="268">
        <f t="shared" ref="M12:M13" si="11">HYPERLINK("http://i.imgur.com/OEpPQpQ.jpg",2)</f>
        <v>2</v>
      </c>
      <c r="N12" s="268" t="str">
        <f t="shared" ref="N12:N13" si="12">HYPERLINK("http://i.imgur.com/x94onzU.jpg","3")</f>
        <v>3</v>
      </c>
      <c r="O12" s="255"/>
      <c r="AC12" s="243" t="str">
        <f t="shared" si="2"/>
        <v>Model S 85D|270|1*|435|1*|267|2*|430|2*|||1|2|3|</v>
      </c>
      <c r="AD12" s="243" t="s">
        <v>902</v>
      </c>
      <c r="AE12" s="245" t="str">
        <f t="shared" si="7"/>
        <v/>
      </c>
      <c r="AF12" s="257"/>
      <c r="AG12" s="247"/>
      <c r="AH12" s="247"/>
    </row>
    <row r="13" ht="16.5" customHeight="1">
      <c r="A13" s="258" t="s">
        <v>90</v>
      </c>
      <c r="B13" s="259">
        <f>HYPERLINK("http://www.fueleconomy.gov/feg/Find.do?action=sbs&amp;id=37241",253)</f>
        <v>253</v>
      </c>
      <c r="C13" s="260" t="str">
        <f t="shared" si="3"/>
        <v>1*</v>
      </c>
      <c r="D13" s="261">
        <f>HYPERLINK("http://i.imgur.com/LjbNfjt.gif",405)</f>
        <v>405</v>
      </c>
      <c r="E13" s="262" t="str">
        <f t="shared" si="4"/>
        <v>1*</v>
      </c>
      <c r="F13" s="263">
        <f>vlookup(A13,Administrative!$L$5:$P$73,4,0)</f>
        <v>254</v>
      </c>
      <c r="G13" s="251" t="str">
        <f t="shared" si="5"/>
        <v>2*</v>
      </c>
      <c r="H13" s="264">
        <f>vlookup(A13,Administrative!$L$5:$P$73,5,0)</f>
        <v>408</v>
      </c>
      <c r="I13" s="265" t="str">
        <f t="shared" si="6"/>
        <v>2*</v>
      </c>
      <c r="J13" s="274"/>
      <c r="K13" s="274"/>
      <c r="L13" s="268">
        <f t="shared" si="10"/>
        <v>1</v>
      </c>
      <c r="M13" s="268">
        <f t="shared" si="11"/>
        <v>2</v>
      </c>
      <c r="N13" s="268" t="str">
        <f t="shared" si="12"/>
        <v>3</v>
      </c>
      <c r="O13" s="268" t="str">
        <f>HYPERLINK("https://i.imgur.com/LzFissD.jpg","10")</f>
        <v>10</v>
      </c>
      <c r="AC13" s="243" t="str">
        <f t="shared" si="2"/>
        <v>Model S P85D|253|1*|405|1*|254|2*|408|2*|||1|2|3|</v>
      </c>
      <c r="AD13" s="243" t="s">
        <v>907</v>
      </c>
      <c r="AE13" s="245" t="str">
        <f t="shared" si="7"/>
        <v/>
      </c>
      <c r="AF13" s="257"/>
      <c r="AG13" s="247"/>
      <c r="AH13" s="247"/>
    </row>
    <row r="14" ht="16.5" customHeight="1">
      <c r="A14" s="258" t="s">
        <v>319</v>
      </c>
      <c r="B14" s="282" t="s">
        <v>908</v>
      </c>
      <c r="C14" s="260" t="str">
        <f t="shared" si="3"/>
        <v/>
      </c>
      <c r="D14" s="273" t="s">
        <v>908</v>
      </c>
      <c r="E14" s="262" t="str">
        <f t="shared" si="4"/>
        <v/>
      </c>
      <c r="F14" s="263">
        <f>vlookup(A14,Administrative!$L$5:$P$73,4,0)</f>
        <v>264</v>
      </c>
      <c r="G14" s="251" t="str">
        <f t="shared" si="5"/>
        <v>2*</v>
      </c>
      <c r="H14" s="264">
        <f>vlookup(A14,Administrative!$L$5:$P$73,5,0)</f>
        <v>425</v>
      </c>
      <c r="I14" s="265" t="str">
        <f t="shared" si="6"/>
        <v>2*</v>
      </c>
      <c r="J14" s="274"/>
      <c r="K14" s="274"/>
      <c r="L14" s="254"/>
      <c r="M14" s="254"/>
      <c r="N14" s="254"/>
      <c r="O14" s="255"/>
      <c r="AC14" s="243" t="str">
        <f t="shared" si="2"/>
        <v>Model S 90|unknown||unknown||264|2*|425|2*||||||</v>
      </c>
      <c r="AD14" s="243" t="s">
        <v>910</v>
      </c>
      <c r="AE14" s="245" t="str">
        <f t="shared" si="7"/>
        <v/>
      </c>
      <c r="AF14" s="257"/>
      <c r="AG14" s="247"/>
      <c r="AH14" s="247"/>
    </row>
    <row r="15" ht="16.5" customHeight="1">
      <c r="A15" s="258" t="s">
        <v>305</v>
      </c>
      <c r="B15" s="259">
        <f>HYPERLINK("http://i.imgur.com/XDlwDbT.gif",294)</f>
        <v>294</v>
      </c>
      <c r="C15" s="260" t="str">
        <f t="shared" si="3"/>
        <v>1*</v>
      </c>
      <c r="D15" s="261">
        <f>HYPERLINK("http://i.imgur.com/vtxCdya.gif",473)</f>
        <v>473</v>
      </c>
      <c r="E15" s="262" t="str">
        <f t="shared" si="4"/>
        <v>1*</v>
      </c>
      <c r="F15" s="263">
        <f>vlookup(A15,Administrative!$L$5:$P$73,4,0)</f>
        <v>281</v>
      </c>
      <c r="G15" s="251" t="str">
        <f t="shared" si="5"/>
        <v>2*</v>
      </c>
      <c r="H15" s="264">
        <f>vlookup(A15,Administrative!$L$5:$P$73,5,0)</f>
        <v>452</v>
      </c>
      <c r="I15" s="265" t="str">
        <f t="shared" si="6"/>
        <v>2*</v>
      </c>
      <c r="J15" s="266">
        <f>HYPERLINK("http://i.imgur.com/n7kJAE1.gif",288)</f>
        <v>288</v>
      </c>
      <c r="K15" s="267">
        <f>HYPERLINK("http://i.imgur.com/RLCXUQi.gif",460)</f>
        <v>460</v>
      </c>
      <c r="L15" s="268" t="str">
        <f>HYPERLINK("http://i.imgur.com/XDlwDbT.gif","4")</f>
        <v>4</v>
      </c>
      <c r="M15" s="268" t="str">
        <f>HYPERLINK("http://i.imgur.com/hV5MnFS.gif","5")</f>
        <v>5</v>
      </c>
      <c r="N15" s="276">
        <f>HYPERLINK("http://i.imgur.com/n7kJAE1.gif",6)</f>
        <v>6</v>
      </c>
      <c r="O15" s="255"/>
      <c r="AC15" s="243" t="str">
        <f t="shared" si="2"/>
        <v>Model S 90D|294|1*|473|1*|281|2*|452|2*|288|460|4|5|6|</v>
      </c>
      <c r="AD15" s="243" t="s">
        <v>913</v>
      </c>
      <c r="AE15" s="245" t="str">
        <f t="shared" si="7"/>
        <v/>
      </c>
      <c r="AF15" s="257"/>
      <c r="AG15" s="247"/>
      <c r="AH15" s="247"/>
    </row>
    <row r="16" ht="16.5" customHeight="1">
      <c r="A16" s="258" t="s">
        <v>914</v>
      </c>
      <c r="B16" s="259">
        <f>HYPERLINK("http://www.fueleconomy.gov/feg/Find.do?action=sbs&amp;id=38640",335)</f>
        <v>335</v>
      </c>
      <c r="C16" s="260" t="str">
        <f t="shared" si="3"/>
        <v>1*</v>
      </c>
      <c r="D16" s="261">
        <f>HYPERLINK("https://i.imgur.com/F6ntLBF.gif",539)</f>
        <v>539</v>
      </c>
      <c r="E16" s="262" t="str">
        <f t="shared" si="4"/>
        <v>1*</v>
      </c>
      <c r="F16" s="263">
        <f>vlookup(A16,Administrative!$L$5:$P$73,4,0)</f>
        <v>327</v>
      </c>
      <c r="G16" s="251" t="str">
        <f t="shared" si="5"/>
        <v>2*</v>
      </c>
      <c r="H16" s="283">
        <f>vlookup(A16,Administrative!$L$5:$P$73,5,0)</f>
        <v>526</v>
      </c>
      <c r="I16" s="265" t="str">
        <f t="shared" si="6"/>
        <v>2*</v>
      </c>
      <c r="J16" s="271"/>
      <c r="K16" s="272"/>
      <c r="L16" s="254"/>
      <c r="M16" s="254"/>
      <c r="N16" s="254"/>
      <c r="O16" s="255"/>
      <c r="AC16" s="243" t="str">
        <f t="shared" si="2"/>
        <v>Model S 100D|335|1*|539|1*|327|2*|526|2*||||||</v>
      </c>
      <c r="AD16" s="243" t="s">
        <v>916</v>
      </c>
      <c r="AE16" s="245" t="str">
        <f t="shared" si="7"/>
        <v/>
      </c>
      <c r="AF16" s="257"/>
      <c r="AG16" s="247"/>
      <c r="AH16" s="247"/>
    </row>
    <row r="17" ht="16.5" customHeight="1">
      <c r="A17" s="258" t="s">
        <v>619</v>
      </c>
      <c r="B17" s="259">
        <f>HYPERLINK("http://i.imgur.com/n7kJAE1.gif",270)</f>
        <v>270</v>
      </c>
      <c r="C17" s="260" t="str">
        <f t="shared" si="3"/>
        <v>1*</v>
      </c>
      <c r="D17" s="261">
        <f>HYPERLINK("http://i.imgur.com/vtxCdya.gif",434)</f>
        <v>434</v>
      </c>
      <c r="E17" s="262" t="str">
        <f t="shared" si="4"/>
        <v>1*</v>
      </c>
      <c r="F17" s="263">
        <f>vlookup(A17,Administrative!$L$5:$P$73,4,0)</f>
        <v>259</v>
      </c>
      <c r="G17" s="251" t="str">
        <f t="shared" si="5"/>
        <v>2*</v>
      </c>
      <c r="H17" s="264">
        <f>vlookup(A17,Administrative!$L$5:$P$73,5,0)</f>
        <v>417</v>
      </c>
      <c r="I17" s="265" t="str">
        <f t="shared" si="6"/>
        <v>2*</v>
      </c>
      <c r="J17" s="274"/>
      <c r="K17" s="267">
        <f>HYPERLINK("http://i.imgur.com/RLCXUQi.gif",435)</f>
        <v>435</v>
      </c>
      <c r="L17" s="268" t="str">
        <f>HYPERLINK("http://i.imgur.com/XDlwDbT.gif","4")</f>
        <v>4</v>
      </c>
      <c r="M17" s="268" t="str">
        <f>HYPERLINK("http://i.imgur.com/hV5MnFS.gif","5")</f>
        <v>5</v>
      </c>
      <c r="N17" s="276">
        <f>HYPERLINK("http://i.imgur.com/n7kJAE1.gif",6)</f>
        <v>6</v>
      </c>
      <c r="O17" s="255"/>
      <c r="AC17" s="243" t="str">
        <f t="shared" si="2"/>
        <v>Model S P90D|270|1*|434|1*|259|2*|417|2*||435|4|5|6|</v>
      </c>
      <c r="AD17" s="243" t="s">
        <v>920</v>
      </c>
      <c r="AE17" s="245" t="str">
        <f t="shared" si="7"/>
        <v/>
      </c>
      <c r="AF17" s="257"/>
      <c r="AG17" s="247"/>
      <c r="AH17" s="247"/>
    </row>
    <row r="18" ht="16.5" customHeight="1">
      <c r="A18" s="258" t="s">
        <v>921</v>
      </c>
      <c r="B18" s="284">
        <f>HYPERLINK("http://www.fueleconomy.gov/feg/Find.do?action=sbs&amp;id=38525",315)</f>
        <v>315</v>
      </c>
      <c r="C18" s="260" t="str">
        <f t="shared" si="3"/>
        <v>1*</v>
      </c>
      <c r="D18" s="261">
        <f>HYPERLINK("https://i.imgur.com/F6ntLBF.gif",507)</f>
        <v>507</v>
      </c>
      <c r="E18" s="262" t="str">
        <f t="shared" si="4"/>
        <v>1*</v>
      </c>
      <c r="F18" s="263">
        <f>vlookup(A18,Administrative!$L$5:$P$73,4,0)</f>
        <v>303</v>
      </c>
      <c r="G18" s="251" t="str">
        <f t="shared" si="5"/>
        <v>2*</v>
      </c>
      <c r="H18" s="264">
        <f>vlookup(A18,Administrative!$L$5:$P$73,5,0)</f>
        <v>488</v>
      </c>
      <c r="I18" s="265" t="str">
        <f t="shared" si="6"/>
        <v>2*</v>
      </c>
      <c r="J18" s="274"/>
      <c r="K18" s="274"/>
      <c r="L18" s="254"/>
      <c r="M18" s="254"/>
      <c r="N18" s="254"/>
      <c r="O18" s="255"/>
      <c r="AC18" s="243" t="str">
        <f t="shared" si="2"/>
        <v>Model S P100D|315|1*|507|1*|303|2*|488|2*||||||</v>
      </c>
      <c r="AD18" s="243" t="s">
        <v>923</v>
      </c>
      <c r="AE18" s="245" t="str">
        <f t="shared" si="7"/>
        <v/>
      </c>
      <c r="AF18" s="257"/>
      <c r="AG18" s="247"/>
      <c r="AH18" s="247"/>
    </row>
    <row r="19" ht="16.5" customHeight="1">
      <c r="A19" s="258" t="s">
        <v>258</v>
      </c>
      <c r="B19" s="284">
        <f>HYPERLINK("http://i.imgur.com/dbFSdUF.gif",200)</f>
        <v>200</v>
      </c>
      <c r="C19" s="260" t="str">
        <f t="shared" si="3"/>
        <v>1*</v>
      </c>
      <c r="D19" s="261">
        <f>HYPERLINK("http://i.imgur.com/ObcSRNF.gif",321)</f>
        <v>321</v>
      </c>
      <c r="E19" s="262" t="str">
        <f t="shared" si="4"/>
        <v>1*</v>
      </c>
      <c r="F19" s="263" t="str">
        <f>vlookup(A19,Administrative!$L$5:$P$73,4,0)</f>
        <v>unknown</v>
      </c>
      <c r="G19" s="251" t="str">
        <f t="shared" si="5"/>
        <v/>
      </c>
      <c r="H19" s="264" t="str">
        <f>vlookup(A19,Administrative!$L$5:$P$73,5,0)</f>
        <v>unknown</v>
      </c>
      <c r="I19" s="265" t="str">
        <f t="shared" si="6"/>
        <v/>
      </c>
      <c r="J19" s="274"/>
      <c r="K19" s="274"/>
      <c r="L19" s="268" t="str">
        <f>HYPERLINK("http://i.imgur.com/dbFSdUF.gif","7")</f>
        <v>7</v>
      </c>
      <c r="M19" s="254"/>
      <c r="N19" s="254"/>
      <c r="O19" s="255"/>
      <c r="AC19" s="243" t="str">
        <f t="shared" si="2"/>
        <v>Model X 60D|200|1*|321|1*|unknown||unknown||||7|||</v>
      </c>
      <c r="AD19" s="243" t="s">
        <v>925</v>
      </c>
      <c r="AE19" s="245" t="str">
        <f t="shared" si="7"/>
        <v/>
      </c>
      <c r="AF19" s="257"/>
      <c r="AG19" s="247"/>
      <c r="AH19" s="247"/>
    </row>
    <row r="20" ht="16.5" customHeight="1">
      <c r="A20" s="258" t="s">
        <v>926</v>
      </c>
      <c r="B20" s="284">
        <f>HYPERLINK("http://i.imgur.com/qGNiwi7.gif",220)</f>
        <v>220</v>
      </c>
      <c r="C20" s="260" t="str">
        <f t="shared" si="3"/>
        <v>1*</v>
      </c>
      <c r="D20" s="273" t="s">
        <v>908</v>
      </c>
      <c r="E20" s="262" t="str">
        <f t="shared" si="4"/>
        <v/>
      </c>
      <c r="F20" s="263" t="str">
        <f>vlookup(A20,Administrative!$L$5:$P$73,4,0)</f>
        <v>unknown</v>
      </c>
      <c r="G20" s="251" t="str">
        <f t="shared" si="5"/>
        <v/>
      </c>
      <c r="H20" s="264" t="str">
        <f>vlookup(A20,Administrative!$L$5:$P$73,5,0)</f>
        <v>unknown</v>
      </c>
      <c r="I20" s="265" t="str">
        <f t="shared" si="6"/>
        <v/>
      </c>
      <c r="J20" s="274"/>
      <c r="K20" s="274"/>
      <c r="L20" s="268" t="str">
        <f>HYPERLINK("http://i.imgur.com/qGNiwi7.gif","8")</f>
        <v>8</v>
      </c>
      <c r="M20" s="254"/>
      <c r="N20" s="254"/>
      <c r="O20" s="255"/>
      <c r="AC20" s="243" t="str">
        <f t="shared" si="2"/>
        <v>Model X 70D|220|1*|unknown||unknown||unknown||||8|||</v>
      </c>
      <c r="AD20" s="243" t="s">
        <v>928</v>
      </c>
      <c r="AE20" s="245" t="str">
        <f t="shared" si="7"/>
        <v/>
      </c>
      <c r="AF20" s="257"/>
      <c r="AG20" s="247"/>
      <c r="AH20" s="247"/>
    </row>
    <row r="21" ht="16.5" customHeight="1">
      <c r="A21" s="258" t="s">
        <v>929</v>
      </c>
      <c r="B21" s="284">
        <f>HYPERLINK("http://i.imgur.com/dbFSdUF.gif",237)</f>
        <v>237</v>
      </c>
      <c r="C21" s="260" t="str">
        <f t="shared" si="3"/>
        <v>1*</v>
      </c>
      <c r="D21" s="261">
        <f>HYPERLINK("http://i.imgur.com/ObcSRNF.gif",381)</f>
        <v>381</v>
      </c>
      <c r="E21" s="262" t="str">
        <f t="shared" si="4"/>
        <v>1*</v>
      </c>
      <c r="F21" s="263" t="str">
        <f>vlookup(A21,Administrative!$L$5:$P$73,4,0)</f>
        <v>unknown</v>
      </c>
      <c r="G21" s="251" t="str">
        <f t="shared" si="5"/>
        <v/>
      </c>
      <c r="H21" s="264" t="str">
        <f>vlookup(A21,Administrative!$L$5:$P$73,5,0)</f>
        <v>unknown</v>
      </c>
      <c r="I21" s="265" t="str">
        <f t="shared" si="6"/>
        <v/>
      </c>
      <c r="J21" s="274"/>
      <c r="K21" s="274"/>
      <c r="L21" s="268" t="str">
        <f t="shared" ref="L21:L22" si="13">HYPERLINK("http://i.imgur.com/dbFSdUF.gif","7")</f>
        <v>7</v>
      </c>
      <c r="M21" s="268">
        <f>HYPERLINK("https://i.imgur.com/YbWENbF.gif",9)</f>
        <v>9</v>
      </c>
      <c r="N21" s="254"/>
      <c r="O21" s="255"/>
      <c r="AC21" s="243" t="str">
        <f t="shared" si="2"/>
        <v>Model X 75D|237|1*|381|1*|unknown||unknown||||7|9||</v>
      </c>
      <c r="AD21" s="243" t="s">
        <v>933</v>
      </c>
      <c r="AE21" s="245" t="str">
        <f t="shared" si="7"/>
        <v/>
      </c>
      <c r="AF21" s="257"/>
      <c r="AG21" s="247"/>
      <c r="AH21" s="247"/>
    </row>
    <row r="22" ht="16.5" customHeight="1">
      <c r="A22" s="258" t="s">
        <v>683</v>
      </c>
      <c r="B22" s="259">
        <f>HYPERLINK("http://www.fueleconomy.gov/feg/Find.do?action=sbs&amp;id=36979",257)</f>
        <v>257</v>
      </c>
      <c r="C22" s="260" t="str">
        <f t="shared" si="3"/>
        <v>1*</v>
      </c>
      <c r="D22" s="261">
        <f>HYPERLINK("http://i.imgur.com/ObcSRNF.gif",413)</f>
        <v>413</v>
      </c>
      <c r="E22" s="262" t="str">
        <f t="shared" si="4"/>
        <v>1*</v>
      </c>
      <c r="F22" s="263">
        <f>vlookup(A22,Administrative!$L$5:$P$73,4,0)</f>
        <v>252</v>
      </c>
      <c r="G22" s="251" t="str">
        <f t="shared" si="5"/>
        <v>2*</v>
      </c>
      <c r="H22" s="264">
        <f>vlookup(A22,Administrative!$L$5:$P$73,5,0)</f>
        <v>405</v>
      </c>
      <c r="I22" s="265" t="str">
        <f t="shared" si="6"/>
        <v>2*</v>
      </c>
      <c r="J22" s="274"/>
      <c r="K22" s="274"/>
      <c r="L22" s="268" t="str">
        <f t="shared" si="13"/>
        <v>7</v>
      </c>
      <c r="M22" s="268" t="str">
        <f>HYPERLINK("http://i.imgur.com/qGNiwi7.gif","8")</f>
        <v>8</v>
      </c>
      <c r="N22" s="254"/>
      <c r="O22" s="255"/>
      <c r="Q22" s="285"/>
      <c r="AC22" s="243" t="str">
        <f t="shared" si="2"/>
        <v>Model X 90D|257|1*|413|1*|252|2*|405|2*|||7|8||</v>
      </c>
      <c r="AD22" s="243" t="s">
        <v>938</v>
      </c>
      <c r="AE22" s="245" t="str">
        <f t="shared" si="7"/>
        <v/>
      </c>
      <c r="AF22" s="257"/>
      <c r="AG22" s="247"/>
      <c r="AH22" s="247"/>
    </row>
    <row r="23" ht="16.5" customHeight="1">
      <c r="A23" s="258" t="s">
        <v>939</v>
      </c>
      <c r="B23" s="259">
        <f>HYPERLINK("https://i.imgur.com/YbWENbF.gif",295)</f>
        <v>295</v>
      </c>
      <c r="C23" s="260" t="str">
        <f t="shared" si="3"/>
        <v>1*</v>
      </c>
      <c r="D23" s="261">
        <f>HYPERLINK("https://i.imgur.com/Ovc8beS.gif",475)</f>
        <v>475</v>
      </c>
      <c r="E23" s="262" t="str">
        <f t="shared" si="4"/>
        <v>1*</v>
      </c>
      <c r="F23" s="263">
        <f>vlookup(A23,Administrative!$L$5:$P$73,4,0)</f>
        <v>281</v>
      </c>
      <c r="G23" s="251" t="str">
        <f t="shared" si="5"/>
        <v>2*</v>
      </c>
      <c r="H23" s="264">
        <f>vlookup(A23,Administrative!$L$5:$P$73,5,0)</f>
        <v>453</v>
      </c>
      <c r="I23" s="265" t="str">
        <f t="shared" si="6"/>
        <v>2*</v>
      </c>
      <c r="J23" s="274"/>
      <c r="K23" s="274"/>
      <c r="L23" s="268">
        <f>HYPERLINK("https://i.imgur.com/YbWENbF.gif",9)</f>
        <v>9</v>
      </c>
      <c r="M23" s="254"/>
      <c r="N23" s="254"/>
      <c r="O23" s="255"/>
      <c r="Q23" s="285"/>
      <c r="AC23" s="243" t="str">
        <f t="shared" si="2"/>
        <v>Model X 100D|295|1*|475|1*|281|2*|453|2*|||9|||</v>
      </c>
      <c r="AD23" s="243" t="s">
        <v>949</v>
      </c>
      <c r="AE23" s="245" t="str">
        <f t="shared" si="7"/>
        <v/>
      </c>
      <c r="AF23" s="257"/>
      <c r="AG23" s="247"/>
      <c r="AH23" s="247"/>
    </row>
    <row r="24" ht="16.5" customHeight="1">
      <c r="A24" s="258" t="s">
        <v>950</v>
      </c>
      <c r="B24" s="259">
        <f>HYPERLINK("http://www.fueleconomy.gov/feg/Find.do?action=sbs&amp;id=36980",250)</f>
        <v>250</v>
      </c>
      <c r="C24" s="260" t="str">
        <f t="shared" si="3"/>
        <v>1*</v>
      </c>
      <c r="D24" s="261">
        <f>HYPERLINK("http://i.imgur.com/ObcSRNF.gif",402)</f>
        <v>402</v>
      </c>
      <c r="E24" s="262" t="str">
        <f t="shared" si="4"/>
        <v>1*</v>
      </c>
      <c r="F24" s="263">
        <f>vlookup(A24,Administrative!$L$5:$P$73,4,0)</f>
        <v>239</v>
      </c>
      <c r="G24" s="251" t="str">
        <f t="shared" si="5"/>
        <v>2*</v>
      </c>
      <c r="H24" s="283">
        <f>vlookup(A24,Administrative!$L$5:$P$73,5,0)</f>
        <v>384</v>
      </c>
      <c r="I24" s="265" t="str">
        <f t="shared" si="6"/>
        <v>2*</v>
      </c>
      <c r="J24" s="274"/>
      <c r="K24" s="274"/>
      <c r="L24" s="268" t="str">
        <f>HYPERLINK("http://i.imgur.com/dbFSdUF.gif","7")</f>
        <v>7</v>
      </c>
      <c r="M24" s="268" t="str">
        <f>HYPERLINK("http://i.imgur.com/qGNiwi7.gif","8")</f>
        <v>8</v>
      </c>
      <c r="N24" s="254"/>
      <c r="O24" s="255"/>
      <c r="Q24" s="301"/>
      <c r="AC24" s="243" t="str">
        <f t="shared" si="2"/>
        <v>Model X P90D|250|1*|402|1*|239|2*|384|2*|||7|8||</v>
      </c>
      <c r="AD24" s="243" t="s">
        <v>953</v>
      </c>
      <c r="AE24" s="245" t="str">
        <f t="shared" si="7"/>
        <v/>
      </c>
      <c r="AF24" s="257"/>
      <c r="AG24" s="247"/>
      <c r="AH24" s="247"/>
    </row>
    <row r="25" ht="16.5" customHeight="1">
      <c r="A25" s="258" t="s">
        <v>954</v>
      </c>
      <c r="B25" s="259">
        <f>HYPERLINK("http://www.fueleconomy.gov/feg/Find.do?action=sbs&amp;id=38530",289)</f>
        <v>289</v>
      </c>
      <c r="C25" s="260" t="str">
        <f t="shared" si="3"/>
        <v>1*</v>
      </c>
      <c r="D25" s="261">
        <f>HYPERLINK("https://i.imgur.com/Ovc8beS.gif",465)</f>
        <v>465</v>
      </c>
      <c r="E25" s="262" t="str">
        <f t="shared" si="4"/>
        <v>1*</v>
      </c>
      <c r="F25" s="263" t="str">
        <f>vlookup(A25,Administrative!$L$5:$P$73,4,0)</f>
        <v>unknown</v>
      </c>
      <c r="G25" s="251" t="str">
        <f t="shared" si="5"/>
        <v/>
      </c>
      <c r="H25" s="264" t="str">
        <f>vlookup(A25,Administrative!$L$5:$P$73,5,0)</f>
        <v>unknown</v>
      </c>
      <c r="I25" s="265" t="str">
        <f t="shared" si="6"/>
        <v/>
      </c>
      <c r="J25" s="274"/>
      <c r="K25" s="274"/>
      <c r="L25" s="268">
        <f>HYPERLINK("https://i.imgur.com/YbWENbF.gif",9)</f>
        <v>9</v>
      </c>
      <c r="M25" s="254"/>
      <c r="N25" s="254"/>
      <c r="O25" s="255"/>
      <c r="Q25" s="301"/>
      <c r="AC25" s="243" t="str">
        <f t="shared" si="2"/>
        <v>Model X P100D|289|1*|465|1*|unknown||unknown||||9|||</v>
      </c>
      <c r="AD25" s="243" t="s">
        <v>958</v>
      </c>
      <c r="AE25" s="245" t="str">
        <f t="shared" si="7"/>
        <v/>
      </c>
      <c r="AF25" s="257"/>
      <c r="AG25" s="247"/>
      <c r="AH25" s="247"/>
    </row>
    <row r="26" ht="16.5" customHeight="1">
      <c r="A26" s="306" t="s">
        <v>959</v>
      </c>
      <c r="B26" s="308" t="str">
        <f>Administrative!$M$1</f>
        <v>USA</v>
      </c>
      <c r="C26" s="309"/>
      <c r="D26" s="310" t="str">
        <f>Administrative!$N$1</f>
        <v>Canada</v>
      </c>
      <c r="E26" s="309"/>
      <c r="F26" s="311" t="str">
        <f>Administrative!$O$1</f>
        <v>UK</v>
      </c>
      <c r="G26" s="309"/>
      <c r="H26" s="312" t="str">
        <f>Administrative!$P$1</f>
        <v>Asia Pacific &amp; Europe (excl UK)</v>
      </c>
      <c r="I26" s="309"/>
      <c r="J26" s="274"/>
      <c r="K26" s="274"/>
      <c r="L26" s="255"/>
      <c r="M26" s="255"/>
      <c r="N26" s="255"/>
      <c r="O26" s="255"/>
      <c r="Q26" s="301"/>
      <c r="AC26" s="243" t="str">
        <f t="shared" si="2"/>
        <v>Region|USA||Canada||UK||Asia Pacific &amp; Europe (excl UK)|||||||</v>
      </c>
      <c r="AD26" s="243" t="s">
        <v>964</v>
      </c>
      <c r="AE26" s="245"/>
      <c r="AF26" s="257"/>
      <c r="AG26" s="247"/>
      <c r="AH26" s="247"/>
    </row>
    <row r="27" ht="16.5" customHeight="1">
      <c r="A27" s="314"/>
      <c r="B27" s="315"/>
      <c r="C27" s="316"/>
      <c r="D27" s="315"/>
      <c r="E27" s="316"/>
      <c r="F27" s="315"/>
      <c r="G27" s="316"/>
      <c r="H27" s="315"/>
      <c r="I27" s="316"/>
      <c r="J27" s="274"/>
      <c r="K27" s="274"/>
      <c r="L27" s="254"/>
      <c r="M27" s="254"/>
      <c r="N27" s="254"/>
      <c r="O27" s="255"/>
      <c r="Q27" s="301"/>
      <c r="AC27" s="243" t="str">
        <f t="shared" si="2"/>
        <v>||||||||||||||</v>
      </c>
      <c r="AD27" s="243" t="s">
        <v>967</v>
      </c>
      <c r="AE27" s="245"/>
      <c r="AF27" s="257"/>
      <c r="AG27" s="247"/>
      <c r="AH27" s="247"/>
    </row>
    <row r="28" ht="16.5" customHeight="1">
      <c r="A28" s="319"/>
      <c r="B28" s="321"/>
      <c r="C28" s="322"/>
      <c r="D28" s="321"/>
      <c r="E28" s="322"/>
      <c r="F28" s="321"/>
      <c r="G28" s="322"/>
      <c r="H28" s="321"/>
      <c r="I28" s="322"/>
      <c r="J28" s="274"/>
      <c r="K28" s="274"/>
      <c r="L28" s="255"/>
      <c r="M28" s="255"/>
      <c r="N28" s="255"/>
      <c r="O28" s="255"/>
      <c r="Q28" s="301"/>
      <c r="AC28" s="243" t="str">
        <f t="shared" si="2"/>
        <v>||||||||||||||</v>
      </c>
      <c r="AD28" s="243" t="s">
        <v>967</v>
      </c>
      <c r="AE28" s="245"/>
      <c r="AF28" s="257"/>
      <c r="AG28" s="247"/>
      <c r="AH28" s="247"/>
    </row>
    <row r="29" ht="16.5" customHeight="1">
      <c r="B29" s="324" t="s">
        <v>970</v>
      </c>
      <c r="F29" s="324" t="s">
        <v>971</v>
      </c>
      <c r="K29" s="326"/>
      <c r="L29" s="326"/>
      <c r="N29" s="327"/>
      <c r="O29" s="327"/>
      <c r="P29" s="301"/>
      <c r="Q29" s="301"/>
      <c r="R29" s="327"/>
      <c r="S29" s="327"/>
      <c r="AC29" s="243" t="str">
        <f t="shared" si="2"/>
        <v>|(1*) Click on the number to open data source.||||(2*) Based on survey question, "What was 100% typical range when car was new?".|||||||||</v>
      </c>
      <c r="AD29" s="243" t="s">
        <v>974</v>
      </c>
      <c r="AE29" s="245"/>
      <c r="AF29" s="257"/>
      <c r="AG29" s="247"/>
      <c r="AH29" s="247"/>
    </row>
    <row r="30" ht="16.5" customHeight="1">
      <c r="K30" s="326"/>
      <c r="L30" s="326"/>
      <c r="N30" s="327"/>
      <c r="O30" s="327"/>
      <c r="P30" s="301"/>
      <c r="Q30" s="301"/>
      <c r="R30" s="327"/>
      <c r="S30" s="327"/>
      <c r="AC30" s="243" t="str">
        <f t="shared" si="2"/>
        <v>||||||||||||||</v>
      </c>
      <c r="AD30" s="243" t="s">
        <v>967</v>
      </c>
      <c r="AE30" s="245"/>
      <c r="AF30" s="257"/>
      <c r="AG30" s="247"/>
      <c r="AH30" s="247"/>
    </row>
    <row r="31" ht="16.5" customHeight="1">
      <c r="K31" s="326"/>
      <c r="L31" s="326"/>
      <c r="N31" s="327"/>
      <c r="O31" s="327"/>
      <c r="P31" s="301"/>
      <c r="Q31" s="301"/>
      <c r="R31" s="327"/>
      <c r="S31" s="327"/>
      <c r="AC31" s="243" t="str">
        <f t="shared" si="2"/>
        <v>||||||||||||||</v>
      </c>
      <c r="AD31" s="243" t="s">
        <v>967</v>
      </c>
      <c r="AE31" s="245"/>
      <c r="AF31" s="257"/>
      <c r="AG31" s="247"/>
      <c r="AH31" s="247"/>
    </row>
    <row r="32" ht="16.5" customHeight="1">
      <c r="K32" s="326"/>
      <c r="L32" s="326"/>
      <c r="N32" s="327"/>
      <c r="O32" s="327"/>
      <c r="P32" s="301"/>
      <c r="Q32" s="301"/>
      <c r="R32" s="327"/>
      <c r="S32" s="327"/>
      <c r="AC32" s="243" t="str">
        <f t="shared" si="2"/>
        <v>||||||||||||||</v>
      </c>
      <c r="AD32" s="243" t="s">
        <v>967</v>
      </c>
      <c r="AE32" s="245"/>
      <c r="AF32" s="257"/>
      <c r="AG32" s="247"/>
      <c r="AH32" s="247"/>
    </row>
    <row r="33" ht="16.5" customHeight="1">
      <c r="K33" s="326"/>
      <c r="L33" s="326"/>
      <c r="N33" s="327"/>
      <c r="O33" s="327"/>
      <c r="P33" s="301"/>
      <c r="Q33" s="301"/>
      <c r="R33" s="327"/>
      <c r="S33" s="327"/>
      <c r="AC33" s="243" t="str">
        <f t="shared" si="2"/>
        <v>||||||||||||||</v>
      </c>
      <c r="AD33" s="243" t="s">
        <v>967</v>
      </c>
      <c r="AE33" s="245" t="str">
        <f t="shared" ref="AE33:AE61" si="14">IF(AC33=AD33,,"data changed")</f>
        <v/>
      </c>
      <c r="AF33" s="257"/>
      <c r="AG33" s="247"/>
      <c r="AH33" s="247"/>
    </row>
    <row r="34">
      <c r="A34" s="330" t="s">
        <v>956</v>
      </c>
      <c r="B34" s="330" t="s">
        <v>957</v>
      </c>
      <c r="C34" s="331" t="s">
        <v>981</v>
      </c>
      <c r="D34" s="28"/>
      <c r="E34" s="28"/>
      <c r="F34" s="28"/>
      <c r="G34" s="28"/>
      <c r="H34" s="28"/>
      <c r="I34" s="28"/>
      <c r="J34" s="28"/>
      <c r="K34" s="28"/>
      <c r="L34" s="24"/>
      <c r="N34" s="327"/>
      <c r="O34" s="327"/>
      <c r="P34" s="327"/>
      <c r="Q34" s="301"/>
      <c r="R34" s="327"/>
      <c r="S34" s="327"/>
      <c r="AC34" s="243" t="str">
        <f t="shared" si="2"/>
        <v>Date
(double click empty cell)|Username|Comments about range numbers in the table above||||||||||||</v>
      </c>
      <c r="AD34" s="243" t="s">
        <v>987</v>
      </c>
      <c r="AE34" s="245" t="str">
        <f t="shared" si="14"/>
        <v/>
      </c>
      <c r="AF34" s="257"/>
      <c r="AG34" s="247"/>
      <c r="AH34" s="247"/>
    </row>
    <row r="35">
      <c r="A35" s="328"/>
      <c r="B35" s="332" t="s">
        <v>96</v>
      </c>
      <c r="C35" s="333" t="s">
        <v>990</v>
      </c>
      <c r="D35" s="28"/>
      <c r="E35" s="28"/>
      <c r="F35" s="28"/>
      <c r="G35" s="28"/>
      <c r="H35" s="28"/>
      <c r="I35" s="28"/>
      <c r="J35" s="28"/>
      <c r="K35" s="28"/>
      <c r="L35" s="24"/>
      <c r="N35" s="327"/>
      <c r="O35" s="327"/>
      <c r="P35" s="327"/>
      <c r="Q35" s="301"/>
      <c r="R35" s="327"/>
      <c r="S35" s="327"/>
      <c r="AC35" s="243" t="str">
        <f t="shared" si="2"/>
        <v>|Merijn|Table might be extended with Wh/km and Wh/mile||||||||||||</v>
      </c>
      <c r="AD35" s="243" t="s">
        <v>993</v>
      </c>
      <c r="AE35" s="245" t="str">
        <f t="shared" si="14"/>
        <v/>
      </c>
      <c r="AF35" s="257"/>
      <c r="AG35" s="247"/>
      <c r="AH35" s="247"/>
    </row>
    <row r="36">
      <c r="A36" s="328"/>
      <c r="B36" s="332" t="s">
        <v>96</v>
      </c>
      <c r="C36" s="333" t="s">
        <v>995</v>
      </c>
      <c r="D36" s="28"/>
      <c r="E36" s="28"/>
      <c r="F36" s="28"/>
      <c r="G36" s="28"/>
      <c r="H36" s="28"/>
      <c r="I36" s="28"/>
      <c r="J36" s="28"/>
      <c r="K36" s="28"/>
      <c r="L36" s="24"/>
      <c r="N36" s="327"/>
      <c r="O36" s="327"/>
      <c r="P36" s="327"/>
      <c r="Q36" s="301"/>
      <c r="R36" s="327"/>
      <c r="S36" s="327"/>
      <c r="AC36" s="243" t="str">
        <f t="shared" si="2"/>
        <v>|Merijn|Please feel free to edit, add, comment.||||||||||||</v>
      </c>
      <c r="AD36" s="243" t="s">
        <v>1000</v>
      </c>
      <c r="AE36" s="245" t="str">
        <f t="shared" si="14"/>
        <v/>
      </c>
      <c r="AF36" s="257"/>
      <c r="AG36" s="247"/>
      <c r="AH36" s="247"/>
    </row>
    <row r="37">
      <c r="A37" s="334">
        <v>42118.0</v>
      </c>
      <c r="B37" s="332" t="s">
        <v>973</v>
      </c>
      <c r="C37" s="335" t="s">
        <v>1004</v>
      </c>
      <c r="D37" s="28"/>
      <c r="E37" s="28"/>
      <c r="F37" s="28"/>
      <c r="G37" s="28"/>
      <c r="H37" s="28"/>
      <c r="I37" s="28"/>
      <c r="J37" s="28"/>
      <c r="K37" s="28"/>
      <c r="L37" s="24"/>
      <c r="N37" s="327"/>
      <c r="O37" s="327"/>
      <c r="P37" s="327"/>
      <c r="Q37" s="301"/>
      <c r="R37" s="327"/>
      <c r="S37" s="327"/>
      <c r="AC37" s="243" t="str">
        <f t="shared" si="2"/>
        <v>42118|Matteo|You can see current EPA and NEDC ratings on Tesla order page (design studio). Change country at the bottom of the page.||||||||||||</v>
      </c>
      <c r="AD37" s="243" t="s">
        <v>1008</v>
      </c>
      <c r="AE37" s="245" t="str">
        <f t="shared" si="14"/>
        <v/>
      </c>
      <c r="AF37" s="257"/>
      <c r="AG37" s="247"/>
      <c r="AH37" s="247"/>
    </row>
    <row r="38" ht="109.5" customHeight="1">
      <c r="A38" s="334">
        <v>42118.0</v>
      </c>
      <c r="B38" s="332" t="s">
        <v>973</v>
      </c>
      <c r="C38" s="335" t="s">
        <v>1011</v>
      </c>
      <c r="D38" s="28"/>
      <c r="E38" s="28"/>
      <c r="F38" s="28"/>
      <c r="G38" s="28"/>
      <c r="H38" s="28"/>
      <c r="I38" s="28"/>
      <c r="J38" s="28"/>
      <c r="K38" s="28"/>
      <c r="L38" s="24"/>
      <c r="N38" s="336"/>
      <c r="P38" s="336"/>
      <c r="Q38" s="301"/>
      <c r="R38" s="327"/>
      <c r="S38" s="327"/>
      <c r="AC38" s="243" t="str">
        <f t="shared" si="2"/>
        <v>42118|Matteo|For Europe NEDC Rated Range in miles, I made first 3 changes based on current order page. It shows 300 and 310.
1. S85 from 312 to 310
2. S85D from 312 to 310
3. SP85D from 298 to 300
4. I changed S60 from 242 to 240, based on google search
It looks like 312 was used until recently. Even a Tesla blog post says 312 but the UK order page now shows 310. http://www.teslamotors.com/en_GB/blog/right-hand-drive-model-s-arrives-uk||||||||||||</v>
      </c>
      <c r="AD38" s="243" t="s">
        <v>1017</v>
      </c>
      <c r="AE38" s="245" t="str">
        <f t="shared" si="14"/>
        <v/>
      </c>
      <c r="AF38" s="257"/>
      <c r="AG38" s="247"/>
      <c r="AH38" s="247"/>
    </row>
    <row r="39">
      <c r="A39" s="334">
        <v>42118.0</v>
      </c>
      <c r="B39" s="332" t="s">
        <v>973</v>
      </c>
      <c r="C39" s="335" t="s">
        <v>1019</v>
      </c>
      <c r="D39" s="28"/>
      <c r="E39" s="28"/>
      <c r="F39" s="28"/>
      <c r="G39" s="28"/>
      <c r="H39" s="28"/>
      <c r="I39" s="28"/>
      <c r="J39" s="28"/>
      <c r="K39" s="28"/>
      <c r="L39" s="24"/>
      <c r="N39" s="336"/>
      <c r="P39" s="336"/>
      <c r="Q39" s="301"/>
      <c r="R39" s="327"/>
      <c r="S39" s="327"/>
      <c r="AC39" s="243" t="str">
        <f t="shared" si="2"/>
        <v>42118|Matteo|Tesla uses NEDC rated range in Europe, Australia, China, Hong Kong and Japan. For that region, I changed column names from "EU NEDC rated range" to just "NEDC rated range".||||||||||||</v>
      </c>
      <c r="AD39" s="243" t="s">
        <v>1024</v>
      </c>
      <c r="AE39" s="245" t="str">
        <f t="shared" si="14"/>
        <v/>
      </c>
      <c r="AF39" s="257"/>
      <c r="AG39" s="247"/>
      <c r="AH39" s="247"/>
    </row>
    <row r="40">
      <c r="A40" s="334">
        <v>42122.0</v>
      </c>
      <c r="B40" s="332" t="s">
        <v>761</v>
      </c>
      <c r="C40" s="335" t="s">
        <v>1025</v>
      </c>
      <c r="D40" s="28"/>
      <c r="E40" s="28"/>
      <c r="F40" s="28"/>
      <c r="G40" s="28"/>
      <c r="H40" s="28"/>
      <c r="I40" s="28"/>
      <c r="J40" s="28"/>
      <c r="K40" s="28"/>
      <c r="L40" s="24"/>
      <c r="N40" s="336"/>
      <c r="P40" s="336"/>
      <c r="Q40" s="301"/>
      <c r="R40" s="327"/>
      <c r="S40" s="327"/>
      <c r="AC40" s="243" t="str">
        <f t="shared" si="2"/>
        <v>42122|jpet|I have added 406 km as the typical range in km for the P85D based on my experience. Note that the rated range I get is 510 km, not the 480 km I see in the sheet. Maybe this should be updated as well.||||||||||||</v>
      </c>
      <c r="AD40" s="243" t="s">
        <v>1027</v>
      </c>
      <c r="AE40" s="245" t="str">
        <f t="shared" si="14"/>
        <v/>
      </c>
      <c r="AF40" s="257"/>
      <c r="AG40" s="247"/>
      <c r="AH40" s="247"/>
    </row>
    <row r="41">
      <c r="A41" s="334">
        <v>42129.0</v>
      </c>
      <c r="B41" s="332" t="s">
        <v>973</v>
      </c>
      <c r="C41" s="335" t="s">
        <v>1028</v>
      </c>
      <c r="D41" s="28"/>
      <c r="E41" s="28"/>
      <c r="F41" s="28"/>
      <c r="G41" s="28"/>
      <c r="H41" s="28"/>
      <c r="I41" s="28"/>
      <c r="J41" s="28"/>
      <c r="K41" s="28"/>
      <c r="L41" s="24"/>
      <c r="N41" s="336"/>
      <c r="P41" s="336"/>
      <c r="Q41" s="301"/>
      <c r="R41" s="327"/>
      <c r="S41" s="327"/>
      <c r="AC41" s="243" t="str">
        <f t="shared" si="2"/>
        <v>42129|Matteo|jpet, you are right. I have updated P85D NEDC rating from 480 to 510. Tesla website shows 480 but we have two people reporting that the car shows 510 or almost 510. I should add that NEDC ratings are not used in the chart. Only typical range is used in calculations. ||||||||||||</v>
      </c>
      <c r="AD41" s="243" t="s">
        <v>1031</v>
      </c>
      <c r="AE41" s="245" t="str">
        <f t="shared" si="14"/>
        <v/>
      </c>
      <c r="AF41" s="257"/>
      <c r="AG41" s="247"/>
      <c r="AH41" s="247"/>
    </row>
    <row r="42">
      <c r="A42" s="334">
        <v>42148.0</v>
      </c>
      <c r="B42" s="332" t="s">
        <v>973</v>
      </c>
      <c r="C42" s="333" t="s">
        <v>1034</v>
      </c>
      <c r="D42" s="28"/>
      <c r="E42" s="28"/>
      <c r="F42" s="28"/>
      <c r="G42" s="28"/>
      <c r="H42" s="28"/>
      <c r="I42" s="28"/>
      <c r="J42" s="28"/>
      <c r="K42" s="28"/>
      <c r="L42" s="24"/>
      <c r="N42" s="336"/>
      <c r="P42" s="336"/>
      <c r="Q42" s="301"/>
      <c r="R42" s="327"/>
      <c r="S42" s="327"/>
      <c r="AC42" s="243" t="str">
        <f t="shared" si="2"/>
        <v>42148|Matteo|I changed 85D and P85D maximum typical range from 406 to 407 km. Tesla doesn't publish these but there are now more entries to give a better idea. There is one 410, one 409 and a few at 406. Merijn, when you make changes here, remember to also change the numbers on the sheet called "admin stuff". The other sheets read data from there for the formulas. This way all country sheets update at once.||||||||||||</v>
      </c>
      <c r="AD42" s="243" t="s">
        <v>1037</v>
      </c>
      <c r="AE42" s="245" t="str">
        <f t="shared" si="14"/>
        <v/>
      </c>
      <c r="AF42" s="257"/>
      <c r="AG42" s="247"/>
      <c r="AH42" s="247"/>
    </row>
    <row r="43">
      <c r="A43" s="334">
        <v>42175.0</v>
      </c>
      <c r="B43" s="332" t="s">
        <v>973</v>
      </c>
      <c r="C43" s="333" t="s">
        <v>1039</v>
      </c>
      <c r="D43" s="28"/>
      <c r="E43" s="28"/>
      <c r="F43" s="28"/>
      <c r="G43" s="28"/>
      <c r="H43" s="28"/>
      <c r="I43" s="28"/>
      <c r="J43" s="28"/>
      <c r="K43" s="28"/>
      <c r="L43" s="24"/>
      <c r="N43" s="336"/>
      <c r="P43" s="336"/>
      <c r="Q43" s="301"/>
      <c r="R43" s="327"/>
      <c r="S43" s="327"/>
      <c r="AC43" s="243" t="str">
        <f t="shared" si="2"/>
        <v>42175|Matteo|After a user complained that an S85 showed 271 mi when new instead 265, I added two new columns to collect data. Two people entered 270 and 271 with range mode off when S85 was new, even though the official number is 265 which is what we use. We need data from more than two people before changing this but when there is more data, it makes sense to use use the number the car shows.||||||||||||</v>
      </c>
      <c r="AD43" s="243" t="s">
        <v>1042</v>
      </c>
      <c r="AE43" s="245" t="str">
        <f t="shared" si="14"/>
        <v/>
      </c>
      <c r="AF43" s="257"/>
      <c r="AG43" s="247"/>
      <c r="AH43" s="247"/>
    </row>
    <row r="44">
      <c r="A44" s="334">
        <v>42202.0</v>
      </c>
      <c r="B44" s="332" t="s">
        <v>1043</v>
      </c>
      <c r="C44" s="333" t="s">
        <v>1044</v>
      </c>
      <c r="D44" s="28"/>
      <c r="E44" s="28"/>
      <c r="F44" s="28"/>
      <c r="G44" s="28"/>
      <c r="H44" s="28"/>
      <c r="I44" s="28"/>
      <c r="J44" s="28"/>
      <c r="K44" s="28"/>
      <c r="L44" s="24"/>
      <c r="N44" s="336"/>
      <c r="P44" s="336"/>
      <c r="Q44" s="301"/>
      <c r="R44" s="327"/>
      <c r="S44" s="327"/>
      <c r="AC44" s="243" t="str">
        <f t="shared" si="2"/>
        <v>42202|Guten|P85D from 508km to 480km for NEDC Range in Asia.  Source: http://i.imgur.com/8MfbyK6.png?1||||||||||||</v>
      </c>
      <c r="AD44" s="243" t="s">
        <v>1048</v>
      </c>
      <c r="AE44" s="245" t="str">
        <f t="shared" si="14"/>
        <v/>
      </c>
      <c r="AF44" s="257"/>
      <c r="AG44" s="247"/>
      <c r="AH44" s="247"/>
    </row>
    <row r="45">
      <c r="A45" s="334">
        <v>42569.0</v>
      </c>
      <c r="B45" s="332" t="s">
        <v>973</v>
      </c>
      <c r="C45" s="333" t="s">
        <v>1051</v>
      </c>
      <c r="D45" s="28"/>
      <c r="E45" s="28"/>
      <c r="F45" s="28"/>
      <c r="G45" s="28"/>
      <c r="H45" s="28"/>
      <c r="I45" s="28"/>
      <c r="J45" s="28"/>
      <c r="K45" s="28"/>
      <c r="L45" s="24"/>
      <c r="N45" s="336"/>
      <c r="P45" s="336"/>
      <c r="Q45" s="301"/>
      <c r="R45" s="327"/>
      <c r="S45" s="327"/>
      <c r="AC45" s="243" t="str">
        <f t="shared" si="2"/>
        <v>42569|Matteo|I added S75, S75D and X75D. Also I updated the range numbers for S90D. It used to show 288mi EPA. Now it is 294mi.
Data source for old S90D 288mi EPA http://i.imgur.com/n7kJAE1.gif
Data source for new S90D 294mi EPA http://i.imgur.com/XDlwDbT.gif||||||||||||</v>
      </c>
      <c r="AD45" s="243" t="s">
        <v>1053</v>
      </c>
      <c r="AE45" s="245" t="str">
        <f t="shared" si="14"/>
        <v/>
      </c>
      <c r="AF45" s="257"/>
      <c r="AG45" s="247"/>
      <c r="AH45" s="247"/>
    </row>
    <row r="46">
      <c r="A46" s="334">
        <v>42597.0</v>
      </c>
      <c r="B46" s="332" t="s">
        <v>973</v>
      </c>
      <c r="C46" s="333" t="s">
        <v>1055</v>
      </c>
      <c r="D46" s="28"/>
      <c r="E46" s="28"/>
      <c r="F46" s="28"/>
      <c r="G46" s="28"/>
      <c r="H46" s="28"/>
      <c r="I46" s="28"/>
      <c r="J46" s="28"/>
      <c r="K46" s="28"/>
      <c r="L46" s="24"/>
      <c r="N46" s="336"/>
      <c r="P46" s="336"/>
      <c r="Q46" s="301"/>
      <c r="R46" s="327"/>
      <c r="S46" s="327"/>
      <c r="AC46" s="243" t="str">
        <f t="shared" si="2"/>
        <v>42597|Matteo|The numbers above for typical range are based on the answer to the survey question "What was 100% typical range when car was new?"||||||||||||</v>
      </c>
      <c r="AD46" s="243" t="s">
        <v>1057</v>
      </c>
      <c r="AE46" s="245" t="str">
        <f t="shared" si="14"/>
        <v/>
      </c>
      <c r="AF46" s="257"/>
      <c r="AG46" s="247"/>
      <c r="AH46" s="247"/>
    </row>
    <row r="47">
      <c r="A47" s="334"/>
      <c r="B47" s="332"/>
      <c r="C47" s="333"/>
      <c r="D47" s="28"/>
      <c r="E47" s="28"/>
      <c r="F47" s="28"/>
      <c r="G47" s="28"/>
      <c r="H47" s="28"/>
      <c r="I47" s="28"/>
      <c r="J47" s="28"/>
      <c r="K47" s="28"/>
      <c r="L47" s="24"/>
      <c r="N47" s="336"/>
      <c r="P47" s="336"/>
      <c r="Q47" s="301"/>
      <c r="R47" s="327"/>
      <c r="S47" s="327"/>
      <c r="AC47" s="243" t="str">
        <f t="shared" si="2"/>
        <v>||||||||||||||</v>
      </c>
      <c r="AD47" s="243" t="s">
        <v>967</v>
      </c>
      <c r="AE47" s="245" t="str">
        <f t="shared" si="14"/>
        <v/>
      </c>
      <c r="AF47" s="257"/>
      <c r="AG47" s="247"/>
      <c r="AH47" s="247"/>
    </row>
    <row r="48">
      <c r="A48" s="334"/>
      <c r="B48" s="332"/>
      <c r="C48" s="333"/>
      <c r="D48" s="28"/>
      <c r="E48" s="28"/>
      <c r="F48" s="28"/>
      <c r="G48" s="28"/>
      <c r="H48" s="28"/>
      <c r="I48" s="28"/>
      <c r="J48" s="28"/>
      <c r="K48" s="28"/>
      <c r="L48" s="24"/>
      <c r="N48" s="336"/>
      <c r="P48" s="336"/>
      <c r="Q48" s="301"/>
      <c r="R48" s="327"/>
      <c r="S48" s="327"/>
      <c r="AC48" s="243" t="str">
        <f t="shared" si="2"/>
        <v>||||||||||||||</v>
      </c>
      <c r="AD48" s="243" t="s">
        <v>967</v>
      </c>
      <c r="AE48" s="245" t="str">
        <f t="shared" si="14"/>
        <v/>
      </c>
      <c r="AF48" s="257"/>
      <c r="AG48" s="247"/>
      <c r="AH48" s="247"/>
    </row>
    <row r="49">
      <c r="A49" s="334"/>
      <c r="B49" s="332"/>
      <c r="C49" s="333"/>
      <c r="D49" s="28"/>
      <c r="E49" s="28"/>
      <c r="F49" s="28"/>
      <c r="G49" s="28"/>
      <c r="H49" s="28"/>
      <c r="I49" s="28"/>
      <c r="J49" s="28"/>
      <c r="K49" s="28"/>
      <c r="L49" s="24"/>
      <c r="N49" s="336"/>
      <c r="P49" s="336"/>
      <c r="Q49" s="301"/>
      <c r="R49" s="327"/>
      <c r="S49" s="327"/>
      <c r="AC49" s="243" t="str">
        <f t="shared" si="2"/>
        <v>||||||||||||||</v>
      </c>
      <c r="AD49" s="243" t="s">
        <v>967</v>
      </c>
      <c r="AE49" s="245" t="str">
        <f t="shared" si="14"/>
        <v/>
      </c>
      <c r="AF49" s="257"/>
      <c r="AG49" s="247"/>
      <c r="AH49" s="247"/>
    </row>
    <row r="50">
      <c r="A50" s="334"/>
      <c r="B50" s="332"/>
      <c r="C50" s="333"/>
      <c r="D50" s="28"/>
      <c r="E50" s="28"/>
      <c r="F50" s="28"/>
      <c r="G50" s="28"/>
      <c r="H50" s="28"/>
      <c r="I50" s="28"/>
      <c r="J50" s="28"/>
      <c r="K50" s="28"/>
      <c r="L50" s="24"/>
      <c r="N50" s="336"/>
      <c r="P50" s="336"/>
      <c r="Q50" s="301"/>
      <c r="R50" s="327"/>
      <c r="S50" s="327"/>
      <c r="AC50" s="243" t="str">
        <f t="shared" si="2"/>
        <v>||||||||||||||</v>
      </c>
      <c r="AD50" s="243" t="s">
        <v>967</v>
      </c>
      <c r="AE50" s="245" t="str">
        <f t="shared" si="14"/>
        <v/>
      </c>
      <c r="AF50" s="257"/>
      <c r="AG50" s="247"/>
      <c r="AH50" s="247"/>
    </row>
    <row r="51">
      <c r="A51" s="334"/>
      <c r="B51" s="332"/>
      <c r="C51" s="333"/>
      <c r="D51" s="28"/>
      <c r="E51" s="28"/>
      <c r="F51" s="28"/>
      <c r="G51" s="28"/>
      <c r="H51" s="28"/>
      <c r="I51" s="28"/>
      <c r="J51" s="28"/>
      <c r="K51" s="28"/>
      <c r="L51" s="24"/>
      <c r="N51" s="336"/>
      <c r="P51" s="336"/>
      <c r="Q51" s="301"/>
      <c r="R51" s="327"/>
      <c r="S51" s="327"/>
      <c r="AC51" s="243" t="str">
        <f t="shared" si="2"/>
        <v>||||||||||||||</v>
      </c>
      <c r="AD51" s="243" t="s">
        <v>967</v>
      </c>
      <c r="AE51" s="245" t="str">
        <f t="shared" si="14"/>
        <v/>
      </c>
      <c r="AF51" s="257"/>
      <c r="AG51" s="247"/>
      <c r="AH51" s="247"/>
    </row>
    <row r="52">
      <c r="A52" s="334"/>
      <c r="B52" s="332"/>
      <c r="C52" s="333"/>
      <c r="D52" s="28"/>
      <c r="E52" s="28"/>
      <c r="F52" s="28"/>
      <c r="G52" s="28"/>
      <c r="H52" s="28"/>
      <c r="I52" s="28"/>
      <c r="J52" s="28"/>
      <c r="K52" s="28"/>
      <c r="L52" s="24"/>
      <c r="N52" s="336"/>
      <c r="P52" s="336"/>
      <c r="Q52" s="301"/>
      <c r="R52" s="327"/>
      <c r="S52" s="327"/>
      <c r="AC52" s="243" t="str">
        <f t="shared" si="2"/>
        <v>||||||||||||||</v>
      </c>
      <c r="AD52" s="243" t="s">
        <v>967</v>
      </c>
      <c r="AE52" s="245" t="str">
        <f t="shared" si="14"/>
        <v/>
      </c>
      <c r="AF52" s="257"/>
      <c r="AG52" s="247"/>
      <c r="AH52" s="247"/>
    </row>
    <row r="53">
      <c r="A53" s="334"/>
      <c r="B53" s="332"/>
      <c r="C53" s="333"/>
      <c r="D53" s="28"/>
      <c r="E53" s="28"/>
      <c r="F53" s="28"/>
      <c r="G53" s="28"/>
      <c r="H53" s="28"/>
      <c r="I53" s="28"/>
      <c r="J53" s="28"/>
      <c r="K53" s="28"/>
      <c r="L53" s="24"/>
      <c r="N53" s="336"/>
      <c r="P53" s="336"/>
      <c r="Q53" s="301"/>
      <c r="R53" s="327"/>
      <c r="S53" s="327"/>
      <c r="AC53" s="243" t="str">
        <f t="shared" si="2"/>
        <v>||||||||||||||</v>
      </c>
      <c r="AD53" s="243" t="s">
        <v>967</v>
      </c>
      <c r="AE53" s="245" t="str">
        <f t="shared" si="14"/>
        <v/>
      </c>
      <c r="AF53" s="257"/>
      <c r="AG53" s="247"/>
      <c r="AH53" s="247"/>
    </row>
    <row r="54">
      <c r="A54" s="327"/>
      <c r="O54" s="327"/>
      <c r="P54" s="285"/>
      <c r="Q54" s="301"/>
      <c r="R54" s="327"/>
      <c r="S54" s="327"/>
      <c r="AC54" s="243" t="str">
        <f t="shared" si="2"/>
        <v>||||||||||||||</v>
      </c>
      <c r="AD54" s="243" t="s">
        <v>967</v>
      </c>
      <c r="AE54" s="245" t="str">
        <f t="shared" si="14"/>
        <v/>
      </c>
      <c r="AF54" s="257"/>
      <c r="AG54" s="247"/>
      <c r="AH54" s="247"/>
    </row>
    <row r="55">
      <c r="A55" s="327"/>
      <c r="O55" s="327"/>
      <c r="P55" s="285"/>
      <c r="Q55" s="301"/>
      <c r="R55" s="327"/>
      <c r="S55" s="327"/>
      <c r="AC55" s="243" t="str">
        <f t="shared" si="2"/>
        <v>||||||||||||||</v>
      </c>
      <c r="AD55" s="243" t="s">
        <v>967</v>
      </c>
      <c r="AE55" s="245" t="str">
        <f t="shared" si="14"/>
        <v/>
      </c>
      <c r="AF55" s="257"/>
      <c r="AG55" s="247"/>
      <c r="AH55" s="247"/>
    </row>
    <row r="56">
      <c r="A56" s="327"/>
      <c r="O56" s="327"/>
      <c r="P56" s="285"/>
      <c r="Q56" s="301"/>
      <c r="R56" s="327"/>
      <c r="S56" s="327"/>
      <c r="AC56" s="243" t="str">
        <f t="shared" si="2"/>
        <v>||||||||||||||</v>
      </c>
      <c r="AD56" s="243" t="s">
        <v>967</v>
      </c>
      <c r="AE56" s="245" t="str">
        <f t="shared" si="14"/>
        <v/>
      </c>
      <c r="AF56" s="257"/>
      <c r="AG56" s="247"/>
      <c r="AH56" s="247"/>
    </row>
    <row r="57">
      <c r="A57" s="327"/>
      <c r="O57" s="327"/>
      <c r="P57" s="285"/>
      <c r="Q57" s="301"/>
      <c r="R57" s="327"/>
      <c r="S57" s="327"/>
      <c r="AC57" s="243" t="str">
        <f t="shared" si="2"/>
        <v>||||||||||||||</v>
      </c>
      <c r="AD57" s="243" t="s">
        <v>967</v>
      </c>
      <c r="AE57" s="245" t="str">
        <f t="shared" si="14"/>
        <v/>
      </c>
      <c r="AF57" s="257"/>
      <c r="AG57" s="247"/>
      <c r="AH57" s="247"/>
    </row>
    <row r="58">
      <c r="A58" s="327"/>
      <c r="O58" s="327"/>
      <c r="P58" s="285"/>
      <c r="Q58" s="301"/>
      <c r="R58" s="327"/>
      <c r="S58" s="327"/>
      <c r="AC58" s="243" t="str">
        <f t="shared" si="2"/>
        <v>||||||||||||||</v>
      </c>
      <c r="AD58" s="243" t="s">
        <v>967</v>
      </c>
      <c r="AE58" s="245" t="str">
        <f t="shared" si="14"/>
        <v/>
      </c>
      <c r="AF58" s="257"/>
      <c r="AG58" s="247"/>
      <c r="AH58" s="247"/>
    </row>
    <row r="59">
      <c r="A59" s="327"/>
      <c r="O59" s="327"/>
      <c r="P59" s="285"/>
      <c r="Q59" s="301"/>
      <c r="R59" s="327"/>
      <c r="S59" s="327"/>
      <c r="AC59" s="243" t="str">
        <f t="shared" si="2"/>
        <v>||||||||||||||</v>
      </c>
      <c r="AD59" s="243" t="s">
        <v>967</v>
      </c>
      <c r="AE59" s="245" t="str">
        <f t="shared" si="14"/>
        <v/>
      </c>
      <c r="AF59" s="257"/>
      <c r="AG59" s="247"/>
      <c r="AH59" s="247"/>
    </row>
    <row r="60">
      <c r="A60" s="327"/>
      <c r="O60" s="327"/>
      <c r="P60" s="285"/>
      <c r="Q60" s="301"/>
      <c r="R60" s="327"/>
      <c r="S60" s="327"/>
      <c r="AC60" s="243" t="str">
        <f t="shared" si="2"/>
        <v>||||||||||||||</v>
      </c>
      <c r="AD60" s="243" t="s">
        <v>967</v>
      </c>
      <c r="AE60" s="245" t="str">
        <f t="shared" si="14"/>
        <v/>
      </c>
      <c r="AF60" s="257"/>
      <c r="AG60" s="247"/>
      <c r="AH60" s="247"/>
    </row>
    <row r="61">
      <c r="A61" s="327"/>
      <c r="O61" s="327"/>
      <c r="P61" s="285"/>
      <c r="Q61" s="301"/>
      <c r="R61" s="327"/>
      <c r="S61" s="327"/>
      <c r="AC61" s="243" t="str">
        <f t="shared" si="2"/>
        <v>||||||||||||||</v>
      </c>
      <c r="AD61" s="243" t="s">
        <v>967</v>
      </c>
      <c r="AE61" s="245" t="str">
        <f t="shared" si="14"/>
        <v/>
      </c>
      <c r="AF61" s="257"/>
      <c r="AG61" s="247"/>
      <c r="AH61" s="247"/>
    </row>
  </sheetData>
  <mergeCells count="32">
    <mergeCell ref="J1:K1"/>
    <mergeCell ref="L1:O1"/>
    <mergeCell ref="B1:E1"/>
    <mergeCell ref="F1:I1"/>
    <mergeCell ref="Q1:R1"/>
    <mergeCell ref="D26:E28"/>
    <mergeCell ref="H26:I28"/>
    <mergeCell ref="F26:G28"/>
    <mergeCell ref="F29:I31"/>
    <mergeCell ref="B29:E31"/>
    <mergeCell ref="A26:A28"/>
    <mergeCell ref="B26:C28"/>
    <mergeCell ref="C35:L35"/>
    <mergeCell ref="C34:L34"/>
    <mergeCell ref="C52:L52"/>
    <mergeCell ref="C53:L53"/>
    <mergeCell ref="C40:L40"/>
    <mergeCell ref="C41:L41"/>
    <mergeCell ref="C44:L44"/>
    <mergeCell ref="C45:L45"/>
    <mergeCell ref="C47:L47"/>
    <mergeCell ref="C46:L46"/>
    <mergeCell ref="C43:L43"/>
    <mergeCell ref="C42:L42"/>
    <mergeCell ref="C36:L36"/>
    <mergeCell ref="C38:L38"/>
    <mergeCell ref="C39:L39"/>
    <mergeCell ref="C37:L37"/>
    <mergeCell ref="C49:L49"/>
    <mergeCell ref="C50:L50"/>
    <mergeCell ref="C51:L51"/>
    <mergeCell ref="C48:L48"/>
  </mergeCells>
  <conditionalFormatting sqref="AE1:AE61">
    <cfRule type="notContainsBlanks" dxfId="0" priority="1">
      <formula>LEN(TRIM(AE1))&gt;0</formula>
    </cfRule>
  </conditionalFormatting>
  <conditionalFormatting sqref="AG2:AG61">
    <cfRule type="expression" dxfId="0" priority="2">
      <formula>AG2&lt;&gt;AH2</formula>
    </cfRule>
  </conditionalFormatting>
  <dataValidations>
    <dataValidation type="list" allowBlank="1" showErrorMessage="1" sqref="AF2:AF61">
      <formula1>"Yes,No"</formula1>
    </dataValidation>
  </dataValidations>
  <drawing r:id="rId1"/>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2.57"/>
    <col customWidth="1" min="2" max="2" width="12.29"/>
    <col customWidth="1" min="3" max="3" width="13.0"/>
    <col customWidth="1" min="4" max="9" width="16.86"/>
    <col customWidth="1" min="10" max="10" width="12.71"/>
    <col customWidth="1" min="11" max="11" width="3.57"/>
    <col customWidth="1" min="12" max="12" width="3.86"/>
    <col customWidth="1" min="13" max="13" width="11.57"/>
    <col customWidth="1" min="14" max="15" width="7.43"/>
  </cols>
  <sheetData>
    <row r="1" ht="13.5" customHeight="1">
      <c r="A1" s="286"/>
      <c r="B1" s="287"/>
      <c r="C1" s="288"/>
      <c r="D1" s="289"/>
      <c r="E1" s="290"/>
      <c r="F1" s="290"/>
      <c r="G1" s="290"/>
      <c r="H1" s="290"/>
      <c r="I1" s="290"/>
      <c r="K1" s="291" t="s">
        <v>944</v>
      </c>
      <c r="L1" s="28"/>
      <c r="M1" s="24"/>
    </row>
    <row r="2">
      <c r="A2" s="286"/>
      <c r="B2" s="287"/>
      <c r="C2" s="292" t="s">
        <v>946</v>
      </c>
      <c r="D2" s="293" t="s">
        <v>947</v>
      </c>
      <c r="E2" s="290"/>
      <c r="F2" s="290"/>
      <c r="G2" s="290"/>
      <c r="H2" s="290"/>
      <c r="I2" s="290"/>
      <c r="K2" s="294" t="s">
        <v>9</v>
      </c>
      <c r="L2" s="294" t="s">
        <v>9</v>
      </c>
      <c r="M2" s="294" t="s">
        <v>9</v>
      </c>
    </row>
    <row r="3">
      <c r="A3" s="286"/>
      <c r="B3" s="287"/>
      <c r="E3" s="290"/>
      <c r="F3" s="290"/>
      <c r="G3" s="288" t="str">
        <f>IF(COUNTA(M4:M175)&gt;0,"New feedback message: "&amp;COUNTA(M4:M175),"")</f>
        <v/>
      </c>
      <c r="K3" s="295"/>
      <c r="L3" s="295"/>
      <c r="M3" s="296"/>
    </row>
    <row r="4" ht="25.5" customHeight="1">
      <c r="A4" s="286"/>
      <c r="B4" s="297"/>
      <c r="C4" s="298"/>
      <c r="D4" s="303" t="str">
        <f t="array" ref="D4">"Hi. Scroll down to row "&amp;max(if(B1:B158&lt;&gt;"",row(B1:B158)))+1&amp;" if you want to leave a message. Thanks"</f>
        <v>Hi. Scroll down to row 142 if you want to leave a message. Thanks</v>
      </c>
      <c r="E4" s="28"/>
      <c r="F4" s="28"/>
      <c r="G4" s="28"/>
      <c r="H4" s="28"/>
      <c r="I4" s="24"/>
      <c r="K4" s="295"/>
      <c r="L4" s="295"/>
      <c r="M4" s="296"/>
    </row>
    <row r="5">
      <c r="A5" s="286"/>
      <c r="B5" s="304" t="s">
        <v>956</v>
      </c>
      <c r="C5" s="305" t="s">
        <v>957</v>
      </c>
      <c r="D5" s="307" t="s">
        <v>960</v>
      </c>
      <c r="E5" s="28"/>
      <c r="F5" s="28"/>
      <c r="G5" s="28"/>
      <c r="H5" s="28"/>
      <c r="I5" s="24"/>
      <c r="K5" s="313" t="str">
        <f t="array" ref="K5:K183">A5:A183&amp;"|"&amp;B5:B183&amp;"|"&amp;C5:C183&amp;"|"&amp;D5:D183&amp;"|"&amp;E5:E183&amp;"|"&amp;F5:F183&amp;"|"&amp;G5:G183&amp;"|"&amp;H5:H183&amp;"|"&amp;I5:I183&amp;"|"&amp;J5:J183</f>
        <v>|Date
(double click empty cell)|Username|User Feedback
(For questions, comments and feature requests)||||||</v>
      </c>
      <c r="L5" s="295" t="s">
        <v>965</v>
      </c>
      <c r="M5" s="296" t="str">
        <f t="shared" ref="M5:M156" si="1">IF(K5=L5,,IF(AND(L5="",K5&lt;&gt;""),"new data","data changed"))</f>
        <v/>
      </c>
    </row>
    <row r="6" ht="25.5" customHeight="1">
      <c r="A6" s="317"/>
      <c r="B6" s="318">
        <v>42152.0</v>
      </c>
      <c r="C6" s="320" t="s">
        <v>640</v>
      </c>
      <c r="D6" s="323" t="s">
        <v>968</v>
      </c>
      <c r="E6" s="28"/>
      <c r="F6" s="28"/>
      <c r="G6" s="28"/>
      <c r="H6" s="28"/>
      <c r="I6" s="24"/>
      <c r="J6" s="325"/>
      <c r="K6" s="295" t="s">
        <v>972</v>
      </c>
      <c r="L6" s="295" t="s">
        <v>972</v>
      </c>
      <c r="M6" s="296" t="str">
        <f t="shared" si="1"/>
        <v/>
      </c>
    </row>
    <row r="7" ht="25.5" customHeight="1">
      <c r="A7" s="317"/>
      <c r="B7" s="318">
        <v>42152.0</v>
      </c>
      <c r="C7" s="328" t="s">
        <v>973</v>
      </c>
      <c r="D7" s="329" t="s">
        <v>975</v>
      </c>
      <c r="E7" s="28"/>
      <c r="F7" s="28"/>
      <c r="G7" s="28"/>
      <c r="H7" s="28"/>
      <c r="I7" s="24"/>
      <c r="K7" s="295" t="s">
        <v>977</v>
      </c>
      <c r="L7" s="295" t="s">
        <v>977</v>
      </c>
      <c r="M7" s="296" t="str">
        <f t="shared" si="1"/>
        <v/>
      </c>
    </row>
    <row r="8" ht="25.5" customHeight="1">
      <c r="A8" s="317"/>
      <c r="B8" s="318">
        <v>42158.0</v>
      </c>
      <c r="C8" s="328" t="s">
        <v>53</v>
      </c>
      <c r="D8" s="329" t="s">
        <v>979</v>
      </c>
      <c r="E8" s="28"/>
      <c r="F8" s="28"/>
      <c r="G8" s="28"/>
      <c r="H8" s="28"/>
      <c r="I8" s="24"/>
      <c r="K8" s="295" t="s">
        <v>982</v>
      </c>
      <c r="L8" s="295" t="s">
        <v>982</v>
      </c>
      <c r="M8" s="296" t="str">
        <f t="shared" si="1"/>
        <v/>
      </c>
    </row>
    <row r="9" ht="25.5" customHeight="1">
      <c r="A9" s="317"/>
      <c r="B9" s="318">
        <v>42158.0</v>
      </c>
      <c r="C9" s="328" t="s">
        <v>973</v>
      </c>
      <c r="D9" s="329" t="s">
        <v>983</v>
      </c>
      <c r="E9" s="28"/>
      <c r="F9" s="28"/>
      <c r="G9" s="28"/>
      <c r="H9" s="28"/>
      <c r="I9" s="24"/>
      <c r="K9" s="295" t="s">
        <v>984</v>
      </c>
      <c r="L9" s="295" t="s">
        <v>984</v>
      </c>
      <c r="M9" s="296" t="str">
        <f t="shared" si="1"/>
        <v/>
      </c>
    </row>
    <row r="10" ht="25.5" customHeight="1">
      <c r="A10" s="317"/>
      <c r="B10" s="318">
        <v>42164.0</v>
      </c>
      <c r="C10" s="328" t="s">
        <v>143</v>
      </c>
      <c r="D10" s="323" t="s">
        <v>985</v>
      </c>
      <c r="E10" s="28"/>
      <c r="F10" s="28"/>
      <c r="G10" s="28"/>
      <c r="H10" s="28"/>
      <c r="I10" s="24"/>
      <c r="K10" s="295" t="s">
        <v>986</v>
      </c>
      <c r="L10" s="295" t="s">
        <v>986</v>
      </c>
      <c r="M10" s="296" t="str">
        <f t="shared" si="1"/>
        <v/>
      </c>
    </row>
    <row r="11" ht="137.25" customHeight="1">
      <c r="A11" s="317"/>
      <c r="B11" s="318">
        <v>42165.0</v>
      </c>
      <c r="C11" s="328" t="s">
        <v>973</v>
      </c>
      <c r="D11" s="329" t="s">
        <v>988</v>
      </c>
      <c r="E11" s="28"/>
      <c r="F11" s="28"/>
      <c r="G11" s="28"/>
      <c r="H11" s="28"/>
      <c r="I11" s="24"/>
      <c r="K11" s="295" t="s">
        <v>991</v>
      </c>
      <c r="L11" s="295" t="s">
        <v>991</v>
      </c>
      <c r="M11" s="296" t="str">
        <f t="shared" si="1"/>
        <v/>
      </c>
    </row>
    <row r="12" ht="25.5" customHeight="1">
      <c r="A12" s="317"/>
      <c r="B12" s="318">
        <v>42166.0</v>
      </c>
      <c r="C12" s="328" t="s">
        <v>942</v>
      </c>
      <c r="D12" s="329" t="s">
        <v>992</v>
      </c>
      <c r="E12" s="28"/>
      <c r="F12" s="28"/>
      <c r="G12" s="28"/>
      <c r="H12" s="28"/>
      <c r="I12" s="24"/>
      <c r="K12" s="295" t="s">
        <v>994</v>
      </c>
      <c r="L12" s="295" t="s">
        <v>994</v>
      </c>
      <c r="M12" s="296" t="str">
        <f t="shared" si="1"/>
        <v/>
      </c>
    </row>
    <row r="13" ht="25.5" customHeight="1">
      <c r="A13" s="317"/>
      <c r="B13" s="318">
        <v>42166.0</v>
      </c>
      <c r="C13" s="328" t="s">
        <v>973</v>
      </c>
      <c r="D13" s="329" t="s">
        <v>996</v>
      </c>
      <c r="E13" s="28"/>
      <c r="F13" s="28"/>
      <c r="G13" s="28"/>
      <c r="H13" s="28"/>
      <c r="I13" s="24"/>
      <c r="K13" s="295" t="s">
        <v>999</v>
      </c>
      <c r="L13" s="295" t="s">
        <v>999</v>
      </c>
      <c r="M13" s="296" t="str">
        <f t="shared" si="1"/>
        <v/>
      </c>
    </row>
    <row r="14" ht="25.5" customHeight="1">
      <c r="A14" s="317"/>
      <c r="B14" s="318">
        <v>42166.0</v>
      </c>
      <c r="C14" s="328" t="s">
        <v>942</v>
      </c>
      <c r="D14" s="329" t="s">
        <v>1002</v>
      </c>
      <c r="E14" s="28"/>
      <c r="F14" s="28"/>
      <c r="G14" s="28"/>
      <c r="H14" s="28"/>
      <c r="I14" s="24"/>
      <c r="K14" s="295" t="s">
        <v>1003</v>
      </c>
      <c r="L14" s="295" t="s">
        <v>1003</v>
      </c>
      <c r="M14" s="296" t="str">
        <f t="shared" si="1"/>
        <v/>
      </c>
    </row>
    <row r="15" ht="25.5" customHeight="1">
      <c r="A15" s="317"/>
      <c r="B15" s="318">
        <v>42166.0</v>
      </c>
      <c r="C15" s="328" t="s">
        <v>973</v>
      </c>
      <c r="D15" s="329" t="s">
        <v>1005</v>
      </c>
      <c r="E15" s="28"/>
      <c r="F15" s="28"/>
      <c r="G15" s="28"/>
      <c r="H15" s="28"/>
      <c r="I15" s="24"/>
      <c r="K15" s="295" t="s">
        <v>1006</v>
      </c>
      <c r="L15" s="295" t="s">
        <v>1006</v>
      </c>
      <c r="M15" s="296" t="str">
        <f t="shared" si="1"/>
        <v/>
      </c>
    </row>
    <row r="16" ht="25.5" customHeight="1">
      <c r="A16" s="317"/>
      <c r="B16" s="318">
        <v>42167.0</v>
      </c>
      <c r="C16" s="328" t="s">
        <v>973</v>
      </c>
      <c r="D16" s="329" t="s">
        <v>1007</v>
      </c>
      <c r="E16" s="28"/>
      <c r="F16" s="28"/>
      <c r="G16" s="28"/>
      <c r="H16" s="28"/>
      <c r="I16" s="24"/>
      <c r="K16" s="295" t="s">
        <v>1009</v>
      </c>
      <c r="L16" s="295" t="s">
        <v>1009</v>
      </c>
      <c r="M16" s="296" t="str">
        <f t="shared" si="1"/>
        <v/>
      </c>
    </row>
    <row r="17" ht="25.5" customHeight="1">
      <c r="A17" s="317"/>
      <c r="B17" s="318">
        <v>42216.0</v>
      </c>
      <c r="C17" s="328" t="s">
        <v>761</v>
      </c>
      <c r="D17" s="329" t="s">
        <v>1012</v>
      </c>
      <c r="E17" s="28"/>
      <c r="F17" s="28"/>
      <c r="G17" s="28"/>
      <c r="H17" s="28"/>
      <c r="I17" s="24"/>
      <c r="K17" s="295" t="s">
        <v>1014</v>
      </c>
      <c r="L17" s="295" t="s">
        <v>1014</v>
      </c>
      <c r="M17" s="296" t="str">
        <f t="shared" si="1"/>
        <v/>
      </c>
    </row>
    <row r="18" ht="25.5" customHeight="1">
      <c r="A18" s="317"/>
      <c r="B18" s="318">
        <v>42218.0</v>
      </c>
      <c r="C18" s="328" t="s">
        <v>973</v>
      </c>
      <c r="D18" s="329" t="s">
        <v>1015</v>
      </c>
      <c r="E18" s="28"/>
      <c r="F18" s="28"/>
      <c r="G18" s="28"/>
      <c r="H18" s="28"/>
      <c r="I18" s="24"/>
      <c r="K18" s="295" t="s">
        <v>1016</v>
      </c>
      <c r="L18" s="295" t="s">
        <v>1016</v>
      </c>
      <c r="M18" s="296" t="str">
        <f t="shared" si="1"/>
        <v/>
      </c>
    </row>
    <row r="19" ht="25.5" customHeight="1">
      <c r="A19" s="317"/>
      <c r="B19" s="318">
        <v>42224.0</v>
      </c>
      <c r="C19" s="328" t="s">
        <v>640</v>
      </c>
      <c r="D19" s="329" t="s">
        <v>1018</v>
      </c>
      <c r="E19" s="28"/>
      <c r="F19" s="28"/>
      <c r="G19" s="28"/>
      <c r="H19" s="28"/>
      <c r="I19" s="24"/>
      <c r="K19" s="295" t="s">
        <v>1020</v>
      </c>
      <c r="L19" s="295" t="s">
        <v>1020</v>
      </c>
      <c r="M19" s="296" t="str">
        <f t="shared" si="1"/>
        <v/>
      </c>
    </row>
    <row r="20" ht="25.5" customHeight="1">
      <c r="A20" s="317"/>
      <c r="B20" s="318">
        <v>42224.0</v>
      </c>
      <c r="C20" s="328" t="s">
        <v>973</v>
      </c>
      <c r="D20" s="329" t="s">
        <v>1021</v>
      </c>
      <c r="E20" s="28"/>
      <c r="F20" s="28"/>
      <c r="G20" s="28"/>
      <c r="H20" s="28"/>
      <c r="I20" s="24"/>
      <c r="K20" s="295" t="s">
        <v>1023</v>
      </c>
      <c r="L20" s="295" t="s">
        <v>1023</v>
      </c>
      <c r="M20" s="296" t="str">
        <f t="shared" si="1"/>
        <v/>
      </c>
    </row>
    <row r="21" ht="25.5" customHeight="1">
      <c r="A21" s="317"/>
      <c r="B21" s="318">
        <v>42225.0</v>
      </c>
      <c r="C21" s="328" t="s">
        <v>973</v>
      </c>
      <c r="D21" s="337" t="s">
        <v>1026</v>
      </c>
      <c r="E21" s="28"/>
      <c r="F21" s="28"/>
      <c r="G21" s="28"/>
      <c r="H21" s="28"/>
      <c r="I21" s="24"/>
      <c r="K21" s="295" t="s">
        <v>1029</v>
      </c>
      <c r="L21" s="295" t="s">
        <v>1029</v>
      </c>
      <c r="M21" s="296" t="str">
        <f t="shared" si="1"/>
        <v/>
      </c>
      <c r="N21" s="338"/>
      <c r="O21" s="338"/>
    </row>
    <row r="22" ht="25.5" customHeight="1">
      <c r="A22" s="317"/>
      <c r="B22" s="318">
        <v>42226.0</v>
      </c>
      <c r="C22" s="328" t="s">
        <v>640</v>
      </c>
      <c r="D22" s="337" t="s">
        <v>1032</v>
      </c>
      <c r="E22" s="28"/>
      <c r="F22" s="28"/>
      <c r="G22" s="28"/>
      <c r="H22" s="28"/>
      <c r="I22" s="24"/>
      <c r="K22" s="295" t="s">
        <v>1035</v>
      </c>
      <c r="L22" s="295" t="s">
        <v>1035</v>
      </c>
      <c r="M22" s="296" t="str">
        <f t="shared" si="1"/>
        <v/>
      </c>
    </row>
    <row r="23" ht="25.5" customHeight="1">
      <c r="A23" s="317"/>
      <c r="B23" s="318">
        <v>42226.0</v>
      </c>
      <c r="C23" s="328" t="s">
        <v>973</v>
      </c>
      <c r="D23" s="337" t="s">
        <v>1036</v>
      </c>
      <c r="E23" s="28"/>
      <c r="F23" s="28"/>
      <c r="G23" s="28"/>
      <c r="H23" s="28"/>
      <c r="I23" s="24"/>
      <c r="K23" s="295" t="s">
        <v>1038</v>
      </c>
      <c r="L23" s="295" t="s">
        <v>1038</v>
      </c>
      <c r="M23" s="296" t="str">
        <f t="shared" si="1"/>
        <v/>
      </c>
    </row>
    <row r="24" ht="25.5" customHeight="1">
      <c r="A24" s="317"/>
      <c r="B24" s="318">
        <v>42274.0</v>
      </c>
      <c r="C24" s="328" t="s">
        <v>640</v>
      </c>
      <c r="D24" s="337" t="s">
        <v>1040</v>
      </c>
      <c r="E24" s="28"/>
      <c r="F24" s="28"/>
      <c r="G24" s="28"/>
      <c r="H24" s="28"/>
      <c r="I24" s="24"/>
      <c r="K24" s="295" t="s">
        <v>1041</v>
      </c>
      <c r="L24" s="295" t="s">
        <v>1041</v>
      </c>
      <c r="M24" s="296" t="str">
        <f t="shared" si="1"/>
        <v/>
      </c>
    </row>
    <row r="25" ht="25.5" customHeight="1">
      <c r="A25" s="317"/>
      <c r="B25" s="318">
        <v>42279.0</v>
      </c>
      <c r="C25" s="328" t="s">
        <v>973</v>
      </c>
      <c r="D25" s="337" t="s">
        <v>1045</v>
      </c>
      <c r="E25" s="28"/>
      <c r="F25" s="28"/>
      <c r="G25" s="28"/>
      <c r="H25" s="28"/>
      <c r="I25" s="24"/>
      <c r="K25" s="295" t="s">
        <v>1046</v>
      </c>
      <c r="L25" s="295" t="s">
        <v>1046</v>
      </c>
      <c r="M25" s="296" t="str">
        <f t="shared" si="1"/>
        <v/>
      </c>
    </row>
    <row r="26" ht="25.5" customHeight="1">
      <c r="A26" s="317"/>
      <c r="B26" s="318">
        <v>42303.0</v>
      </c>
      <c r="C26" s="339" t="s">
        <v>623</v>
      </c>
      <c r="D26" s="337" t="s">
        <v>1050</v>
      </c>
      <c r="E26" s="28"/>
      <c r="F26" s="28"/>
      <c r="G26" s="28"/>
      <c r="H26" s="28"/>
      <c r="I26" s="24"/>
      <c r="K26" s="295" t="s">
        <v>1052</v>
      </c>
      <c r="L26" s="295" t="s">
        <v>1052</v>
      </c>
      <c r="M26" s="296" t="str">
        <f t="shared" si="1"/>
        <v/>
      </c>
    </row>
    <row r="27" ht="141.75" customHeight="1">
      <c r="A27" s="317"/>
      <c r="B27" s="318">
        <v>42305.0</v>
      </c>
      <c r="C27" s="328" t="s">
        <v>973</v>
      </c>
      <c r="D27" s="337" t="s">
        <v>1054</v>
      </c>
      <c r="E27" s="28"/>
      <c r="F27" s="28"/>
      <c r="G27" s="28"/>
      <c r="H27" s="28"/>
      <c r="I27" s="24"/>
      <c r="K27" s="295" t="s">
        <v>1056</v>
      </c>
      <c r="L27" s="295" t="s">
        <v>1056</v>
      </c>
      <c r="M27" s="296" t="str">
        <f t="shared" si="1"/>
        <v/>
      </c>
    </row>
    <row r="28" ht="25.5" customHeight="1">
      <c r="A28" s="317"/>
      <c r="B28" s="318">
        <v>42312.0</v>
      </c>
      <c r="C28" s="328" t="s">
        <v>143</v>
      </c>
      <c r="D28" s="337" t="s">
        <v>1058</v>
      </c>
      <c r="E28" s="28"/>
      <c r="F28" s="28"/>
      <c r="G28" s="28"/>
      <c r="H28" s="28"/>
      <c r="I28" s="24"/>
      <c r="K28" s="295" t="s">
        <v>1060</v>
      </c>
      <c r="L28" s="295" t="s">
        <v>1060</v>
      </c>
      <c r="M28" s="296" t="str">
        <f t="shared" si="1"/>
        <v/>
      </c>
    </row>
    <row r="29" ht="25.5" customHeight="1">
      <c r="A29" s="317"/>
      <c r="B29" s="318">
        <v>42313.0</v>
      </c>
      <c r="C29" s="328" t="s">
        <v>973</v>
      </c>
      <c r="D29" s="337" t="s">
        <v>1062</v>
      </c>
      <c r="E29" s="28"/>
      <c r="F29" s="28"/>
      <c r="G29" s="28"/>
      <c r="H29" s="28"/>
      <c r="I29" s="24"/>
      <c r="K29" s="295" t="s">
        <v>1064</v>
      </c>
      <c r="L29" s="295" t="s">
        <v>1064</v>
      </c>
      <c r="M29" s="296" t="str">
        <f t="shared" si="1"/>
        <v/>
      </c>
    </row>
    <row r="30" ht="25.5" customHeight="1">
      <c r="A30" s="317"/>
      <c r="B30" s="318">
        <v>42319.0</v>
      </c>
      <c r="C30" s="328" t="s">
        <v>640</v>
      </c>
      <c r="D30" s="337" t="s">
        <v>1065</v>
      </c>
      <c r="E30" s="28"/>
      <c r="F30" s="28"/>
      <c r="G30" s="28"/>
      <c r="H30" s="28"/>
      <c r="I30" s="24"/>
      <c r="K30" s="295" t="s">
        <v>1066</v>
      </c>
      <c r="L30" s="295" t="s">
        <v>1066</v>
      </c>
      <c r="M30" s="296" t="str">
        <f t="shared" si="1"/>
        <v/>
      </c>
    </row>
    <row r="31" ht="25.5" customHeight="1">
      <c r="A31" s="317"/>
      <c r="B31" s="318">
        <v>42321.0</v>
      </c>
      <c r="C31" s="328" t="s">
        <v>973</v>
      </c>
      <c r="D31" s="337" t="s">
        <v>1067</v>
      </c>
      <c r="E31" s="28"/>
      <c r="F31" s="28"/>
      <c r="G31" s="28"/>
      <c r="H31" s="28"/>
      <c r="I31" s="24"/>
      <c r="K31" s="295" t="s">
        <v>1069</v>
      </c>
      <c r="L31" s="295" t="s">
        <v>1069</v>
      </c>
      <c r="M31" s="296" t="str">
        <f t="shared" si="1"/>
        <v/>
      </c>
    </row>
    <row r="32" ht="25.5" customHeight="1">
      <c r="A32" s="317"/>
      <c r="B32" s="318">
        <v>42352.0</v>
      </c>
      <c r="C32" s="328" t="s">
        <v>761</v>
      </c>
      <c r="D32" s="337" t="s">
        <v>1071</v>
      </c>
      <c r="E32" s="28"/>
      <c r="F32" s="28"/>
      <c r="G32" s="28"/>
      <c r="H32" s="28"/>
      <c r="I32" s="24"/>
      <c r="K32" s="295" t="s">
        <v>1072</v>
      </c>
      <c r="L32" s="295" t="s">
        <v>1072</v>
      </c>
      <c r="M32" s="296" t="str">
        <f t="shared" si="1"/>
        <v/>
      </c>
    </row>
    <row r="33" ht="160.5" customHeight="1">
      <c r="A33" s="317"/>
      <c r="B33" s="340">
        <v>42353.0</v>
      </c>
      <c r="C33" s="341" t="s">
        <v>973</v>
      </c>
      <c r="D33" s="342" t="s">
        <v>1074</v>
      </c>
      <c r="E33" s="343"/>
      <c r="F33" s="343"/>
      <c r="G33" s="343"/>
      <c r="H33" s="343"/>
      <c r="I33" s="309"/>
      <c r="K33" s="295" t="s">
        <v>1076</v>
      </c>
      <c r="L33" s="295" t="s">
        <v>1076</v>
      </c>
      <c r="M33" s="296" t="str">
        <f t="shared" si="1"/>
        <v/>
      </c>
    </row>
    <row r="34" ht="87.75" customHeight="1">
      <c r="A34" s="317"/>
      <c r="B34" s="314"/>
      <c r="C34" s="314"/>
      <c r="D34" s="315"/>
      <c r="I34" s="316"/>
      <c r="K34" s="295" t="s">
        <v>1077</v>
      </c>
      <c r="L34" s="295" t="s">
        <v>1077</v>
      </c>
      <c r="M34" s="296" t="str">
        <f t="shared" si="1"/>
        <v/>
      </c>
    </row>
    <row r="35" ht="109.5" customHeight="1">
      <c r="A35" s="317"/>
      <c r="B35" s="314"/>
      <c r="C35" s="314"/>
      <c r="D35" s="315"/>
      <c r="I35" s="316"/>
      <c r="K35" s="295" t="s">
        <v>1077</v>
      </c>
      <c r="L35" s="295" t="s">
        <v>1077</v>
      </c>
      <c r="M35" s="296" t="str">
        <f t="shared" si="1"/>
        <v/>
      </c>
    </row>
    <row r="36" ht="71.25" customHeight="1">
      <c r="A36" s="317"/>
      <c r="B36" s="319"/>
      <c r="C36" s="319"/>
      <c r="D36" s="321"/>
      <c r="E36" s="344"/>
      <c r="F36" s="344"/>
      <c r="G36" s="344"/>
      <c r="H36" s="344"/>
      <c r="I36" s="322"/>
      <c r="K36" s="295" t="s">
        <v>1077</v>
      </c>
      <c r="L36" s="295" t="s">
        <v>1077</v>
      </c>
      <c r="M36" s="296" t="str">
        <f t="shared" si="1"/>
        <v/>
      </c>
    </row>
    <row r="37" ht="25.5" customHeight="1">
      <c r="A37" s="317"/>
      <c r="B37" s="318">
        <v>42355.0</v>
      </c>
      <c r="C37" s="328" t="s">
        <v>761</v>
      </c>
      <c r="D37" s="337" t="s">
        <v>1079</v>
      </c>
      <c r="E37" s="28"/>
      <c r="F37" s="28"/>
      <c r="G37" s="28"/>
      <c r="H37" s="28"/>
      <c r="I37" s="24"/>
      <c r="K37" s="295" t="s">
        <v>1081</v>
      </c>
      <c r="L37" s="295" t="s">
        <v>1081</v>
      </c>
      <c r="M37" s="296" t="str">
        <f t="shared" si="1"/>
        <v/>
      </c>
    </row>
    <row r="38" ht="25.5" customHeight="1">
      <c r="A38" s="317"/>
      <c r="B38" s="318">
        <v>42355.0</v>
      </c>
      <c r="C38" s="328" t="s">
        <v>717</v>
      </c>
      <c r="D38" s="337" t="s">
        <v>1082</v>
      </c>
      <c r="E38" s="28"/>
      <c r="F38" s="28"/>
      <c r="G38" s="28"/>
      <c r="H38" s="28"/>
      <c r="I38" s="24"/>
      <c r="K38" s="295" t="s">
        <v>1083</v>
      </c>
      <c r="L38" s="295" t="s">
        <v>1083</v>
      </c>
      <c r="M38" s="296" t="str">
        <f t="shared" si="1"/>
        <v/>
      </c>
    </row>
    <row r="39" ht="25.5" customHeight="1">
      <c r="A39" s="317"/>
      <c r="B39" s="318">
        <v>42355.0</v>
      </c>
      <c r="C39" s="328" t="s">
        <v>973</v>
      </c>
      <c r="D39" s="337" t="s">
        <v>1084</v>
      </c>
      <c r="E39" s="28"/>
      <c r="F39" s="28"/>
      <c r="G39" s="28"/>
      <c r="H39" s="28"/>
      <c r="I39" s="24"/>
      <c r="K39" s="295" t="s">
        <v>1085</v>
      </c>
      <c r="L39" s="295" t="s">
        <v>1085</v>
      </c>
      <c r="M39" s="296" t="str">
        <f t="shared" si="1"/>
        <v/>
      </c>
    </row>
    <row r="40" ht="25.5" customHeight="1">
      <c r="A40" s="317"/>
      <c r="B40" s="318">
        <v>42391.0</v>
      </c>
      <c r="C40" s="328" t="s">
        <v>1086</v>
      </c>
      <c r="D40" s="337" t="s">
        <v>1087</v>
      </c>
      <c r="E40" s="28"/>
      <c r="F40" s="28"/>
      <c r="G40" s="28"/>
      <c r="H40" s="28"/>
      <c r="I40" s="24"/>
      <c r="K40" s="295" t="s">
        <v>1089</v>
      </c>
      <c r="L40" s="295" t="s">
        <v>1089</v>
      </c>
      <c r="M40" s="296" t="str">
        <f t="shared" si="1"/>
        <v/>
      </c>
    </row>
    <row r="41" ht="25.5" customHeight="1">
      <c r="A41" s="317"/>
      <c r="B41" s="318">
        <v>42394.0</v>
      </c>
      <c r="C41" s="328" t="s">
        <v>973</v>
      </c>
      <c r="D41" s="337" t="s">
        <v>1091</v>
      </c>
      <c r="E41" s="28"/>
      <c r="F41" s="28"/>
      <c r="G41" s="28"/>
      <c r="H41" s="28"/>
      <c r="I41" s="24"/>
      <c r="K41" s="295" t="s">
        <v>1092</v>
      </c>
      <c r="L41" s="295" t="s">
        <v>1092</v>
      </c>
      <c r="M41" s="296" t="str">
        <f t="shared" si="1"/>
        <v/>
      </c>
    </row>
    <row r="42" ht="25.5" customHeight="1">
      <c r="A42" s="317"/>
      <c r="B42" s="318">
        <v>42405.0</v>
      </c>
      <c r="C42" s="328" t="s">
        <v>169</v>
      </c>
      <c r="D42" s="337" t="s">
        <v>1094</v>
      </c>
      <c r="E42" s="28"/>
      <c r="F42" s="28"/>
      <c r="G42" s="28"/>
      <c r="H42" s="28"/>
      <c r="I42" s="24"/>
      <c r="K42" s="295" t="s">
        <v>1096</v>
      </c>
      <c r="L42" s="295" t="s">
        <v>1096</v>
      </c>
      <c r="M42" s="296" t="str">
        <f t="shared" si="1"/>
        <v/>
      </c>
    </row>
    <row r="43" ht="25.5" customHeight="1">
      <c r="A43" s="317"/>
      <c r="B43" s="318">
        <v>42407.0</v>
      </c>
      <c r="C43" s="328" t="s">
        <v>973</v>
      </c>
      <c r="D43" s="329" t="s">
        <v>1097</v>
      </c>
      <c r="E43" s="28"/>
      <c r="F43" s="28"/>
      <c r="G43" s="28"/>
      <c r="H43" s="28"/>
      <c r="I43" s="24"/>
      <c r="K43" s="295" t="s">
        <v>1098</v>
      </c>
      <c r="L43" s="295" t="s">
        <v>1098</v>
      </c>
      <c r="M43" s="296" t="str">
        <f t="shared" si="1"/>
        <v/>
      </c>
    </row>
    <row r="44" ht="25.5" customHeight="1">
      <c r="A44" s="317"/>
      <c r="B44" s="318">
        <v>42408.0</v>
      </c>
      <c r="C44" s="328" t="s">
        <v>169</v>
      </c>
      <c r="D44" s="337" t="s">
        <v>1099</v>
      </c>
      <c r="E44" s="28"/>
      <c r="F44" s="28"/>
      <c r="G44" s="28"/>
      <c r="H44" s="28"/>
      <c r="I44" s="24"/>
      <c r="J44" s="346"/>
      <c r="K44" s="295" t="s">
        <v>1100</v>
      </c>
      <c r="L44" s="295" t="s">
        <v>1100</v>
      </c>
      <c r="M44" s="296" t="str">
        <f t="shared" si="1"/>
        <v/>
      </c>
    </row>
    <row r="45" ht="25.5" customHeight="1">
      <c r="A45" s="317"/>
      <c r="B45" s="318">
        <v>42408.0</v>
      </c>
      <c r="C45" s="328" t="s">
        <v>973</v>
      </c>
      <c r="D45" s="337" t="s">
        <v>1102</v>
      </c>
      <c r="E45" s="28"/>
      <c r="F45" s="28"/>
      <c r="G45" s="28"/>
      <c r="H45" s="28"/>
      <c r="I45" s="24"/>
      <c r="K45" s="295" t="s">
        <v>1103</v>
      </c>
      <c r="L45" s="295" t="s">
        <v>1103</v>
      </c>
      <c r="M45" s="296" t="str">
        <f t="shared" si="1"/>
        <v/>
      </c>
    </row>
    <row r="46" ht="25.5" customHeight="1">
      <c r="A46" s="317"/>
      <c r="B46" s="318">
        <v>42409.0</v>
      </c>
      <c r="C46" s="328" t="s">
        <v>169</v>
      </c>
      <c r="D46" s="337" t="s">
        <v>1104</v>
      </c>
      <c r="E46" s="28"/>
      <c r="F46" s="28"/>
      <c r="G46" s="28"/>
      <c r="H46" s="28"/>
      <c r="I46" s="24"/>
      <c r="J46" s="346"/>
      <c r="K46" s="295" t="s">
        <v>1105</v>
      </c>
      <c r="L46" s="295" t="s">
        <v>1105</v>
      </c>
      <c r="M46" s="296" t="str">
        <f t="shared" si="1"/>
        <v/>
      </c>
    </row>
    <row r="47" ht="25.5" customHeight="1">
      <c r="A47" s="317"/>
      <c r="B47" s="318">
        <v>42410.0</v>
      </c>
      <c r="C47" s="328" t="s">
        <v>973</v>
      </c>
      <c r="D47" s="337" t="s">
        <v>1107</v>
      </c>
      <c r="E47" s="28"/>
      <c r="F47" s="28"/>
      <c r="G47" s="28"/>
      <c r="H47" s="28"/>
      <c r="I47" s="24"/>
      <c r="K47" s="295" t="s">
        <v>1108</v>
      </c>
      <c r="L47" s="295" t="s">
        <v>1108</v>
      </c>
      <c r="M47" s="296" t="str">
        <f t="shared" si="1"/>
        <v/>
      </c>
    </row>
    <row r="48" ht="25.5" customHeight="1">
      <c r="A48" s="317"/>
      <c r="B48" s="318">
        <v>42410.0</v>
      </c>
      <c r="C48" s="328" t="s">
        <v>169</v>
      </c>
      <c r="D48" s="337" t="s">
        <v>1109</v>
      </c>
      <c r="E48" s="28"/>
      <c r="F48" s="28"/>
      <c r="G48" s="28"/>
      <c r="H48" s="28"/>
      <c r="I48" s="24"/>
      <c r="K48" s="295" t="s">
        <v>1112</v>
      </c>
      <c r="L48" s="295" t="s">
        <v>1112</v>
      </c>
      <c r="M48" s="296" t="str">
        <f t="shared" si="1"/>
        <v/>
      </c>
    </row>
    <row r="49" ht="25.5" customHeight="1">
      <c r="A49" s="317"/>
      <c r="B49" s="318">
        <v>42410.0</v>
      </c>
      <c r="C49" s="328" t="s">
        <v>169</v>
      </c>
      <c r="D49" s="337" t="s">
        <v>1113</v>
      </c>
      <c r="E49" s="28"/>
      <c r="F49" s="28"/>
      <c r="G49" s="28"/>
      <c r="H49" s="28"/>
      <c r="I49" s="24"/>
      <c r="K49" s="295" t="s">
        <v>1114</v>
      </c>
      <c r="L49" s="295" t="s">
        <v>1114</v>
      </c>
      <c r="M49" s="296" t="str">
        <f t="shared" si="1"/>
        <v/>
      </c>
    </row>
    <row r="50" ht="25.5" customHeight="1">
      <c r="A50" s="317"/>
      <c r="B50" s="318">
        <v>42410.0</v>
      </c>
      <c r="C50" s="328" t="s">
        <v>169</v>
      </c>
      <c r="D50" s="337" t="s">
        <v>1116</v>
      </c>
      <c r="E50" s="28"/>
      <c r="F50" s="28"/>
      <c r="G50" s="28"/>
      <c r="H50" s="28"/>
      <c r="I50" s="24"/>
      <c r="K50" s="295" t="s">
        <v>1117</v>
      </c>
      <c r="L50" s="295" t="s">
        <v>1117</v>
      </c>
      <c r="M50" s="296" t="str">
        <f t="shared" si="1"/>
        <v/>
      </c>
    </row>
    <row r="51" ht="25.5" customHeight="1">
      <c r="A51" s="317"/>
      <c r="B51" s="318">
        <v>42410.0</v>
      </c>
      <c r="C51" s="328" t="s">
        <v>973</v>
      </c>
      <c r="D51" s="337" t="s">
        <v>1118</v>
      </c>
      <c r="E51" s="28"/>
      <c r="F51" s="28"/>
      <c r="G51" s="28"/>
      <c r="H51" s="28"/>
      <c r="I51" s="24"/>
      <c r="K51" s="295" t="s">
        <v>1120</v>
      </c>
      <c r="L51" s="295" t="s">
        <v>1120</v>
      </c>
      <c r="M51" s="296" t="str">
        <f t="shared" si="1"/>
        <v/>
      </c>
    </row>
    <row r="52" ht="25.5" customHeight="1">
      <c r="A52" s="317"/>
      <c r="B52" s="318">
        <v>42410.0</v>
      </c>
      <c r="C52" s="328" t="s">
        <v>169</v>
      </c>
      <c r="D52" s="337" t="s">
        <v>1121</v>
      </c>
      <c r="E52" s="28"/>
      <c r="F52" s="28"/>
      <c r="G52" s="28"/>
      <c r="H52" s="28"/>
      <c r="I52" s="24"/>
      <c r="K52" s="295" t="s">
        <v>1122</v>
      </c>
      <c r="L52" s="295" t="s">
        <v>1122</v>
      </c>
      <c r="M52" s="296" t="str">
        <f t="shared" si="1"/>
        <v/>
      </c>
    </row>
    <row r="53" ht="25.5" customHeight="1">
      <c r="A53" s="317"/>
      <c r="B53" s="318">
        <v>42411.0</v>
      </c>
      <c r="C53" s="349" t="s">
        <v>973</v>
      </c>
      <c r="D53" s="350" t="s">
        <v>1123</v>
      </c>
      <c r="E53" s="28"/>
      <c r="F53" s="28"/>
      <c r="G53" s="28"/>
      <c r="H53" s="28"/>
      <c r="I53" s="24"/>
      <c r="J53" s="351"/>
      <c r="K53" s="295" t="s">
        <v>1126</v>
      </c>
      <c r="L53" s="295" t="s">
        <v>1126</v>
      </c>
      <c r="M53" s="296" t="str">
        <f t="shared" si="1"/>
        <v/>
      </c>
      <c r="N53" s="351"/>
      <c r="O53" s="351"/>
    </row>
    <row r="54" ht="25.5" customHeight="1">
      <c r="A54" s="317"/>
      <c r="B54" s="318">
        <v>42450.0</v>
      </c>
      <c r="C54" s="328" t="s">
        <v>1128</v>
      </c>
      <c r="D54" s="329" t="s">
        <v>1129</v>
      </c>
      <c r="E54" s="28"/>
      <c r="F54" s="28"/>
      <c r="G54" s="28"/>
      <c r="H54" s="28"/>
      <c r="I54" s="24"/>
      <c r="J54" s="351"/>
      <c r="K54" s="295" t="s">
        <v>1130</v>
      </c>
      <c r="L54" s="295" t="s">
        <v>1130</v>
      </c>
      <c r="M54" s="296" t="str">
        <f t="shared" si="1"/>
        <v/>
      </c>
      <c r="N54" s="351"/>
      <c r="O54" s="351"/>
    </row>
    <row r="55" ht="25.5" customHeight="1">
      <c r="A55" s="317"/>
      <c r="B55" s="318">
        <v>42453.0</v>
      </c>
      <c r="C55" s="349" t="s">
        <v>973</v>
      </c>
      <c r="D55" s="337" t="s">
        <v>1131</v>
      </c>
      <c r="E55" s="28"/>
      <c r="F55" s="28"/>
      <c r="G55" s="28"/>
      <c r="H55" s="28"/>
      <c r="I55" s="24"/>
      <c r="J55" s="351"/>
      <c r="K55" s="295" t="s">
        <v>1132</v>
      </c>
      <c r="L55" s="295" t="s">
        <v>1132</v>
      </c>
      <c r="M55" s="296" t="str">
        <f t="shared" si="1"/>
        <v/>
      </c>
      <c r="N55" s="351"/>
      <c r="O55" s="351"/>
    </row>
    <row r="56" ht="25.5" customHeight="1">
      <c r="A56" s="317"/>
      <c r="B56" s="318">
        <v>42459.0</v>
      </c>
      <c r="C56" s="328" t="s">
        <v>1128</v>
      </c>
      <c r="D56" s="337" t="s">
        <v>1133</v>
      </c>
      <c r="E56" s="28"/>
      <c r="F56" s="28"/>
      <c r="G56" s="28"/>
      <c r="H56" s="28"/>
      <c r="I56" s="24"/>
      <c r="J56" s="351"/>
      <c r="K56" s="295" t="s">
        <v>1134</v>
      </c>
      <c r="L56" s="295" t="s">
        <v>1134</v>
      </c>
      <c r="M56" s="296" t="str">
        <f t="shared" si="1"/>
        <v/>
      </c>
      <c r="N56" s="351"/>
      <c r="O56" s="351"/>
    </row>
    <row r="57" ht="25.5" customHeight="1">
      <c r="A57" s="317"/>
      <c r="B57" s="318">
        <v>42462.0</v>
      </c>
      <c r="C57" s="328" t="s">
        <v>169</v>
      </c>
      <c r="D57" s="337" t="s">
        <v>1136</v>
      </c>
      <c r="E57" s="28"/>
      <c r="F57" s="28"/>
      <c r="G57" s="28"/>
      <c r="H57" s="28"/>
      <c r="I57" s="24"/>
      <c r="J57" s="351"/>
      <c r="K57" s="295" t="s">
        <v>1137</v>
      </c>
      <c r="L57" s="295" t="s">
        <v>1137</v>
      </c>
      <c r="M57" s="296" t="str">
        <f t="shared" si="1"/>
        <v/>
      </c>
      <c r="N57" s="351"/>
      <c r="O57" s="351"/>
    </row>
    <row r="58" ht="25.5" customHeight="1">
      <c r="A58" s="317"/>
      <c r="B58" s="318">
        <v>42463.0</v>
      </c>
      <c r="C58" s="349" t="s">
        <v>973</v>
      </c>
      <c r="D58" s="337" t="s">
        <v>1139</v>
      </c>
      <c r="E58" s="28"/>
      <c r="F58" s="28"/>
      <c r="G58" s="28"/>
      <c r="H58" s="28"/>
      <c r="I58" s="24"/>
      <c r="J58" s="351"/>
      <c r="K58" s="295" t="s">
        <v>1140</v>
      </c>
      <c r="L58" s="295" t="s">
        <v>1140</v>
      </c>
      <c r="M58" s="296" t="str">
        <f t="shared" si="1"/>
        <v/>
      </c>
      <c r="N58" s="351"/>
      <c r="O58" s="351"/>
    </row>
    <row r="59" ht="25.5" customHeight="1">
      <c r="A59" s="317"/>
      <c r="B59" s="318">
        <v>42463.0</v>
      </c>
      <c r="C59" s="328" t="s">
        <v>1142</v>
      </c>
      <c r="D59" s="337" t="s">
        <v>1143</v>
      </c>
      <c r="E59" s="28"/>
      <c r="F59" s="28"/>
      <c r="G59" s="28"/>
      <c r="H59" s="28"/>
      <c r="I59" s="24"/>
      <c r="J59" s="351"/>
      <c r="K59" s="295" t="s">
        <v>1145</v>
      </c>
      <c r="L59" s="295" t="s">
        <v>1145</v>
      </c>
      <c r="M59" s="296" t="str">
        <f t="shared" si="1"/>
        <v/>
      </c>
      <c r="N59" s="351"/>
      <c r="O59" s="351"/>
    </row>
    <row r="60" ht="25.5" customHeight="1">
      <c r="A60" s="317"/>
      <c r="B60" s="318">
        <v>42463.0</v>
      </c>
      <c r="C60" s="328" t="s">
        <v>1142</v>
      </c>
      <c r="D60" s="337" t="s">
        <v>1146</v>
      </c>
      <c r="E60" s="28"/>
      <c r="F60" s="28"/>
      <c r="G60" s="28"/>
      <c r="H60" s="28"/>
      <c r="I60" s="24"/>
      <c r="J60" s="351"/>
      <c r="K60" s="295" t="s">
        <v>1147</v>
      </c>
      <c r="L60" s="295" t="s">
        <v>1147</v>
      </c>
      <c r="M60" s="296" t="str">
        <f t="shared" si="1"/>
        <v/>
      </c>
      <c r="N60" s="351"/>
      <c r="O60" s="351"/>
    </row>
    <row r="61" ht="25.5" customHeight="1">
      <c r="A61" s="317"/>
      <c r="B61" s="318">
        <v>42464.0</v>
      </c>
      <c r="C61" s="328" t="s">
        <v>169</v>
      </c>
      <c r="D61" s="337" t="s">
        <v>1150</v>
      </c>
      <c r="E61" s="28"/>
      <c r="F61" s="28"/>
      <c r="G61" s="28"/>
      <c r="H61" s="28"/>
      <c r="I61" s="24"/>
      <c r="J61" s="351"/>
      <c r="K61" s="295" t="s">
        <v>1152</v>
      </c>
      <c r="L61" s="295" t="s">
        <v>1152</v>
      </c>
      <c r="M61" s="296" t="str">
        <f t="shared" si="1"/>
        <v/>
      </c>
      <c r="N61" s="351"/>
      <c r="O61" s="351"/>
    </row>
    <row r="62" ht="25.5" customHeight="1">
      <c r="A62" s="317"/>
      <c r="B62" s="318">
        <v>42466.0</v>
      </c>
      <c r="C62" s="349" t="s">
        <v>973</v>
      </c>
      <c r="D62" s="337" t="s">
        <v>1153</v>
      </c>
      <c r="E62" s="28"/>
      <c r="F62" s="28"/>
      <c r="G62" s="28"/>
      <c r="H62" s="28"/>
      <c r="I62" s="24"/>
      <c r="J62" s="351"/>
      <c r="K62" s="295" t="s">
        <v>1154</v>
      </c>
      <c r="L62" s="295" t="s">
        <v>1154</v>
      </c>
      <c r="M62" s="296" t="str">
        <f t="shared" si="1"/>
        <v/>
      </c>
      <c r="N62" s="351"/>
      <c r="O62" s="351"/>
    </row>
    <row r="63" ht="25.5" customHeight="1">
      <c r="A63" s="317"/>
      <c r="B63" s="318">
        <v>42466.0</v>
      </c>
      <c r="C63" s="349" t="s">
        <v>973</v>
      </c>
      <c r="D63" s="337" t="s">
        <v>1155</v>
      </c>
      <c r="E63" s="28"/>
      <c r="F63" s="28"/>
      <c r="G63" s="28"/>
      <c r="H63" s="28"/>
      <c r="I63" s="24"/>
      <c r="J63" s="351"/>
      <c r="K63" s="295" t="s">
        <v>1157</v>
      </c>
      <c r="L63" s="295" t="s">
        <v>1157</v>
      </c>
      <c r="M63" s="296" t="str">
        <f t="shared" si="1"/>
        <v/>
      </c>
      <c r="N63" s="351"/>
      <c r="O63" s="351"/>
    </row>
    <row r="64" ht="25.5" customHeight="1">
      <c r="A64" s="317"/>
      <c r="B64" s="318">
        <v>42496.0</v>
      </c>
      <c r="C64" s="328" t="s">
        <v>143</v>
      </c>
      <c r="D64" s="337" t="s">
        <v>1158</v>
      </c>
      <c r="E64" s="28"/>
      <c r="F64" s="28"/>
      <c r="G64" s="28"/>
      <c r="H64" s="28"/>
      <c r="I64" s="24"/>
      <c r="J64" s="351"/>
      <c r="K64" s="295" t="s">
        <v>1159</v>
      </c>
      <c r="L64" s="295" t="s">
        <v>1159</v>
      </c>
      <c r="M64" s="296" t="str">
        <f t="shared" si="1"/>
        <v/>
      </c>
      <c r="N64" s="351"/>
      <c r="O64" s="351"/>
    </row>
    <row r="65" ht="25.5" customHeight="1">
      <c r="A65" s="317"/>
      <c r="B65" s="318">
        <v>42499.0</v>
      </c>
      <c r="C65" s="349" t="s">
        <v>973</v>
      </c>
      <c r="D65" s="337" t="s">
        <v>1160</v>
      </c>
      <c r="E65" s="28"/>
      <c r="F65" s="28"/>
      <c r="G65" s="28"/>
      <c r="H65" s="28"/>
      <c r="I65" s="24"/>
      <c r="J65" s="351"/>
      <c r="K65" s="295" t="s">
        <v>1161</v>
      </c>
      <c r="L65" s="295" t="s">
        <v>1161</v>
      </c>
      <c r="M65" s="296" t="str">
        <f t="shared" si="1"/>
        <v/>
      </c>
      <c r="N65" s="351"/>
      <c r="O65" s="351"/>
    </row>
    <row r="66" ht="25.5" customHeight="1">
      <c r="A66" s="317"/>
      <c r="B66" s="318">
        <v>42494.0</v>
      </c>
      <c r="C66" s="328" t="s">
        <v>143</v>
      </c>
      <c r="D66" s="329" t="s">
        <v>1162</v>
      </c>
      <c r="E66" s="28"/>
      <c r="F66" s="28"/>
      <c r="G66" s="28"/>
      <c r="H66" s="28"/>
      <c r="I66" s="24"/>
      <c r="J66" s="351"/>
      <c r="K66" s="295" t="s">
        <v>1165</v>
      </c>
      <c r="L66" s="295" t="s">
        <v>1165</v>
      </c>
      <c r="M66" s="296" t="str">
        <f t="shared" si="1"/>
        <v/>
      </c>
      <c r="N66" s="351"/>
      <c r="O66" s="351"/>
    </row>
    <row r="67" ht="25.5" customHeight="1">
      <c r="A67" s="317"/>
      <c r="B67" s="318">
        <v>42499.0</v>
      </c>
      <c r="C67" s="349" t="s">
        <v>973</v>
      </c>
      <c r="D67" s="337" t="s">
        <v>1167</v>
      </c>
      <c r="E67" s="28"/>
      <c r="F67" s="28"/>
      <c r="G67" s="28"/>
      <c r="H67" s="28"/>
      <c r="I67" s="24"/>
      <c r="J67" s="351"/>
      <c r="K67" s="295" t="s">
        <v>1168</v>
      </c>
      <c r="L67" s="295" t="s">
        <v>1168</v>
      </c>
      <c r="M67" s="296" t="str">
        <f t="shared" si="1"/>
        <v/>
      </c>
      <c r="N67" s="351"/>
      <c r="O67" s="351"/>
    </row>
    <row r="68" ht="25.5" customHeight="1">
      <c r="A68" s="317"/>
      <c r="B68" s="318">
        <v>42516.0</v>
      </c>
      <c r="C68" s="328" t="s">
        <v>1170</v>
      </c>
      <c r="D68" s="337" t="s">
        <v>1171</v>
      </c>
      <c r="E68" s="28"/>
      <c r="F68" s="28"/>
      <c r="G68" s="28"/>
      <c r="H68" s="28"/>
      <c r="I68" s="24"/>
      <c r="J68" s="351"/>
      <c r="K68" s="295" t="s">
        <v>1173</v>
      </c>
      <c r="L68" s="295" t="s">
        <v>1173</v>
      </c>
      <c r="M68" s="296" t="str">
        <f t="shared" si="1"/>
        <v/>
      </c>
      <c r="N68" s="351"/>
      <c r="O68" s="351"/>
    </row>
    <row r="69" ht="25.5" customHeight="1">
      <c r="A69" s="317"/>
      <c r="B69" s="318">
        <v>42517.0</v>
      </c>
      <c r="C69" s="349" t="s">
        <v>973</v>
      </c>
      <c r="D69" s="337" t="s">
        <v>1174</v>
      </c>
      <c r="E69" s="28"/>
      <c r="F69" s="28"/>
      <c r="G69" s="28"/>
      <c r="H69" s="28"/>
      <c r="I69" s="24"/>
      <c r="J69" s="351"/>
      <c r="K69" s="295" t="s">
        <v>1175</v>
      </c>
      <c r="L69" s="295" t="s">
        <v>1175</v>
      </c>
      <c r="M69" s="296" t="str">
        <f t="shared" si="1"/>
        <v/>
      </c>
      <c r="N69" s="351"/>
      <c r="O69" s="351"/>
    </row>
    <row r="70" ht="25.5" customHeight="1">
      <c r="A70" s="317"/>
      <c r="B70" s="318">
        <v>42517.0</v>
      </c>
      <c r="C70" s="328" t="s">
        <v>1170</v>
      </c>
      <c r="D70" s="337" t="s">
        <v>1176</v>
      </c>
      <c r="E70" s="28"/>
      <c r="F70" s="28"/>
      <c r="G70" s="28"/>
      <c r="H70" s="28"/>
      <c r="I70" s="24"/>
      <c r="J70" s="351"/>
      <c r="K70" s="295" t="s">
        <v>1177</v>
      </c>
      <c r="L70" s="295" t="s">
        <v>1177</v>
      </c>
      <c r="M70" s="296" t="str">
        <f t="shared" si="1"/>
        <v/>
      </c>
      <c r="N70" s="351"/>
      <c r="O70" s="351"/>
    </row>
    <row r="71" ht="25.5" customHeight="1">
      <c r="A71" s="317"/>
      <c r="B71" s="318">
        <v>42535.0</v>
      </c>
      <c r="C71" s="328" t="s">
        <v>1178</v>
      </c>
      <c r="D71" s="337" t="s">
        <v>1179</v>
      </c>
      <c r="E71" s="28"/>
      <c r="F71" s="28"/>
      <c r="G71" s="28"/>
      <c r="H71" s="28"/>
      <c r="I71" s="24"/>
      <c r="J71" s="351"/>
      <c r="K71" s="295" t="s">
        <v>1180</v>
      </c>
      <c r="L71" s="295" t="s">
        <v>1180</v>
      </c>
      <c r="M71" s="296" t="str">
        <f t="shared" si="1"/>
        <v/>
      </c>
      <c r="N71" s="351"/>
      <c r="O71" s="351"/>
    </row>
    <row r="72" ht="25.5" customHeight="1">
      <c r="A72" s="317"/>
      <c r="B72" s="318">
        <v>42536.0</v>
      </c>
      <c r="C72" s="349" t="s">
        <v>973</v>
      </c>
      <c r="D72" s="337" t="s">
        <v>1182</v>
      </c>
      <c r="E72" s="28"/>
      <c r="F72" s="28"/>
      <c r="G72" s="28"/>
      <c r="H72" s="28"/>
      <c r="I72" s="24"/>
      <c r="J72" s="351"/>
      <c r="K72" s="295" t="s">
        <v>1183</v>
      </c>
      <c r="L72" s="295" t="s">
        <v>1183</v>
      </c>
      <c r="M72" s="296" t="str">
        <f t="shared" si="1"/>
        <v/>
      </c>
      <c r="N72" s="351"/>
      <c r="O72" s="351"/>
    </row>
    <row r="73" ht="25.5" customHeight="1">
      <c r="A73" s="317"/>
      <c r="B73" s="318">
        <v>42538.0</v>
      </c>
      <c r="C73" s="328" t="s">
        <v>1178</v>
      </c>
      <c r="D73" s="337" t="s">
        <v>1184</v>
      </c>
      <c r="E73" s="28"/>
      <c r="F73" s="28"/>
      <c r="G73" s="28"/>
      <c r="H73" s="28"/>
      <c r="I73" s="24"/>
      <c r="J73" s="351"/>
      <c r="K73" s="295" t="s">
        <v>1185</v>
      </c>
      <c r="L73" s="295" t="s">
        <v>1185</v>
      </c>
      <c r="M73" s="296" t="str">
        <f t="shared" si="1"/>
        <v/>
      </c>
      <c r="N73" s="351"/>
      <c r="O73" s="351"/>
    </row>
    <row r="74" ht="25.5" customHeight="1">
      <c r="A74" s="317"/>
      <c r="B74" s="318">
        <v>42542.0</v>
      </c>
      <c r="C74" s="328" t="s">
        <v>169</v>
      </c>
      <c r="D74" s="337" t="s">
        <v>1186</v>
      </c>
      <c r="E74" s="28"/>
      <c r="F74" s="28"/>
      <c r="G74" s="28"/>
      <c r="H74" s="28"/>
      <c r="I74" s="24"/>
      <c r="J74" s="351"/>
      <c r="K74" s="295" t="s">
        <v>1187</v>
      </c>
      <c r="L74" s="295" t="s">
        <v>1187</v>
      </c>
      <c r="M74" s="296" t="str">
        <f t="shared" si="1"/>
        <v/>
      </c>
      <c r="N74" s="351"/>
      <c r="O74" s="351"/>
    </row>
    <row r="75" ht="25.5" customHeight="1">
      <c r="A75" s="317"/>
      <c r="B75" s="318">
        <v>42545.0</v>
      </c>
      <c r="C75" s="349" t="s">
        <v>973</v>
      </c>
      <c r="D75" s="337" t="s">
        <v>1189</v>
      </c>
      <c r="E75" s="28"/>
      <c r="F75" s="28"/>
      <c r="G75" s="28"/>
      <c r="H75" s="28"/>
      <c r="I75" s="24"/>
      <c r="J75" s="351"/>
      <c r="K75" s="295" t="s">
        <v>1191</v>
      </c>
      <c r="L75" s="295" t="s">
        <v>1191</v>
      </c>
      <c r="M75" s="296" t="str">
        <f t="shared" si="1"/>
        <v/>
      </c>
      <c r="N75" s="351"/>
      <c r="O75" s="351"/>
    </row>
    <row r="76" ht="25.5" customHeight="1">
      <c r="A76" s="317"/>
      <c r="B76" s="318">
        <v>42568.0</v>
      </c>
      <c r="C76" s="328" t="s">
        <v>519</v>
      </c>
      <c r="D76" s="337" t="s">
        <v>1192</v>
      </c>
      <c r="E76" s="28"/>
      <c r="F76" s="28"/>
      <c r="G76" s="28"/>
      <c r="H76" s="28"/>
      <c r="I76" s="24"/>
      <c r="J76" s="351"/>
      <c r="K76" s="295" t="s">
        <v>1193</v>
      </c>
      <c r="L76" s="295" t="s">
        <v>1193</v>
      </c>
      <c r="M76" s="296" t="str">
        <f t="shared" si="1"/>
        <v/>
      </c>
      <c r="N76" s="351"/>
      <c r="O76" s="351"/>
    </row>
    <row r="77" ht="25.5" customHeight="1">
      <c r="A77" s="317"/>
      <c r="B77" s="318">
        <v>42568.0</v>
      </c>
      <c r="C77" s="349" t="s">
        <v>973</v>
      </c>
      <c r="D77" s="337" t="s">
        <v>1194</v>
      </c>
      <c r="E77" s="28"/>
      <c r="F77" s="28"/>
      <c r="G77" s="28"/>
      <c r="H77" s="28"/>
      <c r="I77" s="24"/>
      <c r="J77" s="351"/>
      <c r="K77" s="295" t="s">
        <v>1196</v>
      </c>
      <c r="L77" s="295" t="s">
        <v>1196</v>
      </c>
      <c r="M77" s="296" t="str">
        <f t="shared" si="1"/>
        <v/>
      </c>
      <c r="N77" s="351"/>
      <c r="O77" s="351"/>
    </row>
    <row r="78" ht="25.5" customHeight="1">
      <c r="A78" s="317"/>
      <c r="B78" s="318">
        <v>42582.0</v>
      </c>
      <c r="C78" s="353" t="s">
        <v>1197</v>
      </c>
      <c r="D78" s="337" t="s">
        <v>1198</v>
      </c>
      <c r="E78" s="28"/>
      <c r="F78" s="28"/>
      <c r="G78" s="28"/>
      <c r="H78" s="28"/>
      <c r="I78" s="24"/>
      <c r="J78" s="351"/>
      <c r="K78" s="295" t="s">
        <v>1199</v>
      </c>
      <c r="L78" s="295" t="s">
        <v>1199</v>
      </c>
      <c r="M78" s="296" t="str">
        <f t="shared" si="1"/>
        <v/>
      </c>
      <c r="N78" s="351"/>
      <c r="O78" s="351"/>
    </row>
    <row r="79" ht="25.5" customHeight="1">
      <c r="A79" s="317"/>
      <c r="B79" s="318">
        <v>42582.0</v>
      </c>
      <c r="C79" s="349" t="s">
        <v>973</v>
      </c>
      <c r="D79" s="337" t="s">
        <v>1200</v>
      </c>
      <c r="E79" s="28"/>
      <c r="F79" s="28"/>
      <c r="G79" s="28"/>
      <c r="H79" s="28"/>
      <c r="I79" s="24"/>
      <c r="J79" s="351"/>
      <c r="K79" s="295" t="s">
        <v>1202</v>
      </c>
      <c r="L79" s="295" t="s">
        <v>1202</v>
      </c>
      <c r="M79" s="296" t="str">
        <f t="shared" si="1"/>
        <v/>
      </c>
      <c r="N79" s="351"/>
      <c r="O79" s="351"/>
    </row>
    <row r="80" ht="25.5" customHeight="1">
      <c r="A80" s="317"/>
      <c r="B80" s="318">
        <v>42583.0</v>
      </c>
      <c r="C80" s="328" t="s">
        <v>1203</v>
      </c>
      <c r="D80" s="337" t="s">
        <v>1204</v>
      </c>
      <c r="E80" s="28"/>
      <c r="F80" s="28"/>
      <c r="G80" s="28"/>
      <c r="H80" s="28"/>
      <c r="I80" s="24"/>
      <c r="J80" s="351"/>
      <c r="K80" s="295" t="s">
        <v>1205</v>
      </c>
      <c r="L80" s="295" t="s">
        <v>1205</v>
      </c>
      <c r="M80" s="296" t="str">
        <f t="shared" si="1"/>
        <v/>
      </c>
      <c r="N80" s="351"/>
      <c r="O80" s="351"/>
    </row>
    <row r="81" ht="25.5" customHeight="1">
      <c r="A81" s="317"/>
      <c r="B81" s="318">
        <v>42616.0</v>
      </c>
      <c r="C81" s="353" t="s">
        <v>1197</v>
      </c>
      <c r="D81" s="337" t="s">
        <v>1206</v>
      </c>
      <c r="E81" s="28"/>
      <c r="F81" s="28"/>
      <c r="G81" s="28"/>
      <c r="H81" s="28"/>
      <c r="I81" s="24"/>
      <c r="J81" s="351"/>
      <c r="K81" s="295" t="s">
        <v>1207</v>
      </c>
      <c r="L81" s="295" t="s">
        <v>1207</v>
      </c>
      <c r="M81" s="296" t="str">
        <f t="shared" si="1"/>
        <v/>
      </c>
      <c r="N81" s="351"/>
      <c r="O81" s="351"/>
    </row>
    <row r="82" ht="25.5" customHeight="1">
      <c r="A82" s="317"/>
      <c r="B82" s="318">
        <v>42616.0</v>
      </c>
      <c r="C82" s="349" t="s">
        <v>973</v>
      </c>
      <c r="D82" s="337" t="s">
        <v>1209</v>
      </c>
      <c r="E82" s="28"/>
      <c r="F82" s="28"/>
      <c r="G82" s="28"/>
      <c r="H82" s="28"/>
      <c r="I82" s="24"/>
      <c r="J82" s="351"/>
      <c r="K82" s="295" t="s">
        <v>1211</v>
      </c>
      <c r="L82" s="295" t="s">
        <v>1211</v>
      </c>
      <c r="M82" s="296" t="str">
        <f t="shared" si="1"/>
        <v/>
      </c>
      <c r="N82" s="351"/>
      <c r="O82" s="351"/>
    </row>
    <row r="83" ht="25.5" customHeight="1">
      <c r="A83" s="317"/>
      <c r="B83" s="318">
        <v>42675.0</v>
      </c>
      <c r="C83" s="328" t="s">
        <v>1212</v>
      </c>
      <c r="D83" s="337" t="s">
        <v>1213</v>
      </c>
      <c r="E83" s="28"/>
      <c r="F83" s="28"/>
      <c r="G83" s="28"/>
      <c r="H83" s="28"/>
      <c r="I83" s="24"/>
      <c r="J83" s="351"/>
      <c r="K83" s="295" t="s">
        <v>1214</v>
      </c>
      <c r="L83" s="295" t="s">
        <v>1214</v>
      </c>
      <c r="M83" s="296" t="str">
        <f t="shared" si="1"/>
        <v/>
      </c>
      <c r="N83" s="351"/>
      <c r="O83" s="351"/>
    </row>
    <row r="84" ht="25.5" customHeight="1">
      <c r="A84" s="317"/>
      <c r="B84" s="318">
        <v>42702.0</v>
      </c>
      <c r="C84" s="328" t="s">
        <v>126</v>
      </c>
      <c r="D84" s="337" t="s">
        <v>1215</v>
      </c>
      <c r="E84" s="28"/>
      <c r="F84" s="28"/>
      <c r="G84" s="28"/>
      <c r="H84" s="28"/>
      <c r="I84" s="24"/>
      <c r="J84" s="351"/>
      <c r="K84" s="295" t="s">
        <v>1216</v>
      </c>
      <c r="L84" s="295" t="s">
        <v>1216</v>
      </c>
      <c r="M84" s="296" t="str">
        <f t="shared" si="1"/>
        <v/>
      </c>
      <c r="N84" s="351"/>
      <c r="O84" s="351"/>
    </row>
    <row r="85" ht="25.5" customHeight="1">
      <c r="A85" s="317"/>
      <c r="B85" s="318">
        <v>42703.0</v>
      </c>
      <c r="C85" s="349" t="s">
        <v>973</v>
      </c>
      <c r="D85" s="337" t="s">
        <v>1218</v>
      </c>
      <c r="E85" s="28"/>
      <c r="F85" s="28"/>
      <c r="G85" s="28"/>
      <c r="H85" s="28"/>
      <c r="I85" s="24"/>
      <c r="J85" s="351"/>
      <c r="K85" s="295" t="s">
        <v>1219</v>
      </c>
      <c r="L85" s="295" t="s">
        <v>1219</v>
      </c>
      <c r="M85" s="296" t="str">
        <f t="shared" si="1"/>
        <v/>
      </c>
      <c r="N85" s="351"/>
      <c r="O85" s="351"/>
    </row>
    <row r="86" ht="25.5" customHeight="1">
      <c r="A86" s="317"/>
      <c r="B86" s="318">
        <v>42708.0</v>
      </c>
      <c r="C86" s="328" t="s">
        <v>519</v>
      </c>
      <c r="D86" s="337" t="s">
        <v>1220</v>
      </c>
      <c r="E86" s="28"/>
      <c r="F86" s="28"/>
      <c r="G86" s="28"/>
      <c r="H86" s="28"/>
      <c r="I86" s="24"/>
      <c r="J86" s="351"/>
      <c r="K86" s="295" t="s">
        <v>1222</v>
      </c>
      <c r="L86" s="295" t="s">
        <v>1222</v>
      </c>
      <c r="M86" s="296" t="str">
        <f t="shared" si="1"/>
        <v/>
      </c>
      <c r="N86" s="351"/>
      <c r="O86" s="351"/>
    </row>
    <row r="87" ht="25.5" customHeight="1">
      <c r="A87" s="317"/>
      <c r="B87" s="318">
        <v>42709.0</v>
      </c>
      <c r="C87" s="349" t="s">
        <v>973</v>
      </c>
      <c r="D87" s="337" t="s">
        <v>1223</v>
      </c>
      <c r="E87" s="28"/>
      <c r="F87" s="28"/>
      <c r="G87" s="28"/>
      <c r="H87" s="28"/>
      <c r="I87" s="24"/>
      <c r="J87" s="351"/>
      <c r="K87" s="295" t="s">
        <v>1224</v>
      </c>
      <c r="L87" s="295" t="s">
        <v>1224</v>
      </c>
      <c r="M87" s="296" t="str">
        <f t="shared" si="1"/>
        <v/>
      </c>
      <c r="N87" s="351"/>
      <c r="O87" s="351"/>
    </row>
    <row r="88" ht="25.5" customHeight="1">
      <c r="A88" s="317"/>
      <c r="B88" s="318">
        <v>42711.0</v>
      </c>
      <c r="C88" s="328" t="s">
        <v>519</v>
      </c>
      <c r="D88" s="337" t="s">
        <v>1226</v>
      </c>
      <c r="E88" s="28"/>
      <c r="F88" s="28"/>
      <c r="G88" s="28"/>
      <c r="H88" s="28"/>
      <c r="I88" s="24"/>
      <c r="J88" s="351"/>
      <c r="K88" s="295" t="s">
        <v>1227</v>
      </c>
      <c r="L88" s="295" t="s">
        <v>1227</v>
      </c>
      <c r="M88" s="296" t="str">
        <f t="shared" si="1"/>
        <v/>
      </c>
      <c r="N88" s="351"/>
      <c r="O88" s="351"/>
    </row>
    <row r="89" ht="25.5" customHeight="1">
      <c r="A89" s="317"/>
      <c r="B89" s="318">
        <v>42712.0</v>
      </c>
      <c r="C89" s="349" t="s">
        <v>973</v>
      </c>
      <c r="D89" s="337" t="s">
        <v>1229</v>
      </c>
      <c r="E89" s="28"/>
      <c r="F89" s="28"/>
      <c r="G89" s="28"/>
      <c r="H89" s="28"/>
      <c r="I89" s="24"/>
      <c r="J89" s="351"/>
      <c r="K89" s="295" t="s">
        <v>1231</v>
      </c>
      <c r="L89" s="295" t="s">
        <v>1231</v>
      </c>
      <c r="M89" s="296" t="str">
        <f t="shared" si="1"/>
        <v/>
      </c>
      <c r="N89" s="351"/>
      <c r="O89" s="351"/>
    </row>
    <row r="90" ht="25.5" customHeight="1">
      <c r="A90" s="317"/>
      <c r="B90" s="318">
        <v>42717.0</v>
      </c>
      <c r="C90" s="349" t="s">
        <v>973</v>
      </c>
      <c r="D90" s="337" t="s">
        <v>1232</v>
      </c>
      <c r="E90" s="28"/>
      <c r="F90" s="28"/>
      <c r="G90" s="28"/>
      <c r="H90" s="28"/>
      <c r="I90" s="24"/>
      <c r="J90" s="351"/>
      <c r="K90" s="295" t="s">
        <v>1234</v>
      </c>
      <c r="L90" s="295" t="s">
        <v>1234</v>
      </c>
      <c r="M90" s="296" t="str">
        <f t="shared" si="1"/>
        <v/>
      </c>
      <c r="N90" s="351"/>
      <c r="O90" s="351"/>
    </row>
    <row r="91" ht="25.5" customHeight="1">
      <c r="A91" s="317"/>
      <c r="B91" s="318">
        <v>42720.0</v>
      </c>
      <c r="C91" s="328" t="s">
        <v>1235</v>
      </c>
      <c r="D91" s="337" t="s">
        <v>1236</v>
      </c>
      <c r="E91" s="28"/>
      <c r="F91" s="28"/>
      <c r="G91" s="28"/>
      <c r="H91" s="28"/>
      <c r="I91" s="24"/>
      <c r="J91" s="351"/>
      <c r="K91" s="295" t="s">
        <v>1237</v>
      </c>
      <c r="L91" s="295" t="s">
        <v>1237</v>
      </c>
      <c r="M91" s="296" t="str">
        <f t="shared" si="1"/>
        <v/>
      </c>
      <c r="N91" s="351"/>
      <c r="O91" s="351"/>
    </row>
    <row r="92" ht="25.5" customHeight="1">
      <c r="A92" s="317"/>
      <c r="B92" s="318">
        <v>42720.0</v>
      </c>
      <c r="C92" s="349" t="s">
        <v>973</v>
      </c>
      <c r="D92" s="337" t="s">
        <v>1239</v>
      </c>
      <c r="E92" s="28"/>
      <c r="F92" s="28"/>
      <c r="G92" s="28"/>
      <c r="H92" s="28"/>
      <c r="I92" s="24"/>
      <c r="J92" s="351"/>
      <c r="K92" s="295" t="s">
        <v>1242</v>
      </c>
      <c r="L92" s="295" t="s">
        <v>1242</v>
      </c>
      <c r="M92" s="296" t="str">
        <f t="shared" si="1"/>
        <v/>
      </c>
      <c r="N92" s="351"/>
      <c r="O92" s="351"/>
    </row>
    <row r="93" ht="25.5" customHeight="1">
      <c r="A93" s="317"/>
      <c r="B93" s="318">
        <v>42818.0</v>
      </c>
      <c r="C93" s="328" t="s">
        <v>143</v>
      </c>
      <c r="D93" s="337" t="s">
        <v>1243</v>
      </c>
      <c r="E93" s="28"/>
      <c r="F93" s="28"/>
      <c r="G93" s="28"/>
      <c r="H93" s="28"/>
      <c r="I93" s="24"/>
      <c r="J93" s="351"/>
      <c r="K93" s="295" t="s">
        <v>1244</v>
      </c>
      <c r="L93" s="295" t="s">
        <v>1244</v>
      </c>
      <c r="M93" s="296" t="str">
        <f t="shared" si="1"/>
        <v/>
      </c>
      <c r="N93" s="351"/>
      <c r="O93" s="351"/>
    </row>
    <row r="94" ht="25.5" customHeight="1">
      <c r="A94" s="317"/>
      <c r="B94" s="318">
        <v>42819.0</v>
      </c>
      <c r="C94" s="349" t="s">
        <v>973</v>
      </c>
      <c r="D94" s="337" t="s">
        <v>1245</v>
      </c>
      <c r="E94" s="28"/>
      <c r="F94" s="28"/>
      <c r="G94" s="28"/>
      <c r="H94" s="28"/>
      <c r="I94" s="24"/>
      <c r="J94" s="351"/>
      <c r="K94" s="295" t="s">
        <v>1248</v>
      </c>
      <c r="L94" s="295" t="s">
        <v>1248</v>
      </c>
      <c r="M94" s="296" t="str">
        <f t="shared" si="1"/>
        <v/>
      </c>
      <c r="N94" s="351"/>
      <c r="O94" s="351"/>
    </row>
    <row r="95" ht="25.5" customHeight="1">
      <c r="A95" s="317"/>
      <c r="B95" s="318">
        <v>42822.0</v>
      </c>
      <c r="C95" s="328" t="s">
        <v>169</v>
      </c>
      <c r="D95" s="376" t="s">
        <v>1249</v>
      </c>
      <c r="E95" s="28"/>
      <c r="F95" s="28"/>
      <c r="G95" s="28"/>
      <c r="H95" s="28"/>
      <c r="I95" s="24"/>
      <c r="J95" s="351"/>
      <c r="K95" s="295" t="s">
        <v>1251</v>
      </c>
      <c r="L95" s="295" t="s">
        <v>1251</v>
      </c>
      <c r="M95" s="296" t="str">
        <f t="shared" si="1"/>
        <v/>
      </c>
      <c r="N95" s="351"/>
      <c r="O95" s="351"/>
    </row>
    <row r="96" ht="25.5" customHeight="1">
      <c r="A96" s="317"/>
      <c r="B96" s="318">
        <v>42823.0</v>
      </c>
      <c r="C96" s="349" t="s">
        <v>973</v>
      </c>
      <c r="D96" s="337" t="s">
        <v>1252</v>
      </c>
      <c r="E96" s="28"/>
      <c r="F96" s="28"/>
      <c r="G96" s="28"/>
      <c r="H96" s="28"/>
      <c r="I96" s="24"/>
      <c r="J96" s="351"/>
      <c r="K96" s="295" t="s">
        <v>1254</v>
      </c>
      <c r="L96" s="295" t="s">
        <v>1254</v>
      </c>
      <c r="M96" s="296" t="str">
        <f t="shared" si="1"/>
        <v/>
      </c>
      <c r="N96" s="351"/>
      <c r="O96" s="351"/>
    </row>
    <row r="97" ht="25.5" customHeight="1">
      <c r="A97" s="317"/>
      <c r="B97" s="318">
        <v>42830.0</v>
      </c>
      <c r="C97" s="328" t="s">
        <v>628</v>
      </c>
      <c r="D97" s="337" t="s">
        <v>1256</v>
      </c>
      <c r="E97" s="28"/>
      <c r="F97" s="28"/>
      <c r="G97" s="28"/>
      <c r="H97" s="28"/>
      <c r="I97" s="24"/>
      <c r="J97" s="351"/>
      <c r="K97" s="295" t="s">
        <v>1257</v>
      </c>
      <c r="L97" s="295" t="s">
        <v>1257</v>
      </c>
      <c r="M97" s="296" t="str">
        <f t="shared" si="1"/>
        <v/>
      </c>
      <c r="N97" s="351"/>
      <c r="O97" s="351"/>
    </row>
    <row r="98" ht="25.5" customHeight="1">
      <c r="A98" s="317"/>
      <c r="B98" s="318">
        <v>42831.0</v>
      </c>
      <c r="C98" s="349" t="s">
        <v>973</v>
      </c>
      <c r="D98" s="337" t="s">
        <v>1258</v>
      </c>
      <c r="E98" s="28"/>
      <c r="F98" s="28"/>
      <c r="G98" s="28"/>
      <c r="H98" s="28"/>
      <c r="I98" s="24"/>
      <c r="J98" s="351"/>
      <c r="K98" s="295" t="s">
        <v>1259</v>
      </c>
      <c r="L98" s="295" t="s">
        <v>1259</v>
      </c>
      <c r="M98" s="296" t="str">
        <f t="shared" si="1"/>
        <v/>
      </c>
      <c r="N98" s="351"/>
      <c r="O98" s="351"/>
    </row>
    <row r="99" ht="25.5" customHeight="1">
      <c r="A99" s="317"/>
      <c r="B99" s="318">
        <v>42839.0</v>
      </c>
      <c r="C99" s="328" t="s">
        <v>1260</v>
      </c>
      <c r="D99" s="337" t="s">
        <v>1261</v>
      </c>
      <c r="E99" s="28"/>
      <c r="F99" s="28"/>
      <c r="G99" s="28"/>
      <c r="H99" s="28"/>
      <c r="I99" s="24"/>
      <c r="J99" s="351"/>
      <c r="K99" s="295" t="s">
        <v>1264</v>
      </c>
      <c r="L99" s="295" t="s">
        <v>1264</v>
      </c>
      <c r="M99" s="296" t="str">
        <f t="shared" si="1"/>
        <v/>
      </c>
      <c r="N99" s="351"/>
      <c r="O99" s="351"/>
    </row>
    <row r="100" ht="25.5" customHeight="1">
      <c r="A100" s="317"/>
      <c r="B100" s="318">
        <v>42841.0</v>
      </c>
      <c r="C100" s="349" t="s">
        <v>973</v>
      </c>
      <c r="D100" s="337" t="s">
        <v>1265</v>
      </c>
      <c r="E100" s="28"/>
      <c r="F100" s="28"/>
      <c r="G100" s="28"/>
      <c r="H100" s="28"/>
      <c r="I100" s="24"/>
      <c r="J100" s="351"/>
      <c r="K100" s="295" t="s">
        <v>1266</v>
      </c>
      <c r="L100" s="295" t="s">
        <v>1266</v>
      </c>
      <c r="M100" s="296" t="str">
        <f t="shared" si="1"/>
        <v/>
      </c>
      <c r="N100" s="351"/>
      <c r="O100" s="351"/>
    </row>
    <row r="101" ht="25.5" customHeight="1">
      <c r="A101" s="317"/>
      <c r="B101" s="318">
        <v>42844.0</v>
      </c>
      <c r="C101" s="328" t="s">
        <v>1267</v>
      </c>
      <c r="D101" s="337" t="s">
        <v>1268</v>
      </c>
      <c r="E101" s="28"/>
      <c r="F101" s="28"/>
      <c r="G101" s="28"/>
      <c r="H101" s="28"/>
      <c r="I101" s="24"/>
      <c r="J101" s="351"/>
      <c r="K101" s="295" t="s">
        <v>1271</v>
      </c>
      <c r="L101" s="295" t="s">
        <v>1271</v>
      </c>
      <c r="M101" s="296" t="str">
        <f t="shared" si="1"/>
        <v/>
      </c>
      <c r="N101" s="351"/>
      <c r="O101" s="351"/>
    </row>
    <row r="102" ht="25.5" customHeight="1">
      <c r="A102" s="317"/>
      <c r="B102" s="318">
        <v>42869.0</v>
      </c>
      <c r="C102" s="349" t="s">
        <v>973</v>
      </c>
      <c r="D102" s="337" t="s">
        <v>1273</v>
      </c>
      <c r="E102" s="28"/>
      <c r="F102" s="28"/>
      <c r="G102" s="28"/>
      <c r="H102" s="28"/>
      <c r="I102" s="24"/>
      <c r="J102" s="351"/>
      <c r="K102" s="295" t="s">
        <v>1274</v>
      </c>
      <c r="L102" s="295" t="s">
        <v>1274</v>
      </c>
      <c r="M102" s="296" t="str">
        <f t="shared" si="1"/>
        <v/>
      </c>
      <c r="N102" s="351"/>
      <c r="O102" s="351"/>
    </row>
    <row r="103" ht="25.5" customHeight="1">
      <c r="A103" s="317"/>
      <c r="B103" s="318">
        <v>42846.0</v>
      </c>
      <c r="C103" s="328" t="s">
        <v>1275</v>
      </c>
      <c r="D103" s="337" t="s">
        <v>1276</v>
      </c>
      <c r="E103" s="28"/>
      <c r="F103" s="28"/>
      <c r="G103" s="28"/>
      <c r="H103" s="28"/>
      <c r="I103" s="24"/>
      <c r="J103" s="351"/>
      <c r="K103" s="295" t="s">
        <v>1277</v>
      </c>
      <c r="L103" s="295" t="s">
        <v>1277</v>
      </c>
      <c r="M103" s="296" t="str">
        <f t="shared" si="1"/>
        <v/>
      </c>
      <c r="N103" s="351"/>
      <c r="O103" s="351"/>
    </row>
    <row r="104" ht="25.5" customHeight="1">
      <c r="A104" s="317"/>
      <c r="B104" s="318">
        <v>42845.0</v>
      </c>
      <c r="C104" s="328" t="s">
        <v>1275</v>
      </c>
      <c r="D104" s="337" t="s">
        <v>1278</v>
      </c>
      <c r="E104" s="28"/>
      <c r="F104" s="28"/>
      <c r="G104" s="28"/>
      <c r="H104" s="28"/>
      <c r="I104" s="24"/>
      <c r="J104" s="351"/>
      <c r="K104" s="295" t="s">
        <v>1279</v>
      </c>
      <c r="L104" s="295" t="s">
        <v>1279</v>
      </c>
      <c r="M104" s="296" t="str">
        <f t="shared" si="1"/>
        <v/>
      </c>
      <c r="N104" s="351"/>
      <c r="O104" s="351"/>
    </row>
    <row r="105" ht="25.5" customHeight="1">
      <c r="A105" s="317"/>
      <c r="B105" s="318">
        <v>42869.0</v>
      </c>
      <c r="C105" s="349" t="s">
        <v>973</v>
      </c>
      <c r="D105" s="337" t="s">
        <v>1280</v>
      </c>
      <c r="E105" s="28"/>
      <c r="F105" s="28"/>
      <c r="G105" s="28"/>
      <c r="H105" s="28"/>
      <c r="I105" s="24"/>
      <c r="J105" s="351"/>
      <c r="K105" s="295" t="s">
        <v>1282</v>
      </c>
      <c r="L105" s="295" t="s">
        <v>1282</v>
      </c>
      <c r="M105" s="296" t="str">
        <f t="shared" si="1"/>
        <v/>
      </c>
      <c r="N105" s="351"/>
      <c r="O105" s="351"/>
    </row>
    <row r="106" ht="25.5" customHeight="1">
      <c r="A106" s="317"/>
      <c r="B106" s="318">
        <v>42856.0</v>
      </c>
      <c r="C106" s="328" t="s">
        <v>1197</v>
      </c>
      <c r="D106" s="337" t="s">
        <v>1283</v>
      </c>
      <c r="E106" s="28"/>
      <c r="F106" s="28"/>
      <c r="G106" s="28"/>
      <c r="H106" s="28"/>
      <c r="I106" s="24"/>
      <c r="J106" s="351"/>
      <c r="K106" s="295" t="s">
        <v>1284</v>
      </c>
      <c r="L106" s="295" t="s">
        <v>1284</v>
      </c>
      <c r="M106" s="296" t="str">
        <f t="shared" si="1"/>
        <v/>
      </c>
      <c r="N106" s="351"/>
      <c r="O106" s="351"/>
    </row>
    <row r="107" ht="25.5" customHeight="1">
      <c r="A107" s="317"/>
      <c r="B107" s="318">
        <v>42864.0</v>
      </c>
      <c r="C107" s="328" t="s">
        <v>126</v>
      </c>
      <c r="D107" s="337" t="s">
        <v>1285</v>
      </c>
      <c r="E107" s="28"/>
      <c r="F107" s="28"/>
      <c r="G107" s="28"/>
      <c r="H107" s="28"/>
      <c r="I107" s="24"/>
      <c r="J107" s="351"/>
      <c r="K107" s="295" t="s">
        <v>1287</v>
      </c>
      <c r="L107" s="295" t="s">
        <v>1287</v>
      </c>
      <c r="M107" s="296" t="str">
        <f t="shared" si="1"/>
        <v/>
      </c>
      <c r="N107" s="351"/>
      <c r="O107" s="351"/>
    </row>
    <row r="108" ht="25.5" customHeight="1">
      <c r="A108" s="317"/>
      <c r="B108" s="318">
        <v>42869.0</v>
      </c>
      <c r="C108" s="349" t="s">
        <v>973</v>
      </c>
      <c r="D108" s="337" t="s">
        <v>1288</v>
      </c>
      <c r="E108" s="28"/>
      <c r="F108" s="28"/>
      <c r="G108" s="28"/>
      <c r="H108" s="28"/>
      <c r="I108" s="24"/>
      <c r="J108" s="351"/>
      <c r="K108" s="295" t="s">
        <v>1290</v>
      </c>
      <c r="L108" s="295" t="s">
        <v>1290</v>
      </c>
      <c r="M108" s="296" t="str">
        <f t="shared" si="1"/>
        <v/>
      </c>
      <c r="N108" s="351"/>
      <c r="O108" s="351"/>
    </row>
    <row r="109" ht="25.5" customHeight="1">
      <c r="A109" s="317"/>
      <c r="B109" s="318">
        <v>42851.0</v>
      </c>
      <c r="C109" s="328" t="s">
        <v>1293</v>
      </c>
      <c r="D109" s="337" t="s">
        <v>1294</v>
      </c>
      <c r="E109" s="28"/>
      <c r="F109" s="28"/>
      <c r="G109" s="28"/>
      <c r="H109" s="28"/>
      <c r="I109" s="24"/>
      <c r="J109" s="351"/>
      <c r="K109" s="295" t="s">
        <v>1295</v>
      </c>
      <c r="L109" s="295" t="s">
        <v>1295</v>
      </c>
      <c r="M109" s="296" t="str">
        <f t="shared" si="1"/>
        <v/>
      </c>
      <c r="N109" s="351"/>
      <c r="O109" s="351"/>
    </row>
    <row r="110" ht="25.5" customHeight="1">
      <c r="A110" s="317"/>
      <c r="B110" s="318">
        <v>42869.0</v>
      </c>
      <c r="C110" s="349" t="s">
        <v>973</v>
      </c>
      <c r="D110" s="337" t="s">
        <v>1296</v>
      </c>
      <c r="E110" s="28"/>
      <c r="F110" s="28"/>
      <c r="G110" s="28"/>
      <c r="H110" s="28"/>
      <c r="I110" s="24"/>
      <c r="J110" s="351"/>
      <c r="K110" s="295" t="s">
        <v>1297</v>
      </c>
      <c r="L110" s="295" t="s">
        <v>1297</v>
      </c>
      <c r="M110" s="296" t="str">
        <f t="shared" si="1"/>
        <v/>
      </c>
      <c r="N110" s="351"/>
      <c r="O110" s="351"/>
    </row>
    <row r="111" ht="25.5" customHeight="1">
      <c r="A111" s="317"/>
      <c r="B111" s="318">
        <v>42856.0</v>
      </c>
      <c r="C111" s="328" t="s">
        <v>668</v>
      </c>
      <c r="D111" s="337" t="s">
        <v>1298</v>
      </c>
      <c r="E111" s="28"/>
      <c r="F111" s="28"/>
      <c r="G111" s="28"/>
      <c r="H111" s="28"/>
      <c r="I111" s="24"/>
      <c r="J111" s="351"/>
      <c r="K111" s="295" t="s">
        <v>1300</v>
      </c>
      <c r="L111" s="295" t="s">
        <v>1300</v>
      </c>
      <c r="M111" s="296" t="str">
        <f t="shared" si="1"/>
        <v/>
      </c>
      <c r="N111" s="351"/>
      <c r="O111" s="351"/>
    </row>
    <row r="112" ht="25.5" customHeight="1">
      <c r="A112" s="317"/>
      <c r="B112" s="318">
        <v>42869.0</v>
      </c>
      <c r="C112" s="349" t="s">
        <v>973</v>
      </c>
      <c r="D112" s="337" t="s">
        <v>1301</v>
      </c>
      <c r="E112" s="28"/>
      <c r="F112" s="28"/>
      <c r="G112" s="28"/>
      <c r="H112" s="28"/>
      <c r="I112" s="24"/>
      <c r="J112" s="351"/>
      <c r="K112" s="295" t="s">
        <v>1302</v>
      </c>
      <c r="L112" s="295" t="s">
        <v>1302</v>
      </c>
      <c r="M112" s="296" t="str">
        <f t="shared" si="1"/>
        <v/>
      </c>
      <c r="N112" s="351"/>
      <c r="O112" s="351"/>
    </row>
    <row r="113" ht="25.5" customHeight="1">
      <c r="A113" s="317"/>
      <c r="B113" s="318">
        <v>42859.0</v>
      </c>
      <c r="C113" s="328" t="s">
        <v>143</v>
      </c>
      <c r="D113" s="337" t="s">
        <v>1303</v>
      </c>
      <c r="E113" s="28"/>
      <c r="F113" s="28"/>
      <c r="G113" s="28"/>
      <c r="H113" s="28"/>
      <c r="I113" s="24"/>
      <c r="J113" s="351"/>
      <c r="K113" s="295" t="s">
        <v>1304</v>
      </c>
      <c r="L113" s="295" t="s">
        <v>1304</v>
      </c>
      <c r="M113" s="296" t="str">
        <f t="shared" si="1"/>
        <v/>
      </c>
      <c r="N113" s="351"/>
      <c r="O113" s="351"/>
    </row>
    <row r="114" ht="25.5" customHeight="1">
      <c r="A114" s="317"/>
      <c r="B114" s="318">
        <v>42869.0</v>
      </c>
      <c r="C114" s="349" t="s">
        <v>973</v>
      </c>
      <c r="D114" s="337" t="s">
        <v>1305</v>
      </c>
      <c r="E114" s="28"/>
      <c r="F114" s="28"/>
      <c r="G114" s="28"/>
      <c r="H114" s="28"/>
      <c r="I114" s="24"/>
      <c r="J114" s="351"/>
      <c r="K114" s="295" t="s">
        <v>1306</v>
      </c>
      <c r="L114" s="295" t="s">
        <v>1306</v>
      </c>
      <c r="M114" s="296" t="str">
        <f t="shared" si="1"/>
        <v/>
      </c>
      <c r="N114" s="351"/>
      <c r="O114" s="351"/>
    </row>
    <row r="115" ht="25.5" customHeight="1">
      <c r="A115" s="317"/>
      <c r="B115" s="318">
        <v>42905.0</v>
      </c>
      <c r="C115" s="328" t="s">
        <v>1307</v>
      </c>
      <c r="D115" s="337" t="s">
        <v>1308</v>
      </c>
      <c r="E115" s="28"/>
      <c r="F115" s="28"/>
      <c r="G115" s="28"/>
      <c r="H115" s="28"/>
      <c r="I115" s="24"/>
      <c r="J115" s="351"/>
      <c r="K115" s="295" t="s">
        <v>1311</v>
      </c>
      <c r="L115" s="295" t="s">
        <v>1311</v>
      </c>
      <c r="M115" s="296" t="str">
        <f t="shared" si="1"/>
        <v/>
      </c>
      <c r="N115" s="351"/>
      <c r="O115" s="351"/>
    </row>
    <row r="116" ht="25.5" customHeight="1">
      <c r="A116" s="317"/>
      <c r="B116" s="318">
        <v>42906.0</v>
      </c>
      <c r="C116" s="349" t="s">
        <v>973</v>
      </c>
      <c r="D116" s="337" t="s">
        <v>1312</v>
      </c>
      <c r="E116" s="28"/>
      <c r="F116" s="28"/>
      <c r="G116" s="28"/>
      <c r="H116" s="28"/>
      <c r="I116" s="24"/>
      <c r="J116" s="351"/>
      <c r="K116" s="295" t="s">
        <v>1313</v>
      </c>
      <c r="L116" s="295" t="s">
        <v>1313</v>
      </c>
      <c r="M116" s="296" t="str">
        <f t="shared" si="1"/>
        <v/>
      </c>
      <c r="N116" s="351"/>
      <c r="O116" s="351"/>
    </row>
    <row r="117" ht="25.5" customHeight="1">
      <c r="A117" s="317"/>
      <c r="B117" s="318">
        <v>42912.0</v>
      </c>
      <c r="C117" s="328" t="s">
        <v>1314</v>
      </c>
      <c r="D117" s="337" t="s">
        <v>1315</v>
      </c>
      <c r="E117" s="28"/>
      <c r="F117" s="28"/>
      <c r="G117" s="28"/>
      <c r="H117" s="28"/>
      <c r="I117" s="24"/>
      <c r="J117" s="351"/>
      <c r="K117" s="295" t="s">
        <v>1316</v>
      </c>
      <c r="L117" s="295" t="s">
        <v>1316</v>
      </c>
      <c r="M117" s="296" t="str">
        <f t="shared" si="1"/>
        <v/>
      </c>
      <c r="N117" s="351"/>
      <c r="O117" s="351"/>
    </row>
    <row r="118" ht="25.5" customHeight="1">
      <c r="A118" s="317"/>
      <c r="B118" s="318">
        <v>42922.0</v>
      </c>
      <c r="C118" s="349" t="s">
        <v>973</v>
      </c>
      <c r="D118" s="337" t="s">
        <v>1317</v>
      </c>
      <c r="E118" s="28"/>
      <c r="F118" s="28"/>
      <c r="G118" s="28"/>
      <c r="H118" s="28"/>
      <c r="I118" s="24"/>
      <c r="J118" s="351"/>
      <c r="K118" s="295" t="s">
        <v>1318</v>
      </c>
      <c r="L118" s="295" t="s">
        <v>1318</v>
      </c>
      <c r="M118" s="296" t="str">
        <f t="shared" si="1"/>
        <v/>
      </c>
      <c r="N118" s="351"/>
      <c r="O118" s="351"/>
    </row>
    <row r="119" ht="25.5" customHeight="1">
      <c r="A119" s="317"/>
      <c r="B119" s="318">
        <v>42929.0</v>
      </c>
      <c r="C119" s="328" t="s">
        <v>126</v>
      </c>
      <c r="D119" s="337" t="s">
        <v>1320</v>
      </c>
      <c r="E119" s="28"/>
      <c r="F119" s="28"/>
      <c r="G119" s="28"/>
      <c r="H119" s="28"/>
      <c r="I119" s="24"/>
      <c r="J119" s="351"/>
      <c r="K119" s="295" t="s">
        <v>1321</v>
      </c>
      <c r="L119" s="295" t="s">
        <v>1321</v>
      </c>
      <c r="M119" s="296" t="str">
        <f t="shared" si="1"/>
        <v/>
      </c>
      <c r="N119" s="351"/>
      <c r="O119" s="351"/>
    </row>
    <row r="120" ht="25.5" customHeight="1">
      <c r="A120" s="317"/>
      <c r="B120" s="393">
        <v>42929.0</v>
      </c>
      <c r="C120" s="328" t="s">
        <v>1322</v>
      </c>
      <c r="D120" s="337" t="s">
        <v>1323</v>
      </c>
      <c r="E120" s="28"/>
      <c r="F120" s="28"/>
      <c r="G120" s="28"/>
      <c r="H120" s="28"/>
      <c r="I120" s="24"/>
      <c r="J120" s="351"/>
      <c r="K120" s="295" t="s">
        <v>1325</v>
      </c>
      <c r="L120" s="295" t="s">
        <v>1325</v>
      </c>
      <c r="M120" s="296" t="str">
        <f t="shared" si="1"/>
        <v/>
      </c>
      <c r="N120" s="351"/>
      <c r="O120" s="351"/>
    </row>
    <row r="121" ht="25.5" customHeight="1">
      <c r="A121" s="317"/>
      <c r="B121" s="318">
        <v>42930.0</v>
      </c>
      <c r="C121" s="349" t="s">
        <v>973</v>
      </c>
      <c r="D121" s="337" t="s">
        <v>1326</v>
      </c>
      <c r="E121" s="28"/>
      <c r="F121" s="28"/>
      <c r="G121" s="28"/>
      <c r="H121" s="28"/>
      <c r="I121" s="24"/>
      <c r="J121" s="351"/>
      <c r="K121" s="295" t="s">
        <v>1327</v>
      </c>
      <c r="L121" s="295" t="s">
        <v>1327</v>
      </c>
      <c r="M121" s="296" t="str">
        <f t="shared" si="1"/>
        <v/>
      </c>
      <c r="N121" s="351"/>
      <c r="O121" s="351"/>
    </row>
    <row r="122" ht="25.5" customHeight="1">
      <c r="A122" s="317"/>
      <c r="B122" s="318">
        <v>42930.0</v>
      </c>
      <c r="C122" s="349" t="s">
        <v>973</v>
      </c>
      <c r="D122" s="337" t="s">
        <v>1328</v>
      </c>
      <c r="E122" s="28"/>
      <c r="F122" s="28"/>
      <c r="G122" s="28"/>
      <c r="H122" s="28"/>
      <c r="I122" s="24"/>
      <c r="J122" s="351"/>
      <c r="K122" s="295" t="s">
        <v>1330</v>
      </c>
      <c r="L122" s="295" t="s">
        <v>1330</v>
      </c>
      <c r="M122" s="296" t="str">
        <f t="shared" si="1"/>
        <v/>
      </c>
      <c r="N122" s="351"/>
      <c r="O122" s="351"/>
    </row>
    <row r="123" ht="25.5" customHeight="1">
      <c r="A123" s="317"/>
      <c r="B123" s="318">
        <v>42930.0</v>
      </c>
      <c r="C123" s="328" t="s">
        <v>757</v>
      </c>
      <c r="D123" s="337" t="s">
        <v>1331</v>
      </c>
      <c r="E123" s="28"/>
      <c r="F123" s="28"/>
      <c r="G123" s="28"/>
      <c r="H123" s="28"/>
      <c r="I123" s="24"/>
      <c r="J123" s="351"/>
      <c r="K123" s="295" t="s">
        <v>1332</v>
      </c>
      <c r="L123" s="295" t="s">
        <v>1332</v>
      </c>
      <c r="M123" s="296" t="str">
        <f t="shared" si="1"/>
        <v/>
      </c>
      <c r="N123" s="351"/>
      <c r="O123" s="351"/>
    </row>
    <row r="124" ht="25.5" customHeight="1">
      <c r="A124" s="317"/>
      <c r="B124" s="318">
        <v>42930.0</v>
      </c>
      <c r="C124" s="349" t="s">
        <v>973</v>
      </c>
      <c r="D124" s="337" t="s">
        <v>1333</v>
      </c>
      <c r="E124" s="28"/>
      <c r="F124" s="28"/>
      <c r="G124" s="28"/>
      <c r="H124" s="28"/>
      <c r="I124" s="24"/>
      <c r="J124" s="351"/>
      <c r="K124" s="295" t="s">
        <v>1335</v>
      </c>
      <c r="L124" s="295" t="s">
        <v>1335</v>
      </c>
      <c r="M124" s="296" t="str">
        <f t="shared" si="1"/>
        <v/>
      </c>
      <c r="N124" s="351"/>
      <c r="O124" s="351"/>
    </row>
    <row r="125" ht="25.5" customHeight="1">
      <c r="A125" s="317"/>
      <c r="B125" s="318">
        <v>42971.0</v>
      </c>
      <c r="C125" s="328" t="s">
        <v>1336</v>
      </c>
      <c r="D125" s="337" t="s">
        <v>1337</v>
      </c>
      <c r="E125" s="28"/>
      <c r="F125" s="28"/>
      <c r="G125" s="28"/>
      <c r="H125" s="28"/>
      <c r="I125" s="24"/>
      <c r="J125" s="351"/>
      <c r="K125" s="295" t="s">
        <v>1339</v>
      </c>
      <c r="L125" s="295" t="s">
        <v>1339</v>
      </c>
      <c r="M125" s="296" t="str">
        <f t="shared" si="1"/>
        <v/>
      </c>
      <c r="N125" s="351"/>
      <c r="O125" s="351"/>
    </row>
    <row r="126" ht="25.5" customHeight="1">
      <c r="A126" s="317"/>
      <c r="B126" s="318">
        <v>42971.0</v>
      </c>
      <c r="C126" s="349" t="s">
        <v>973</v>
      </c>
      <c r="D126" s="337" t="s">
        <v>1340</v>
      </c>
      <c r="E126" s="28"/>
      <c r="F126" s="28"/>
      <c r="G126" s="28"/>
      <c r="H126" s="28"/>
      <c r="I126" s="24"/>
      <c r="J126" s="351"/>
      <c r="K126" s="295" t="s">
        <v>1341</v>
      </c>
      <c r="L126" s="295" t="s">
        <v>1341</v>
      </c>
      <c r="M126" s="296" t="str">
        <f t="shared" si="1"/>
        <v/>
      </c>
      <c r="N126" s="351"/>
      <c r="O126" s="351"/>
    </row>
    <row r="127" ht="25.5" customHeight="1">
      <c r="A127" s="317"/>
      <c r="B127" s="318">
        <v>42977.0</v>
      </c>
      <c r="C127" s="328" t="s">
        <v>1342</v>
      </c>
      <c r="D127" s="337" t="s">
        <v>1343</v>
      </c>
      <c r="E127" s="28"/>
      <c r="F127" s="28"/>
      <c r="G127" s="28"/>
      <c r="H127" s="28"/>
      <c r="I127" s="24"/>
      <c r="J127" s="351"/>
      <c r="K127" s="295" t="s">
        <v>1344</v>
      </c>
      <c r="L127" s="295" t="s">
        <v>1344</v>
      </c>
      <c r="M127" s="296" t="str">
        <f t="shared" si="1"/>
        <v/>
      </c>
      <c r="N127" s="351"/>
      <c r="O127" s="351"/>
    </row>
    <row r="128" ht="25.5" customHeight="1">
      <c r="A128" s="317"/>
      <c r="B128" s="318">
        <v>42977.0</v>
      </c>
      <c r="C128" s="349" t="s">
        <v>973</v>
      </c>
      <c r="D128" s="337" t="s">
        <v>1346</v>
      </c>
      <c r="E128" s="28"/>
      <c r="F128" s="28"/>
      <c r="G128" s="28"/>
      <c r="H128" s="28"/>
      <c r="I128" s="24"/>
      <c r="J128" s="351"/>
      <c r="K128" s="295" t="s">
        <v>1347</v>
      </c>
      <c r="L128" s="295" t="s">
        <v>1347</v>
      </c>
      <c r="M128" s="296" t="str">
        <f t="shared" si="1"/>
        <v/>
      </c>
      <c r="N128" s="351"/>
      <c r="O128" s="351"/>
    </row>
    <row r="129" ht="25.5" customHeight="1">
      <c r="A129" s="317"/>
      <c r="B129" s="318">
        <v>42988.0</v>
      </c>
      <c r="C129" s="328" t="s">
        <v>1348</v>
      </c>
      <c r="D129" s="337" t="s">
        <v>1349</v>
      </c>
      <c r="E129" s="28"/>
      <c r="F129" s="28"/>
      <c r="G129" s="28"/>
      <c r="H129" s="28"/>
      <c r="I129" s="24"/>
      <c r="J129" s="351"/>
      <c r="K129" s="295" t="s">
        <v>1350</v>
      </c>
      <c r="L129" s="295" t="s">
        <v>1350</v>
      </c>
      <c r="M129" s="296" t="str">
        <f t="shared" si="1"/>
        <v/>
      </c>
      <c r="N129" s="351"/>
      <c r="O129" s="351"/>
    </row>
    <row r="130" ht="25.5" customHeight="1">
      <c r="A130" s="317"/>
      <c r="B130" s="318">
        <v>42989.0</v>
      </c>
      <c r="C130" s="349" t="s">
        <v>973</v>
      </c>
      <c r="D130" s="337" t="s">
        <v>1351</v>
      </c>
      <c r="E130" s="28"/>
      <c r="F130" s="28"/>
      <c r="G130" s="28"/>
      <c r="H130" s="28"/>
      <c r="I130" s="24"/>
      <c r="J130" s="351"/>
      <c r="K130" s="295" t="s">
        <v>1352</v>
      </c>
      <c r="L130" s="295" t="s">
        <v>1352</v>
      </c>
      <c r="M130" s="296" t="str">
        <f t="shared" si="1"/>
        <v/>
      </c>
      <c r="N130" s="351"/>
      <c r="O130" s="351"/>
    </row>
    <row r="131" ht="25.5" customHeight="1">
      <c r="A131" s="317"/>
      <c r="B131" s="318">
        <v>42995.0</v>
      </c>
      <c r="C131" s="328" t="s">
        <v>519</v>
      </c>
      <c r="D131" s="337" t="s">
        <v>1354</v>
      </c>
      <c r="E131" s="28"/>
      <c r="F131" s="28"/>
      <c r="G131" s="28"/>
      <c r="H131" s="28"/>
      <c r="I131" s="24"/>
      <c r="J131" s="351"/>
      <c r="K131" s="295" t="s">
        <v>1355</v>
      </c>
      <c r="L131" s="295" t="s">
        <v>1355</v>
      </c>
      <c r="M131" s="296" t="str">
        <f t="shared" si="1"/>
        <v/>
      </c>
      <c r="N131" s="351"/>
      <c r="O131" s="351"/>
    </row>
    <row r="132" ht="25.5" customHeight="1">
      <c r="A132" s="317"/>
      <c r="B132" s="318">
        <v>42996.0</v>
      </c>
      <c r="C132" s="349" t="s">
        <v>973</v>
      </c>
      <c r="D132" s="337" t="s">
        <v>1356</v>
      </c>
      <c r="E132" s="28"/>
      <c r="F132" s="28"/>
      <c r="G132" s="28"/>
      <c r="H132" s="28"/>
      <c r="I132" s="24"/>
      <c r="J132" s="351"/>
      <c r="K132" s="295" t="s">
        <v>1358</v>
      </c>
      <c r="L132" s="295" t="s">
        <v>1358</v>
      </c>
      <c r="M132" s="296" t="str">
        <f t="shared" si="1"/>
        <v/>
      </c>
      <c r="N132" s="351"/>
      <c r="O132" s="351"/>
    </row>
    <row r="133" ht="25.5" customHeight="1">
      <c r="A133" s="317"/>
      <c r="B133" s="318">
        <v>43004.0</v>
      </c>
      <c r="C133" s="328" t="s">
        <v>1359</v>
      </c>
      <c r="D133" s="337" t="s">
        <v>1360</v>
      </c>
      <c r="E133" s="28"/>
      <c r="F133" s="28"/>
      <c r="G133" s="28"/>
      <c r="H133" s="28"/>
      <c r="I133" s="24"/>
      <c r="J133" s="351"/>
      <c r="K133" s="295" t="s">
        <v>1361</v>
      </c>
      <c r="L133" s="295" t="s">
        <v>1361</v>
      </c>
      <c r="M133" s="296" t="str">
        <f t="shared" si="1"/>
        <v/>
      </c>
      <c r="N133" s="351"/>
      <c r="O133" s="351"/>
    </row>
    <row r="134" ht="25.5" customHeight="1">
      <c r="A134" s="317"/>
      <c r="B134" s="318">
        <v>43005.0</v>
      </c>
      <c r="C134" s="349" t="s">
        <v>973</v>
      </c>
      <c r="D134" s="337" t="s">
        <v>1362</v>
      </c>
      <c r="E134" s="28"/>
      <c r="F134" s="28"/>
      <c r="G134" s="28"/>
      <c r="H134" s="28"/>
      <c r="I134" s="24"/>
      <c r="J134" s="351"/>
      <c r="K134" s="295" t="s">
        <v>1363</v>
      </c>
      <c r="L134" s="295" t="s">
        <v>1363</v>
      </c>
      <c r="M134" s="296" t="str">
        <f t="shared" si="1"/>
        <v/>
      </c>
      <c r="N134" s="351"/>
      <c r="O134" s="351"/>
    </row>
    <row r="135" ht="25.5" customHeight="1">
      <c r="A135" s="317"/>
      <c r="B135" s="318">
        <v>43022.0</v>
      </c>
      <c r="C135" s="328" t="s">
        <v>839</v>
      </c>
      <c r="D135" s="337" t="s">
        <v>1364</v>
      </c>
      <c r="E135" s="28"/>
      <c r="F135" s="28"/>
      <c r="G135" s="28"/>
      <c r="H135" s="28"/>
      <c r="I135" s="24"/>
      <c r="J135" s="351"/>
      <c r="K135" s="295" t="s">
        <v>1366</v>
      </c>
      <c r="L135" s="295" t="s">
        <v>1366</v>
      </c>
      <c r="M135" s="296" t="str">
        <f t="shared" si="1"/>
        <v/>
      </c>
      <c r="N135" s="351"/>
      <c r="O135" s="351"/>
    </row>
    <row r="136" ht="25.5" customHeight="1">
      <c r="A136" s="317"/>
      <c r="B136" s="318">
        <v>43023.0</v>
      </c>
      <c r="C136" s="349" t="s">
        <v>973</v>
      </c>
      <c r="D136" s="337" t="s">
        <v>1367</v>
      </c>
      <c r="E136" s="28"/>
      <c r="F136" s="28"/>
      <c r="G136" s="28"/>
      <c r="H136" s="28"/>
      <c r="I136" s="24"/>
      <c r="J136" s="351"/>
      <c r="K136" s="295" t="s">
        <v>1368</v>
      </c>
      <c r="L136" s="295" t="s">
        <v>1368</v>
      </c>
      <c r="M136" s="296" t="str">
        <f t="shared" si="1"/>
        <v/>
      </c>
      <c r="N136" s="351"/>
      <c r="O136" s="351"/>
    </row>
    <row r="137" ht="25.5" customHeight="1">
      <c r="A137" s="317"/>
      <c r="B137" s="318">
        <v>43046.0</v>
      </c>
      <c r="C137" s="328" t="s">
        <v>1369</v>
      </c>
      <c r="D137" s="337" t="s">
        <v>1370</v>
      </c>
      <c r="E137" s="28"/>
      <c r="F137" s="28"/>
      <c r="G137" s="28"/>
      <c r="H137" s="28"/>
      <c r="I137" s="24"/>
      <c r="J137" s="351"/>
      <c r="K137" s="295" t="s">
        <v>1371</v>
      </c>
      <c r="L137" s="295" t="s">
        <v>1371</v>
      </c>
      <c r="M137" s="296" t="str">
        <f t="shared" si="1"/>
        <v/>
      </c>
      <c r="N137" s="351"/>
      <c r="O137" s="351"/>
    </row>
    <row r="138" ht="25.5" customHeight="1">
      <c r="A138" s="317"/>
      <c r="B138" s="318">
        <v>43048.0</v>
      </c>
      <c r="C138" s="328" t="s">
        <v>126</v>
      </c>
      <c r="D138" s="337" t="s">
        <v>1372</v>
      </c>
      <c r="E138" s="28"/>
      <c r="F138" s="28"/>
      <c r="G138" s="28"/>
      <c r="H138" s="28"/>
      <c r="I138" s="24"/>
      <c r="J138" s="351"/>
      <c r="K138" s="295" t="s">
        <v>1374</v>
      </c>
      <c r="L138" s="295" t="s">
        <v>1374</v>
      </c>
      <c r="M138" s="296" t="str">
        <f t="shared" si="1"/>
        <v/>
      </c>
      <c r="N138" s="351"/>
      <c r="O138" s="351"/>
    </row>
    <row r="139" ht="25.5" customHeight="1">
      <c r="A139" s="317"/>
      <c r="B139" s="318">
        <v>43052.0</v>
      </c>
      <c r="C139" s="349" t="s">
        <v>973</v>
      </c>
      <c r="D139" s="337" t="s">
        <v>1375</v>
      </c>
      <c r="E139" s="28"/>
      <c r="F139" s="28"/>
      <c r="G139" s="28"/>
      <c r="H139" s="28"/>
      <c r="I139" s="24"/>
      <c r="J139" s="351"/>
      <c r="K139" s="295" t="s">
        <v>1376</v>
      </c>
      <c r="L139" s="295" t="s">
        <v>1376</v>
      </c>
      <c r="M139" s="296" t="str">
        <f t="shared" si="1"/>
        <v/>
      </c>
      <c r="N139" s="351"/>
      <c r="O139" s="351"/>
    </row>
    <row r="140" ht="25.5" customHeight="1">
      <c r="A140" s="317"/>
      <c r="B140" s="318">
        <v>43070.0</v>
      </c>
      <c r="C140" s="328" t="s">
        <v>1275</v>
      </c>
      <c r="D140" s="337" t="s">
        <v>1377</v>
      </c>
      <c r="E140" s="28"/>
      <c r="F140" s="28"/>
      <c r="G140" s="28"/>
      <c r="H140" s="28"/>
      <c r="I140" s="24"/>
      <c r="J140" s="351"/>
      <c r="K140" s="295" t="s">
        <v>1379</v>
      </c>
      <c r="L140" s="295" t="s">
        <v>1379</v>
      </c>
      <c r="M140" s="296" t="str">
        <f t="shared" si="1"/>
        <v/>
      </c>
      <c r="N140" s="351"/>
      <c r="O140" s="351"/>
    </row>
    <row r="141" ht="25.5" customHeight="1">
      <c r="A141" s="317"/>
      <c r="B141" s="318">
        <v>43072.0</v>
      </c>
      <c r="C141" s="349" t="s">
        <v>973</v>
      </c>
      <c r="D141" s="337" t="s">
        <v>1381</v>
      </c>
      <c r="E141" s="28"/>
      <c r="F141" s="28"/>
      <c r="G141" s="28"/>
      <c r="H141" s="28"/>
      <c r="I141" s="24"/>
      <c r="J141" s="351"/>
      <c r="K141" s="295" t="s">
        <v>1382</v>
      </c>
      <c r="L141" s="295" t="s">
        <v>1382</v>
      </c>
      <c r="M141" s="296" t="str">
        <f t="shared" si="1"/>
        <v/>
      </c>
      <c r="N141" s="351"/>
      <c r="O141" s="351"/>
    </row>
    <row r="142" ht="25.5" customHeight="1">
      <c r="A142" s="317"/>
      <c r="B142" s="318"/>
      <c r="C142" s="328"/>
      <c r="D142" s="337"/>
      <c r="E142" s="28"/>
      <c r="F142" s="28"/>
      <c r="G142" s="28"/>
      <c r="H142" s="28"/>
      <c r="I142" s="24"/>
      <c r="J142" s="351"/>
      <c r="K142" s="295" t="s">
        <v>1077</v>
      </c>
      <c r="L142" s="295" t="s">
        <v>1077</v>
      </c>
      <c r="M142" s="296" t="str">
        <f t="shared" si="1"/>
        <v/>
      </c>
      <c r="N142" s="351"/>
      <c r="O142" s="351"/>
    </row>
    <row r="143" ht="25.5" customHeight="1">
      <c r="A143" s="317"/>
      <c r="B143" s="318"/>
      <c r="C143" s="328"/>
      <c r="D143" s="337"/>
      <c r="E143" s="28"/>
      <c r="F143" s="28"/>
      <c r="G143" s="28"/>
      <c r="H143" s="28"/>
      <c r="I143" s="24"/>
      <c r="J143" s="351"/>
      <c r="K143" s="295" t="s">
        <v>1077</v>
      </c>
      <c r="L143" s="295" t="s">
        <v>1077</v>
      </c>
      <c r="M143" s="296" t="str">
        <f t="shared" si="1"/>
        <v/>
      </c>
      <c r="N143" s="351"/>
      <c r="O143" s="351"/>
    </row>
    <row r="144" ht="25.5" customHeight="1">
      <c r="A144" s="317"/>
      <c r="B144" s="318"/>
      <c r="C144" s="328"/>
      <c r="D144" s="337"/>
      <c r="E144" s="28"/>
      <c r="F144" s="28"/>
      <c r="G144" s="28"/>
      <c r="H144" s="28"/>
      <c r="I144" s="24"/>
      <c r="J144" s="351"/>
      <c r="K144" s="295" t="s">
        <v>1077</v>
      </c>
      <c r="L144" s="295" t="s">
        <v>1077</v>
      </c>
      <c r="M144" s="296" t="str">
        <f t="shared" si="1"/>
        <v/>
      </c>
      <c r="N144" s="351"/>
      <c r="O144" s="351"/>
    </row>
    <row r="145" ht="25.5" customHeight="1">
      <c r="A145" s="317"/>
      <c r="B145" s="318"/>
      <c r="C145" s="328"/>
      <c r="D145" s="337"/>
      <c r="E145" s="28"/>
      <c r="F145" s="28"/>
      <c r="G145" s="28"/>
      <c r="H145" s="28"/>
      <c r="I145" s="24"/>
      <c r="J145" s="351"/>
      <c r="K145" s="295" t="s">
        <v>1077</v>
      </c>
      <c r="L145" s="295" t="s">
        <v>1077</v>
      </c>
      <c r="M145" s="296" t="str">
        <f t="shared" si="1"/>
        <v/>
      </c>
      <c r="N145" s="351"/>
      <c r="O145" s="351"/>
    </row>
    <row r="146" ht="25.5" customHeight="1">
      <c r="A146" s="317"/>
      <c r="B146" s="318"/>
      <c r="C146" s="328"/>
      <c r="D146" s="337"/>
      <c r="E146" s="28"/>
      <c r="F146" s="28"/>
      <c r="G146" s="28"/>
      <c r="H146" s="28"/>
      <c r="I146" s="24"/>
      <c r="J146" s="351"/>
      <c r="K146" s="295" t="s">
        <v>1077</v>
      </c>
      <c r="L146" s="295" t="s">
        <v>1077</v>
      </c>
      <c r="M146" s="296" t="str">
        <f t="shared" si="1"/>
        <v/>
      </c>
      <c r="N146" s="351"/>
      <c r="O146" s="351"/>
    </row>
    <row r="147" ht="25.5" customHeight="1">
      <c r="A147" s="317"/>
      <c r="B147" s="318"/>
      <c r="C147" s="328"/>
      <c r="D147" s="337"/>
      <c r="E147" s="28"/>
      <c r="F147" s="28"/>
      <c r="G147" s="28"/>
      <c r="H147" s="28"/>
      <c r="I147" s="24"/>
      <c r="J147" s="351"/>
      <c r="K147" s="295" t="s">
        <v>1077</v>
      </c>
      <c r="L147" s="295" t="s">
        <v>1077</v>
      </c>
      <c r="M147" s="296" t="str">
        <f t="shared" si="1"/>
        <v/>
      </c>
      <c r="N147" s="351"/>
      <c r="O147" s="351"/>
    </row>
    <row r="148" ht="25.5" customHeight="1">
      <c r="A148" s="317"/>
      <c r="B148" s="318"/>
      <c r="C148" s="328"/>
      <c r="D148" s="337"/>
      <c r="E148" s="28"/>
      <c r="F148" s="28"/>
      <c r="G148" s="28"/>
      <c r="H148" s="28"/>
      <c r="I148" s="24"/>
      <c r="J148" s="351"/>
      <c r="K148" s="295" t="s">
        <v>1077</v>
      </c>
      <c r="L148" s="295" t="s">
        <v>1077</v>
      </c>
      <c r="M148" s="296" t="str">
        <f t="shared" si="1"/>
        <v/>
      </c>
      <c r="N148" s="351"/>
      <c r="O148" s="351"/>
    </row>
    <row r="149" ht="25.5" customHeight="1">
      <c r="A149" s="317"/>
      <c r="B149" s="318"/>
      <c r="C149" s="328"/>
      <c r="D149" s="337"/>
      <c r="E149" s="28"/>
      <c r="F149" s="28"/>
      <c r="G149" s="28"/>
      <c r="H149" s="28"/>
      <c r="I149" s="24"/>
      <c r="J149" s="351"/>
      <c r="K149" s="295" t="s">
        <v>1077</v>
      </c>
      <c r="L149" s="295" t="s">
        <v>1077</v>
      </c>
      <c r="M149" s="296" t="str">
        <f t="shared" si="1"/>
        <v/>
      </c>
      <c r="N149" s="351"/>
      <c r="O149" s="351"/>
    </row>
    <row r="150" ht="25.5" customHeight="1">
      <c r="A150" s="317"/>
      <c r="B150" s="318"/>
      <c r="C150" s="328"/>
      <c r="D150" s="337"/>
      <c r="E150" s="28"/>
      <c r="F150" s="28"/>
      <c r="G150" s="28"/>
      <c r="H150" s="28"/>
      <c r="I150" s="24"/>
      <c r="J150" s="351"/>
      <c r="K150" s="295" t="s">
        <v>1077</v>
      </c>
      <c r="L150" s="295" t="s">
        <v>1077</v>
      </c>
      <c r="M150" s="296" t="str">
        <f t="shared" si="1"/>
        <v/>
      </c>
      <c r="N150" s="351"/>
      <c r="O150" s="351"/>
    </row>
    <row r="151" ht="25.5" customHeight="1">
      <c r="A151" s="317"/>
      <c r="B151" s="318"/>
      <c r="C151" s="328"/>
      <c r="D151" s="337"/>
      <c r="E151" s="28"/>
      <c r="F151" s="28"/>
      <c r="G151" s="28"/>
      <c r="H151" s="28"/>
      <c r="I151" s="24"/>
      <c r="J151" s="351"/>
      <c r="K151" s="295" t="s">
        <v>1077</v>
      </c>
      <c r="L151" s="295" t="s">
        <v>1077</v>
      </c>
      <c r="M151" s="296" t="str">
        <f t="shared" si="1"/>
        <v/>
      </c>
      <c r="N151" s="351"/>
      <c r="O151" s="351"/>
    </row>
    <row r="152" ht="25.5" customHeight="1">
      <c r="A152" s="317"/>
      <c r="B152" s="318"/>
      <c r="C152" s="328"/>
      <c r="D152" s="337"/>
      <c r="E152" s="28"/>
      <c r="F152" s="28"/>
      <c r="G152" s="28"/>
      <c r="H152" s="28"/>
      <c r="I152" s="24"/>
      <c r="J152" s="351"/>
      <c r="K152" s="295" t="s">
        <v>1077</v>
      </c>
      <c r="L152" s="295" t="s">
        <v>1077</v>
      </c>
      <c r="M152" s="296" t="str">
        <f t="shared" si="1"/>
        <v/>
      </c>
      <c r="N152" s="351"/>
      <c r="O152" s="351"/>
    </row>
    <row r="153" ht="25.5" customHeight="1">
      <c r="A153" s="317"/>
      <c r="B153" s="318"/>
      <c r="C153" s="328"/>
      <c r="D153" s="337"/>
      <c r="E153" s="28"/>
      <c r="F153" s="28"/>
      <c r="G153" s="28"/>
      <c r="H153" s="28"/>
      <c r="I153" s="24"/>
      <c r="J153" s="351"/>
      <c r="K153" s="295" t="s">
        <v>1077</v>
      </c>
      <c r="L153" s="295" t="s">
        <v>1077</v>
      </c>
      <c r="M153" s="296" t="str">
        <f t="shared" si="1"/>
        <v/>
      </c>
      <c r="N153" s="351"/>
      <c r="O153" s="351"/>
    </row>
    <row r="154" ht="25.5" customHeight="1">
      <c r="A154" s="317"/>
      <c r="B154" s="318"/>
      <c r="C154" s="328"/>
      <c r="D154" s="337"/>
      <c r="E154" s="28"/>
      <c r="F154" s="28"/>
      <c r="G154" s="28"/>
      <c r="H154" s="28"/>
      <c r="I154" s="24"/>
      <c r="J154" s="351"/>
      <c r="K154" s="295" t="s">
        <v>1077</v>
      </c>
      <c r="L154" s="295" t="s">
        <v>1077</v>
      </c>
      <c r="M154" s="296" t="str">
        <f t="shared" si="1"/>
        <v/>
      </c>
      <c r="N154" s="351"/>
      <c r="O154" s="351"/>
    </row>
    <row r="155" ht="25.5" customHeight="1">
      <c r="A155" s="317"/>
      <c r="B155" s="318"/>
      <c r="C155" s="328"/>
      <c r="D155" s="337"/>
      <c r="E155" s="28"/>
      <c r="F155" s="28"/>
      <c r="G155" s="28"/>
      <c r="H155" s="28"/>
      <c r="I155" s="24"/>
      <c r="J155" s="351"/>
      <c r="K155" s="295" t="s">
        <v>1077</v>
      </c>
      <c r="L155" s="295" t="s">
        <v>1077</v>
      </c>
      <c r="M155" s="296" t="str">
        <f t="shared" si="1"/>
        <v/>
      </c>
      <c r="N155" s="351"/>
      <c r="O155" s="351"/>
    </row>
    <row r="156" ht="25.5" customHeight="1">
      <c r="A156" s="317"/>
      <c r="B156" s="318"/>
      <c r="C156" s="328"/>
      <c r="D156" s="337"/>
      <c r="E156" s="28"/>
      <c r="F156" s="28"/>
      <c r="G156" s="28"/>
      <c r="H156" s="28"/>
      <c r="I156" s="24"/>
      <c r="J156" s="351"/>
      <c r="K156" s="295" t="s">
        <v>1077</v>
      </c>
      <c r="L156" s="295" t="s">
        <v>1077</v>
      </c>
      <c r="M156" s="296" t="str">
        <f t="shared" si="1"/>
        <v/>
      </c>
      <c r="N156" s="351"/>
      <c r="O156" s="351"/>
    </row>
    <row r="157" ht="25.5" customHeight="1">
      <c r="A157" s="317"/>
      <c r="B157" s="318"/>
      <c r="C157" s="328"/>
      <c r="D157" s="423" t="str">
        <f t="array" ref="D157">"Matteo says: Hi. If you have any feedback you can write to row "&amp;max(if(B1:B158&lt;&gt;"",row(B1:B158)))+1</f>
        <v>Matteo says: Hi. If you have any feedback you can write to row 142</v>
      </c>
      <c r="E157" s="28"/>
      <c r="F157" s="28"/>
      <c r="G157" s="28"/>
      <c r="H157" s="28"/>
      <c r="I157" s="24"/>
      <c r="J157" s="351"/>
      <c r="K157" s="295" t="s">
        <v>1392</v>
      </c>
      <c r="L157" s="295"/>
      <c r="M157" s="296"/>
      <c r="N157" s="351"/>
      <c r="O157" s="351"/>
    </row>
    <row r="158" ht="25.5" customHeight="1">
      <c r="A158" s="317"/>
      <c r="B158" s="425"/>
      <c r="C158" s="339"/>
      <c r="D158" s="426"/>
      <c r="J158" s="351"/>
      <c r="K158" s="295" t="s">
        <v>1077</v>
      </c>
      <c r="L158" s="295" t="s">
        <v>1077</v>
      </c>
      <c r="M158" s="296" t="str">
        <f t="shared" ref="M158:M181" si="2">IF(K158=L158,,IF(AND(L158="",K158&lt;&gt;""),"new data","data changed"))</f>
        <v/>
      </c>
      <c r="N158" s="351"/>
      <c r="O158" s="351"/>
    </row>
    <row r="159" ht="25.5" customHeight="1">
      <c r="A159" s="286"/>
      <c r="B159" s="304" t="s">
        <v>956</v>
      </c>
      <c r="C159" s="305" t="s">
        <v>957</v>
      </c>
      <c r="D159" s="428" t="s">
        <v>1394</v>
      </c>
      <c r="E159" s="28"/>
      <c r="F159" s="28"/>
      <c r="G159" s="28"/>
      <c r="H159" s="28"/>
      <c r="I159" s="24"/>
      <c r="J159" s="351"/>
      <c r="K159" s="295" t="s">
        <v>1396</v>
      </c>
      <c r="L159" s="295" t="s">
        <v>1396</v>
      </c>
      <c r="M159" s="296" t="str">
        <f t="shared" si="2"/>
        <v/>
      </c>
      <c r="N159" s="351"/>
      <c r="O159" s="351"/>
    </row>
    <row r="160" ht="25.5" customHeight="1">
      <c r="A160" s="317"/>
      <c r="B160" s="318">
        <v>42153.0</v>
      </c>
      <c r="C160" s="328" t="s">
        <v>973</v>
      </c>
      <c r="D160" s="329" t="s">
        <v>1397</v>
      </c>
      <c r="E160" s="28"/>
      <c r="F160" s="28"/>
      <c r="G160" s="28"/>
      <c r="H160" s="28"/>
      <c r="I160" s="24"/>
      <c r="J160" s="351"/>
      <c r="K160" s="295" t="s">
        <v>1399</v>
      </c>
      <c r="L160" s="295" t="s">
        <v>1399</v>
      </c>
      <c r="M160" s="296" t="str">
        <f t="shared" si="2"/>
        <v/>
      </c>
      <c r="N160" s="351"/>
      <c r="O160" s="351"/>
    </row>
    <row r="161" ht="25.5" customHeight="1">
      <c r="A161" s="317"/>
      <c r="B161" s="318">
        <v>42155.0</v>
      </c>
      <c r="C161" s="328" t="s">
        <v>973</v>
      </c>
      <c r="D161" s="329" t="s">
        <v>1400</v>
      </c>
      <c r="E161" s="28"/>
      <c r="F161" s="28"/>
      <c r="G161" s="28"/>
      <c r="H161" s="28"/>
      <c r="I161" s="24"/>
      <c r="J161" s="351"/>
      <c r="K161" s="295" t="s">
        <v>1401</v>
      </c>
      <c r="L161" s="295" t="s">
        <v>1401</v>
      </c>
      <c r="M161" s="296" t="str">
        <f t="shared" si="2"/>
        <v/>
      </c>
      <c r="N161" s="351"/>
      <c r="O161" s="351"/>
    </row>
    <row r="162" ht="25.5" customHeight="1">
      <c r="A162" s="317"/>
      <c r="B162" s="318">
        <v>42155.0</v>
      </c>
      <c r="C162" s="328" t="s">
        <v>973</v>
      </c>
      <c r="D162" s="329" t="s">
        <v>1402</v>
      </c>
      <c r="E162" s="28"/>
      <c r="F162" s="28"/>
      <c r="G162" s="28"/>
      <c r="H162" s="28"/>
      <c r="I162" s="24"/>
      <c r="J162" s="351"/>
      <c r="K162" s="295" t="s">
        <v>1403</v>
      </c>
      <c r="L162" s="295" t="s">
        <v>1403</v>
      </c>
      <c r="M162" s="296" t="str">
        <f t="shared" si="2"/>
        <v/>
      </c>
      <c r="N162" s="351"/>
      <c r="O162" s="351"/>
    </row>
    <row r="163" ht="25.5" customHeight="1">
      <c r="A163" s="317"/>
      <c r="B163" s="318">
        <v>42156.0</v>
      </c>
      <c r="C163" s="328" t="s">
        <v>973</v>
      </c>
      <c r="D163" s="329" t="s">
        <v>1404</v>
      </c>
      <c r="E163" s="28"/>
      <c r="F163" s="28"/>
      <c r="G163" s="28"/>
      <c r="H163" s="28"/>
      <c r="I163" s="24"/>
      <c r="J163" s="351"/>
      <c r="K163" s="295" t="s">
        <v>1405</v>
      </c>
      <c r="L163" s="295" t="s">
        <v>1405</v>
      </c>
      <c r="M163" s="296" t="str">
        <f t="shared" si="2"/>
        <v/>
      </c>
      <c r="N163" s="351"/>
      <c r="O163" s="351"/>
    </row>
    <row r="164" ht="25.5" customHeight="1">
      <c r="A164" s="317"/>
      <c r="B164" s="318">
        <v>42172.0</v>
      </c>
      <c r="C164" s="328" t="s">
        <v>973</v>
      </c>
      <c r="D164" s="329" t="s">
        <v>1406</v>
      </c>
      <c r="E164" s="28"/>
      <c r="F164" s="28"/>
      <c r="G164" s="28"/>
      <c r="H164" s="28"/>
      <c r="I164" s="24"/>
      <c r="J164" s="351"/>
      <c r="K164" s="295" t="s">
        <v>1407</v>
      </c>
      <c r="L164" s="295" t="s">
        <v>1407</v>
      </c>
      <c r="M164" s="296" t="str">
        <f t="shared" si="2"/>
        <v/>
      </c>
      <c r="N164" s="351"/>
      <c r="O164" s="351"/>
    </row>
    <row r="165" ht="25.5" customHeight="1">
      <c r="A165" s="317"/>
      <c r="B165" s="318">
        <v>42175.0</v>
      </c>
      <c r="C165" s="328" t="s">
        <v>973</v>
      </c>
      <c r="D165" s="329" t="s">
        <v>1408</v>
      </c>
      <c r="E165" s="28"/>
      <c r="F165" s="28"/>
      <c r="G165" s="28"/>
      <c r="H165" s="28"/>
      <c r="I165" s="24"/>
      <c r="J165" s="351"/>
      <c r="K165" s="295" t="s">
        <v>1409</v>
      </c>
      <c r="L165" s="295" t="s">
        <v>1409</v>
      </c>
      <c r="M165" s="296" t="str">
        <f t="shared" si="2"/>
        <v/>
      </c>
      <c r="N165" s="351"/>
      <c r="O165" s="351"/>
    </row>
    <row r="166" ht="25.5" customHeight="1">
      <c r="A166" s="317"/>
      <c r="B166" s="318">
        <v>42185.0</v>
      </c>
      <c r="C166" s="328" t="s">
        <v>973</v>
      </c>
      <c r="D166" s="329" t="s">
        <v>1410</v>
      </c>
      <c r="E166" s="28"/>
      <c r="F166" s="28"/>
      <c r="G166" s="28"/>
      <c r="H166" s="28"/>
      <c r="I166" s="24"/>
      <c r="J166" s="351"/>
      <c r="K166" s="295" t="s">
        <v>1411</v>
      </c>
      <c r="L166" s="295" t="s">
        <v>1411</v>
      </c>
      <c r="M166" s="296" t="str">
        <f t="shared" si="2"/>
        <v/>
      </c>
      <c r="N166" s="351"/>
      <c r="O166" s="351"/>
    </row>
    <row r="167" ht="25.5" customHeight="1">
      <c r="A167" s="317"/>
      <c r="B167" s="318">
        <v>42191.0</v>
      </c>
      <c r="C167" s="328" t="s">
        <v>973</v>
      </c>
      <c r="D167" s="329" t="s">
        <v>1412</v>
      </c>
      <c r="E167" s="28"/>
      <c r="F167" s="28"/>
      <c r="G167" s="28"/>
      <c r="H167" s="28"/>
      <c r="I167" s="24"/>
      <c r="J167" s="351"/>
      <c r="K167" s="295" t="s">
        <v>1413</v>
      </c>
      <c r="L167" s="295" t="s">
        <v>1413</v>
      </c>
      <c r="M167" s="296" t="str">
        <f t="shared" si="2"/>
        <v/>
      </c>
      <c r="N167" s="351"/>
      <c r="O167" s="351"/>
    </row>
    <row r="168" ht="25.5" customHeight="1">
      <c r="A168" s="317"/>
      <c r="B168" s="318">
        <v>42215.0</v>
      </c>
      <c r="C168" s="328" t="s">
        <v>973</v>
      </c>
      <c r="D168" s="329" t="s">
        <v>1414</v>
      </c>
      <c r="E168" s="28"/>
      <c r="F168" s="28"/>
      <c r="G168" s="28"/>
      <c r="H168" s="28"/>
      <c r="I168" s="24"/>
      <c r="J168" s="351"/>
      <c r="K168" s="295" t="s">
        <v>1415</v>
      </c>
      <c r="L168" s="295" t="s">
        <v>1415</v>
      </c>
      <c r="M168" s="296" t="str">
        <f t="shared" si="2"/>
        <v/>
      </c>
      <c r="N168" s="351"/>
      <c r="O168" s="351"/>
    </row>
    <row r="169" ht="25.5" customHeight="1">
      <c r="A169" s="317"/>
      <c r="B169" s="318">
        <v>42218.0</v>
      </c>
      <c r="C169" s="328" t="s">
        <v>973</v>
      </c>
      <c r="D169" s="329" t="s">
        <v>1416</v>
      </c>
      <c r="E169" s="28"/>
      <c r="F169" s="28"/>
      <c r="G169" s="28"/>
      <c r="H169" s="28"/>
      <c r="I169" s="24"/>
      <c r="J169" s="351"/>
      <c r="K169" s="295" t="s">
        <v>1417</v>
      </c>
      <c r="L169" s="295" t="s">
        <v>1417</v>
      </c>
      <c r="M169" s="296" t="str">
        <f t="shared" si="2"/>
        <v/>
      </c>
      <c r="N169" s="351"/>
      <c r="O169" s="351"/>
    </row>
    <row r="170" ht="25.5" customHeight="1">
      <c r="A170" s="317"/>
      <c r="B170" s="318">
        <v>42225.0</v>
      </c>
      <c r="C170" s="328" t="s">
        <v>973</v>
      </c>
      <c r="D170" s="329" t="s">
        <v>1418</v>
      </c>
      <c r="E170" s="28"/>
      <c r="F170" s="28"/>
      <c r="G170" s="28"/>
      <c r="H170" s="28"/>
      <c r="I170" s="24"/>
      <c r="J170" s="351"/>
      <c r="K170" s="295" t="s">
        <v>1419</v>
      </c>
      <c r="L170" s="295" t="s">
        <v>1419</v>
      </c>
      <c r="M170" s="296" t="str">
        <f t="shared" si="2"/>
        <v/>
      </c>
      <c r="N170" s="351"/>
      <c r="O170" s="351"/>
    </row>
    <row r="171" ht="25.5" customHeight="1">
      <c r="A171" s="317"/>
      <c r="B171" s="318">
        <v>42226.0</v>
      </c>
      <c r="C171" s="328" t="s">
        <v>973</v>
      </c>
      <c r="D171" s="329" t="s">
        <v>1420</v>
      </c>
      <c r="E171" s="28"/>
      <c r="F171" s="28"/>
      <c r="G171" s="28"/>
      <c r="H171" s="28"/>
      <c r="I171" s="24"/>
      <c r="J171" s="351"/>
      <c r="K171" s="295" t="s">
        <v>1421</v>
      </c>
      <c r="L171" s="295" t="s">
        <v>1421</v>
      </c>
      <c r="M171" s="296" t="str">
        <f t="shared" si="2"/>
        <v/>
      </c>
      <c r="N171" s="351"/>
      <c r="O171" s="351"/>
    </row>
    <row r="172" ht="25.5" customHeight="1">
      <c r="A172" s="317"/>
      <c r="B172" s="318">
        <v>42234.0</v>
      </c>
      <c r="C172" s="328" t="s">
        <v>973</v>
      </c>
      <c r="D172" s="329" t="s">
        <v>1422</v>
      </c>
      <c r="E172" s="28"/>
      <c r="F172" s="28"/>
      <c r="G172" s="28"/>
      <c r="H172" s="28"/>
      <c r="I172" s="24"/>
      <c r="J172" s="351"/>
      <c r="K172" s="295" t="s">
        <v>1423</v>
      </c>
      <c r="L172" s="295" t="s">
        <v>1423</v>
      </c>
      <c r="M172" s="296" t="str">
        <f t="shared" si="2"/>
        <v/>
      </c>
      <c r="N172" s="351"/>
      <c r="O172" s="351"/>
    </row>
    <row r="173" ht="25.5" customHeight="1">
      <c r="A173" s="317"/>
      <c r="B173" s="318">
        <v>42411.0</v>
      </c>
      <c r="C173" s="328" t="s">
        <v>973</v>
      </c>
      <c r="D173" s="337" t="s">
        <v>1424</v>
      </c>
      <c r="E173" s="28"/>
      <c r="F173" s="28"/>
      <c r="G173" s="28"/>
      <c r="H173" s="28"/>
      <c r="I173" s="24"/>
      <c r="J173" s="351"/>
      <c r="K173" s="295" t="s">
        <v>1425</v>
      </c>
      <c r="L173" s="295" t="s">
        <v>1425</v>
      </c>
      <c r="M173" s="296" t="str">
        <f t="shared" si="2"/>
        <v/>
      </c>
      <c r="N173" s="351"/>
      <c r="O173" s="351"/>
    </row>
    <row r="174" ht="25.5" customHeight="1">
      <c r="A174" s="317"/>
      <c r="B174" s="318">
        <v>42412.0</v>
      </c>
      <c r="C174" s="328" t="s">
        <v>973</v>
      </c>
      <c r="D174" s="337" t="s">
        <v>1426</v>
      </c>
      <c r="E174" s="28"/>
      <c r="F174" s="28"/>
      <c r="G174" s="28"/>
      <c r="H174" s="28"/>
      <c r="I174" s="24"/>
      <c r="J174" s="351"/>
      <c r="K174" s="295" t="s">
        <v>1427</v>
      </c>
      <c r="L174" s="295" t="s">
        <v>1427</v>
      </c>
      <c r="M174" s="296" t="str">
        <f t="shared" si="2"/>
        <v/>
      </c>
      <c r="N174" s="351"/>
      <c r="O174" s="351"/>
    </row>
    <row r="175" ht="25.5" customHeight="1">
      <c r="A175" s="317"/>
      <c r="B175" s="318">
        <v>42568.0</v>
      </c>
      <c r="C175" s="328" t="s">
        <v>973</v>
      </c>
      <c r="D175" s="329" t="s">
        <v>1428</v>
      </c>
      <c r="E175" s="28"/>
      <c r="F175" s="28"/>
      <c r="G175" s="28"/>
      <c r="H175" s="28"/>
      <c r="I175" s="24"/>
      <c r="J175" s="351"/>
      <c r="K175" s="295" t="s">
        <v>1429</v>
      </c>
      <c r="L175" s="295" t="s">
        <v>1429</v>
      </c>
      <c r="M175" s="296" t="str">
        <f t="shared" si="2"/>
        <v/>
      </c>
      <c r="N175" s="351"/>
      <c r="O175" s="351"/>
    </row>
    <row r="176" ht="25.5" customHeight="1">
      <c r="A176" s="317"/>
      <c r="B176" s="318">
        <v>42597.0</v>
      </c>
      <c r="C176" s="328" t="s">
        <v>973</v>
      </c>
      <c r="D176" s="329" t="s">
        <v>1430</v>
      </c>
      <c r="E176" s="28"/>
      <c r="F176" s="28"/>
      <c r="G176" s="28"/>
      <c r="H176" s="28"/>
      <c r="I176" s="24"/>
      <c r="J176" s="351"/>
      <c r="K176" s="295" t="s">
        <v>1431</v>
      </c>
      <c r="L176" s="295" t="s">
        <v>1431</v>
      </c>
      <c r="M176" s="296" t="str">
        <f t="shared" si="2"/>
        <v/>
      </c>
      <c r="N176" s="351"/>
      <c r="O176" s="351"/>
    </row>
    <row r="177" ht="25.5" customHeight="1">
      <c r="A177" s="317"/>
      <c r="B177" s="318">
        <v>42605.0</v>
      </c>
      <c r="C177" s="328" t="s">
        <v>973</v>
      </c>
      <c r="D177" s="329" t="s">
        <v>1432</v>
      </c>
      <c r="E177" s="28"/>
      <c r="F177" s="28"/>
      <c r="G177" s="28"/>
      <c r="H177" s="28"/>
      <c r="I177" s="24"/>
      <c r="J177" s="351"/>
      <c r="K177" s="295" t="s">
        <v>1433</v>
      </c>
      <c r="L177" s="295" t="s">
        <v>1433</v>
      </c>
      <c r="M177" s="296" t="str">
        <f t="shared" si="2"/>
        <v/>
      </c>
      <c r="N177" s="351"/>
      <c r="O177" s="351"/>
    </row>
    <row r="178" ht="25.5" customHeight="1">
      <c r="A178" s="317"/>
      <c r="B178" s="318">
        <v>42694.0</v>
      </c>
      <c r="C178" s="328" t="s">
        <v>973</v>
      </c>
      <c r="D178" s="329" t="s">
        <v>1434</v>
      </c>
      <c r="E178" s="28"/>
      <c r="F178" s="28"/>
      <c r="G178" s="28"/>
      <c r="H178" s="28"/>
      <c r="I178" s="24"/>
      <c r="J178" s="351"/>
      <c r="K178" s="295" t="s">
        <v>1435</v>
      </c>
      <c r="L178" s="295" t="s">
        <v>1435</v>
      </c>
      <c r="M178" s="296" t="str">
        <f t="shared" si="2"/>
        <v/>
      </c>
      <c r="N178" s="351"/>
      <c r="O178" s="351"/>
    </row>
    <row r="179" ht="25.5" customHeight="1">
      <c r="A179" s="317"/>
      <c r="B179" s="318">
        <v>42716.0</v>
      </c>
      <c r="C179" s="328" t="s">
        <v>973</v>
      </c>
      <c r="D179" s="329" t="s">
        <v>1436</v>
      </c>
      <c r="E179" s="28"/>
      <c r="F179" s="28"/>
      <c r="G179" s="28"/>
      <c r="H179" s="28"/>
      <c r="I179" s="24"/>
      <c r="J179" s="351"/>
      <c r="K179" s="295" t="s">
        <v>1437</v>
      </c>
      <c r="L179" s="295" t="s">
        <v>1437</v>
      </c>
      <c r="M179" s="296" t="str">
        <f t="shared" si="2"/>
        <v/>
      </c>
      <c r="N179" s="351"/>
      <c r="O179" s="351"/>
    </row>
    <row r="180" ht="25.5" customHeight="1">
      <c r="A180" s="317"/>
      <c r="B180" s="318">
        <v>42843.0</v>
      </c>
      <c r="C180" s="328" t="s">
        <v>973</v>
      </c>
      <c r="D180" s="329" t="s">
        <v>1438</v>
      </c>
      <c r="E180" s="28"/>
      <c r="F180" s="28"/>
      <c r="G180" s="28"/>
      <c r="H180" s="28"/>
      <c r="I180" s="24"/>
      <c r="J180" s="351"/>
      <c r="K180" s="295" t="s">
        <v>1439</v>
      </c>
      <c r="L180" s="295" t="s">
        <v>1439</v>
      </c>
      <c r="M180" s="296" t="str">
        <f t="shared" si="2"/>
        <v/>
      </c>
      <c r="N180" s="351"/>
      <c r="O180" s="351"/>
    </row>
    <row r="181" ht="25.5" customHeight="1">
      <c r="A181" s="317"/>
      <c r="B181" s="318">
        <v>42994.0</v>
      </c>
      <c r="C181" s="328" t="s">
        <v>973</v>
      </c>
      <c r="D181" s="329" t="s">
        <v>1440</v>
      </c>
      <c r="E181" s="28"/>
      <c r="F181" s="28"/>
      <c r="G181" s="28"/>
      <c r="H181" s="28"/>
      <c r="I181" s="24"/>
      <c r="J181" s="351"/>
      <c r="K181" s="295" t="s">
        <v>1441</v>
      </c>
      <c r="L181" s="295" t="s">
        <v>1441</v>
      </c>
      <c r="M181" s="296" t="str">
        <f t="shared" si="2"/>
        <v/>
      </c>
      <c r="N181" s="351"/>
      <c r="O181" s="351"/>
    </row>
    <row r="182" ht="25.5" customHeight="1">
      <c r="A182" s="317"/>
      <c r="B182" s="318"/>
      <c r="C182" s="255"/>
      <c r="D182" s="462" t="str">
        <f t="array" ref="D182">"Matteo says: Feedback section is above. Don't write here please. Scroll up to row "&amp;max(if(B1:B92&lt;&gt;"",row(B1:B92)))+1</f>
        <v>Matteo says: Feedback section is above. Don't write here please. Scroll up to row 93</v>
      </c>
      <c r="E182" s="28"/>
      <c r="F182" s="28"/>
      <c r="G182" s="28"/>
      <c r="H182" s="28"/>
      <c r="I182" s="24"/>
      <c r="J182" s="351"/>
      <c r="K182" s="295" t="s">
        <v>1444</v>
      </c>
      <c r="L182" s="295"/>
      <c r="M182" s="296"/>
      <c r="N182" s="351"/>
      <c r="O182" s="351"/>
    </row>
    <row r="183" ht="25.5" customHeight="1">
      <c r="A183" s="317"/>
      <c r="B183" s="318"/>
      <c r="C183" s="328"/>
      <c r="D183" s="329"/>
      <c r="E183" s="28"/>
      <c r="F183" s="28"/>
      <c r="G183" s="28"/>
      <c r="H183" s="28"/>
      <c r="I183" s="24"/>
      <c r="J183" s="351"/>
      <c r="K183" s="295" t="s">
        <v>1077</v>
      </c>
      <c r="L183" s="295"/>
      <c r="M183" s="296"/>
      <c r="N183" s="351"/>
      <c r="O183" s="351"/>
    </row>
  </sheetData>
  <mergeCells count="181">
    <mergeCell ref="D98:I98"/>
    <mergeCell ref="D76:I76"/>
    <mergeCell ref="D78:I78"/>
    <mergeCell ref="D77:I77"/>
    <mergeCell ref="D80:I80"/>
    <mergeCell ref="D81:I81"/>
    <mergeCell ref="D79:I79"/>
    <mergeCell ref="D110:I110"/>
    <mergeCell ref="D111:I111"/>
    <mergeCell ref="D136:I136"/>
    <mergeCell ref="D29:I29"/>
    <mergeCell ref="D30:I30"/>
    <mergeCell ref="C33:C36"/>
    <mergeCell ref="B33:B36"/>
    <mergeCell ref="D119:I119"/>
    <mergeCell ref="D72:I72"/>
    <mergeCell ref="D118:I118"/>
    <mergeCell ref="D108:I108"/>
    <mergeCell ref="D135:I135"/>
    <mergeCell ref="D120:I120"/>
    <mergeCell ref="D125:I125"/>
    <mergeCell ref="D126:I126"/>
    <mergeCell ref="D132:I132"/>
    <mergeCell ref="D130:I130"/>
    <mergeCell ref="D128:I128"/>
    <mergeCell ref="D127:I127"/>
    <mergeCell ref="D102:I102"/>
    <mergeCell ref="D101:I101"/>
    <mergeCell ref="D100:I100"/>
    <mergeCell ref="D99:I99"/>
    <mergeCell ref="D64:I64"/>
    <mergeCell ref="D63:I63"/>
    <mergeCell ref="D82:I82"/>
    <mergeCell ref="D84:I84"/>
    <mergeCell ref="D73:I73"/>
    <mergeCell ref="D90:I90"/>
    <mergeCell ref="D140:I140"/>
    <mergeCell ref="D141:I141"/>
    <mergeCell ref="D145:I145"/>
    <mergeCell ref="D143:I143"/>
    <mergeCell ref="D144:I144"/>
    <mergeCell ref="D153:I153"/>
    <mergeCell ref="D151:I151"/>
    <mergeCell ref="D152:I152"/>
    <mergeCell ref="D149:I149"/>
    <mergeCell ref="D150:I150"/>
    <mergeCell ref="D154:I154"/>
    <mergeCell ref="D155:I155"/>
    <mergeCell ref="D146:I146"/>
    <mergeCell ref="D138:I138"/>
    <mergeCell ref="D137:I137"/>
    <mergeCell ref="D139:I139"/>
    <mergeCell ref="D142:I142"/>
    <mergeCell ref="D179:I179"/>
    <mergeCell ref="D180:I180"/>
    <mergeCell ref="D182:I182"/>
    <mergeCell ref="D183:I183"/>
    <mergeCell ref="D181:I181"/>
    <mergeCell ref="D173:I173"/>
    <mergeCell ref="D174:I174"/>
    <mergeCell ref="D148:I148"/>
    <mergeCell ref="D147:I147"/>
    <mergeCell ref="D158:I158"/>
    <mergeCell ref="D159:I159"/>
    <mergeCell ref="D157:I157"/>
    <mergeCell ref="D156:I156"/>
    <mergeCell ref="D165:I165"/>
    <mergeCell ref="D166:I166"/>
    <mergeCell ref="D163:I163"/>
    <mergeCell ref="D164:I164"/>
    <mergeCell ref="D162:I162"/>
    <mergeCell ref="D161:I161"/>
    <mergeCell ref="D160:I160"/>
    <mergeCell ref="D177:I177"/>
    <mergeCell ref="D176:I176"/>
    <mergeCell ref="D168:I168"/>
    <mergeCell ref="D170:I170"/>
    <mergeCell ref="D169:I169"/>
    <mergeCell ref="D172:I172"/>
    <mergeCell ref="D171:I171"/>
    <mergeCell ref="D178:I178"/>
    <mergeCell ref="D167:I167"/>
    <mergeCell ref="D175:I175"/>
    <mergeCell ref="D10:I10"/>
    <mergeCell ref="D9:I9"/>
    <mergeCell ref="D13:I13"/>
    <mergeCell ref="D12:I12"/>
    <mergeCell ref="D14:I14"/>
    <mergeCell ref="D11:I11"/>
    <mergeCell ref="D16:I16"/>
    <mergeCell ref="D21:I21"/>
    <mergeCell ref="D20:I20"/>
    <mergeCell ref="D19:I19"/>
    <mergeCell ref="D25:I25"/>
    <mergeCell ref="D24:I24"/>
    <mergeCell ref="D22:I22"/>
    <mergeCell ref="D23:I23"/>
    <mergeCell ref="D27:I27"/>
    <mergeCell ref="D26:I26"/>
    <mergeCell ref="D28:I28"/>
    <mergeCell ref="D6:I6"/>
    <mergeCell ref="D5:I5"/>
    <mergeCell ref="K1:M1"/>
    <mergeCell ref="D15:I15"/>
    <mergeCell ref="D31:I31"/>
    <mergeCell ref="D32:I32"/>
    <mergeCell ref="D50:I50"/>
    <mergeCell ref="D49:I49"/>
    <mergeCell ref="D4:I4"/>
    <mergeCell ref="G3:I3"/>
    <mergeCell ref="D18:I18"/>
    <mergeCell ref="D17:I17"/>
    <mergeCell ref="D7:I7"/>
    <mergeCell ref="D8:I8"/>
    <mergeCell ref="D48:I48"/>
    <mergeCell ref="D46:I46"/>
    <mergeCell ref="D47:I47"/>
    <mergeCell ref="D45:I45"/>
    <mergeCell ref="D43:I43"/>
    <mergeCell ref="D41:I41"/>
    <mergeCell ref="D40:I40"/>
    <mergeCell ref="D39:I39"/>
    <mergeCell ref="D66:I66"/>
    <mergeCell ref="D65:I65"/>
    <mergeCell ref="D44:I44"/>
    <mergeCell ref="D67:I67"/>
    <mergeCell ref="D57:I57"/>
    <mergeCell ref="D58:I58"/>
    <mergeCell ref="D59:I59"/>
    <mergeCell ref="D60:I60"/>
    <mergeCell ref="D56:I56"/>
    <mergeCell ref="D61:I61"/>
    <mergeCell ref="D71:I71"/>
    <mergeCell ref="D62:I62"/>
    <mergeCell ref="D69:I69"/>
    <mergeCell ref="D93:I93"/>
    <mergeCell ref="D89:I89"/>
    <mergeCell ref="D97:I97"/>
    <mergeCell ref="D96:I96"/>
    <mergeCell ref="D75:I75"/>
    <mergeCell ref="D74:I74"/>
    <mergeCell ref="D83:I83"/>
    <mergeCell ref="D86:I86"/>
    <mergeCell ref="D106:I106"/>
    <mergeCell ref="D107:I107"/>
    <mergeCell ref="D114:I114"/>
    <mergeCell ref="D113:I113"/>
    <mergeCell ref="D105:I105"/>
    <mergeCell ref="D112:I112"/>
    <mergeCell ref="D109:I109"/>
    <mergeCell ref="D103:I103"/>
    <mergeCell ref="D104:I104"/>
    <mergeCell ref="D33:I36"/>
    <mergeCell ref="D37:I37"/>
    <mergeCell ref="D42:I42"/>
    <mergeCell ref="D38:I38"/>
    <mergeCell ref="D51:I51"/>
    <mergeCell ref="D55:I55"/>
    <mergeCell ref="D54:I54"/>
    <mergeCell ref="D53:I53"/>
    <mergeCell ref="D52:I52"/>
    <mergeCell ref="D134:I134"/>
    <mergeCell ref="D124:I124"/>
    <mergeCell ref="D129:I129"/>
    <mergeCell ref="D131:I131"/>
    <mergeCell ref="D133:I133"/>
    <mergeCell ref="D121:I121"/>
    <mergeCell ref="D123:I123"/>
    <mergeCell ref="D122:I122"/>
    <mergeCell ref="D117:I117"/>
    <mergeCell ref="D115:I115"/>
    <mergeCell ref="D116:I116"/>
    <mergeCell ref="D95:I95"/>
    <mergeCell ref="D94:I94"/>
    <mergeCell ref="D68:I68"/>
    <mergeCell ref="D70:I70"/>
    <mergeCell ref="D85:I85"/>
    <mergeCell ref="D91:I91"/>
    <mergeCell ref="D92:I92"/>
    <mergeCell ref="D88:I88"/>
    <mergeCell ref="D87:I87"/>
  </mergeCells>
  <conditionalFormatting sqref="M3:M183">
    <cfRule type="notContainsBlanks" dxfId="0" priority="1">
      <formula>LEN(TRIM(M3))&gt;0</formula>
    </cfRule>
  </conditionalFormatting>
  <hyperlinks>
    <hyperlink r:id="rId1" ref="D2"/>
  </hyperlinks>
  <drawing r:id="rId2"/>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pane ySplit="1.0" topLeftCell="A2" activePane="bottomLeft" state="frozen"/>
      <selection activeCell="B3" sqref="B3" pane="bottomLeft"/>
    </sheetView>
  </sheetViews>
  <sheetFormatPr customHeight="1" defaultColWidth="14.43" defaultRowHeight="15.75"/>
  <cols>
    <col customWidth="1" min="1" max="1" width="6.71"/>
    <col customWidth="1" min="2" max="4" width="17.14"/>
    <col customWidth="1" min="5" max="5" width="29.71"/>
    <col customWidth="1" min="6" max="8" width="17.14"/>
    <col customWidth="1" min="9" max="9" width="10.71"/>
    <col customWidth="1" min="10" max="10" width="4.86"/>
    <col customWidth="1" min="11" max="11" width="9.29"/>
    <col customWidth="1" min="14" max="14" width="15.71"/>
    <col customWidth="1" min="43" max="43" width="45.29"/>
  </cols>
  <sheetData>
    <row r="1" ht="18.75" customHeight="1">
      <c r="A1" s="354"/>
      <c r="B1" s="355"/>
      <c r="C1" s="355"/>
      <c r="D1" s="356" t="s">
        <v>1208</v>
      </c>
      <c r="E1" s="357"/>
      <c r="F1" s="358"/>
      <c r="G1" s="355"/>
      <c r="H1" s="355"/>
      <c r="I1" s="355"/>
      <c r="J1" s="355"/>
      <c r="K1" s="359"/>
      <c r="L1" s="360"/>
      <c r="M1" s="361"/>
      <c r="N1" s="359"/>
      <c r="O1" s="360"/>
      <c r="P1" s="361"/>
      <c r="Q1" s="359"/>
      <c r="R1" s="360"/>
      <c r="S1" s="361"/>
      <c r="T1" s="359"/>
      <c r="U1" s="360"/>
      <c r="V1" s="361"/>
      <c r="W1" s="359"/>
      <c r="X1" s="360"/>
      <c r="Y1" s="361"/>
      <c r="Z1" s="359"/>
      <c r="AA1" s="360"/>
      <c r="AB1" s="361"/>
      <c r="AC1" s="359"/>
      <c r="AD1" s="360"/>
      <c r="AE1" s="361"/>
      <c r="AF1" s="359"/>
      <c r="AG1" s="360"/>
      <c r="AH1" s="361"/>
      <c r="AI1" s="359"/>
      <c r="AJ1" s="360"/>
      <c r="AK1" s="354"/>
      <c r="AL1" s="354"/>
      <c r="AM1" s="355"/>
      <c r="AN1" s="355"/>
      <c r="AO1" s="355"/>
      <c r="AP1" s="355"/>
      <c r="AQ1" s="355"/>
      <c r="AR1" s="355"/>
      <c r="AS1" s="355"/>
      <c r="AT1" s="355"/>
      <c r="AU1" s="355"/>
      <c r="AV1" s="355"/>
      <c r="AW1" s="355"/>
      <c r="AX1" s="355"/>
      <c r="AY1" s="355"/>
      <c r="AZ1" s="355"/>
      <c r="BA1" s="355"/>
      <c r="BB1" s="355"/>
    </row>
    <row r="2" ht="21.0" customHeight="1">
      <c r="A2" s="362"/>
      <c r="B2" s="362"/>
      <c r="C2" s="362"/>
      <c r="D2" s="362"/>
      <c r="E2" s="362"/>
      <c r="F2" s="362"/>
      <c r="G2" s="362"/>
      <c r="H2" s="362"/>
      <c r="I2" s="362"/>
      <c r="J2" s="363"/>
      <c r="K2" s="364"/>
      <c r="L2" s="365"/>
      <c r="M2" s="363"/>
      <c r="N2" s="363"/>
      <c r="O2" s="363"/>
      <c r="P2" s="363"/>
      <c r="Q2" s="363"/>
      <c r="R2" s="363"/>
      <c r="S2" s="363"/>
      <c r="T2" s="363"/>
      <c r="U2" s="363"/>
      <c r="V2" s="366"/>
      <c r="W2" s="363"/>
      <c r="X2" s="363"/>
      <c r="Y2" s="363"/>
      <c r="Z2" s="363"/>
      <c r="AA2" s="363"/>
      <c r="AB2" s="363"/>
      <c r="AC2" s="363"/>
      <c r="AD2" s="367"/>
      <c r="AE2" s="367"/>
      <c r="AF2" s="368"/>
      <c r="AG2" s="368"/>
      <c r="AH2" s="369"/>
      <c r="AI2" s="364"/>
      <c r="AJ2" s="364"/>
      <c r="AK2" s="367"/>
      <c r="AL2" s="367"/>
      <c r="AM2" s="363"/>
      <c r="AN2" s="363"/>
      <c r="AO2" s="363"/>
      <c r="AP2" s="363"/>
      <c r="AQ2" s="369"/>
      <c r="AR2" s="369"/>
      <c r="AS2" s="363"/>
      <c r="AT2" s="363"/>
      <c r="AU2" s="368"/>
      <c r="AV2" s="363"/>
      <c r="AW2" s="363"/>
      <c r="AX2" s="363"/>
      <c r="AY2" s="363"/>
      <c r="AZ2" s="363"/>
      <c r="BA2" s="363"/>
      <c r="BB2" s="362"/>
    </row>
    <row r="3" ht="21.0" customHeight="1">
      <c r="A3" s="362"/>
      <c r="B3" s="362"/>
      <c r="C3" s="362"/>
      <c r="D3" s="362"/>
      <c r="E3" s="362"/>
      <c r="F3" s="362"/>
      <c r="G3" s="362"/>
      <c r="H3" s="362"/>
      <c r="I3" s="362"/>
      <c r="J3" s="363"/>
      <c r="K3" s="370" t="str">
        <f>IF(OR(isblank($E$1),$E$1='Charts Data'!$A$3),,"Username")</f>
        <v/>
      </c>
      <c r="L3" s="371" t="str">
        <f>IF(OR(isblank($E$1),$E$1='Charts Data'!$A$3),,$E$1)</f>
        <v/>
      </c>
      <c r="M3" s="372"/>
      <c r="N3" s="370" t="str">
        <f>IF(OR(isblank($E$1),$E$1='Charts Data'!$A$3),,"Today")</f>
        <v/>
      </c>
      <c r="O3" s="373" t="str">
        <f>IF(OR(isblank($E$1),$E$1='Charts Data'!$A$3),,TODAY())</f>
        <v/>
      </c>
      <c r="P3" s="374" t="str">
        <f>IF(OR(isblank($E$1),$E$1='Charts Data'!$A$3),,"Units")</f>
        <v/>
      </c>
      <c r="Q3" s="372"/>
      <c r="R3" s="375" t="str">
        <f>IF(OR(isblank($E$1),$E$1='Charts Data'!$A$3),,IF(COUNTIF('Asia Pacific &amp; Europe (excl UK)'!B:B,$E$1)&gt;0,"km",IF(COUNTIF(UK!B:B,$E$1)&gt;0,"mi",IF(COUNTIF(USA!B:B,$E$1)&gt;0,"mi",IF(COUNTIF(Canada!B:B,$E$1)&gt;0,"km")))))</f>
        <v/>
      </c>
      <c r="S3" s="363"/>
      <c r="T3" s="363"/>
      <c r="U3" s="363"/>
      <c r="V3" s="366"/>
      <c r="W3" s="363"/>
      <c r="X3" s="363"/>
      <c r="Y3" s="363"/>
      <c r="Z3" s="363"/>
      <c r="AA3" s="363"/>
      <c r="AB3" s="363"/>
      <c r="AC3" s="363"/>
      <c r="AD3" s="367"/>
      <c r="AE3" s="367"/>
      <c r="AF3" s="368"/>
      <c r="AG3" s="368"/>
      <c r="AH3" s="369"/>
      <c r="AI3" s="364"/>
      <c r="AJ3" s="364"/>
      <c r="AK3" s="367"/>
      <c r="AL3" s="367"/>
      <c r="AM3" s="363"/>
      <c r="AN3" s="363"/>
      <c r="AO3" s="363"/>
      <c r="AP3" s="363"/>
      <c r="AQ3" s="369"/>
      <c r="AR3" s="369"/>
      <c r="AS3" s="363"/>
      <c r="AT3" s="363"/>
      <c r="AU3" s="368"/>
      <c r="AV3" s="363"/>
      <c r="AW3" s="363"/>
      <c r="AX3" s="363"/>
      <c r="AY3" s="363"/>
      <c r="AZ3" s="363"/>
      <c r="BA3" s="363"/>
      <c r="BB3" s="362"/>
    </row>
    <row r="4" ht="21.0" customHeight="1">
      <c r="A4" s="362"/>
      <c r="B4" s="362"/>
      <c r="C4" s="362"/>
      <c r="D4" s="362"/>
      <c r="E4" s="362"/>
      <c r="F4" s="362"/>
      <c r="G4" s="362"/>
      <c r="H4" s="362"/>
      <c r="I4" s="362"/>
      <c r="J4" s="363"/>
      <c r="K4" s="370" t="str">
        <f>IF(OR(isblank($E$1),$E$1='Charts Data'!$A$3),,"Location")</f>
        <v/>
      </c>
      <c r="L4" s="371" t="str">
        <f>IF(OR(isblank($E$1),$E$1='Charts Data'!$A$3),,IF(COUNTIF('Asia Pacific &amp; Europe (excl UK)'!B:B,$E$1)&gt;0,'Asia Pacific &amp; Europe (excl UK)'!C4,IF(COUNTIF(UK!B:B,$E$1)&gt;0,UK!C4,IF(COUNTIF(USA!B:B,$E$1)&gt;0,USA!C4,IF(COUNTIF(Canada!B:B,$E$1)&gt;0,Canada!C4)))))</f>
        <v/>
      </c>
      <c r="M4" s="372"/>
      <c r="N4" s="370" t="str">
        <f>IF(OR(isblank($E$1),$E$1='Charts Data'!$A$3),,"Manufacture date")</f>
        <v/>
      </c>
      <c r="O4" s="375" t="str">
        <f>IF(OR(isblank($E$1),$E$1='Charts Data'!$A$3),,min(N11:N45))</f>
        <v/>
      </c>
      <c r="P4" s="377"/>
      <c r="Q4" s="372"/>
      <c r="R4" s="375"/>
      <c r="S4" s="363"/>
      <c r="T4" s="363"/>
      <c r="U4" s="363"/>
      <c r="V4" s="366"/>
      <c r="W4" s="363"/>
      <c r="X4" s="363"/>
      <c r="Y4" s="363"/>
      <c r="Z4" s="363"/>
      <c r="AA4" s="363"/>
      <c r="AB4" s="363"/>
      <c r="AC4" s="363"/>
      <c r="AD4" s="367"/>
      <c r="AE4" s="367"/>
      <c r="AF4" s="368"/>
      <c r="AG4" s="368"/>
      <c r="AH4" s="369"/>
      <c r="AI4" s="364"/>
      <c r="AJ4" s="364"/>
      <c r="AK4" s="367"/>
      <c r="AL4" s="367"/>
      <c r="AM4" s="363"/>
      <c r="AN4" s="363"/>
      <c r="AO4" s="363"/>
      <c r="AP4" s="363"/>
      <c r="AQ4" s="369"/>
      <c r="AR4" s="369"/>
      <c r="AS4" s="363"/>
      <c r="AT4" s="363"/>
      <c r="AU4" s="368"/>
      <c r="AV4" s="363"/>
      <c r="AW4" s="363"/>
      <c r="AX4" s="363"/>
      <c r="AY4" s="363"/>
      <c r="AZ4" s="363"/>
      <c r="BA4" s="363"/>
      <c r="BB4" s="362"/>
    </row>
    <row r="5" ht="21.0" customHeight="1">
      <c r="A5" s="362"/>
      <c r="B5" s="362"/>
      <c r="C5" s="362"/>
      <c r="D5" s="362"/>
      <c r="E5" s="362"/>
      <c r="F5" s="362"/>
      <c r="G5" s="362"/>
      <c r="H5" s="362"/>
      <c r="I5" s="362"/>
      <c r="J5" s="363"/>
      <c r="K5" s="370" t="str">
        <f>IF(OR(isblank($E$1),$E$1='Charts Data'!$A$3),,"Entries")</f>
        <v/>
      </c>
      <c r="L5" s="371" t="str">
        <f>IF(K11="",,COUNTA(K11:K45))</f>
        <v/>
      </c>
      <c r="M5" s="372"/>
      <c r="N5" s="370" t="str">
        <f>IF(OR(isblank($E$1),$E$1='Charts Data'!$A$3),,"Vehicle Age")</f>
        <v/>
      </c>
      <c r="O5" s="378" t="str">
        <f>IF(OR(isblank($E$1),$E$1='Charts Data'!$A$3),,O3-O4)</f>
        <v/>
      </c>
      <c r="P5" s="377"/>
      <c r="Q5" s="372"/>
      <c r="R5" s="375"/>
      <c r="S5" s="363"/>
      <c r="T5" s="363"/>
      <c r="U5" s="363"/>
      <c r="V5" s="366"/>
      <c r="W5" s="363"/>
      <c r="X5" s="363"/>
      <c r="Y5" s="363"/>
      <c r="Z5" s="363"/>
      <c r="AA5" s="363"/>
      <c r="AB5" s="363"/>
      <c r="AC5" s="363"/>
      <c r="AD5" s="367"/>
      <c r="AE5" s="367"/>
      <c r="AF5" s="368"/>
      <c r="AG5" s="368"/>
      <c r="AH5" s="369"/>
      <c r="AI5" s="364"/>
      <c r="AJ5" s="364"/>
      <c r="AK5" s="367"/>
      <c r="AL5" s="367"/>
      <c r="AM5" s="363"/>
      <c r="AN5" s="363"/>
      <c r="AO5" s="363"/>
      <c r="AP5" s="363"/>
      <c r="AQ5" s="369"/>
      <c r="AR5" s="369"/>
      <c r="AS5" s="363"/>
      <c r="AT5" s="363"/>
      <c r="AU5" s="368"/>
      <c r="AV5" s="363"/>
      <c r="AW5" s="363"/>
      <c r="AX5" s="363"/>
      <c r="AY5" s="363"/>
      <c r="AZ5" s="363"/>
      <c r="BA5" s="363"/>
      <c r="BB5" s="362"/>
    </row>
    <row r="6" ht="21.0" customHeight="1">
      <c r="A6" s="362"/>
      <c r="B6" s="362"/>
      <c r="C6" s="362"/>
      <c r="D6" s="362"/>
      <c r="E6" s="362"/>
      <c r="F6" s="362"/>
      <c r="G6" s="362"/>
      <c r="H6" s="362"/>
      <c r="I6" s="362"/>
      <c r="J6" s="363"/>
      <c r="K6" s="364"/>
      <c r="L6" s="365"/>
      <c r="M6" s="363"/>
      <c r="N6" s="363"/>
      <c r="O6" s="363"/>
      <c r="P6" s="363"/>
      <c r="Q6" s="363"/>
      <c r="R6" s="363"/>
      <c r="S6" s="363"/>
      <c r="T6" s="363"/>
      <c r="U6" s="363"/>
      <c r="V6" s="366"/>
      <c r="W6" s="363"/>
      <c r="X6" s="363"/>
      <c r="Y6" s="363"/>
      <c r="Z6" s="363"/>
      <c r="AA6" s="363"/>
      <c r="AB6" s="363"/>
      <c r="AC6" s="363"/>
      <c r="AD6" s="367"/>
      <c r="AE6" s="367"/>
      <c r="AF6" s="368"/>
      <c r="AG6" s="368"/>
      <c r="AH6" s="369"/>
      <c r="AI6" s="364"/>
      <c r="AJ6" s="364"/>
      <c r="AK6" s="367"/>
      <c r="AL6" s="367"/>
      <c r="AM6" s="363"/>
      <c r="AN6" s="363"/>
      <c r="AO6" s="363"/>
      <c r="AP6" s="363"/>
      <c r="AQ6" s="369"/>
      <c r="AR6" s="369"/>
      <c r="AS6" s="363"/>
      <c r="AT6" s="363"/>
      <c r="AU6" s="368"/>
      <c r="AV6" s="363"/>
      <c r="AW6" s="363"/>
      <c r="AX6" s="363"/>
      <c r="AY6" s="363"/>
      <c r="AZ6" s="363"/>
      <c r="BA6" s="363"/>
      <c r="BB6" s="362"/>
    </row>
    <row r="7" ht="21.0" customHeight="1">
      <c r="A7" s="362"/>
      <c r="B7" s="362"/>
      <c r="C7" s="362"/>
      <c r="D7" s="362"/>
      <c r="E7" s="362"/>
      <c r="F7" s="362"/>
      <c r="G7" s="362"/>
      <c r="H7" s="362"/>
      <c r="I7" s="362"/>
      <c r="J7" s="363"/>
      <c r="K7" s="379" t="str">
        <f>IF(OR(isblank($E$1),$E$1='Charts Data'!$A$3),,IF(L5=1,"Hi "&amp;E1&amp;". You submitted only one entry so far. Feel free to add more entries over time as your mileage increases. A new entry every " &amp;IF(R3="km","8.000-12.000 km","5,000-7,500 mi") &amp;" is a good idea.",IF(L5&gt;1,"Hi "&amp;E1&amp;". The following table shows all your entries so far for easy comparison. Have a look at this data to see if there is something wrong or inconsistent. You can edit the data where you've entered it. ID numbers should help finding the data. Feel free to add "&amp;"more entries over time as your mileage increases. A new entry every " &amp;IF(R3="km","8.000-12.000 km","5,000-7,500 mi") &amp;" is a good idea.")))
&amp;if(counta(K8:BA8)=0,"",char(10)&amp;char(10)&amp;"By the way, there appears to be "&amp;counta(K8:BA8)&amp;" error"&amp;if(counta(K8:BA8)&gt;=2,"s","")&amp;", shown in red.")</f>
        <v/>
      </c>
      <c r="S7" s="363"/>
      <c r="T7" s="363"/>
      <c r="U7" s="363"/>
      <c r="V7" s="366"/>
      <c r="W7" s="363"/>
      <c r="X7" s="363"/>
      <c r="Y7" s="363"/>
      <c r="Z7" s="363"/>
      <c r="AA7" s="363"/>
      <c r="AB7" s="363"/>
      <c r="AC7" s="363"/>
      <c r="AD7" s="367"/>
      <c r="AE7" s="367"/>
      <c r="AF7" s="368"/>
      <c r="AG7" s="368"/>
      <c r="AH7" s="369"/>
      <c r="AI7" s="364"/>
      <c r="AJ7" s="364"/>
      <c r="AK7" s="367"/>
      <c r="AL7" s="367"/>
      <c r="AM7" s="363"/>
      <c r="AN7" s="363"/>
      <c r="AO7" s="363"/>
      <c r="AP7" s="363"/>
      <c r="AQ7" s="369"/>
      <c r="AR7" s="369"/>
      <c r="AS7" s="363"/>
      <c r="AT7" s="363"/>
      <c r="AU7" s="368"/>
      <c r="AV7" s="363"/>
      <c r="AW7" s="363"/>
      <c r="AX7" s="363"/>
      <c r="AY7" s="363"/>
      <c r="AZ7" s="363"/>
      <c r="BA7" s="363"/>
      <c r="BB7" s="362"/>
    </row>
    <row r="8" ht="21.0" customHeight="1">
      <c r="A8" s="362"/>
      <c r="B8" s="362"/>
      <c r="C8" s="362"/>
      <c r="D8" s="362"/>
      <c r="E8" s="362"/>
      <c r="F8" s="362"/>
      <c r="G8" s="362"/>
      <c r="H8" s="362"/>
      <c r="I8" s="362"/>
      <c r="J8" s="363"/>
      <c r="K8" s="380"/>
      <c r="L8" s="381" t="str">
        <f>IF((COUNTA(L11:L45)-SUMPRODUCT(EXACT(L11,L$11:L$107)+0))&gt;0,"Different username spellings detected. You can edit where you entered the data",)</f>
        <v/>
      </c>
      <c r="M8" s="382"/>
      <c r="N8" s="381" t="str">
        <f>IF(isblank(N11),,IF(COUNTIF(N11:N45,N11)=COUNTA(N11:N45),,"These don't match."))</f>
        <v/>
      </c>
      <c r="O8" s="382"/>
      <c r="P8" s="381" t="str">
        <f>IF(isblank(P11),,IF(COUNTIF(P11:P45,P11)=COUNTA(P11:P45),,"These don't match."))</f>
        <v/>
      </c>
      <c r="Q8" s="382"/>
      <c r="R8" s="382"/>
      <c r="S8" s="382"/>
      <c r="T8" s="382"/>
      <c r="U8" s="382"/>
      <c r="V8" s="383"/>
      <c r="W8" s="382"/>
      <c r="X8" s="382"/>
      <c r="Y8" s="382"/>
      <c r="Z8" s="382"/>
      <c r="AA8" s="382"/>
      <c r="AB8" s="382"/>
      <c r="AC8" s="382"/>
      <c r="AD8" s="384"/>
      <c r="AE8" s="384"/>
      <c r="AF8" s="385"/>
      <c r="AG8" s="385"/>
      <c r="AH8" s="386"/>
      <c r="AI8" s="380"/>
      <c r="AJ8" s="380"/>
      <c r="AK8" s="381" t="str">
        <f>IFERROR(__xludf.DUMMYFUNCTION("IF(OR(isblank($E$1),$E$1='Charts Data'!$A$3),,if(count(unique(filter(AK11:AK140,AK11:AK140&lt;&gt;"""")))&lt;=1,,""These don't match.""))"),"")</f>
        <v/>
      </c>
      <c r="AL8" s="384"/>
      <c r="AM8" s="382"/>
      <c r="AN8" s="382"/>
      <c r="AO8" s="382"/>
      <c r="AP8" s="382"/>
      <c r="AQ8" s="386"/>
      <c r="AR8" s="386"/>
      <c r="AS8" s="382"/>
      <c r="AT8" s="382"/>
      <c r="AU8" s="385"/>
      <c r="AV8" s="382"/>
      <c r="AW8" s="382"/>
      <c r="AX8" s="382"/>
      <c r="AY8" s="363"/>
      <c r="AZ8" s="363"/>
      <c r="BA8" s="363"/>
      <c r="BB8" s="362"/>
    </row>
    <row r="9" ht="21.0" customHeight="1">
      <c r="A9" s="362"/>
      <c r="B9" s="362"/>
      <c r="C9" s="362"/>
      <c r="D9" s="362"/>
      <c r="E9" s="362"/>
      <c r="F9" s="362"/>
      <c r="G9" s="362"/>
      <c r="H9" s="362"/>
      <c r="I9" s="362"/>
      <c r="J9" s="387"/>
      <c r="K9" s="388" t="str">
        <f>IF(OR(isblank($E$1),$E$1='Charts Data'!$A$3),,indirect("'"&amp;$L$4&amp;"'!"&amp;"A2:AQ3"))</f>
        <v/>
      </c>
      <c r="L9" s="389"/>
      <c r="M9" s="390"/>
      <c r="N9" s="391"/>
      <c r="O9" s="391"/>
      <c r="P9" s="392"/>
      <c r="Q9" s="391"/>
      <c r="R9" s="391"/>
      <c r="S9" s="392"/>
      <c r="T9" s="391"/>
      <c r="U9" s="391"/>
      <c r="V9" s="392"/>
      <c r="W9" s="391"/>
      <c r="X9" s="391"/>
      <c r="Y9" s="391"/>
      <c r="Z9" s="392"/>
      <c r="AA9" s="392"/>
      <c r="AB9" s="391"/>
      <c r="AC9" s="392"/>
      <c r="AD9" s="394"/>
      <c r="AE9" s="394"/>
      <c r="AF9" s="395"/>
      <c r="AG9" s="395"/>
      <c r="AH9" s="396"/>
      <c r="AI9" s="397"/>
      <c r="AJ9" s="397"/>
      <c r="AK9" s="398"/>
      <c r="AL9" s="398"/>
      <c r="AM9" s="399"/>
      <c r="AN9" s="399"/>
      <c r="AO9" s="400"/>
      <c r="AP9" s="400"/>
      <c r="AQ9" s="396"/>
      <c r="AR9" s="396"/>
      <c r="AS9" s="400"/>
      <c r="AT9" s="400"/>
      <c r="AU9" s="395"/>
      <c r="AV9" s="400"/>
      <c r="AW9" s="401"/>
      <c r="AX9" s="401"/>
      <c r="AY9" s="402"/>
      <c r="AZ9" s="403"/>
      <c r="BA9" s="403"/>
      <c r="BB9" s="362"/>
    </row>
    <row r="10" ht="21.0" customHeight="1">
      <c r="A10" s="362"/>
      <c r="B10" s="362"/>
      <c r="C10" s="362"/>
      <c r="D10" s="362"/>
      <c r="E10" s="362"/>
      <c r="F10" s="362"/>
      <c r="G10" s="362"/>
      <c r="H10" s="362"/>
      <c r="I10" s="362"/>
      <c r="J10" s="387"/>
      <c r="K10" s="404"/>
      <c r="L10" s="405"/>
      <c r="M10" s="406"/>
      <c r="N10" s="407"/>
      <c r="O10" s="407"/>
      <c r="P10" s="407"/>
      <c r="Q10" s="407"/>
      <c r="R10" s="407"/>
      <c r="S10" s="407"/>
      <c r="T10" s="406"/>
      <c r="U10" s="406"/>
      <c r="V10" s="407"/>
      <c r="W10" s="406"/>
      <c r="X10" s="407"/>
      <c r="Y10" s="407"/>
      <c r="Z10" s="406"/>
      <c r="AA10" s="407"/>
      <c r="AB10" s="407"/>
      <c r="AC10" s="407"/>
      <c r="AD10" s="408"/>
      <c r="AE10" s="408"/>
      <c r="AF10" s="406"/>
      <c r="AG10" s="406"/>
      <c r="AH10" s="404"/>
      <c r="AI10" s="404"/>
      <c r="AJ10" s="404"/>
      <c r="AK10" s="408"/>
      <c r="AL10" s="408"/>
      <c r="AM10" s="404"/>
      <c r="AN10" s="406"/>
      <c r="AO10" s="406"/>
      <c r="AP10" s="406"/>
      <c r="AQ10" s="404"/>
      <c r="AR10" s="404"/>
      <c r="AS10" s="406"/>
      <c r="AT10" s="406"/>
      <c r="AU10" s="406"/>
      <c r="AV10" s="406"/>
      <c r="AW10" s="406"/>
      <c r="AX10" s="406"/>
      <c r="AY10" s="409"/>
      <c r="AZ10" s="409"/>
      <c r="BA10" s="409"/>
      <c r="BB10" s="362"/>
    </row>
    <row r="11" ht="21.0" customHeight="1">
      <c r="A11" s="362"/>
      <c r="B11" s="362"/>
      <c r="C11" s="362"/>
      <c r="D11" s="362"/>
      <c r="E11" s="362"/>
      <c r="F11" s="362"/>
      <c r="G11" s="362"/>
      <c r="H11" s="362"/>
      <c r="I11" s="362"/>
      <c r="J11" s="387"/>
      <c r="K11" s="410" t="str">
        <f>IFERROR(__xludf.DUMMYFUNCTION("IF(OR(isblank($E$1),$E$1='Charts Data'!$A$3),,FILTER(indirect(""'""&amp;$L$4&amp;""'!""&amp;""A4:AQ""),indirect(""'""&amp;$L$4&amp;""'!""&amp;""B4:B"")=$E$1))"),"")</f>
        <v/>
      </c>
      <c r="L11" s="411"/>
      <c r="M11" s="412"/>
      <c r="N11" s="412"/>
      <c r="O11" s="412"/>
      <c r="P11" s="412"/>
      <c r="Q11" s="413"/>
      <c r="R11" s="412"/>
      <c r="S11" s="412"/>
      <c r="T11" s="412"/>
      <c r="U11" s="413"/>
      <c r="V11" s="413"/>
      <c r="W11" s="413"/>
      <c r="X11" s="413"/>
      <c r="Y11" s="413"/>
      <c r="Z11" s="413"/>
      <c r="AA11" s="413"/>
      <c r="AB11" s="413"/>
      <c r="AC11" s="413"/>
      <c r="AD11" s="414"/>
      <c r="AE11" s="415"/>
      <c r="AF11" s="410"/>
      <c r="AG11" s="410"/>
      <c r="AH11" s="410"/>
      <c r="AI11" s="410"/>
      <c r="AJ11" s="410"/>
      <c r="AK11" s="416"/>
      <c r="AL11" s="416"/>
      <c r="AM11" s="416"/>
      <c r="AN11" s="416"/>
      <c r="AO11" s="413"/>
      <c r="AP11" s="413"/>
      <c r="AQ11" s="410"/>
      <c r="AR11" s="410"/>
      <c r="AS11" s="410"/>
      <c r="AT11" s="412"/>
      <c r="AU11" s="412"/>
      <c r="AV11" s="412"/>
      <c r="AW11" s="412"/>
      <c r="AX11" s="412"/>
      <c r="AY11" s="417"/>
      <c r="AZ11" s="417"/>
      <c r="BA11" s="417"/>
      <c r="BB11" s="418"/>
    </row>
    <row r="12" ht="21.0" customHeight="1">
      <c r="A12" s="362"/>
      <c r="B12" s="362"/>
      <c r="C12" s="362"/>
      <c r="D12" s="362"/>
      <c r="E12" s="362"/>
      <c r="F12" s="362"/>
      <c r="G12" s="362"/>
      <c r="H12" s="362"/>
      <c r="I12" s="362"/>
      <c r="J12" s="387"/>
      <c r="K12" s="410"/>
      <c r="L12" s="411"/>
      <c r="M12" s="412"/>
      <c r="N12" s="412"/>
      <c r="O12" s="412"/>
      <c r="P12" s="412"/>
      <c r="Q12" s="413"/>
      <c r="R12" s="412"/>
      <c r="S12" s="412"/>
      <c r="T12" s="412"/>
      <c r="U12" s="413"/>
      <c r="V12" s="413"/>
      <c r="W12" s="413"/>
      <c r="X12" s="413"/>
      <c r="Y12" s="413"/>
      <c r="Z12" s="413"/>
      <c r="AA12" s="413"/>
      <c r="AB12" s="413"/>
      <c r="AC12" s="413"/>
      <c r="AD12" s="414"/>
      <c r="AE12" s="415"/>
      <c r="AF12" s="410"/>
      <c r="AG12" s="410"/>
      <c r="AH12" s="410"/>
      <c r="AI12" s="410"/>
      <c r="AJ12" s="410"/>
      <c r="AK12" s="416"/>
      <c r="AL12" s="416"/>
      <c r="AM12" s="416"/>
      <c r="AN12" s="416"/>
      <c r="AO12" s="413"/>
      <c r="AP12" s="413"/>
      <c r="AQ12" s="410"/>
      <c r="AR12" s="410"/>
      <c r="AS12" s="410"/>
      <c r="AT12" s="412"/>
      <c r="AU12" s="412"/>
      <c r="AV12" s="412"/>
      <c r="AW12" s="412"/>
      <c r="AX12" s="412"/>
      <c r="AY12" s="417"/>
      <c r="AZ12" s="417"/>
      <c r="BA12" s="417"/>
      <c r="BB12" s="418"/>
    </row>
    <row r="13" ht="21.0" customHeight="1">
      <c r="A13" s="362"/>
      <c r="B13" s="362"/>
      <c r="C13" s="362"/>
      <c r="D13" s="362"/>
      <c r="E13" s="362"/>
      <c r="F13" s="362"/>
      <c r="G13" s="362"/>
      <c r="H13" s="362"/>
      <c r="I13" s="362"/>
      <c r="J13" s="387"/>
      <c r="K13" s="410"/>
      <c r="L13" s="411"/>
      <c r="M13" s="412"/>
      <c r="N13" s="412"/>
      <c r="O13" s="412"/>
      <c r="P13" s="412"/>
      <c r="Q13" s="413"/>
      <c r="R13" s="412"/>
      <c r="S13" s="412"/>
      <c r="T13" s="412"/>
      <c r="U13" s="413"/>
      <c r="V13" s="413"/>
      <c r="W13" s="413"/>
      <c r="X13" s="413"/>
      <c r="Y13" s="413"/>
      <c r="Z13" s="413"/>
      <c r="AA13" s="413"/>
      <c r="AB13" s="413"/>
      <c r="AC13" s="413"/>
      <c r="AD13" s="414"/>
      <c r="AE13" s="415"/>
      <c r="AF13" s="410"/>
      <c r="AG13" s="410"/>
      <c r="AH13" s="410"/>
      <c r="AI13" s="410"/>
      <c r="AJ13" s="410"/>
      <c r="AK13" s="416"/>
      <c r="AL13" s="416"/>
      <c r="AM13" s="416"/>
      <c r="AN13" s="416"/>
      <c r="AO13" s="413"/>
      <c r="AP13" s="413"/>
      <c r="AQ13" s="410"/>
      <c r="AR13" s="410"/>
      <c r="AS13" s="410"/>
      <c r="AT13" s="412"/>
      <c r="AU13" s="412"/>
      <c r="AV13" s="412"/>
      <c r="AW13" s="412"/>
      <c r="AX13" s="412"/>
      <c r="AY13" s="417"/>
      <c r="AZ13" s="417"/>
      <c r="BA13" s="417"/>
      <c r="BB13" s="418"/>
    </row>
    <row r="14" ht="21.0" customHeight="1">
      <c r="A14" s="362"/>
      <c r="B14" s="362"/>
      <c r="C14" s="362"/>
      <c r="D14" s="362"/>
      <c r="E14" s="362"/>
      <c r="F14" s="362"/>
      <c r="G14" s="362"/>
      <c r="H14" s="362"/>
      <c r="I14" s="362"/>
      <c r="J14" s="387"/>
      <c r="K14" s="410"/>
      <c r="L14" s="411"/>
      <c r="M14" s="412"/>
      <c r="N14" s="412"/>
      <c r="O14" s="412"/>
      <c r="P14" s="412"/>
      <c r="Q14" s="413"/>
      <c r="R14" s="412"/>
      <c r="S14" s="412"/>
      <c r="T14" s="412"/>
      <c r="U14" s="413"/>
      <c r="V14" s="413"/>
      <c r="W14" s="413"/>
      <c r="X14" s="413"/>
      <c r="Y14" s="413"/>
      <c r="Z14" s="413"/>
      <c r="AA14" s="413"/>
      <c r="AB14" s="413"/>
      <c r="AC14" s="413"/>
      <c r="AD14" s="414"/>
      <c r="AE14" s="415"/>
      <c r="AF14" s="410"/>
      <c r="AG14" s="410"/>
      <c r="AH14" s="410"/>
      <c r="AI14" s="410"/>
      <c r="AJ14" s="410"/>
      <c r="AK14" s="416"/>
      <c r="AL14" s="416"/>
      <c r="AM14" s="416"/>
      <c r="AN14" s="416"/>
      <c r="AO14" s="413"/>
      <c r="AP14" s="413"/>
      <c r="AQ14" s="410"/>
      <c r="AR14" s="410"/>
      <c r="AS14" s="410"/>
      <c r="AT14" s="412"/>
      <c r="AU14" s="412"/>
      <c r="AV14" s="412"/>
      <c r="AW14" s="412"/>
      <c r="AX14" s="412"/>
      <c r="AY14" s="417"/>
      <c r="AZ14" s="417"/>
      <c r="BA14" s="417"/>
      <c r="BB14" s="418"/>
    </row>
    <row r="15" ht="21.0" customHeight="1">
      <c r="A15" s="362"/>
      <c r="B15" s="362"/>
      <c r="C15" s="362"/>
      <c r="D15" s="362"/>
      <c r="E15" s="362"/>
      <c r="F15" s="362"/>
      <c r="G15" s="362"/>
      <c r="H15" s="362"/>
      <c r="I15" s="362"/>
      <c r="J15" s="387"/>
      <c r="K15" s="410"/>
      <c r="L15" s="411"/>
      <c r="M15" s="412"/>
      <c r="N15" s="412"/>
      <c r="O15" s="412"/>
      <c r="P15" s="412"/>
      <c r="Q15" s="413"/>
      <c r="R15" s="412"/>
      <c r="S15" s="412"/>
      <c r="T15" s="412"/>
      <c r="U15" s="413"/>
      <c r="V15" s="413"/>
      <c r="W15" s="413"/>
      <c r="X15" s="413"/>
      <c r="Y15" s="413"/>
      <c r="Z15" s="413"/>
      <c r="AA15" s="413"/>
      <c r="AB15" s="413"/>
      <c r="AC15" s="413"/>
      <c r="AD15" s="414"/>
      <c r="AE15" s="415"/>
      <c r="AF15" s="410"/>
      <c r="AG15" s="410"/>
      <c r="AH15" s="410"/>
      <c r="AI15" s="410"/>
      <c r="AJ15" s="410"/>
      <c r="AK15" s="416"/>
      <c r="AL15" s="416"/>
      <c r="AM15" s="416"/>
      <c r="AN15" s="416"/>
      <c r="AO15" s="413"/>
      <c r="AP15" s="413"/>
      <c r="AQ15" s="410"/>
      <c r="AR15" s="410"/>
      <c r="AS15" s="410"/>
      <c r="AT15" s="412"/>
      <c r="AU15" s="412"/>
      <c r="AV15" s="412"/>
      <c r="AW15" s="412"/>
      <c r="AX15" s="412"/>
      <c r="AY15" s="417"/>
      <c r="AZ15" s="417"/>
      <c r="BA15" s="417"/>
      <c r="BB15" s="418"/>
    </row>
    <row r="16" ht="21.0" customHeight="1">
      <c r="A16" s="362"/>
      <c r="B16" s="362"/>
      <c r="C16" s="362"/>
      <c r="D16" s="362"/>
      <c r="E16" s="362"/>
      <c r="F16" s="362"/>
      <c r="G16" s="362"/>
      <c r="H16" s="362"/>
      <c r="I16" s="362"/>
      <c r="J16" s="387"/>
      <c r="K16" s="410"/>
      <c r="L16" s="411"/>
      <c r="M16" s="412"/>
      <c r="N16" s="412"/>
      <c r="O16" s="412"/>
      <c r="P16" s="412"/>
      <c r="Q16" s="413"/>
      <c r="R16" s="412"/>
      <c r="S16" s="412"/>
      <c r="T16" s="412"/>
      <c r="U16" s="413"/>
      <c r="V16" s="413"/>
      <c r="W16" s="413"/>
      <c r="X16" s="413"/>
      <c r="Y16" s="413"/>
      <c r="Z16" s="413"/>
      <c r="AA16" s="413"/>
      <c r="AB16" s="413"/>
      <c r="AC16" s="413"/>
      <c r="AD16" s="414"/>
      <c r="AE16" s="415"/>
      <c r="AF16" s="410"/>
      <c r="AG16" s="410"/>
      <c r="AH16" s="410"/>
      <c r="AI16" s="410"/>
      <c r="AJ16" s="410"/>
      <c r="AK16" s="416"/>
      <c r="AL16" s="416"/>
      <c r="AM16" s="416"/>
      <c r="AN16" s="416"/>
      <c r="AO16" s="413"/>
      <c r="AP16" s="413"/>
      <c r="AQ16" s="410"/>
      <c r="AR16" s="410"/>
      <c r="AS16" s="410"/>
      <c r="AT16" s="412"/>
      <c r="AU16" s="412"/>
      <c r="AV16" s="412"/>
      <c r="AW16" s="412"/>
      <c r="AX16" s="412"/>
      <c r="AY16" s="417"/>
      <c r="AZ16" s="417"/>
      <c r="BA16" s="417"/>
      <c r="BB16" s="418"/>
    </row>
    <row r="17" ht="21.0" customHeight="1">
      <c r="A17" s="362"/>
      <c r="B17" s="362"/>
      <c r="C17" s="362"/>
      <c r="D17" s="362"/>
      <c r="E17" s="362"/>
      <c r="F17" s="362"/>
      <c r="G17" s="362"/>
      <c r="H17" s="362"/>
      <c r="I17" s="362"/>
      <c r="J17" s="387"/>
      <c r="K17" s="410"/>
      <c r="L17" s="411"/>
      <c r="M17" s="412"/>
      <c r="N17" s="412"/>
      <c r="O17" s="412"/>
      <c r="P17" s="412"/>
      <c r="Q17" s="413"/>
      <c r="R17" s="412"/>
      <c r="S17" s="412"/>
      <c r="T17" s="412"/>
      <c r="U17" s="413"/>
      <c r="V17" s="413"/>
      <c r="W17" s="413"/>
      <c r="X17" s="413"/>
      <c r="Y17" s="413"/>
      <c r="Z17" s="413"/>
      <c r="AA17" s="413"/>
      <c r="AB17" s="413"/>
      <c r="AC17" s="413"/>
      <c r="AD17" s="414"/>
      <c r="AE17" s="415"/>
      <c r="AF17" s="410"/>
      <c r="AG17" s="410"/>
      <c r="AH17" s="410"/>
      <c r="AI17" s="410"/>
      <c r="AJ17" s="410"/>
      <c r="AK17" s="416"/>
      <c r="AL17" s="416"/>
      <c r="AM17" s="416"/>
      <c r="AN17" s="416"/>
      <c r="AO17" s="413"/>
      <c r="AP17" s="413"/>
      <c r="AQ17" s="410"/>
      <c r="AR17" s="410"/>
      <c r="AS17" s="410"/>
      <c r="AT17" s="412"/>
      <c r="AU17" s="412"/>
      <c r="AV17" s="412"/>
      <c r="AW17" s="412"/>
      <c r="AX17" s="412"/>
      <c r="AY17" s="417"/>
      <c r="AZ17" s="417"/>
      <c r="BA17" s="417"/>
      <c r="BB17" s="418"/>
    </row>
    <row r="18" ht="21.0" customHeight="1">
      <c r="A18" s="362"/>
      <c r="B18" s="362"/>
      <c r="C18" s="362"/>
      <c r="D18" s="362"/>
      <c r="E18" s="362"/>
      <c r="F18" s="362"/>
      <c r="G18" s="362"/>
      <c r="H18" s="362"/>
      <c r="I18" s="362"/>
      <c r="J18" s="387"/>
      <c r="K18" s="410"/>
      <c r="L18" s="411"/>
      <c r="M18" s="412"/>
      <c r="N18" s="412"/>
      <c r="O18" s="412"/>
      <c r="P18" s="412"/>
      <c r="Q18" s="413"/>
      <c r="R18" s="412"/>
      <c r="S18" s="412"/>
      <c r="T18" s="412"/>
      <c r="U18" s="413"/>
      <c r="V18" s="413"/>
      <c r="W18" s="413"/>
      <c r="X18" s="413"/>
      <c r="Y18" s="413"/>
      <c r="Z18" s="413"/>
      <c r="AA18" s="413"/>
      <c r="AB18" s="413"/>
      <c r="AC18" s="413"/>
      <c r="AD18" s="414"/>
      <c r="AE18" s="415"/>
      <c r="AF18" s="410"/>
      <c r="AG18" s="410"/>
      <c r="AH18" s="410"/>
      <c r="AI18" s="410"/>
      <c r="AJ18" s="410"/>
      <c r="AK18" s="416"/>
      <c r="AL18" s="416"/>
      <c r="AM18" s="416"/>
      <c r="AN18" s="416"/>
      <c r="AO18" s="413"/>
      <c r="AP18" s="413"/>
      <c r="AQ18" s="410"/>
      <c r="AR18" s="410"/>
      <c r="AS18" s="410"/>
      <c r="AT18" s="412"/>
      <c r="AU18" s="412"/>
      <c r="AV18" s="412"/>
      <c r="AW18" s="412"/>
      <c r="AX18" s="412"/>
      <c r="AY18" s="417"/>
      <c r="AZ18" s="417"/>
      <c r="BA18" s="417"/>
      <c r="BB18" s="418"/>
    </row>
    <row r="19" ht="21.0" customHeight="1">
      <c r="A19" s="362"/>
      <c r="B19" s="362"/>
      <c r="C19" s="362"/>
      <c r="D19" s="362"/>
      <c r="E19" s="362"/>
      <c r="F19" s="362"/>
      <c r="G19" s="362"/>
      <c r="H19" s="362"/>
      <c r="I19" s="362"/>
      <c r="J19" s="387"/>
      <c r="K19" s="410"/>
      <c r="L19" s="411"/>
      <c r="M19" s="412"/>
      <c r="N19" s="412"/>
      <c r="O19" s="412"/>
      <c r="P19" s="412"/>
      <c r="Q19" s="413"/>
      <c r="R19" s="412"/>
      <c r="S19" s="412"/>
      <c r="T19" s="412"/>
      <c r="U19" s="413"/>
      <c r="V19" s="413"/>
      <c r="W19" s="413"/>
      <c r="X19" s="413"/>
      <c r="Y19" s="413"/>
      <c r="Z19" s="413"/>
      <c r="AA19" s="413"/>
      <c r="AB19" s="413"/>
      <c r="AC19" s="413"/>
      <c r="AD19" s="414"/>
      <c r="AE19" s="415"/>
      <c r="AF19" s="410"/>
      <c r="AG19" s="410"/>
      <c r="AH19" s="410"/>
      <c r="AI19" s="410"/>
      <c r="AJ19" s="410"/>
      <c r="AK19" s="416"/>
      <c r="AL19" s="416"/>
      <c r="AM19" s="416"/>
      <c r="AN19" s="416"/>
      <c r="AO19" s="413"/>
      <c r="AP19" s="413"/>
      <c r="AQ19" s="410"/>
      <c r="AR19" s="410"/>
      <c r="AS19" s="410"/>
      <c r="AT19" s="412"/>
      <c r="AU19" s="412"/>
      <c r="AV19" s="412"/>
      <c r="AW19" s="412"/>
      <c r="AX19" s="412"/>
      <c r="AY19" s="417"/>
      <c r="AZ19" s="417"/>
      <c r="BA19" s="417"/>
      <c r="BB19" s="418"/>
    </row>
    <row r="20" ht="21.0" customHeight="1">
      <c r="A20" s="362"/>
      <c r="B20" s="362"/>
      <c r="C20" s="362"/>
      <c r="D20" s="362"/>
      <c r="E20" s="362"/>
      <c r="F20" s="362"/>
      <c r="G20" s="362"/>
      <c r="H20" s="362"/>
      <c r="I20" s="362"/>
      <c r="J20" s="387"/>
      <c r="K20" s="410"/>
      <c r="L20" s="411"/>
      <c r="M20" s="412"/>
      <c r="N20" s="412"/>
      <c r="O20" s="412"/>
      <c r="P20" s="412"/>
      <c r="Q20" s="413"/>
      <c r="R20" s="412"/>
      <c r="S20" s="412"/>
      <c r="T20" s="412"/>
      <c r="U20" s="413"/>
      <c r="V20" s="413"/>
      <c r="W20" s="413"/>
      <c r="X20" s="413"/>
      <c r="Y20" s="413"/>
      <c r="Z20" s="413"/>
      <c r="AA20" s="413"/>
      <c r="AB20" s="413"/>
      <c r="AC20" s="413"/>
      <c r="AD20" s="414"/>
      <c r="AE20" s="415"/>
      <c r="AF20" s="410"/>
      <c r="AG20" s="410"/>
      <c r="AH20" s="410"/>
      <c r="AI20" s="410"/>
      <c r="AJ20" s="410"/>
      <c r="AK20" s="416"/>
      <c r="AL20" s="416"/>
      <c r="AM20" s="416"/>
      <c r="AN20" s="416"/>
      <c r="AO20" s="413"/>
      <c r="AP20" s="413"/>
      <c r="AQ20" s="410"/>
      <c r="AR20" s="410"/>
      <c r="AS20" s="410"/>
      <c r="AT20" s="412"/>
      <c r="AU20" s="412"/>
      <c r="AV20" s="412"/>
      <c r="AW20" s="412"/>
      <c r="AX20" s="412"/>
      <c r="AY20" s="417"/>
      <c r="AZ20" s="417"/>
      <c r="BA20" s="417"/>
      <c r="BB20" s="418"/>
    </row>
    <row r="21" ht="21.0" customHeight="1">
      <c r="A21" s="362"/>
      <c r="B21" s="362"/>
      <c r="C21" s="362"/>
      <c r="D21" s="362"/>
      <c r="E21" s="362"/>
      <c r="F21" s="362"/>
      <c r="G21" s="362"/>
      <c r="H21" s="362"/>
      <c r="I21" s="362"/>
      <c r="J21" s="387"/>
      <c r="K21" s="410"/>
      <c r="L21" s="411"/>
      <c r="M21" s="412"/>
      <c r="N21" s="412"/>
      <c r="O21" s="412"/>
      <c r="P21" s="412"/>
      <c r="Q21" s="413"/>
      <c r="R21" s="412"/>
      <c r="S21" s="412"/>
      <c r="T21" s="412"/>
      <c r="U21" s="413"/>
      <c r="V21" s="413"/>
      <c r="W21" s="413"/>
      <c r="X21" s="413"/>
      <c r="Y21" s="413"/>
      <c r="Z21" s="413"/>
      <c r="AA21" s="413"/>
      <c r="AB21" s="413"/>
      <c r="AC21" s="413"/>
      <c r="AD21" s="414"/>
      <c r="AE21" s="415"/>
      <c r="AF21" s="410"/>
      <c r="AG21" s="410"/>
      <c r="AH21" s="410"/>
      <c r="AI21" s="410"/>
      <c r="AJ21" s="410"/>
      <c r="AK21" s="416"/>
      <c r="AL21" s="416"/>
      <c r="AM21" s="416"/>
      <c r="AN21" s="416"/>
      <c r="AO21" s="413"/>
      <c r="AP21" s="413"/>
      <c r="AQ21" s="410"/>
      <c r="AR21" s="410"/>
      <c r="AS21" s="410"/>
      <c r="AT21" s="412"/>
      <c r="AU21" s="412"/>
      <c r="AV21" s="412"/>
      <c r="AW21" s="412"/>
      <c r="AX21" s="412"/>
      <c r="AY21" s="417"/>
      <c r="AZ21" s="417"/>
      <c r="BA21" s="417"/>
      <c r="BB21" s="418"/>
    </row>
    <row r="22" ht="21.0" customHeight="1">
      <c r="A22" s="362"/>
      <c r="B22" s="362"/>
      <c r="C22" s="362"/>
      <c r="D22" s="362"/>
      <c r="E22" s="362"/>
      <c r="F22" s="362"/>
      <c r="G22" s="362"/>
      <c r="H22" s="362"/>
      <c r="I22" s="362"/>
      <c r="J22" s="387"/>
      <c r="K22" s="410"/>
      <c r="L22" s="411"/>
      <c r="M22" s="412"/>
      <c r="N22" s="412"/>
      <c r="O22" s="412"/>
      <c r="P22" s="412"/>
      <c r="Q22" s="413"/>
      <c r="R22" s="412"/>
      <c r="S22" s="412"/>
      <c r="T22" s="412"/>
      <c r="U22" s="413"/>
      <c r="V22" s="413"/>
      <c r="W22" s="413"/>
      <c r="X22" s="413"/>
      <c r="Y22" s="413"/>
      <c r="Z22" s="413"/>
      <c r="AA22" s="413"/>
      <c r="AB22" s="413"/>
      <c r="AC22" s="413"/>
      <c r="AD22" s="414"/>
      <c r="AE22" s="415"/>
      <c r="AF22" s="410"/>
      <c r="AG22" s="410"/>
      <c r="AH22" s="410"/>
      <c r="AI22" s="410"/>
      <c r="AJ22" s="410"/>
      <c r="AK22" s="416"/>
      <c r="AL22" s="416"/>
      <c r="AM22" s="416"/>
      <c r="AN22" s="416"/>
      <c r="AO22" s="413"/>
      <c r="AP22" s="413"/>
      <c r="AQ22" s="410"/>
      <c r="AR22" s="410"/>
      <c r="AS22" s="410"/>
      <c r="AT22" s="412"/>
      <c r="AU22" s="412"/>
      <c r="AV22" s="412"/>
      <c r="AW22" s="412"/>
      <c r="AX22" s="412"/>
      <c r="AY22" s="417"/>
      <c r="AZ22" s="417"/>
      <c r="BA22" s="417"/>
      <c r="BB22" s="418"/>
    </row>
    <row r="23" ht="21.0" customHeight="1">
      <c r="A23" s="362"/>
      <c r="B23" s="362"/>
      <c r="C23" s="362"/>
      <c r="D23" s="362"/>
      <c r="E23" s="362"/>
      <c r="F23" s="362"/>
      <c r="G23" s="362"/>
      <c r="H23" s="362"/>
      <c r="I23" s="362"/>
      <c r="J23" s="387"/>
      <c r="K23" s="410"/>
      <c r="L23" s="411"/>
      <c r="M23" s="412"/>
      <c r="N23" s="412"/>
      <c r="O23" s="412"/>
      <c r="P23" s="412"/>
      <c r="Q23" s="412"/>
      <c r="R23" s="412"/>
      <c r="S23" s="412"/>
      <c r="T23" s="412"/>
      <c r="U23" s="412"/>
      <c r="V23" s="413"/>
      <c r="W23" s="412"/>
      <c r="X23" s="412"/>
      <c r="Y23" s="412"/>
      <c r="Z23" s="412"/>
      <c r="AA23" s="412"/>
      <c r="AB23" s="412"/>
      <c r="AC23" s="412"/>
      <c r="AD23" s="416"/>
      <c r="AE23" s="416"/>
      <c r="AF23" s="412"/>
      <c r="AG23" s="412"/>
      <c r="AH23" s="410"/>
      <c r="AI23" s="410"/>
      <c r="AJ23" s="410"/>
      <c r="AK23" s="416"/>
      <c r="AL23" s="416"/>
      <c r="AM23" s="416"/>
      <c r="AN23" s="416"/>
      <c r="AO23" s="412"/>
      <c r="AP23" s="412"/>
      <c r="AQ23" s="410"/>
      <c r="AR23" s="410"/>
      <c r="AS23" s="412"/>
      <c r="AT23" s="412"/>
      <c r="AU23" s="412"/>
      <c r="AV23" s="412"/>
      <c r="AW23" s="412"/>
      <c r="AX23" s="412"/>
      <c r="AY23" s="417"/>
      <c r="AZ23" s="417"/>
      <c r="BA23" s="417"/>
      <c r="BB23" s="418"/>
    </row>
    <row r="24" ht="21.0" customHeight="1">
      <c r="A24" s="362"/>
      <c r="B24" s="362"/>
      <c r="C24" s="362"/>
      <c r="D24" s="362"/>
      <c r="E24" s="362"/>
      <c r="F24" s="362"/>
      <c r="G24" s="362"/>
      <c r="H24" s="362"/>
      <c r="I24" s="362"/>
      <c r="J24" s="387"/>
      <c r="K24" s="410"/>
      <c r="L24" s="411"/>
      <c r="M24" s="412"/>
      <c r="N24" s="412"/>
      <c r="O24" s="412"/>
      <c r="P24" s="412"/>
      <c r="Q24" s="412"/>
      <c r="R24" s="412"/>
      <c r="S24" s="412"/>
      <c r="T24" s="412"/>
      <c r="U24" s="412"/>
      <c r="V24" s="413"/>
      <c r="W24" s="412"/>
      <c r="X24" s="412"/>
      <c r="Y24" s="412"/>
      <c r="Z24" s="412"/>
      <c r="AA24" s="412"/>
      <c r="AB24" s="412"/>
      <c r="AC24" s="412"/>
      <c r="AD24" s="416"/>
      <c r="AE24" s="416"/>
      <c r="AF24" s="412"/>
      <c r="AG24" s="412"/>
      <c r="AH24" s="410"/>
      <c r="AI24" s="410"/>
      <c r="AJ24" s="410"/>
      <c r="AK24" s="416"/>
      <c r="AL24" s="416"/>
      <c r="AM24" s="416"/>
      <c r="AN24" s="416"/>
      <c r="AO24" s="412"/>
      <c r="AP24" s="412"/>
      <c r="AQ24" s="410"/>
      <c r="AR24" s="410"/>
      <c r="AS24" s="412"/>
      <c r="AT24" s="412"/>
      <c r="AU24" s="412"/>
      <c r="AV24" s="412"/>
      <c r="AW24" s="412"/>
      <c r="AX24" s="412"/>
      <c r="AY24" s="417"/>
      <c r="AZ24" s="417"/>
      <c r="BA24" s="417"/>
      <c r="BB24" s="418"/>
    </row>
    <row r="25" ht="21.0" customHeight="1">
      <c r="A25" s="362"/>
      <c r="B25" s="362"/>
      <c r="C25" s="362"/>
      <c r="D25" s="362"/>
      <c r="E25" s="362"/>
      <c r="F25" s="362"/>
      <c r="G25" s="362"/>
      <c r="H25" s="362"/>
      <c r="I25" s="362"/>
      <c r="J25" s="387"/>
      <c r="K25" s="410"/>
      <c r="L25" s="411"/>
      <c r="M25" s="412"/>
      <c r="N25" s="412"/>
      <c r="O25" s="412"/>
      <c r="P25" s="412"/>
      <c r="Q25" s="412"/>
      <c r="R25" s="412"/>
      <c r="S25" s="412"/>
      <c r="T25" s="412"/>
      <c r="U25" s="412"/>
      <c r="V25" s="413"/>
      <c r="W25" s="412"/>
      <c r="X25" s="412"/>
      <c r="Y25" s="412"/>
      <c r="Z25" s="412"/>
      <c r="AA25" s="412"/>
      <c r="AB25" s="412"/>
      <c r="AC25" s="412"/>
      <c r="AD25" s="416"/>
      <c r="AE25" s="416"/>
      <c r="AF25" s="412"/>
      <c r="AG25" s="412"/>
      <c r="AH25" s="410"/>
      <c r="AI25" s="410"/>
      <c r="AJ25" s="410"/>
      <c r="AK25" s="416"/>
      <c r="AL25" s="416"/>
      <c r="AM25" s="416"/>
      <c r="AN25" s="416"/>
      <c r="AO25" s="412"/>
      <c r="AP25" s="412"/>
      <c r="AQ25" s="410"/>
      <c r="AR25" s="410"/>
      <c r="AS25" s="412"/>
      <c r="AT25" s="412"/>
      <c r="AU25" s="412"/>
      <c r="AV25" s="412"/>
      <c r="AW25" s="412"/>
      <c r="AX25" s="412"/>
      <c r="AY25" s="417"/>
      <c r="AZ25" s="417"/>
      <c r="BA25" s="417"/>
      <c r="BB25" s="418"/>
    </row>
    <row r="26" ht="21.0" customHeight="1">
      <c r="A26" s="362"/>
      <c r="B26" s="362"/>
      <c r="C26" s="362"/>
      <c r="D26" s="362"/>
      <c r="E26" s="362"/>
      <c r="F26" s="362"/>
      <c r="G26" s="362"/>
      <c r="H26" s="362"/>
      <c r="I26" s="362"/>
      <c r="J26" s="387"/>
      <c r="K26" s="410"/>
      <c r="L26" s="411"/>
      <c r="M26" s="412"/>
      <c r="N26" s="412"/>
      <c r="O26" s="412"/>
      <c r="P26" s="412"/>
      <c r="Q26" s="412"/>
      <c r="R26" s="412"/>
      <c r="S26" s="412"/>
      <c r="T26" s="412"/>
      <c r="U26" s="412"/>
      <c r="V26" s="413"/>
      <c r="W26" s="412"/>
      <c r="X26" s="412"/>
      <c r="Y26" s="412"/>
      <c r="Z26" s="412"/>
      <c r="AA26" s="412"/>
      <c r="AB26" s="412"/>
      <c r="AC26" s="412"/>
      <c r="AD26" s="416"/>
      <c r="AE26" s="416"/>
      <c r="AF26" s="412"/>
      <c r="AG26" s="412"/>
      <c r="AH26" s="410"/>
      <c r="AI26" s="410"/>
      <c r="AJ26" s="410"/>
      <c r="AK26" s="416"/>
      <c r="AL26" s="416"/>
      <c r="AM26" s="416"/>
      <c r="AN26" s="416"/>
      <c r="AO26" s="412"/>
      <c r="AP26" s="412"/>
      <c r="AQ26" s="410"/>
      <c r="AR26" s="410"/>
      <c r="AS26" s="412"/>
      <c r="AT26" s="412"/>
      <c r="AU26" s="412"/>
      <c r="AV26" s="412"/>
      <c r="AW26" s="412"/>
      <c r="AX26" s="412"/>
      <c r="AY26" s="417"/>
      <c r="AZ26" s="417"/>
      <c r="BA26" s="417"/>
      <c r="BB26" s="418"/>
    </row>
    <row r="27" ht="21.0" customHeight="1">
      <c r="A27" s="362"/>
      <c r="B27" s="362"/>
      <c r="C27" s="362"/>
      <c r="D27" s="362"/>
      <c r="E27" s="362"/>
      <c r="F27" s="362"/>
      <c r="G27" s="362"/>
      <c r="H27" s="362"/>
      <c r="I27" s="362"/>
      <c r="J27" s="387"/>
      <c r="K27" s="410"/>
      <c r="L27" s="411"/>
      <c r="M27" s="412"/>
      <c r="N27" s="412"/>
      <c r="O27" s="412"/>
      <c r="P27" s="412"/>
      <c r="Q27" s="412"/>
      <c r="R27" s="412"/>
      <c r="S27" s="412"/>
      <c r="T27" s="412"/>
      <c r="U27" s="412"/>
      <c r="V27" s="413"/>
      <c r="W27" s="412"/>
      <c r="X27" s="412"/>
      <c r="Y27" s="412"/>
      <c r="Z27" s="412"/>
      <c r="AA27" s="412"/>
      <c r="AB27" s="412"/>
      <c r="AC27" s="412"/>
      <c r="AD27" s="416"/>
      <c r="AE27" s="416"/>
      <c r="AF27" s="412"/>
      <c r="AG27" s="412"/>
      <c r="AH27" s="410"/>
      <c r="AI27" s="410"/>
      <c r="AJ27" s="410"/>
      <c r="AK27" s="416"/>
      <c r="AL27" s="416"/>
      <c r="AM27" s="416"/>
      <c r="AN27" s="416"/>
      <c r="AO27" s="412"/>
      <c r="AP27" s="412"/>
      <c r="AQ27" s="410"/>
      <c r="AR27" s="410"/>
      <c r="AS27" s="412"/>
      <c r="AT27" s="412"/>
      <c r="AU27" s="412"/>
      <c r="AV27" s="412"/>
      <c r="AW27" s="412"/>
      <c r="AX27" s="412"/>
      <c r="AY27" s="417"/>
      <c r="AZ27" s="417"/>
      <c r="BA27" s="417"/>
      <c r="BB27" s="418"/>
    </row>
    <row r="28" ht="21.0" customHeight="1">
      <c r="A28" s="362"/>
      <c r="B28" s="362"/>
      <c r="C28" s="362"/>
      <c r="D28" s="362"/>
      <c r="E28" s="362"/>
      <c r="F28" s="362"/>
      <c r="G28" s="362"/>
      <c r="H28" s="362"/>
      <c r="I28" s="362"/>
      <c r="J28" s="387"/>
      <c r="K28" s="410"/>
      <c r="L28" s="411"/>
      <c r="M28" s="412"/>
      <c r="N28" s="412"/>
      <c r="O28" s="412"/>
      <c r="P28" s="412"/>
      <c r="Q28" s="412"/>
      <c r="R28" s="412"/>
      <c r="S28" s="412"/>
      <c r="T28" s="412"/>
      <c r="U28" s="412"/>
      <c r="V28" s="413"/>
      <c r="W28" s="412"/>
      <c r="X28" s="412"/>
      <c r="Y28" s="412"/>
      <c r="Z28" s="412"/>
      <c r="AA28" s="412"/>
      <c r="AB28" s="412"/>
      <c r="AC28" s="412"/>
      <c r="AD28" s="416"/>
      <c r="AE28" s="416"/>
      <c r="AF28" s="412"/>
      <c r="AG28" s="412"/>
      <c r="AH28" s="410"/>
      <c r="AI28" s="410"/>
      <c r="AJ28" s="410"/>
      <c r="AK28" s="416"/>
      <c r="AL28" s="416"/>
      <c r="AM28" s="416"/>
      <c r="AN28" s="416"/>
      <c r="AO28" s="412"/>
      <c r="AP28" s="412"/>
      <c r="AQ28" s="410"/>
      <c r="AR28" s="410"/>
      <c r="AS28" s="412"/>
      <c r="AT28" s="412"/>
      <c r="AU28" s="412"/>
      <c r="AV28" s="412"/>
      <c r="AW28" s="412"/>
      <c r="AX28" s="412"/>
      <c r="AY28" s="417"/>
      <c r="AZ28" s="417"/>
      <c r="BA28" s="417"/>
      <c r="BB28" s="418"/>
    </row>
    <row r="29" ht="21.0" customHeight="1">
      <c r="A29" s="362"/>
      <c r="B29" s="362"/>
      <c r="C29" s="362"/>
      <c r="D29" s="362"/>
      <c r="E29" s="362"/>
      <c r="F29" s="362"/>
      <c r="G29" s="362"/>
      <c r="H29" s="362"/>
      <c r="I29" s="362"/>
      <c r="J29" s="387"/>
      <c r="K29" s="410"/>
      <c r="L29" s="411"/>
      <c r="M29" s="412"/>
      <c r="N29" s="412"/>
      <c r="O29" s="412"/>
      <c r="P29" s="412"/>
      <c r="Q29" s="412"/>
      <c r="R29" s="412"/>
      <c r="S29" s="412"/>
      <c r="T29" s="412"/>
      <c r="U29" s="412"/>
      <c r="V29" s="413"/>
      <c r="W29" s="412"/>
      <c r="X29" s="412"/>
      <c r="Y29" s="412"/>
      <c r="Z29" s="412"/>
      <c r="AA29" s="412"/>
      <c r="AB29" s="412"/>
      <c r="AC29" s="412"/>
      <c r="AD29" s="416"/>
      <c r="AE29" s="416"/>
      <c r="AF29" s="412"/>
      <c r="AG29" s="412"/>
      <c r="AH29" s="410"/>
      <c r="AI29" s="410"/>
      <c r="AJ29" s="410"/>
      <c r="AK29" s="416"/>
      <c r="AL29" s="416"/>
      <c r="AM29" s="416"/>
      <c r="AN29" s="416"/>
      <c r="AO29" s="412"/>
      <c r="AP29" s="412"/>
      <c r="AQ29" s="410"/>
      <c r="AR29" s="410"/>
      <c r="AS29" s="412"/>
      <c r="AT29" s="412"/>
      <c r="AU29" s="412"/>
      <c r="AV29" s="412"/>
      <c r="AW29" s="412"/>
      <c r="AX29" s="412"/>
      <c r="AY29" s="417"/>
      <c r="AZ29" s="417"/>
      <c r="BA29" s="417"/>
      <c r="BB29" s="418"/>
    </row>
    <row r="30" ht="21.0" customHeight="1">
      <c r="A30" s="362"/>
      <c r="B30" s="362"/>
      <c r="C30" s="362"/>
      <c r="D30" s="362"/>
      <c r="E30" s="362"/>
      <c r="F30" s="362"/>
      <c r="G30" s="362"/>
      <c r="H30" s="362"/>
      <c r="I30" s="362"/>
      <c r="J30" s="387"/>
      <c r="K30" s="410"/>
      <c r="L30" s="411"/>
      <c r="M30" s="412"/>
      <c r="N30" s="412"/>
      <c r="O30" s="412"/>
      <c r="P30" s="412"/>
      <c r="Q30" s="412"/>
      <c r="R30" s="412"/>
      <c r="S30" s="412"/>
      <c r="T30" s="412"/>
      <c r="U30" s="412"/>
      <c r="V30" s="413"/>
      <c r="W30" s="412"/>
      <c r="X30" s="412"/>
      <c r="Y30" s="412"/>
      <c r="Z30" s="412"/>
      <c r="AA30" s="412"/>
      <c r="AB30" s="412"/>
      <c r="AC30" s="412"/>
      <c r="AD30" s="416"/>
      <c r="AE30" s="416"/>
      <c r="AF30" s="412"/>
      <c r="AG30" s="412"/>
      <c r="AH30" s="410"/>
      <c r="AI30" s="410"/>
      <c r="AJ30" s="410"/>
      <c r="AK30" s="416"/>
      <c r="AL30" s="416"/>
      <c r="AM30" s="416"/>
      <c r="AN30" s="416"/>
      <c r="AO30" s="412"/>
      <c r="AP30" s="412"/>
      <c r="AQ30" s="410"/>
      <c r="AR30" s="410"/>
      <c r="AS30" s="412"/>
      <c r="AT30" s="412"/>
      <c r="AU30" s="412"/>
      <c r="AV30" s="412"/>
      <c r="AW30" s="412"/>
      <c r="AX30" s="412"/>
      <c r="AY30" s="417"/>
      <c r="AZ30" s="417"/>
      <c r="BA30" s="417"/>
      <c r="BB30" s="418"/>
    </row>
    <row r="31" ht="21.0" customHeight="1">
      <c r="A31" s="362"/>
      <c r="B31" s="362"/>
      <c r="C31" s="362"/>
      <c r="D31" s="362"/>
      <c r="E31" s="362"/>
      <c r="F31" s="362"/>
      <c r="G31" s="362"/>
      <c r="H31" s="362"/>
      <c r="I31" s="362"/>
      <c r="J31" s="387"/>
      <c r="K31" s="410"/>
      <c r="L31" s="411"/>
      <c r="M31" s="412"/>
      <c r="N31" s="412"/>
      <c r="O31" s="412"/>
      <c r="P31" s="412"/>
      <c r="Q31" s="412"/>
      <c r="R31" s="412"/>
      <c r="S31" s="412"/>
      <c r="T31" s="412"/>
      <c r="U31" s="412"/>
      <c r="V31" s="413"/>
      <c r="W31" s="412"/>
      <c r="X31" s="412"/>
      <c r="Y31" s="412"/>
      <c r="Z31" s="412"/>
      <c r="AA31" s="412"/>
      <c r="AB31" s="412"/>
      <c r="AC31" s="412"/>
      <c r="AD31" s="416"/>
      <c r="AE31" s="416"/>
      <c r="AF31" s="412"/>
      <c r="AG31" s="412"/>
      <c r="AH31" s="410"/>
      <c r="AI31" s="410"/>
      <c r="AJ31" s="410"/>
      <c r="AK31" s="416"/>
      <c r="AL31" s="416"/>
      <c r="AM31" s="416"/>
      <c r="AN31" s="416"/>
      <c r="AO31" s="412"/>
      <c r="AP31" s="412"/>
      <c r="AQ31" s="410"/>
      <c r="AR31" s="410"/>
      <c r="AS31" s="412"/>
      <c r="AT31" s="412"/>
      <c r="AU31" s="412"/>
      <c r="AV31" s="412"/>
      <c r="AW31" s="412"/>
      <c r="AX31" s="412"/>
      <c r="AY31" s="417"/>
      <c r="AZ31" s="417"/>
      <c r="BA31" s="417"/>
      <c r="BB31" s="418"/>
    </row>
    <row r="32" ht="21.0" customHeight="1">
      <c r="A32" s="362"/>
      <c r="B32" s="362"/>
      <c r="C32" s="362"/>
      <c r="D32" s="362"/>
      <c r="E32" s="362"/>
      <c r="F32" s="362"/>
      <c r="G32" s="362"/>
      <c r="H32" s="362"/>
      <c r="I32" s="362"/>
      <c r="J32" s="387"/>
      <c r="K32" s="410"/>
      <c r="L32" s="411"/>
      <c r="M32" s="412"/>
      <c r="N32" s="412"/>
      <c r="O32" s="412"/>
      <c r="P32" s="412"/>
      <c r="Q32" s="412"/>
      <c r="R32" s="412"/>
      <c r="S32" s="412"/>
      <c r="T32" s="412"/>
      <c r="U32" s="412"/>
      <c r="V32" s="413"/>
      <c r="W32" s="412"/>
      <c r="X32" s="412"/>
      <c r="Y32" s="412"/>
      <c r="Z32" s="412"/>
      <c r="AA32" s="412"/>
      <c r="AB32" s="412"/>
      <c r="AC32" s="412"/>
      <c r="AD32" s="416"/>
      <c r="AE32" s="416"/>
      <c r="AF32" s="412"/>
      <c r="AG32" s="412"/>
      <c r="AH32" s="410"/>
      <c r="AI32" s="410"/>
      <c r="AJ32" s="410"/>
      <c r="AK32" s="416"/>
      <c r="AL32" s="416"/>
      <c r="AM32" s="416"/>
      <c r="AN32" s="416"/>
      <c r="AO32" s="412"/>
      <c r="AP32" s="412"/>
      <c r="AQ32" s="410"/>
      <c r="AR32" s="410"/>
      <c r="AS32" s="412"/>
      <c r="AT32" s="412"/>
      <c r="AU32" s="412"/>
      <c r="AV32" s="412"/>
      <c r="AW32" s="412"/>
      <c r="AX32" s="412"/>
      <c r="AY32" s="417"/>
      <c r="AZ32" s="417"/>
      <c r="BA32" s="417"/>
      <c r="BB32" s="418"/>
    </row>
    <row r="33" ht="21.0" customHeight="1">
      <c r="A33" s="362"/>
      <c r="B33" s="362"/>
      <c r="C33" s="362"/>
      <c r="D33" s="362"/>
      <c r="E33" s="362"/>
      <c r="F33" s="362"/>
      <c r="G33" s="362"/>
      <c r="H33" s="362"/>
      <c r="I33" s="362"/>
      <c r="J33" s="387"/>
      <c r="K33" s="410"/>
      <c r="L33" s="411"/>
      <c r="M33" s="412"/>
      <c r="N33" s="412"/>
      <c r="O33" s="412"/>
      <c r="P33" s="412"/>
      <c r="Q33" s="412"/>
      <c r="R33" s="412"/>
      <c r="S33" s="412"/>
      <c r="T33" s="412"/>
      <c r="U33" s="412"/>
      <c r="V33" s="413"/>
      <c r="W33" s="412"/>
      <c r="X33" s="412"/>
      <c r="Y33" s="412"/>
      <c r="Z33" s="412"/>
      <c r="AA33" s="412"/>
      <c r="AB33" s="412"/>
      <c r="AC33" s="412"/>
      <c r="AD33" s="416"/>
      <c r="AE33" s="416"/>
      <c r="AF33" s="412"/>
      <c r="AG33" s="412"/>
      <c r="AH33" s="410"/>
      <c r="AI33" s="410"/>
      <c r="AJ33" s="410"/>
      <c r="AK33" s="416"/>
      <c r="AL33" s="416"/>
      <c r="AM33" s="416"/>
      <c r="AN33" s="416"/>
      <c r="AO33" s="412"/>
      <c r="AP33" s="412"/>
      <c r="AQ33" s="410"/>
      <c r="AR33" s="410"/>
      <c r="AS33" s="412"/>
      <c r="AT33" s="412"/>
      <c r="AU33" s="412"/>
      <c r="AV33" s="412"/>
      <c r="AW33" s="412"/>
      <c r="AX33" s="412"/>
      <c r="AY33" s="417"/>
      <c r="AZ33" s="417"/>
      <c r="BA33" s="417"/>
      <c r="BB33" s="418"/>
    </row>
    <row r="34" ht="21.0" customHeight="1">
      <c r="A34" s="362"/>
      <c r="B34" s="362"/>
      <c r="C34" s="362"/>
      <c r="D34" s="362"/>
      <c r="E34" s="362"/>
      <c r="F34" s="362"/>
      <c r="G34" s="362"/>
      <c r="H34" s="362"/>
      <c r="I34" s="362"/>
      <c r="J34" s="387"/>
      <c r="K34" s="410"/>
      <c r="L34" s="411"/>
      <c r="M34" s="412"/>
      <c r="N34" s="412"/>
      <c r="O34" s="412"/>
      <c r="P34" s="412"/>
      <c r="Q34" s="412"/>
      <c r="R34" s="412"/>
      <c r="S34" s="412"/>
      <c r="T34" s="412"/>
      <c r="U34" s="412"/>
      <c r="V34" s="413"/>
      <c r="W34" s="412"/>
      <c r="X34" s="412"/>
      <c r="Y34" s="412"/>
      <c r="Z34" s="412"/>
      <c r="AA34" s="412"/>
      <c r="AB34" s="412"/>
      <c r="AC34" s="412"/>
      <c r="AD34" s="416"/>
      <c r="AE34" s="416"/>
      <c r="AF34" s="412"/>
      <c r="AG34" s="412"/>
      <c r="AH34" s="410"/>
      <c r="AI34" s="410"/>
      <c r="AJ34" s="410"/>
      <c r="AK34" s="416"/>
      <c r="AL34" s="416"/>
      <c r="AM34" s="416"/>
      <c r="AN34" s="416"/>
      <c r="AO34" s="412"/>
      <c r="AP34" s="412"/>
      <c r="AQ34" s="410"/>
      <c r="AR34" s="410"/>
      <c r="AS34" s="412"/>
      <c r="AT34" s="412"/>
      <c r="AU34" s="412"/>
      <c r="AV34" s="412"/>
      <c r="AW34" s="412"/>
      <c r="AX34" s="412"/>
      <c r="AY34" s="417"/>
      <c r="AZ34" s="417"/>
      <c r="BA34" s="417"/>
      <c r="BB34" s="418"/>
    </row>
    <row r="35" ht="21.0" customHeight="1">
      <c r="A35" s="362"/>
      <c r="B35" s="362"/>
      <c r="C35" s="362"/>
      <c r="D35" s="362"/>
      <c r="E35" s="362"/>
      <c r="F35" s="362"/>
      <c r="G35" s="362"/>
      <c r="H35" s="362"/>
      <c r="I35" s="362"/>
      <c r="J35" s="387"/>
      <c r="K35" s="410"/>
      <c r="L35" s="411"/>
      <c r="M35" s="412"/>
      <c r="N35" s="412"/>
      <c r="O35" s="412"/>
      <c r="P35" s="412"/>
      <c r="Q35" s="412"/>
      <c r="R35" s="412"/>
      <c r="S35" s="412"/>
      <c r="T35" s="412"/>
      <c r="U35" s="412"/>
      <c r="V35" s="413"/>
      <c r="W35" s="412"/>
      <c r="X35" s="412"/>
      <c r="Y35" s="412"/>
      <c r="Z35" s="412"/>
      <c r="AA35" s="412"/>
      <c r="AB35" s="412"/>
      <c r="AC35" s="412"/>
      <c r="AD35" s="416"/>
      <c r="AE35" s="416"/>
      <c r="AF35" s="412"/>
      <c r="AG35" s="412"/>
      <c r="AH35" s="410"/>
      <c r="AI35" s="410"/>
      <c r="AJ35" s="410"/>
      <c r="AK35" s="416"/>
      <c r="AL35" s="416"/>
      <c r="AM35" s="416"/>
      <c r="AN35" s="416"/>
      <c r="AO35" s="412"/>
      <c r="AP35" s="412"/>
      <c r="AQ35" s="410"/>
      <c r="AR35" s="410"/>
      <c r="AS35" s="412"/>
      <c r="AT35" s="412"/>
      <c r="AU35" s="412"/>
      <c r="AV35" s="412"/>
      <c r="AW35" s="412"/>
      <c r="AX35" s="412"/>
      <c r="AY35" s="417"/>
      <c r="AZ35" s="417"/>
      <c r="BA35" s="417"/>
      <c r="BB35" s="418"/>
    </row>
    <row r="36" ht="21.0" customHeight="1">
      <c r="A36" s="362"/>
      <c r="B36" s="362"/>
      <c r="C36" s="362"/>
      <c r="D36" s="362"/>
      <c r="E36" s="362"/>
      <c r="F36" s="362"/>
      <c r="G36" s="362"/>
      <c r="H36" s="362"/>
      <c r="I36" s="362"/>
      <c r="J36" s="387"/>
      <c r="K36" s="419"/>
      <c r="L36" s="420"/>
      <c r="M36" s="421"/>
      <c r="N36" s="421"/>
      <c r="O36" s="421"/>
      <c r="P36" s="421"/>
      <c r="Q36" s="421"/>
      <c r="R36" s="421"/>
      <c r="S36" s="421"/>
      <c r="T36" s="421"/>
      <c r="U36" s="421"/>
      <c r="V36" s="422"/>
      <c r="W36" s="421"/>
      <c r="X36" s="421"/>
      <c r="Y36" s="421"/>
      <c r="Z36" s="421"/>
      <c r="AA36" s="421"/>
      <c r="AB36" s="421"/>
      <c r="AC36" s="421"/>
      <c r="AD36" s="424"/>
      <c r="AE36" s="424"/>
      <c r="AF36" s="412"/>
      <c r="AG36" s="412"/>
      <c r="AH36" s="410"/>
      <c r="AI36" s="419"/>
      <c r="AJ36" s="419"/>
      <c r="AK36" s="424"/>
      <c r="AL36" s="424"/>
      <c r="AM36" s="424"/>
      <c r="AN36" s="424"/>
      <c r="AO36" s="421"/>
      <c r="AP36" s="421"/>
      <c r="AQ36" s="410"/>
      <c r="AR36" s="410"/>
      <c r="AS36" s="412"/>
      <c r="AT36" s="421"/>
      <c r="AU36" s="412"/>
      <c r="AV36" s="421"/>
      <c r="AW36" s="421"/>
      <c r="AX36" s="421"/>
      <c r="AY36" s="427"/>
      <c r="AZ36" s="427"/>
      <c r="BA36" s="427"/>
      <c r="BB36" s="362"/>
    </row>
    <row r="37" ht="21.0" customHeight="1">
      <c r="A37" s="362"/>
      <c r="B37" s="362"/>
      <c r="C37" s="362"/>
      <c r="D37" s="362"/>
      <c r="E37" s="362"/>
      <c r="F37" s="362"/>
      <c r="G37" s="362"/>
      <c r="H37" s="362"/>
      <c r="I37" s="362"/>
      <c r="J37" s="387"/>
      <c r="K37" s="419"/>
      <c r="L37" s="420"/>
      <c r="M37" s="421"/>
      <c r="N37" s="421"/>
      <c r="O37" s="421"/>
      <c r="P37" s="421"/>
      <c r="Q37" s="421"/>
      <c r="R37" s="421"/>
      <c r="S37" s="421"/>
      <c r="T37" s="421"/>
      <c r="U37" s="421"/>
      <c r="V37" s="422"/>
      <c r="W37" s="421"/>
      <c r="X37" s="421"/>
      <c r="Y37" s="421"/>
      <c r="Z37" s="421"/>
      <c r="AA37" s="421"/>
      <c r="AB37" s="421"/>
      <c r="AC37" s="421"/>
      <c r="AD37" s="424"/>
      <c r="AE37" s="424"/>
      <c r="AF37" s="412"/>
      <c r="AG37" s="412"/>
      <c r="AH37" s="410"/>
      <c r="AI37" s="419"/>
      <c r="AJ37" s="419"/>
      <c r="AK37" s="424"/>
      <c r="AL37" s="424"/>
      <c r="AM37" s="424"/>
      <c r="AN37" s="424"/>
      <c r="AO37" s="421"/>
      <c r="AP37" s="421"/>
      <c r="AQ37" s="410"/>
      <c r="AR37" s="410"/>
      <c r="AS37" s="412"/>
      <c r="AT37" s="421"/>
      <c r="AU37" s="412"/>
      <c r="AV37" s="421"/>
      <c r="AW37" s="421"/>
      <c r="AX37" s="421"/>
      <c r="AY37" s="427"/>
      <c r="AZ37" s="427"/>
      <c r="BA37" s="427"/>
      <c r="BB37" s="362"/>
    </row>
    <row r="38" ht="21.0" customHeight="1">
      <c r="A38" s="362"/>
      <c r="B38" s="362"/>
      <c r="C38" s="362"/>
      <c r="D38" s="362"/>
      <c r="E38" s="362"/>
      <c r="F38" s="362"/>
      <c r="G38" s="362"/>
      <c r="H38" s="362"/>
      <c r="I38" s="362"/>
      <c r="J38" s="387"/>
      <c r="K38" s="419"/>
      <c r="L38" s="420"/>
      <c r="M38" s="421"/>
      <c r="N38" s="421"/>
      <c r="O38" s="421"/>
      <c r="P38" s="421"/>
      <c r="Q38" s="421"/>
      <c r="R38" s="421"/>
      <c r="S38" s="421"/>
      <c r="T38" s="421"/>
      <c r="U38" s="421"/>
      <c r="V38" s="422"/>
      <c r="W38" s="421"/>
      <c r="X38" s="421"/>
      <c r="Y38" s="421"/>
      <c r="Z38" s="421"/>
      <c r="AA38" s="421"/>
      <c r="AB38" s="421"/>
      <c r="AC38" s="421"/>
      <c r="AD38" s="424"/>
      <c r="AE38" s="424"/>
      <c r="AF38" s="412"/>
      <c r="AG38" s="412"/>
      <c r="AH38" s="410"/>
      <c r="AI38" s="419"/>
      <c r="AJ38" s="419"/>
      <c r="AK38" s="424"/>
      <c r="AL38" s="424"/>
      <c r="AM38" s="424"/>
      <c r="AN38" s="424"/>
      <c r="AO38" s="421"/>
      <c r="AP38" s="421"/>
      <c r="AQ38" s="410"/>
      <c r="AR38" s="410"/>
      <c r="AS38" s="412"/>
      <c r="AT38" s="421"/>
      <c r="AU38" s="412"/>
      <c r="AV38" s="421"/>
      <c r="AW38" s="421"/>
      <c r="AX38" s="421"/>
      <c r="AY38" s="427"/>
      <c r="AZ38" s="427"/>
      <c r="BA38" s="427"/>
      <c r="BB38" s="362"/>
    </row>
    <row r="39" ht="21.0" customHeight="1">
      <c r="A39" s="362"/>
      <c r="B39" s="362"/>
      <c r="C39" s="362"/>
      <c r="D39" s="362"/>
      <c r="E39" s="362"/>
      <c r="F39" s="362"/>
      <c r="G39" s="362"/>
      <c r="H39" s="362"/>
      <c r="I39" s="362"/>
      <c r="J39" s="387"/>
      <c r="K39" s="419"/>
      <c r="L39" s="420"/>
      <c r="M39" s="421"/>
      <c r="N39" s="421"/>
      <c r="O39" s="421"/>
      <c r="P39" s="421"/>
      <c r="Q39" s="421"/>
      <c r="R39" s="421"/>
      <c r="S39" s="421"/>
      <c r="T39" s="421"/>
      <c r="U39" s="421"/>
      <c r="V39" s="422"/>
      <c r="W39" s="421"/>
      <c r="X39" s="421"/>
      <c r="Y39" s="421"/>
      <c r="Z39" s="421"/>
      <c r="AA39" s="421"/>
      <c r="AB39" s="421"/>
      <c r="AC39" s="421"/>
      <c r="AD39" s="424"/>
      <c r="AE39" s="424"/>
      <c r="AF39" s="412"/>
      <c r="AG39" s="412"/>
      <c r="AH39" s="410"/>
      <c r="AI39" s="419"/>
      <c r="AJ39" s="419"/>
      <c r="AK39" s="424"/>
      <c r="AL39" s="424"/>
      <c r="AM39" s="424"/>
      <c r="AN39" s="424"/>
      <c r="AO39" s="421"/>
      <c r="AP39" s="421"/>
      <c r="AQ39" s="410"/>
      <c r="AR39" s="410"/>
      <c r="AS39" s="412"/>
      <c r="AT39" s="421"/>
      <c r="AU39" s="412"/>
      <c r="AV39" s="421"/>
      <c r="AW39" s="421"/>
      <c r="AX39" s="421"/>
      <c r="AY39" s="427"/>
      <c r="AZ39" s="427"/>
      <c r="BA39" s="427"/>
      <c r="BB39" s="362"/>
    </row>
    <row r="40" ht="21.0" customHeight="1">
      <c r="A40" s="362"/>
      <c r="B40" s="362"/>
      <c r="C40" s="362"/>
      <c r="D40" s="362"/>
      <c r="E40" s="362"/>
      <c r="F40" s="362"/>
      <c r="G40" s="362"/>
      <c r="H40" s="362"/>
      <c r="I40" s="362"/>
      <c r="J40" s="387"/>
      <c r="K40" s="419"/>
      <c r="L40" s="420"/>
      <c r="M40" s="421"/>
      <c r="N40" s="421"/>
      <c r="O40" s="421"/>
      <c r="P40" s="421"/>
      <c r="Q40" s="421"/>
      <c r="R40" s="421"/>
      <c r="S40" s="421"/>
      <c r="T40" s="421"/>
      <c r="U40" s="421"/>
      <c r="V40" s="422"/>
      <c r="W40" s="421"/>
      <c r="X40" s="421"/>
      <c r="Y40" s="421"/>
      <c r="Z40" s="421"/>
      <c r="AA40" s="421"/>
      <c r="AB40" s="421"/>
      <c r="AC40" s="421"/>
      <c r="AD40" s="424"/>
      <c r="AE40" s="424"/>
      <c r="AF40" s="412"/>
      <c r="AG40" s="412"/>
      <c r="AH40" s="410"/>
      <c r="AI40" s="419"/>
      <c r="AJ40" s="419"/>
      <c r="AK40" s="424"/>
      <c r="AL40" s="424"/>
      <c r="AM40" s="424"/>
      <c r="AN40" s="424"/>
      <c r="AO40" s="421"/>
      <c r="AP40" s="421"/>
      <c r="AQ40" s="410"/>
      <c r="AR40" s="410"/>
      <c r="AS40" s="412"/>
      <c r="AT40" s="421"/>
      <c r="AU40" s="412"/>
      <c r="AV40" s="421"/>
      <c r="AW40" s="421"/>
      <c r="AX40" s="421"/>
      <c r="AY40" s="427"/>
      <c r="AZ40" s="427"/>
      <c r="BA40" s="427"/>
      <c r="BB40" s="362"/>
    </row>
    <row r="41" ht="21.0" customHeight="1">
      <c r="A41" s="362"/>
      <c r="B41" s="362"/>
      <c r="C41" s="362"/>
      <c r="D41" s="362"/>
      <c r="E41" s="362"/>
      <c r="F41" s="362"/>
      <c r="G41" s="362"/>
      <c r="H41" s="362"/>
      <c r="I41" s="362"/>
      <c r="J41" s="387"/>
      <c r="K41" s="431"/>
      <c r="L41" s="432"/>
      <c r="M41" s="434"/>
      <c r="N41" s="434"/>
      <c r="O41" s="421"/>
      <c r="P41" s="421"/>
      <c r="Q41" s="421"/>
      <c r="R41" s="421"/>
      <c r="S41" s="421"/>
      <c r="T41" s="421"/>
      <c r="U41" s="421"/>
      <c r="V41" s="422"/>
      <c r="W41" s="421"/>
      <c r="X41" s="421"/>
      <c r="Y41" s="421"/>
      <c r="Z41" s="421"/>
      <c r="AA41" s="421"/>
      <c r="AB41" s="421"/>
      <c r="AC41" s="421"/>
      <c r="AD41" s="424"/>
      <c r="AE41" s="424"/>
      <c r="AF41" s="412"/>
      <c r="AG41" s="412"/>
      <c r="AH41" s="410"/>
      <c r="AI41" s="419"/>
      <c r="AJ41" s="419"/>
      <c r="AK41" s="424"/>
      <c r="AL41" s="424"/>
      <c r="AM41" s="424"/>
      <c r="AN41" s="424"/>
      <c r="AO41" s="421"/>
      <c r="AP41" s="421"/>
      <c r="AQ41" s="410"/>
      <c r="AR41" s="410"/>
      <c r="AS41" s="412"/>
      <c r="AT41" s="421"/>
      <c r="AU41" s="412"/>
      <c r="AV41" s="421"/>
      <c r="AW41" s="421"/>
      <c r="AX41" s="421"/>
      <c r="AY41" s="427"/>
      <c r="AZ41" s="427"/>
      <c r="BA41" s="427"/>
      <c r="BB41" s="362"/>
    </row>
    <row r="42" ht="21.0" customHeight="1">
      <c r="A42" s="362"/>
      <c r="B42" s="362"/>
      <c r="C42" s="362"/>
      <c r="D42" s="362"/>
      <c r="E42" s="362"/>
      <c r="F42" s="362"/>
      <c r="G42" s="362"/>
      <c r="H42" s="362"/>
      <c r="I42" s="362"/>
      <c r="J42" s="387"/>
      <c r="K42" s="431"/>
      <c r="L42" s="432"/>
      <c r="M42" s="434"/>
      <c r="N42" s="434"/>
      <c r="O42" s="421"/>
      <c r="P42" s="421"/>
      <c r="Q42" s="421"/>
      <c r="R42" s="421"/>
      <c r="S42" s="421"/>
      <c r="T42" s="421"/>
      <c r="U42" s="421"/>
      <c r="V42" s="422"/>
      <c r="W42" s="421"/>
      <c r="X42" s="421"/>
      <c r="Y42" s="421"/>
      <c r="Z42" s="421"/>
      <c r="AA42" s="421"/>
      <c r="AB42" s="421"/>
      <c r="AC42" s="421"/>
      <c r="AD42" s="424"/>
      <c r="AE42" s="424"/>
      <c r="AF42" s="412"/>
      <c r="AG42" s="412"/>
      <c r="AH42" s="410"/>
      <c r="AI42" s="419"/>
      <c r="AJ42" s="419"/>
      <c r="AK42" s="424"/>
      <c r="AL42" s="424"/>
      <c r="AM42" s="424"/>
      <c r="AN42" s="424"/>
      <c r="AO42" s="421"/>
      <c r="AP42" s="421"/>
      <c r="AQ42" s="410"/>
      <c r="AR42" s="410"/>
      <c r="AS42" s="412"/>
      <c r="AT42" s="421"/>
      <c r="AU42" s="412"/>
      <c r="AV42" s="421"/>
      <c r="AW42" s="421"/>
      <c r="AX42" s="421"/>
      <c r="AY42" s="427"/>
      <c r="AZ42" s="427"/>
      <c r="BA42" s="427"/>
      <c r="BB42" s="362"/>
    </row>
    <row r="43" ht="21.0" customHeight="1">
      <c r="A43" s="362"/>
      <c r="B43" s="362"/>
      <c r="C43" s="362"/>
      <c r="D43" s="362"/>
      <c r="E43" s="362"/>
      <c r="F43" s="362"/>
      <c r="G43" s="362"/>
      <c r="H43" s="362"/>
      <c r="I43" s="362"/>
      <c r="J43" s="387"/>
      <c r="K43" s="431"/>
      <c r="L43" s="432"/>
      <c r="M43" s="434"/>
      <c r="N43" s="434"/>
      <c r="O43" s="421"/>
      <c r="P43" s="421"/>
      <c r="Q43" s="421"/>
      <c r="R43" s="421"/>
      <c r="S43" s="421"/>
      <c r="T43" s="421"/>
      <c r="U43" s="421"/>
      <c r="V43" s="422"/>
      <c r="W43" s="421"/>
      <c r="X43" s="421"/>
      <c r="Y43" s="421"/>
      <c r="Z43" s="421"/>
      <c r="AA43" s="421"/>
      <c r="AB43" s="421"/>
      <c r="AC43" s="421"/>
      <c r="AD43" s="424"/>
      <c r="AE43" s="424"/>
      <c r="AF43" s="412"/>
      <c r="AG43" s="412"/>
      <c r="AH43" s="410"/>
      <c r="AI43" s="419"/>
      <c r="AJ43" s="419"/>
      <c r="AK43" s="424"/>
      <c r="AL43" s="424"/>
      <c r="AM43" s="424"/>
      <c r="AN43" s="424"/>
      <c r="AO43" s="421"/>
      <c r="AP43" s="421"/>
      <c r="AQ43" s="410"/>
      <c r="AR43" s="410"/>
      <c r="AS43" s="412"/>
      <c r="AT43" s="421"/>
      <c r="AU43" s="412"/>
      <c r="AV43" s="421"/>
      <c r="AW43" s="421"/>
      <c r="AX43" s="421"/>
      <c r="AY43" s="427"/>
      <c r="AZ43" s="427"/>
      <c r="BA43" s="427"/>
      <c r="BB43" s="362"/>
    </row>
    <row r="44" ht="21.0" customHeight="1">
      <c r="A44" s="362"/>
      <c r="B44" s="362"/>
      <c r="C44" s="362"/>
      <c r="D44" s="362"/>
      <c r="E44" s="362"/>
      <c r="F44" s="362"/>
      <c r="G44" s="362"/>
      <c r="H44" s="362"/>
      <c r="I44" s="362"/>
      <c r="J44" s="387"/>
      <c r="K44" s="438"/>
      <c r="L44" s="440"/>
      <c r="M44" s="443"/>
      <c r="N44" s="443"/>
      <c r="O44" s="444"/>
      <c r="P44" s="444"/>
      <c r="Q44" s="444"/>
      <c r="R44" s="444"/>
      <c r="S44" s="444"/>
      <c r="T44" s="444"/>
      <c r="U44" s="444"/>
      <c r="V44" s="446"/>
      <c r="W44" s="444"/>
      <c r="X44" s="444"/>
      <c r="Y44" s="444"/>
      <c r="Z44" s="444"/>
      <c r="AA44" s="444"/>
      <c r="AB44" s="444"/>
      <c r="AC44" s="444"/>
      <c r="AD44" s="448"/>
      <c r="AE44" s="448"/>
      <c r="AF44" s="450"/>
      <c r="AG44" s="450"/>
      <c r="AH44" s="452"/>
      <c r="AI44" s="454"/>
      <c r="AJ44" s="454"/>
      <c r="AK44" s="448"/>
      <c r="AL44" s="448"/>
      <c r="AM44" s="448"/>
      <c r="AN44" s="448"/>
      <c r="AO44" s="444"/>
      <c r="AP44" s="444"/>
      <c r="AQ44" s="452"/>
      <c r="AR44" s="452"/>
      <c r="AS44" s="450"/>
      <c r="AT44" s="444"/>
      <c r="AU44" s="450"/>
      <c r="AV44" s="444"/>
      <c r="AW44" s="444"/>
      <c r="AX44" s="444"/>
      <c r="AY44" s="456"/>
      <c r="AZ44" s="456"/>
      <c r="BA44" s="456"/>
      <c r="BB44" s="362"/>
    </row>
    <row r="45" ht="21.0" customHeight="1">
      <c r="A45" s="362"/>
      <c r="B45" s="362"/>
      <c r="C45" s="362"/>
      <c r="D45" s="362"/>
      <c r="E45" s="362"/>
      <c r="F45" s="362"/>
      <c r="G45" s="362"/>
      <c r="H45" s="362"/>
      <c r="I45" s="362"/>
      <c r="J45" s="387"/>
      <c r="K45" s="431"/>
      <c r="L45" s="432"/>
      <c r="M45" s="434"/>
      <c r="N45" s="434"/>
      <c r="O45" s="421"/>
      <c r="P45" s="421"/>
      <c r="Q45" s="421"/>
      <c r="R45" s="421"/>
      <c r="S45" s="421"/>
      <c r="T45" s="421"/>
      <c r="U45" s="421"/>
      <c r="V45" s="422"/>
      <c r="W45" s="421"/>
      <c r="X45" s="421"/>
      <c r="Y45" s="421"/>
      <c r="Z45" s="421"/>
      <c r="AA45" s="421"/>
      <c r="AB45" s="421"/>
      <c r="AC45" s="421"/>
      <c r="AD45" s="424"/>
      <c r="AE45" s="424"/>
      <c r="AF45" s="412"/>
      <c r="AG45" s="412"/>
      <c r="AH45" s="410"/>
      <c r="AI45" s="419"/>
      <c r="AJ45" s="419"/>
      <c r="AK45" s="424"/>
      <c r="AL45" s="424"/>
      <c r="AM45" s="424"/>
      <c r="AN45" s="424"/>
      <c r="AO45" s="421"/>
      <c r="AP45" s="421"/>
      <c r="AQ45" s="410"/>
      <c r="AR45" s="410"/>
      <c r="AS45" s="412"/>
      <c r="AT45" s="421"/>
      <c r="AU45" s="412"/>
      <c r="AV45" s="421"/>
      <c r="AW45" s="421"/>
      <c r="AX45" s="421"/>
      <c r="AY45" s="427"/>
      <c r="AZ45" s="427"/>
      <c r="BA45" s="427"/>
      <c r="BB45" s="362"/>
    </row>
    <row r="46" ht="21.0" customHeight="1">
      <c r="A46" s="362"/>
      <c r="B46" s="362"/>
      <c r="C46" s="362"/>
      <c r="D46" s="362"/>
      <c r="E46" s="362"/>
      <c r="F46" s="362"/>
      <c r="G46" s="362"/>
      <c r="H46" s="362"/>
      <c r="I46" s="362"/>
      <c r="J46" s="387"/>
      <c r="K46" s="459"/>
      <c r="L46" s="460"/>
      <c r="M46" s="461"/>
      <c r="N46" s="461"/>
      <c r="O46" s="427"/>
      <c r="P46" s="427"/>
      <c r="Q46" s="427"/>
      <c r="R46" s="427"/>
      <c r="S46" s="427"/>
      <c r="T46" s="427"/>
      <c r="U46" s="427"/>
      <c r="V46" s="463"/>
      <c r="W46" s="427"/>
      <c r="X46" s="427"/>
      <c r="Y46" s="427"/>
      <c r="Z46" s="427"/>
      <c r="AA46" s="427"/>
      <c r="AB46" s="427"/>
      <c r="AC46" s="427"/>
      <c r="AD46" s="464"/>
      <c r="AE46" s="464"/>
      <c r="AF46" s="417"/>
      <c r="AG46" s="417"/>
      <c r="AH46" s="465"/>
      <c r="AI46" s="466"/>
      <c r="AJ46" s="466"/>
      <c r="AK46" s="464"/>
      <c r="AL46" s="464"/>
      <c r="AM46" s="464"/>
      <c r="AN46" s="464"/>
      <c r="AO46" s="427"/>
      <c r="AP46" s="427"/>
      <c r="AQ46" s="465"/>
      <c r="AR46" s="465"/>
      <c r="AS46" s="427"/>
      <c r="AT46" s="427"/>
      <c r="AU46" s="417"/>
      <c r="AV46" s="427"/>
      <c r="AW46" s="427"/>
      <c r="AX46" s="427"/>
      <c r="AY46" s="427"/>
      <c r="AZ46" s="427"/>
      <c r="BA46" s="427"/>
      <c r="BB46" s="362"/>
    </row>
    <row r="47" ht="21.0" customHeight="1">
      <c r="A47" s="362"/>
      <c r="B47" s="362"/>
      <c r="C47" s="362"/>
      <c r="D47" s="362"/>
      <c r="E47" s="362"/>
      <c r="F47" s="362"/>
      <c r="G47" s="362"/>
      <c r="H47" s="362"/>
      <c r="I47" s="362"/>
      <c r="J47" s="387"/>
      <c r="K47" s="459"/>
      <c r="L47" s="460"/>
      <c r="M47" s="461"/>
      <c r="N47" s="461"/>
      <c r="O47" s="427"/>
      <c r="P47" s="427"/>
      <c r="Q47" s="427"/>
      <c r="R47" s="427"/>
      <c r="S47" s="427"/>
      <c r="T47" s="427"/>
      <c r="U47" s="427"/>
      <c r="V47" s="463"/>
      <c r="W47" s="427"/>
      <c r="X47" s="427"/>
      <c r="Y47" s="427"/>
      <c r="Z47" s="427"/>
      <c r="AA47" s="427"/>
      <c r="AB47" s="427"/>
      <c r="AC47" s="427"/>
      <c r="AD47" s="464"/>
      <c r="AE47" s="464"/>
      <c r="AF47" s="417"/>
      <c r="AG47" s="417"/>
      <c r="AH47" s="465"/>
      <c r="AI47" s="466"/>
      <c r="AJ47" s="466"/>
      <c r="AK47" s="464"/>
      <c r="AL47" s="464"/>
      <c r="AM47" s="464"/>
      <c r="AN47" s="464"/>
      <c r="AO47" s="427"/>
      <c r="AP47" s="427"/>
      <c r="AQ47" s="465"/>
      <c r="AR47" s="465"/>
      <c r="AS47" s="427"/>
      <c r="AT47" s="427"/>
      <c r="AU47" s="417"/>
      <c r="AV47" s="427"/>
      <c r="AW47" s="427"/>
      <c r="AX47" s="427"/>
      <c r="AY47" s="427"/>
      <c r="AZ47" s="427"/>
      <c r="BA47" s="427"/>
      <c r="BB47" s="362"/>
    </row>
    <row r="48" ht="21.0" customHeight="1">
      <c r="A48" s="362"/>
      <c r="B48" s="362"/>
      <c r="C48" s="362"/>
      <c r="D48" s="362"/>
      <c r="E48" s="362"/>
      <c r="F48" s="362"/>
      <c r="G48" s="362"/>
      <c r="H48" s="362"/>
      <c r="I48" s="362"/>
      <c r="J48" s="387"/>
      <c r="K48" s="459"/>
      <c r="L48" s="460"/>
      <c r="M48" s="461"/>
      <c r="N48" s="461"/>
      <c r="O48" s="427"/>
      <c r="P48" s="427"/>
      <c r="Q48" s="427"/>
      <c r="R48" s="427"/>
      <c r="S48" s="427"/>
      <c r="T48" s="427"/>
      <c r="U48" s="427"/>
      <c r="V48" s="463"/>
      <c r="W48" s="427"/>
      <c r="X48" s="427"/>
      <c r="Y48" s="427"/>
      <c r="Z48" s="427"/>
      <c r="AA48" s="427"/>
      <c r="AB48" s="427"/>
      <c r="AC48" s="427"/>
      <c r="AD48" s="464"/>
      <c r="AE48" s="464"/>
      <c r="AF48" s="417"/>
      <c r="AG48" s="417"/>
      <c r="AH48" s="465"/>
      <c r="AI48" s="466"/>
      <c r="AJ48" s="466"/>
      <c r="AK48" s="464"/>
      <c r="AL48" s="464"/>
      <c r="AM48" s="464"/>
      <c r="AN48" s="464"/>
      <c r="AO48" s="427"/>
      <c r="AP48" s="427"/>
      <c r="AQ48" s="465"/>
      <c r="AR48" s="465"/>
      <c r="AS48" s="427"/>
      <c r="AT48" s="427"/>
      <c r="AU48" s="417"/>
      <c r="AV48" s="427"/>
      <c r="AW48" s="427"/>
      <c r="AX48" s="427"/>
      <c r="AY48" s="427"/>
      <c r="AZ48" s="427"/>
      <c r="BA48" s="427"/>
      <c r="BB48" s="362"/>
    </row>
    <row r="49" ht="21.0" customHeight="1">
      <c r="A49" s="362"/>
      <c r="B49" s="362"/>
      <c r="C49" s="362"/>
      <c r="D49" s="362"/>
      <c r="E49" s="362"/>
      <c r="F49" s="362"/>
      <c r="G49" s="362"/>
      <c r="H49" s="362"/>
      <c r="I49" s="362"/>
      <c r="J49" s="387"/>
      <c r="K49" s="459"/>
      <c r="L49" s="460"/>
      <c r="M49" s="461"/>
      <c r="N49" s="461"/>
      <c r="O49" s="427"/>
      <c r="P49" s="427"/>
      <c r="Q49" s="427"/>
      <c r="R49" s="427"/>
      <c r="S49" s="427"/>
      <c r="T49" s="427"/>
      <c r="U49" s="427"/>
      <c r="V49" s="463"/>
      <c r="W49" s="427"/>
      <c r="X49" s="427"/>
      <c r="Y49" s="427"/>
      <c r="Z49" s="427"/>
      <c r="AA49" s="427"/>
      <c r="AB49" s="427"/>
      <c r="AC49" s="427"/>
      <c r="AD49" s="464"/>
      <c r="AE49" s="464"/>
      <c r="AF49" s="417"/>
      <c r="AG49" s="417"/>
      <c r="AH49" s="465"/>
      <c r="AI49" s="466"/>
      <c r="AJ49" s="466"/>
      <c r="AK49" s="464"/>
      <c r="AL49" s="464"/>
      <c r="AM49" s="464"/>
      <c r="AN49" s="464"/>
      <c r="AO49" s="427"/>
      <c r="AP49" s="427"/>
      <c r="AQ49" s="465"/>
      <c r="AR49" s="465"/>
      <c r="AS49" s="427"/>
      <c r="AT49" s="427"/>
      <c r="AU49" s="417"/>
      <c r="AV49" s="427"/>
      <c r="AW49" s="427"/>
      <c r="AX49" s="427"/>
      <c r="AY49" s="427"/>
      <c r="AZ49" s="427"/>
      <c r="BA49" s="427"/>
      <c r="BB49" s="362"/>
    </row>
    <row r="50" ht="21.0" customHeight="1">
      <c r="A50" s="362"/>
      <c r="B50" s="362"/>
      <c r="C50" s="362"/>
      <c r="D50" s="362"/>
      <c r="E50" s="362"/>
      <c r="F50" s="362"/>
      <c r="G50" s="362"/>
      <c r="H50" s="362"/>
      <c r="I50" s="362"/>
      <c r="J50" s="387"/>
      <c r="K50" s="459"/>
      <c r="L50" s="460"/>
      <c r="M50" s="461"/>
      <c r="N50" s="461"/>
      <c r="O50" s="427"/>
      <c r="P50" s="427"/>
      <c r="Q50" s="427"/>
      <c r="R50" s="427"/>
      <c r="S50" s="427"/>
      <c r="T50" s="427"/>
      <c r="U50" s="427"/>
      <c r="V50" s="463"/>
      <c r="W50" s="427"/>
      <c r="X50" s="427"/>
      <c r="Y50" s="427"/>
      <c r="Z50" s="427"/>
      <c r="AA50" s="427"/>
      <c r="AB50" s="427"/>
      <c r="AC50" s="427"/>
      <c r="AD50" s="464"/>
      <c r="AE50" s="464"/>
      <c r="AF50" s="417"/>
      <c r="AG50" s="417"/>
      <c r="AH50" s="465"/>
      <c r="AI50" s="466"/>
      <c r="AJ50" s="466"/>
      <c r="AK50" s="464"/>
      <c r="AL50" s="464"/>
      <c r="AM50" s="464"/>
      <c r="AN50" s="464"/>
      <c r="AO50" s="427"/>
      <c r="AP50" s="427"/>
      <c r="AQ50" s="465"/>
      <c r="AR50" s="465"/>
      <c r="AS50" s="427"/>
      <c r="AT50" s="427"/>
      <c r="AU50" s="417"/>
      <c r="AV50" s="427"/>
      <c r="AW50" s="427"/>
      <c r="AX50" s="427"/>
      <c r="AY50" s="427"/>
      <c r="AZ50" s="427"/>
      <c r="BA50" s="427"/>
      <c r="BB50" s="362"/>
    </row>
    <row r="51" ht="21.0" customHeight="1">
      <c r="A51" s="362"/>
      <c r="B51" s="362"/>
      <c r="C51" s="362"/>
      <c r="D51" s="362"/>
      <c r="E51" s="362"/>
      <c r="F51" s="362"/>
      <c r="G51" s="362"/>
      <c r="H51" s="362"/>
      <c r="I51" s="362"/>
      <c r="J51" s="387"/>
      <c r="K51" s="459"/>
      <c r="L51" s="460"/>
      <c r="M51" s="461"/>
      <c r="N51" s="461"/>
      <c r="O51" s="427"/>
      <c r="P51" s="427"/>
      <c r="Q51" s="427"/>
      <c r="R51" s="427"/>
      <c r="S51" s="427"/>
      <c r="T51" s="427"/>
      <c r="U51" s="427"/>
      <c r="V51" s="463"/>
      <c r="W51" s="427"/>
      <c r="X51" s="427"/>
      <c r="Y51" s="427"/>
      <c r="Z51" s="427"/>
      <c r="AA51" s="427"/>
      <c r="AB51" s="427"/>
      <c r="AC51" s="427"/>
      <c r="AD51" s="464"/>
      <c r="AE51" s="464"/>
      <c r="AF51" s="417"/>
      <c r="AG51" s="417"/>
      <c r="AH51" s="465"/>
      <c r="AI51" s="466"/>
      <c r="AJ51" s="466"/>
      <c r="AK51" s="464"/>
      <c r="AL51" s="464"/>
      <c r="AM51" s="464"/>
      <c r="AN51" s="464"/>
      <c r="AO51" s="427"/>
      <c r="AP51" s="427"/>
      <c r="AQ51" s="465"/>
      <c r="AR51" s="465"/>
      <c r="AS51" s="427"/>
      <c r="AT51" s="427"/>
      <c r="AU51" s="417"/>
      <c r="AV51" s="427"/>
      <c r="AW51" s="427"/>
      <c r="AX51" s="427"/>
      <c r="AY51" s="427"/>
      <c r="AZ51" s="427"/>
      <c r="BA51" s="427"/>
      <c r="BB51" s="362"/>
    </row>
    <row r="52" ht="21.0" customHeight="1">
      <c r="A52" s="362"/>
      <c r="B52" s="362"/>
      <c r="C52" s="362"/>
      <c r="D52" s="362"/>
      <c r="E52" s="362"/>
      <c r="F52" s="362"/>
      <c r="G52" s="362"/>
      <c r="H52" s="362"/>
      <c r="I52" s="362"/>
      <c r="J52" s="467"/>
      <c r="K52" s="459"/>
      <c r="L52" s="460"/>
      <c r="M52" s="461"/>
      <c r="N52" s="461"/>
      <c r="O52" s="461"/>
      <c r="P52" s="461"/>
      <c r="Q52" s="461"/>
      <c r="R52" s="461"/>
      <c r="S52" s="461"/>
      <c r="T52" s="461"/>
      <c r="U52" s="461"/>
      <c r="V52" s="468"/>
      <c r="W52" s="461"/>
      <c r="X52" s="461"/>
      <c r="Y52" s="461"/>
      <c r="Z52" s="461"/>
      <c r="AA52" s="461"/>
      <c r="AB52" s="461"/>
      <c r="AC52" s="461"/>
      <c r="AD52" s="469"/>
      <c r="AE52" s="469"/>
      <c r="AF52" s="470"/>
      <c r="AG52" s="470"/>
      <c r="AH52" s="471"/>
      <c r="AI52" s="459"/>
      <c r="AJ52" s="459"/>
      <c r="AK52" s="469"/>
      <c r="AL52" s="469"/>
      <c r="AM52" s="461"/>
      <c r="AN52" s="461"/>
      <c r="AO52" s="461"/>
      <c r="AP52" s="461"/>
      <c r="AQ52" s="471"/>
      <c r="AR52" s="471"/>
      <c r="AS52" s="461"/>
      <c r="AT52" s="461"/>
      <c r="AU52" s="470"/>
      <c r="AV52" s="461"/>
      <c r="AW52" s="461"/>
      <c r="AX52" s="461"/>
      <c r="AY52" s="461"/>
      <c r="AZ52" s="461"/>
      <c r="BA52" s="461"/>
      <c r="BB52" s="362"/>
    </row>
    <row r="53" ht="21.0" customHeight="1">
      <c r="A53" s="362"/>
      <c r="B53" s="362"/>
      <c r="C53" s="362"/>
      <c r="D53" s="362"/>
      <c r="E53" s="362"/>
      <c r="F53" s="362"/>
      <c r="G53" s="362"/>
      <c r="H53" s="362"/>
      <c r="I53" s="362"/>
      <c r="J53" s="467"/>
      <c r="K53" s="459"/>
      <c r="L53" s="460"/>
      <c r="M53" s="461"/>
      <c r="N53" s="461"/>
      <c r="O53" s="461"/>
      <c r="P53" s="461"/>
      <c r="Q53" s="461"/>
      <c r="R53" s="461"/>
      <c r="S53" s="461"/>
      <c r="T53" s="461"/>
      <c r="U53" s="461"/>
      <c r="V53" s="468"/>
      <c r="W53" s="461"/>
      <c r="X53" s="461"/>
      <c r="Y53" s="461"/>
      <c r="Z53" s="461"/>
      <c r="AA53" s="461"/>
      <c r="AB53" s="461"/>
      <c r="AC53" s="461"/>
      <c r="AD53" s="469"/>
      <c r="AE53" s="469"/>
      <c r="AF53" s="470"/>
      <c r="AG53" s="470"/>
      <c r="AH53" s="471"/>
      <c r="AI53" s="459"/>
      <c r="AJ53" s="459"/>
      <c r="AK53" s="469"/>
      <c r="AL53" s="469"/>
      <c r="AM53" s="461"/>
      <c r="AN53" s="461"/>
      <c r="AO53" s="461"/>
      <c r="AP53" s="461"/>
      <c r="AQ53" s="471"/>
      <c r="AR53" s="471"/>
      <c r="AS53" s="461"/>
      <c r="AT53" s="461"/>
      <c r="AU53" s="470"/>
      <c r="AV53" s="461"/>
      <c r="AW53" s="461"/>
      <c r="AX53" s="461"/>
      <c r="AY53" s="461"/>
      <c r="AZ53" s="461"/>
      <c r="BA53" s="461"/>
      <c r="BB53" s="362"/>
    </row>
    <row r="54" ht="21.0" customHeight="1">
      <c r="A54" s="362"/>
      <c r="B54" s="362"/>
      <c r="C54" s="362"/>
      <c r="D54" s="362"/>
      <c r="E54" s="362"/>
      <c r="F54" s="362"/>
      <c r="G54" s="362"/>
      <c r="H54" s="362"/>
      <c r="I54" s="362"/>
      <c r="J54" s="467"/>
      <c r="K54" s="459"/>
      <c r="L54" s="460"/>
      <c r="M54" s="461"/>
      <c r="N54" s="461"/>
      <c r="O54" s="461"/>
      <c r="P54" s="461"/>
      <c r="Q54" s="461"/>
      <c r="R54" s="461"/>
      <c r="S54" s="461"/>
      <c r="T54" s="461"/>
      <c r="U54" s="461"/>
      <c r="V54" s="468"/>
      <c r="W54" s="461"/>
      <c r="X54" s="461"/>
      <c r="Y54" s="461"/>
      <c r="Z54" s="461"/>
      <c r="AA54" s="461"/>
      <c r="AB54" s="461"/>
      <c r="AC54" s="461"/>
      <c r="AD54" s="469"/>
      <c r="AE54" s="469"/>
      <c r="AF54" s="470"/>
      <c r="AG54" s="470"/>
      <c r="AH54" s="471"/>
      <c r="AI54" s="459"/>
      <c r="AJ54" s="459"/>
      <c r="AK54" s="469"/>
      <c r="AL54" s="469"/>
      <c r="AM54" s="461"/>
      <c r="AN54" s="461"/>
      <c r="AO54" s="461"/>
      <c r="AP54" s="461"/>
      <c r="AQ54" s="471"/>
      <c r="AR54" s="471"/>
      <c r="AS54" s="461"/>
      <c r="AT54" s="461"/>
      <c r="AU54" s="470"/>
      <c r="AV54" s="461"/>
      <c r="AW54" s="461"/>
      <c r="AX54" s="461"/>
      <c r="AY54" s="461"/>
      <c r="AZ54" s="461"/>
      <c r="BA54" s="461"/>
      <c r="BB54" s="362"/>
    </row>
    <row r="55" ht="21.0" customHeight="1">
      <c r="A55" s="362"/>
      <c r="B55" s="362"/>
      <c r="C55" s="362"/>
      <c r="D55" s="362"/>
      <c r="E55" s="362"/>
      <c r="F55" s="362"/>
      <c r="G55" s="362"/>
      <c r="H55" s="362"/>
      <c r="I55" s="362"/>
      <c r="J55" s="387"/>
      <c r="K55" s="459"/>
      <c r="L55" s="460"/>
      <c r="M55" s="461"/>
      <c r="N55" s="461"/>
      <c r="O55" s="427"/>
      <c r="P55" s="427"/>
      <c r="Q55" s="427"/>
      <c r="R55" s="427"/>
      <c r="S55" s="427"/>
      <c r="T55" s="427"/>
      <c r="U55" s="427"/>
      <c r="V55" s="463"/>
      <c r="W55" s="427"/>
      <c r="X55" s="427"/>
      <c r="Y55" s="427"/>
      <c r="Z55" s="427"/>
      <c r="AA55" s="427"/>
      <c r="AB55" s="427"/>
      <c r="AC55" s="427"/>
      <c r="AD55" s="464"/>
      <c r="AE55" s="464"/>
      <c r="AF55" s="417"/>
      <c r="AG55" s="417"/>
      <c r="AH55" s="465"/>
      <c r="AI55" s="466"/>
      <c r="AJ55" s="466"/>
      <c r="AK55" s="464"/>
      <c r="AL55" s="464"/>
      <c r="AM55" s="427"/>
      <c r="AN55" s="427"/>
      <c r="AO55" s="427"/>
      <c r="AP55" s="427"/>
      <c r="AQ55" s="465"/>
      <c r="AR55" s="465"/>
      <c r="AS55" s="427"/>
      <c r="AT55" s="427"/>
      <c r="AU55" s="417"/>
      <c r="AV55" s="427"/>
      <c r="AW55" s="427"/>
      <c r="AX55" s="427"/>
      <c r="AY55" s="427"/>
      <c r="AZ55" s="427"/>
      <c r="BA55" s="427"/>
      <c r="BB55" s="362"/>
    </row>
    <row r="56" ht="21.0" customHeight="1">
      <c r="A56" s="362"/>
      <c r="B56" s="362"/>
      <c r="C56" s="362"/>
      <c r="D56" s="362"/>
      <c r="E56" s="362"/>
      <c r="F56" s="362"/>
      <c r="G56" s="362"/>
      <c r="H56" s="362"/>
      <c r="I56" s="362"/>
      <c r="J56" s="387"/>
      <c r="K56" s="459"/>
      <c r="L56" s="460"/>
      <c r="M56" s="461"/>
      <c r="N56" s="461"/>
      <c r="O56" s="427"/>
      <c r="P56" s="427"/>
      <c r="Q56" s="427"/>
      <c r="R56" s="427"/>
      <c r="S56" s="427"/>
      <c r="T56" s="427"/>
      <c r="U56" s="427"/>
      <c r="V56" s="463"/>
      <c r="W56" s="427"/>
      <c r="X56" s="427"/>
      <c r="Y56" s="427"/>
      <c r="Z56" s="427"/>
      <c r="AA56" s="427"/>
      <c r="AB56" s="427"/>
      <c r="AC56" s="427"/>
      <c r="AD56" s="464"/>
      <c r="AE56" s="464"/>
      <c r="AF56" s="417"/>
      <c r="AG56" s="417"/>
      <c r="AH56" s="465"/>
      <c r="AI56" s="466"/>
      <c r="AJ56" s="466"/>
      <c r="AK56" s="464"/>
      <c r="AL56" s="464"/>
      <c r="AM56" s="427"/>
      <c r="AN56" s="427"/>
      <c r="AO56" s="427"/>
      <c r="AP56" s="427"/>
      <c r="AQ56" s="465"/>
      <c r="AR56" s="465"/>
      <c r="AS56" s="427"/>
      <c r="AT56" s="427"/>
      <c r="AU56" s="417"/>
      <c r="AV56" s="427"/>
      <c r="AW56" s="427"/>
      <c r="AX56" s="427"/>
      <c r="AY56" s="427"/>
      <c r="AZ56" s="427"/>
      <c r="BA56" s="427"/>
      <c r="BB56" s="362"/>
    </row>
    <row r="57" ht="21.0" customHeight="1">
      <c r="A57" s="362"/>
      <c r="B57" s="362"/>
      <c r="C57" s="362"/>
      <c r="D57" s="362"/>
      <c r="E57" s="362"/>
      <c r="F57" s="362"/>
      <c r="G57" s="362"/>
      <c r="H57" s="362"/>
      <c r="I57" s="362"/>
      <c r="J57" s="387"/>
      <c r="K57" s="466"/>
      <c r="L57" s="472"/>
      <c r="M57" s="427"/>
      <c r="N57" s="427"/>
      <c r="O57" s="427"/>
      <c r="P57" s="427"/>
      <c r="Q57" s="427"/>
      <c r="R57" s="427"/>
      <c r="S57" s="427"/>
      <c r="T57" s="427"/>
      <c r="U57" s="427"/>
      <c r="V57" s="463"/>
      <c r="W57" s="427"/>
      <c r="X57" s="427"/>
      <c r="Y57" s="427"/>
      <c r="Z57" s="427"/>
      <c r="AA57" s="427"/>
      <c r="AB57" s="427"/>
      <c r="AC57" s="427"/>
      <c r="AD57" s="464"/>
      <c r="AE57" s="464"/>
      <c r="AF57" s="417"/>
      <c r="AG57" s="417"/>
      <c r="AH57" s="465"/>
      <c r="AI57" s="466"/>
      <c r="AJ57" s="466"/>
      <c r="AK57" s="464"/>
      <c r="AL57" s="464"/>
      <c r="AM57" s="427"/>
      <c r="AN57" s="427"/>
      <c r="AO57" s="427"/>
      <c r="AP57" s="427"/>
      <c r="AQ57" s="465"/>
      <c r="AR57" s="465"/>
      <c r="AS57" s="427"/>
      <c r="AT57" s="427"/>
      <c r="AU57" s="417"/>
      <c r="AV57" s="427"/>
      <c r="AW57" s="427"/>
      <c r="AX57" s="427"/>
      <c r="AY57" s="427"/>
      <c r="AZ57" s="427"/>
      <c r="BA57" s="427"/>
      <c r="BB57" s="362"/>
    </row>
    <row r="58" ht="21.0" customHeight="1">
      <c r="A58" s="362"/>
      <c r="B58" s="362"/>
      <c r="C58" s="362"/>
      <c r="D58" s="362"/>
      <c r="E58" s="362"/>
      <c r="F58" s="362"/>
      <c r="G58" s="362"/>
      <c r="H58" s="362"/>
      <c r="I58" s="362"/>
      <c r="J58" s="387"/>
      <c r="K58" s="466"/>
      <c r="L58" s="472"/>
      <c r="M58" s="427"/>
      <c r="N58" s="427"/>
      <c r="O58" s="427"/>
      <c r="P58" s="427"/>
      <c r="Q58" s="427"/>
      <c r="R58" s="427"/>
      <c r="S58" s="427"/>
      <c r="T58" s="427"/>
      <c r="U58" s="427"/>
      <c r="V58" s="463"/>
      <c r="W58" s="427"/>
      <c r="X58" s="427"/>
      <c r="Y58" s="427"/>
      <c r="Z58" s="427"/>
      <c r="AA58" s="427"/>
      <c r="AB58" s="427"/>
      <c r="AC58" s="427"/>
      <c r="AD58" s="464"/>
      <c r="AE58" s="464"/>
      <c r="AF58" s="417"/>
      <c r="AG58" s="417"/>
      <c r="AH58" s="465"/>
      <c r="AI58" s="466"/>
      <c r="AJ58" s="466"/>
      <c r="AK58" s="464"/>
      <c r="AL58" s="464"/>
      <c r="AM58" s="427"/>
      <c r="AN58" s="427"/>
      <c r="AO58" s="427"/>
      <c r="AP58" s="427"/>
      <c r="AQ58" s="465"/>
      <c r="AR58" s="465"/>
      <c r="AS58" s="427"/>
      <c r="AT58" s="427"/>
      <c r="AU58" s="417"/>
      <c r="AV58" s="427"/>
      <c r="AW58" s="427"/>
      <c r="AX58" s="427"/>
      <c r="AY58" s="427"/>
      <c r="AZ58" s="427"/>
      <c r="BA58" s="427"/>
      <c r="BB58" s="362"/>
    </row>
    <row r="59" ht="21.0" customHeight="1">
      <c r="A59" s="362"/>
      <c r="B59" s="362"/>
      <c r="C59" s="362"/>
      <c r="D59" s="362"/>
      <c r="E59" s="362"/>
      <c r="F59" s="362"/>
      <c r="G59" s="362"/>
      <c r="H59" s="362"/>
      <c r="I59" s="362"/>
      <c r="J59" s="387"/>
      <c r="K59" s="466"/>
      <c r="L59" s="472"/>
      <c r="M59" s="427"/>
      <c r="N59" s="427"/>
      <c r="O59" s="427"/>
      <c r="P59" s="427"/>
      <c r="Q59" s="427"/>
      <c r="R59" s="427"/>
      <c r="S59" s="427"/>
      <c r="T59" s="427"/>
      <c r="U59" s="427"/>
      <c r="V59" s="463"/>
      <c r="W59" s="427"/>
      <c r="X59" s="427"/>
      <c r="Y59" s="427"/>
      <c r="Z59" s="427"/>
      <c r="AA59" s="427"/>
      <c r="AB59" s="427"/>
      <c r="AC59" s="427"/>
      <c r="AD59" s="464"/>
      <c r="AE59" s="464"/>
      <c r="AF59" s="417"/>
      <c r="AG59" s="417"/>
      <c r="AH59" s="465"/>
      <c r="AI59" s="466"/>
      <c r="AJ59" s="466"/>
      <c r="AK59" s="464"/>
      <c r="AL59" s="464"/>
      <c r="AM59" s="427"/>
      <c r="AN59" s="427"/>
      <c r="AO59" s="427"/>
      <c r="AP59" s="427"/>
      <c r="AQ59" s="465"/>
      <c r="AR59" s="465"/>
      <c r="AS59" s="427"/>
      <c r="AT59" s="427"/>
      <c r="AU59" s="417"/>
      <c r="AV59" s="427"/>
      <c r="AW59" s="427"/>
      <c r="AX59" s="427"/>
      <c r="AY59" s="427"/>
      <c r="AZ59" s="427"/>
      <c r="BA59" s="427"/>
      <c r="BB59" s="362"/>
    </row>
    <row r="60" ht="21.0" customHeight="1">
      <c r="A60" s="362"/>
      <c r="B60" s="362"/>
      <c r="C60" s="362"/>
      <c r="D60" s="362"/>
      <c r="E60" s="362"/>
      <c r="F60" s="362"/>
      <c r="G60" s="362"/>
      <c r="H60" s="362"/>
      <c r="I60" s="362"/>
      <c r="J60" s="387"/>
      <c r="K60" s="466"/>
      <c r="L60" s="472"/>
      <c r="M60" s="427"/>
      <c r="N60" s="427"/>
      <c r="O60" s="427"/>
      <c r="P60" s="427"/>
      <c r="Q60" s="427"/>
      <c r="R60" s="427"/>
      <c r="S60" s="427"/>
      <c r="T60" s="427"/>
      <c r="U60" s="427"/>
      <c r="V60" s="463"/>
      <c r="W60" s="427"/>
      <c r="X60" s="427"/>
      <c r="Y60" s="427"/>
      <c r="Z60" s="427"/>
      <c r="AA60" s="427"/>
      <c r="AB60" s="427"/>
      <c r="AC60" s="427"/>
      <c r="AD60" s="464"/>
      <c r="AE60" s="464"/>
      <c r="AF60" s="417"/>
      <c r="AG60" s="417"/>
      <c r="AH60" s="465"/>
      <c r="AI60" s="466"/>
      <c r="AJ60" s="466"/>
      <c r="AK60" s="464"/>
      <c r="AL60" s="464"/>
      <c r="AM60" s="427"/>
      <c r="AN60" s="427"/>
      <c r="AO60" s="427"/>
      <c r="AP60" s="427"/>
      <c r="AQ60" s="465"/>
      <c r="AR60" s="465"/>
      <c r="AS60" s="427"/>
      <c r="AT60" s="427"/>
      <c r="AU60" s="417"/>
      <c r="AV60" s="427"/>
      <c r="AW60" s="427"/>
      <c r="AX60" s="427"/>
      <c r="AY60" s="427"/>
      <c r="AZ60" s="427"/>
      <c r="BA60" s="427"/>
      <c r="BB60" s="362"/>
    </row>
    <row r="61" ht="21.0" customHeight="1">
      <c r="A61" s="362"/>
      <c r="B61" s="362"/>
      <c r="C61" s="362"/>
      <c r="D61" s="362"/>
      <c r="E61" s="362"/>
      <c r="F61" s="362"/>
      <c r="G61" s="362"/>
      <c r="H61" s="362"/>
      <c r="I61" s="362"/>
      <c r="J61" s="387"/>
      <c r="K61" s="466"/>
      <c r="L61" s="472"/>
      <c r="M61" s="427"/>
      <c r="N61" s="427"/>
      <c r="O61" s="427"/>
      <c r="P61" s="427"/>
      <c r="Q61" s="427"/>
      <c r="R61" s="427"/>
      <c r="S61" s="427"/>
      <c r="T61" s="427"/>
      <c r="U61" s="427"/>
      <c r="V61" s="463"/>
      <c r="W61" s="427"/>
      <c r="X61" s="427"/>
      <c r="Y61" s="427"/>
      <c r="Z61" s="427"/>
      <c r="AA61" s="427"/>
      <c r="AB61" s="427"/>
      <c r="AC61" s="427"/>
      <c r="AD61" s="464"/>
      <c r="AE61" s="464"/>
      <c r="AF61" s="417"/>
      <c r="AG61" s="417"/>
      <c r="AH61" s="465"/>
      <c r="AI61" s="466"/>
      <c r="AJ61" s="466"/>
      <c r="AK61" s="464"/>
      <c r="AL61" s="464"/>
      <c r="AM61" s="427"/>
      <c r="AN61" s="427"/>
      <c r="AO61" s="427"/>
      <c r="AP61" s="427"/>
      <c r="AQ61" s="465"/>
      <c r="AR61" s="465"/>
      <c r="AS61" s="427"/>
      <c r="AT61" s="427"/>
      <c r="AU61" s="417"/>
      <c r="AV61" s="427"/>
      <c r="AW61" s="427"/>
      <c r="AX61" s="427"/>
      <c r="AY61" s="427"/>
      <c r="AZ61" s="427"/>
      <c r="BA61" s="427"/>
      <c r="BB61" s="362"/>
    </row>
    <row r="62" ht="21.0" customHeight="1">
      <c r="A62" s="362"/>
      <c r="B62" s="362"/>
      <c r="C62" s="362"/>
      <c r="D62" s="362"/>
      <c r="E62" s="362"/>
      <c r="F62" s="362"/>
      <c r="G62" s="362"/>
      <c r="H62" s="362"/>
      <c r="I62" s="362"/>
      <c r="J62" s="387"/>
      <c r="K62" s="466"/>
      <c r="L62" s="472"/>
      <c r="M62" s="427"/>
      <c r="N62" s="427"/>
      <c r="O62" s="427"/>
      <c r="P62" s="427"/>
      <c r="Q62" s="427"/>
      <c r="R62" s="427"/>
      <c r="S62" s="427"/>
      <c r="T62" s="427"/>
      <c r="U62" s="427"/>
      <c r="V62" s="463"/>
      <c r="W62" s="427"/>
      <c r="X62" s="427"/>
      <c r="Y62" s="427"/>
      <c r="Z62" s="427"/>
      <c r="AA62" s="427"/>
      <c r="AB62" s="427"/>
      <c r="AC62" s="427"/>
      <c r="AD62" s="464"/>
      <c r="AE62" s="464"/>
      <c r="AF62" s="417"/>
      <c r="AG62" s="417"/>
      <c r="AH62" s="465"/>
      <c r="AI62" s="466"/>
      <c r="AJ62" s="466"/>
      <c r="AK62" s="464"/>
      <c r="AL62" s="464"/>
      <c r="AM62" s="427"/>
      <c r="AN62" s="427"/>
      <c r="AO62" s="427"/>
      <c r="AP62" s="427"/>
      <c r="AQ62" s="465"/>
      <c r="AR62" s="465"/>
      <c r="AS62" s="427"/>
      <c r="AT62" s="427"/>
      <c r="AU62" s="417"/>
      <c r="AV62" s="427"/>
      <c r="AW62" s="427"/>
      <c r="AX62" s="427"/>
      <c r="AY62" s="427"/>
      <c r="AZ62" s="427"/>
      <c r="BA62" s="427"/>
      <c r="BB62" s="362"/>
    </row>
    <row r="63" ht="21.0" customHeight="1">
      <c r="A63" s="362"/>
      <c r="B63" s="362"/>
      <c r="C63" s="362"/>
      <c r="D63" s="362"/>
      <c r="E63" s="362"/>
      <c r="F63" s="362"/>
      <c r="G63" s="362"/>
      <c r="H63" s="362"/>
      <c r="I63" s="362"/>
      <c r="J63" s="387"/>
      <c r="K63" s="466"/>
      <c r="L63" s="472"/>
      <c r="M63" s="427"/>
      <c r="N63" s="427"/>
      <c r="O63" s="427"/>
      <c r="P63" s="427"/>
      <c r="Q63" s="427"/>
      <c r="R63" s="427"/>
      <c r="S63" s="427"/>
      <c r="T63" s="427"/>
      <c r="U63" s="427"/>
      <c r="V63" s="463"/>
      <c r="W63" s="427"/>
      <c r="X63" s="427"/>
      <c r="Y63" s="427"/>
      <c r="Z63" s="427"/>
      <c r="AA63" s="427"/>
      <c r="AB63" s="427"/>
      <c r="AC63" s="427"/>
      <c r="AD63" s="464"/>
      <c r="AE63" s="464"/>
      <c r="AF63" s="417"/>
      <c r="AG63" s="417"/>
      <c r="AH63" s="465"/>
      <c r="AI63" s="466"/>
      <c r="AJ63" s="466"/>
      <c r="AK63" s="464"/>
      <c r="AL63" s="464"/>
      <c r="AM63" s="427"/>
      <c r="AN63" s="427"/>
      <c r="AO63" s="427"/>
      <c r="AP63" s="427"/>
      <c r="AQ63" s="465"/>
      <c r="AR63" s="465"/>
      <c r="AS63" s="427"/>
      <c r="AT63" s="427"/>
      <c r="AU63" s="417"/>
      <c r="AV63" s="427"/>
      <c r="AW63" s="427"/>
      <c r="AX63" s="427"/>
      <c r="AY63" s="427"/>
      <c r="AZ63" s="427"/>
      <c r="BA63" s="427"/>
      <c r="BB63" s="362"/>
    </row>
    <row r="64" ht="21.0" customHeight="1">
      <c r="A64" s="362"/>
      <c r="B64" s="362"/>
      <c r="C64" s="362"/>
      <c r="D64" s="362"/>
      <c r="E64" s="362"/>
      <c r="F64" s="362"/>
      <c r="G64" s="362"/>
      <c r="H64" s="362"/>
      <c r="I64" s="362"/>
      <c r="J64" s="387"/>
      <c r="K64" s="466"/>
      <c r="L64" s="472"/>
      <c r="M64" s="427"/>
      <c r="N64" s="427"/>
      <c r="O64" s="427"/>
      <c r="P64" s="427"/>
      <c r="Q64" s="427"/>
      <c r="R64" s="427"/>
      <c r="S64" s="427"/>
      <c r="T64" s="427"/>
      <c r="U64" s="427"/>
      <c r="V64" s="463"/>
      <c r="W64" s="427"/>
      <c r="X64" s="427"/>
      <c r="Y64" s="427"/>
      <c r="Z64" s="427"/>
      <c r="AA64" s="427"/>
      <c r="AB64" s="427"/>
      <c r="AC64" s="427"/>
      <c r="AD64" s="464"/>
      <c r="AE64" s="464"/>
      <c r="AF64" s="417"/>
      <c r="AG64" s="417"/>
      <c r="AH64" s="465"/>
      <c r="AI64" s="466"/>
      <c r="AJ64" s="466"/>
      <c r="AK64" s="464"/>
      <c r="AL64" s="464"/>
      <c r="AM64" s="427"/>
      <c r="AN64" s="427"/>
      <c r="AO64" s="427"/>
      <c r="AP64" s="427"/>
      <c r="AQ64" s="465"/>
      <c r="AR64" s="465"/>
      <c r="AS64" s="427"/>
      <c r="AT64" s="427"/>
      <c r="AU64" s="417"/>
      <c r="AV64" s="427"/>
      <c r="AW64" s="427"/>
      <c r="AX64" s="427"/>
      <c r="AY64" s="427"/>
      <c r="AZ64" s="427"/>
      <c r="BA64" s="427"/>
      <c r="BB64" s="362"/>
    </row>
    <row r="65" ht="21.0" customHeight="1">
      <c r="A65" s="362"/>
      <c r="B65" s="362"/>
      <c r="C65" s="362"/>
      <c r="D65" s="362"/>
      <c r="E65" s="362"/>
      <c r="F65" s="362"/>
      <c r="G65" s="362"/>
      <c r="H65" s="362"/>
      <c r="I65" s="362"/>
      <c r="J65" s="387"/>
      <c r="K65" s="466"/>
      <c r="L65" s="472"/>
      <c r="M65" s="427"/>
      <c r="N65" s="427"/>
      <c r="O65" s="427"/>
      <c r="P65" s="427"/>
      <c r="Q65" s="427"/>
      <c r="R65" s="427"/>
      <c r="S65" s="427"/>
      <c r="T65" s="427"/>
      <c r="U65" s="427"/>
      <c r="V65" s="463"/>
      <c r="W65" s="427"/>
      <c r="X65" s="427"/>
      <c r="Y65" s="427"/>
      <c r="Z65" s="427"/>
      <c r="AA65" s="427"/>
      <c r="AB65" s="427"/>
      <c r="AC65" s="427"/>
      <c r="AD65" s="464"/>
      <c r="AE65" s="464"/>
      <c r="AF65" s="417"/>
      <c r="AG65" s="417"/>
      <c r="AH65" s="465"/>
      <c r="AI65" s="466"/>
      <c r="AJ65" s="466"/>
      <c r="AK65" s="464"/>
      <c r="AL65" s="464"/>
      <c r="AM65" s="427"/>
      <c r="AN65" s="427"/>
      <c r="AO65" s="427"/>
      <c r="AP65" s="427"/>
      <c r="AQ65" s="465"/>
      <c r="AR65" s="465"/>
      <c r="AS65" s="427"/>
      <c r="AT65" s="427"/>
      <c r="AU65" s="417"/>
      <c r="AV65" s="427"/>
      <c r="AW65" s="427"/>
      <c r="AX65" s="427"/>
      <c r="AY65" s="427"/>
      <c r="AZ65" s="427"/>
      <c r="BA65" s="427"/>
      <c r="BB65" s="362"/>
    </row>
    <row r="66" ht="21.0" customHeight="1">
      <c r="A66" s="362"/>
      <c r="B66" s="362"/>
      <c r="C66" s="362"/>
      <c r="D66" s="362"/>
      <c r="E66" s="362"/>
      <c r="F66" s="362"/>
      <c r="G66" s="362"/>
      <c r="H66" s="362"/>
      <c r="I66" s="362"/>
      <c r="J66" s="387"/>
      <c r="K66" s="466"/>
      <c r="L66" s="472"/>
      <c r="M66" s="427"/>
      <c r="N66" s="427"/>
      <c r="O66" s="427"/>
      <c r="P66" s="427"/>
      <c r="Q66" s="427"/>
      <c r="R66" s="427"/>
      <c r="S66" s="427"/>
      <c r="T66" s="427"/>
      <c r="U66" s="427"/>
      <c r="V66" s="463"/>
      <c r="W66" s="427"/>
      <c r="X66" s="427"/>
      <c r="Y66" s="427"/>
      <c r="Z66" s="427"/>
      <c r="AA66" s="427"/>
      <c r="AB66" s="427"/>
      <c r="AC66" s="427"/>
      <c r="AD66" s="464"/>
      <c r="AE66" s="464"/>
      <c r="AF66" s="417"/>
      <c r="AG66" s="417"/>
      <c r="AH66" s="465"/>
      <c r="AI66" s="466"/>
      <c r="AJ66" s="466"/>
      <c r="AK66" s="464"/>
      <c r="AL66" s="464"/>
      <c r="AM66" s="427"/>
      <c r="AN66" s="427"/>
      <c r="AO66" s="427"/>
      <c r="AP66" s="427"/>
      <c r="AQ66" s="465"/>
      <c r="AR66" s="465"/>
      <c r="AS66" s="427"/>
      <c r="AT66" s="427"/>
      <c r="AU66" s="417"/>
      <c r="AV66" s="427"/>
      <c r="AW66" s="427"/>
      <c r="AX66" s="427"/>
      <c r="AY66" s="427"/>
      <c r="AZ66" s="427"/>
      <c r="BA66" s="427"/>
      <c r="BB66" s="362"/>
    </row>
    <row r="67" ht="21.0" customHeight="1">
      <c r="A67" s="362"/>
      <c r="B67" s="362"/>
      <c r="C67" s="362"/>
      <c r="D67" s="362"/>
      <c r="E67" s="362"/>
      <c r="F67" s="362"/>
      <c r="G67" s="362"/>
      <c r="H67" s="362"/>
      <c r="I67" s="362"/>
      <c r="J67" s="387"/>
      <c r="K67" s="466"/>
      <c r="L67" s="472"/>
      <c r="M67" s="427"/>
      <c r="N67" s="427"/>
      <c r="O67" s="427"/>
      <c r="P67" s="427"/>
      <c r="Q67" s="427"/>
      <c r="R67" s="427"/>
      <c r="S67" s="427"/>
      <c r="T67" s="427"/>
      <c r="U67" s="427"/>
      <c r="V67" s="463"/>
      <c r="W67" s="427"/>
      <c r="X67" s="427"/>
      <c r="Y67" s="427"/>
      <c r="Z67" s="427"/>
      <c r="AA67" s="427"/>
      <c r="AB67" s="427"/>
      <c r="AC67" s="427"/>
      <c r="AD67" s="464"/>
      <c r="AE67" s="464"/>
      <c r="AF67" s="417"/>
      <c r="AG67" s="417"/>
      <c r="AH67" s="465"/>
      <c r="AI67" s="466"/>
      <c r="AJ67" s="466"/>
      <c r="AK67" s="464"/>
      <c r="AL67" s="464"/>
      <c r="AM67" s="427"/>
      <c r="AN67" s="427"/>
      <c r="AO67" s="427"/>
      <c r="AP67" s="427"/>
      <c r="AQ67" s="465"/>
      <c r="AR67" s="465"/>
      <c r="AS67" s="427"/>
      <c r="AT67" s="427"/>
      <c r="AU67" s="417"/>
      <c r="AV67" s="427"/>
      <c r="AW67" s="427"/>
      <c r="AX67" s="427"/>
      <c r="AY67" s="427"/>
      <c r="AZ67" s="427"/>
      <c r="BA67" s="427"/>
      <c r="BB67" s="362"/>
    </row>
    <row r="68" ht="21.0" customHeight="1">
      <c r="A68" s="362"/>
      <c r="B68" s="362"/>
      <c r="C68" s="362"/>
      <c r="D68" s="362"/>
      <c r="E68" s="362"/>
      <c r="F68" s="362"/>
      <c r="G68" s="362"/>
      <c r="H68" s="362"/>
      <c r="I68" s="362"/>
      <c r="J68" s="387"/>
      <c r="K68" s="466"/>
      <c r="L68" s="472"/>
      <c r="M68" s="427"/>
      <c r="N68" s="427"/>
      <c r="O68" s="427"/>
      <c r="P68" s="427"/>
      <c r="Q68" s="427"/>
      <c r="R68" s="427"/>
      <c r="S68" s="427"/>
      <c r="T68" s="427"/>
      <c r="U68" s="427"/>
      <c r="V68" s="463"/>
      <c r="W68" s="427"/>
      <c r="X68" s="427"/>
      <c r="Y68" s="427"/>
      <c r="Z68" s="427"/>
      <c r="AA68" s="427"/>
      <c r="AB68" s="427"/>
      <c r="AC68" s="427"/>
      <c r="AD68" s="464"/>
      <c r="AE68" s="464"/>
      <c r="AF68" s="417"/>
      <c r="AG68" s="417"/>
      <c r="AH68" s="465"/>
      <c r="AI68" s="466"/>
      <c r="AJ68" s="466"/>
      <c r="AK68" s="464"/>
      <c r="AL68" s="464"/>
      <c r="AM68" s="427"/>
      <c r="AN68" s="427"/>
      <c r="AO68" s="427"/>
      <c r="AP68" s="427"/>
      <c r="AQ68" s="465"/>
      <c r="AR68" s="465"/>
      <c r="AS68" s="427"/>
      <c r="AT68" s="427"/>
      <c r="AU68" s="417"/>
      <c r="AV68" s="427"/>
      <c r="AW68" s="427"/>
      <c r="AX68" s="427"/>
      <c r="AY68" s="427"/>
      <c r="AZ68" s="427"/>
      <c r="BA68" s="427"/>
      <c r="BB68" s="362"/>
    </row>
    <row r="69" ht="21.0" customHeight="1">
      <c r="A69" s="362"/>
      <c r="B69" s="362"/>
      <c r="C69" s="362"/>
      <c r="D69" s="362"/>
      <c r="E69" s="362"/>
      <c r="F69" s="362"/>
      <c r="G69" s="362"/>
      <c r="H69" s="362"/>
      <c r="I69" s="362"/>
      <c r="J69" s="387"/>
      <c r="K69" s="466"/>
      <c r="L69" s="472"/>
      <c r="M69" s="427"/>
      <c r="N69" s="427"/>
      <c r="O69" s="427"/>
      <c r="P69" s="427"/>
      <c r="Q69" s="427"/>
      <c r="R69" s="427"/>
      <c r="S69" s="427"/>
      <c r="T69" s="427"/>
      <c r="U69" s="427"/>
      <c r="V69" s="463"/>
      <c r="W69" s="427"/>
      <c r="X69" s="427"/>
      <c r="Y69" s="427"/>
      <c r="Z69" s="427"/>
      <c r="AA69" s="427"/>
      <c r="AB69" s="427"/>
      <c r="AC69" s="427"/>
      <c r="AD69" s="464"/>
      <c r="AE69" s="464"/>
      <c r="AF69" s="417"/>
      <c r="AG69" s="417"/>
      <c r="AH69" s="465"/>
      <c r="AI69" s="466"/>
      <c r="AJ69" s="466"/>
      <c r="AK69" s="464"/>
      <c r="AL69" s="464"/>
      <c r="AM69" s="427"/>
      <c r="AN69" s="427"/>
      <c r="AO69" s="427"/>
      <c r="AP69" s="427"/>
      <c r="AQ69" s="465"/>
      <c r="AR69" s="465"/>
      <c r="AS69" s="427"/>
      <c r="AT69" s="427"/>
      <c r="AU69" s="417"/>
      <c r="AV69" s="427"/>
      <c r="AW69" s="427"/>
      <c r="AX69" s="427"/>
      <c r="AY69" s="427"/>
      <c r="AZ69" s="427"/>
      <c r="BA69" s="427"/>
      <c r="BB69" s="362"/>
    </row>
    <row r="70" ht="21.0" customHeight="1">
      <c r="A70" s="362"/>
      <c r="B70" s="362"/>
      <c r="C70" s="362"/>
      <c r="D70" s="362"/>
      <c r="E70" s="362"/>
      <c r="F70" s="362"/>
      <c r="G70" s="362"/>
      <c r="H70" s="362"/>
      <c r="I70" s="362"/>
      <c r="J70" s="387"/>
      <c r="K70" s="466"/>
      <c r="L70" s="472"/>
      <c r="M70" s="427"/>
      <c r="N70" s="427"/>
      <c r="O70" s="427"/>
      <c r="P70" s="427"/>
      <c r="Q70" s="427"/>
      <c r="R70" s="427"/>
      <c r="S70" s="427"/>
      <c r="T70" s="427"/>
      <c r="U70" s="427"/>
      <c r="V70" s="463"/>
      <c r="W70" s="427"/>
      <c r="X70" s="427"/>
      <c r="Y70" s="427"/>
      <c r="Z70" s="427"/>
      <c r="AA70" s="427"/>
      <c r="AB70" s="427"/>
      <c r="AC70" s="427"/>
      <c r="AD70" s="464"/>
      <c r="AE70" s="464"/>
      <c r="AF70" s="417"/>
      <c r="AG70" s="417"/>
      <c r="AH70" s="465"/>
      <c r="AI70" s="466"/>
      <c r="AJ70" s="466"/>
      <c r="AK70" s="464"/>
      <c r="AL70" s="464"/>
      <c r="AM70" s="427"/>
      <c r="AN70" s="427"/>
      <c r="AO70" s="427"/>
      <c r="AP70" s="427"/>
      <c r="AQ70" s="465"/>
      <c r="AR70" s="465"/>
      <c r="AS70" s="427"/>
      <c r="AT70" s="427"/>
      <c r="AU70" s="417"/>
      <c r="AV70" s="427"/>
      <c r="AW70" s="427"/>
      <c r="AX70" s="427"/>
      <c r="AY70" s="427"/>
      <c r="AZ70" s="427"/>
      <c r="BA70" s="427"/>
      <c r="BB70" s="362"/>
    </row>
    <row r="71" ht="21.0" customHeight="1">
      <c r="A71" s="362"/>
      <c r="B71" s="362"/>
      <c r="C71" s="362"/>
      <c r="D71" s="362"/>
      <c r="E71" s="362"/>
      <c r="F71" s="362"/>
      <c r="G71" s="362"/>
      <c r="H71" s="362"/>
      <c r="I71" s="362"/>
      <c r="J71" s="387"/>
      <c r="K71" s="466"/>
      <c r="L71" s="472"/>
      <c r="M71" s="427"/>
      <c r="N71" s="427"/>
      <c r="O71" s="427"/>
      <c r="P71" s="427"/>
      <c r="Q71" s="427"/>
      <c r="R71" s="427"/>
      <c r="S71" s="427"/>
      <c r="T71" s="427"/>
      <c r="U71" s="427"/>
      <c r="V71" s="463"/>
      <c r="W71" s="427"/>
      <c r="X71" s="427"/>
      <c r="Y71" s="427"/>
      <c r="Z71" s="427"/>
      <c r="AA71" s="427"/>
      <c r="AB71" s="427"/>
      <c r="AC71" s="427"/>
      <c r="AD71" s="464"/>
      <c r="AE71" s="464"/>
      <c r="AF71" s="417"/>
      <c r="AG71" s="417"/>
      <c r="AH71" s="465"/>
      <c r="AI71" s="466"/>
      <c r="AJ71" s="466"/>
      <c r="AK71" s="464"/>
      <c r="AL71" s="464"/>
      <c r="AM71" s="427"/>
      <c r="AN71" s="427"/>
      <c r="AO71" s="427"/>
      <c r="AP71" s="427"/>
      <c r="AQ71" s="465"/>
      <c r="AR71" s="465"/>
      <c r="AS71" s="427"/>
      <c r="AT71" s="427"/>
      <c r="AU71" s="417"/>
      <c r="AV71" s="427"/>
      <c r="AW71" s="427"/>
      <c r="AX71" s="427"/>
      <c r="AY71" s="427"/>
      <c r="AZ71" s="427"/>
      <c r="BA71" s="427"/>
      <c r="BB71" s="362"/>
    </row>
    <row r="72" ht="21.0" customHeight="1">
      <c r="A72" s="362"/>
      <c r="B72" s="362"/>
      <c r="C72" s="362"/>
      <c r="D72" s="362"/>
      <c r="E72" s="362"/>
      <c r="F72" s="362"/>
      <c r="G72" s="362"/>
      <c r="H72" s="362"/>
      <c r="I72" s="362"/>
      <c r="J72" s="387"/>
      <c r="K72" s="466"/>
      <c r="L72" s="472"/>
      <c r="M72" s="427"/>
      <c r="N72" s="427"/>
      <c r="O72" s="427"/>
      <c r="P72" s="427"/>
      <c r="Q72" s="427"/>
      <c r="R72" s="427"/>
      <c r="S72" s="427"/>
      <c r="T72" s="427"/>
      <c r="U72" s="427"/>
      <c r="V72" s="463"/>
      <c r="W72" s="427"/>
      <c r="X72" s="427"/>
      <c r="Y72" s="427"/>
      <c r="Z72" s="427"/>
      <c r="AA72" s="427"/>
      <c r="AB72" s="427"/>
      <c r="AC72" s="427"/>
      <c r="AD72" s="464"/>
      <c r="AE72" s="464"/>
      <c r="AF72" s="417"/>
      <c r="AG72" s="417"/>
      <c r="AH72" s="465"/>
      <c r="AI72" s="466"/>
      <c r="AJ72" s="466"/>
      <c r="AK72" s="464"/>
      <c r="AL72" s="464"/>
      <c r="AM72" s="427"/>
      <c r="AN72" s="427"/>
      <c r="AO72" s="427"/>
      <c r="AP72" s="427"/>
      <c r="AQ72" s="465"/>
      <c r="AR72" s="465"/>
      <c r="AS72" s="427"/>
      <c r="AT72" s="427"/>
      <c r="AU72" s="417"/>
      <c r="AV72" s="427"/>
      <c r="AW72" s="427"/>
      <c r="AX72" s="427"/>
      <c r="AY72" s="427"/>
      <c r="AZ72" s="427"/>
      <c r="BA72" s="427"/>
      <c r="BB72" s="362"/>
    </row>
    <row r="73" ht="21.0" customHeight="1">
      <c r="A73" s="362"/>
      <c r="B73" s="362"/>
      <c r="C73" s="362"/>
      <c r="D73" s="362"/>
      <c r="E73" s="362"/>
      <c r="F73" s="362"/>
      <c r="G73" s="362"/>
      <c r="H73" s="362"/>
      <c r="I73" s="362"/>
      <c r="J73" s="363"/>
      <c r="K73" s="473"/>
      <c r="L73" s="474"/>
      <c r="M73" s="475"/>
      <c r="N73" s="475"/>
      <c r="O73" s="475"/>
      <c r="P73" s="475"/>
      <c r="Q73" s="475"/>
      <c r="R73" s="475"/>
      <c r="S73" s="475"/>
      <c r="T73" s="475"/>
      <c r="U73" s="475"/>
      <c r="V73" s="476"/>
      <c r="W73" s="475"/>
      <c r="X73" s="475"/>
      <c r="Y73" s="475"/>
      <c r="Z73" s="475"/>
      <c r="AA73" s="475"/>
      <c r="AB73" s="475"/>
      <c r="AC73" s="475"/>
      <c r="AD73" s="477"/>
      <c r="AE73" s="477"/>
      <c r="AF73" s="478"/>
      <c r="AG73" s="478"/>
      <c r="AH73" s="479"/>
      <c r="AI73" s="473"/>
      <c r="AJ73" s="473"/>
      <c r="AK73" s="477"/>
      <c r="AL73" s="477"/>
      <c r="AM73" s="475"/>
      <c r="AN73" s="475"/>
      <c r="AO73" s="475"/>
      <c r="AP73" s="475"/>
      <c r="AQ73" s="479"/>
      <c r="AR73" s="479"/>
      <c r="AS73" s="475"/>
      <c r="AT73" s="475"/>
      <c r="AU73" s="478"/>
      <c r="AV73" s="475"/>
      <c r="AW73" s="475"/>
      <c r="AX73" s="475"/>
      <c r="AY73" s="475"/>
      <c r="AZ73" s="475"/>
      <c r="BA73" s="475"/>
      <c r="BB73" s="362"/>
    </row>
    <row r="74" ht="21.0" customHeight="1">
      <c r="A74" s="362"/>
      <c r="B74" s="362"/>
      <c r="C74" s="362"/>
      <c r="D74" s="362"/>
      <c r="E74" s="362"/>
      <c r="F74" s="362"/>
      <c r="G74" s="362"/>
      <c r="H74" s="362"/>
      <c r="I74" s="362"/>
      <c r="J74" s="363"/>
      <c r="K74" s="473"/>
      <c r="L74" s="474"/>
      <c r="M74" s="475"/>
      <c r="N74" s="475"/>
      <c r="O74" s="475"/>
      <c r="P74" s="475"/>
      <c r="Q74" s="475"/>
      <c r="R74" s="475"/>
      <c r="S74" s="475"/>
      <c r="T74" s="475"/>
      <c r="U74" s="475"/>
      <c r="V74" s="476"/>
      <c r="W74" s="475"/>
      <c r="X74" s="475"/>
      <c r="Y74" s="475"/>
      <c r="Z74" s="475"/>
      <c r="AA74" s="475"/>
      <c r="AB74" s="475"/>
      <c r="AC74" s="475"/>
      <c r="AD74" s="477"/>
      <c r="AE74" s="477"/>
      <c r="AF74" s="478"/>
      <c r="AG74" s="478"/>
      <c r="AH74" s="479"/>
      <c r="AI74" s="473"/>
      <c r="AJ74" s="473"/>
      <c r="AK74" s="477"/>
      <c r="AL74" s="477"/>
      <c r="AM74" s="475"/>
      <c r="AN74" s="475"/>
      <c r="AO74" s="475"/>
      <c r="AP74" s="475"/>
      <c r="AQ74" s="479"/>
      <c r="AR74" s="479"/>
      <c r="AS74" s="475"/>
      <c r="AT74" s="475"/>
      <c r="AU74" s="478"/>
      <c r="AV74" s="475"/>
      <c r="AW74" s="475"/>
      <c r="AX74" s="475"/>
      <c r="AY74" s="475"/>
      <c r="AZ74" s="475"/>
      <c r="BA74" s="475"/>
      <c r="BB74" s="362"/>
    </row>
    <row r="75" ht="21.0" customHeight="1">
      <c r="A75" s="362"/>
      <c r="B75" s="362"/>
      <c r="C75" s="362"/>
      <c r="D75" s="362"/>
      <c r="E75" s="362"/>
      <c r="F75" s="362"/>
      <c r="G75" s="362"/>
      <c r="H75" s="362"/>
      <c r="I75" s="362"/>
      <c r="J75" s="363"/>
      <c r="K75" s="473"/>
      <c r="L75" s="474"/>
      <c r="M75" s="475"/>
      <c r="N75" s="475"/>
      <c r="O75" s="475"/>
      <c r="P75" s="475"/>
      <c r="Q75" s="475"/>
      <c r="R75" s="475"/>
      <c r="S75" s="475"/>
      <c r="T75" s="475"/>
      <c r="U75" s="475"/>
      <c r="V75" s="476"/>
      <c r="W75" s="475"/>
      <c r="X75" s="475"/>
      <c r="Y75" s="475"/>
      <c r="Z75" s="475"/>
      <c r="AA75" s="475"/>
      <c r="AB75" s="475"/>
      <c r="AC75" s="475"/>
      <c r="AD75" s="477"/>
      <c r="AE75" s="477"/>
      <c r="AF75" s="478"/>
      <c r="AG75" s="478"/>
      <c r="AH75" s="479"/>
      <c r="AI75" s="473"/>
      <c r="AJ75" s="473"/>
      <c r="AK75" s="477"/>
      <c r="AL75" s="477"/>
      <c r="AM75" s="475"/>
      <c r="AN75" s="475"/>
      <c r="AO75" s="475"/>
      <c r="AP75" s="475"/>
      <c r="AQ75" s="479"/>
      <c r="AR75" s="479"/>
      <c r="AS75" s="475"/>
      <c r="AT75" s="475"/>
      <c r="AU75" s="478"/>
      <c r="AV75" s="475"/>
      <c r="AW75" s="475"/>
      <c r="AX75" s="475"/>
      <c r="AY75" s="475"/>
      <c r="AZ75" s="475"/>
      <c r="BA75" s="475"/>
      <c r="BB75" s="362"/>
    </row>
    <row r="76" ht="21.0" customHeight="1">
      <c r="A76" s="362"/>
      <c r="B76" s="362"/>
      <c r="C76" s="362"/>
      <c r="D76" s="362"/>
      <c r="E76" s="362"/>
      <c r="F76" s="362"/>
      <c r="G76" s="362"/>
      <c r="H76" s="362"/>
      <c r="I76" s="362"/>
      <c r="J76" s="363"/>
      <c r="K76" s="364"/>
      <c r="L76" s="365"/>
      <c r="M76" s="363"/>
      <c r="N76" s="363"/>
      <c r="O76" s="363"/>
      <c r="P76" s="363"/>
      <c r="Q76" s="363"/>
      <c r="R76" s="363"/>
      <c r="S76" s="363"/>
      <c r="T76" s="363"/>
      <c r="U76" s="363"/>
      <c r="V76" s="366"/>
      <c r="W76" s="363"/>
      <c r="X76" s="363"/>
      <c r="Y76" s="363"/>
      <c r="Z76" s="363"/>
      <c r="AA76" s="363"/>
      <c r="AB76" s="363"/>
      <c r="AC76" s="363"/>
      <c r="AD76" s="367"/>
      <c r="AE76" s="367"/>
      <c r="AF76" s="368"/>
      <c r="AG76" s="368"/>
      <c r="AH76" s="369"/>
      <c r="AI76" s="364"/>
      <c r="AJ76" s="364"/>
      <c r="AK76" s="367"/>
      <c r="AL76" s="367"/>
      <c r="AM76" s="363"/>
      <c r="AN76" s="363"/>
      <c r="AO76" s="363"/>
      <c r="AP76" s="363"/>
      <c r="AQ76" s="369"/>
      <c r="AR76" s="369"/>
      <c r="AS76" s="363"/>
      <c r="AT76" s="363"/>
      <c r="AU76" s="368"/>
      <c r="AV76" s="363"/>
      <c r="AW76" s="363"/>
      <c r="AX76" s="363"/>
      <c r="AY76" s="363"/>
      <c r="AZ76" s="363"/>
      <c r="BA76" s="363"/>
      <c r="BB76" s="362"/>
    </row>
    <row r="77" ht="21.0" customHeight="1">
      <c r="A77" s="362"/>
      <c r="B77" s="362"/>
      <c r="C77" s="362"/>
      <c r="D77" s="362"/>
      <c r="E77" s="362"/>
      <c r="F77" s="362"/>
      <c r="G77" s="362"/>
      <c r="H77" s="362"/>
      <c r="I77" s="362"/>
      <c r="J77" s="363"/>
      <c r="K77" s="364"/>
      <c r="L77" s="365"/>
      <c r="M77" s="363"/>
      <c r="N77" s="363"/>
      <c r="O77" s="363"/>
      <c r="P77" s="363"/>
      <c r="Q77" s="363"/>
      <c r="R77" s="363"/>
      <c r="S77" s="363"/>
      <c r="T77" s="363"/>
      <c r="U77" s="363"/>
      <c r="V77" s="366"/>
      <c r="W77" s="363"/>
      <c r="X77" s="363"/>
      <c r="Y77" s="363"/>
      <c r="Z77" s="363"/>
      <c r="AA77" s="363"/>
      <c r="AB77" s="363"/>
      <c r="AC77" s="363"/>
      <c r="AD77" s="367"/>
      <c r="AE77" s="367"/>
      <c r="AF77" s="368"/>
      <c r="AG77" s="368"/>
      <c r="AH77" s="369"/>
      <c r="AI77" s="364"/>
      <c r="AJ77" s="364"/>
      <c r="AK77" s="367"/>
      <c r="AL77" s="367"/>
      <c r="AM77" s="363"/>
      <c r="AN77" s="363"/>
      <c r="AO77" s="363"/>
      <c r="AP77" s="363"/>
      <c r="AQ77" s="369"/>
      <c r="AR77" s="369"/>
      <c r="AS77" s="363"/>
      <c r="AT77" s="363"/>
      <c r="AU77" s="368"/>
      <c r="AV77" s="363"/>
      <c r="AW77" s="363"/>
      <c r="AX77" s="363"/>
      <c r="AY77" s="363"/>
      <c r="AZ77" s="363"/>
      <c r="BA77" s="363"/>
      <c r="BB77" s="362"/>
    </row>
    <row r="78" ht="21.0" customHeight="1">
      <c r="A78" s="362"/>
      <c r="B78" s="362"/>
      <c r="C78" s="362"/>
      <c r="D78" s="362"/>
      <c r="E78" s="362"/>
      <c r="F78" s="362"/>
      <c r="G78" s="362"/>
      <c r="H78" s="362"/>
      <c r="I78" s="362"/>
      <c r="J78" s="363"/>
      <c r="K78" s="364"/>
      <c r="L78" s="365"/>
      <c r="M78" s="363"/>
      <c r="N78" s="363"/>
      <c r="O78" s="363"/>
      <c r="P78" s="363"/>
      <c r="Q78" s="363"/>
      <c r="R78" s="363"/>
      <c r="S78" s="363"/>
      <c r="T78" s="363"/>
      <c r="U78" s="363"/>
      <c r="V78" s="366"/>
      <c r="W78" s="363"/>
      <c r="X78" s="363"/>
      <c r="Y78" s="363"/>
      <c r="Z78" s="363"/>
      <c r="AA78" s="363"/>
      <c r="AB78" s="363"/>
      <c r="AC78" s="363"/>
      <c r="AD78" s="367"/>
      <c r="AE78" s="367"/>
      <c r="AF78" s="368"/>
      <c r="AG78" s="368"/>
      <c r="AH78" s="369"/>
      <c r="AI78" s="364"/>
      <c r="AJ78" s="364"/>
      <c r="AK78" s="367"/>
      <c r="AL78" s="367"/>
      <c r="AM78" s="363"/>
      <c r="AN78" s="363"/>
      <c r="AO78" s="363"/>
      <c r="AP78" s="363"/>
      <c r="AQ78" s="369"/>
      <c r="AR78" s="369"/>
      <c r="AS78" s="363"/>
      <c r="AT78" s="363"/>
      <c r="AU78" s="368"/>
      <c r="AV78" s="363"/>
      <c r="AW78" s="363"/>
      <c r="AX78" s="363"/>
      <c r="AY78" s="363"/>
      <c r="AZ78" s="363"/>
      <c r="BA78" s="363"/>
      <c r="BB78" s="362"/>
    </row>
    <row r="79" ht="21.0" customHeight="1">
      <c r="A79" s="362"/>
      <c r="B79" s="362"/>
      <c r="C79" s="362"/>
      <c r="D79" s="362"/>
      <c r="E79" s="362"/>
      <c r="F79" s="362"/>
      <c r="G79" s="362"/>
      <c r="H79" s="362"/>
      <c r="I79" s="362"/>
      <c r="J79" s="363"/>
      <c r="K79" s="364"/>
      <c r="L79" s="365"/>
      <c r="M79" s="363"/>
      <c r="N79" s="363"/>
      <c r="O79" s="363"/>
      <c r="P79" s="363"/>
      <c r="Q79" s="363"/>
      <c r="R79" s="363"/>
      <c r="S79" s="363"/>
      <c r="T79" s="363"/>
      <c r="U79" s="363"/>
      <c r="V79" s="366"/>
      <c r="W79" s="363"/>
      <c r="X79" s="363"/>
      <c r="Y79" s="363"/>
      <c r="Z79" s="363"/>
      <c r="AA79" s="363"/>
      <c r="AB79" s="363"/>
      <c r="AC79" s="363"/>
      <c r="AD79" s="367"/>
      <c r="AE79" s="367"/>
      <c r="AF79" s="368"/>
      <c r="AG79" s="368"/>
      <c r="AH79" s="369"/>
      <c r="AI79" s="364"/>
      <c r="AJ79" s="364"/>
      <c r="AK79" s="367"/>
      <c r="AL79" s="367"/>
      <c r="AM79" s="363"/>
      <c r="AN79" s="363"/>
      <c r="AO79" s="363"/>
      <c r="AP79" s="363"/>
      <c r="AQ79" s="369"/>
      <c r="AR79" s="369"/>
      <c r="AS79" s="363"/>
      <c r="AT79" s="363"/>
      <c r="AU79" s="368"/>
      <c r="AV79" s="363"/>
      <c r="AW79" s="363"/>
      <c r="AX79" s="363"/>
      <c r="AY79" s="363"/>
      <c r="AZ79" s="363"/>
      <c r="BA79" s="363"/>
      <c r="BB79" s="362"/>
    </row>
    <row r="80" ht="21.0" customHeight="1">
      <c r="A80" s="362"/>
      <c r="B80" s="362"/>
      <c r="C80" s="362"/>
      <c r="D80" s="362"/>
      <c r="E80" s="362"/>
      <c r="F80" s="362"/>
      <c r="G80" s="362"/>
      <c r="H80" s="362"/>
      <c r="I80" s="362"/>
      <c r="J80" s="363"/>
      <c r="K80" s="364"/>
      <c r="L80" s="365"/>
      <c r="M80" s="363"/>
      <c r="N80" s="363"/>
      <c r="O80" s="363"/>
      <c r="P80" s="363"/>
      <c r="Q80" s="363"/>
      <c r="R80" s="363"/>
      <c r="S80" s="363"/>
      <c r="T80" s="363"/>
      <c r="U80" s="363"/>
      <c r="V80" s="366"/>
      <c r="W80" s="363"/>
      <c r="X80" s="363"/>
      <c r="Y80" s="363"/>
      <c r="Z80" s="363"/>
      <c r="AA80" s="363"/>
      <c r="AB80" s="363"/>
      <c r="AC80" s="363"/>
      <c r="AD80" s="367"/>
      <c r="AE80" s="367"/>
      <c r="AF80" s="368"/>
      <c r="AG80" s="368"/>
      <c r="AH80" s="369"/>
      <c r="AI80" s="364"/>
      <c r="AJ80" s="364"/>
      <c r="AK80" s="367"/>
      <c r="AL80" s="367"/>
      <c r="AM80" s="363"/>
      <c r="AN80" s="363"/>
      <c r="AO80" s="363"/>
      <c r="AP80" s="363"/>
      <c r="AQ80" s="369"/>
      <c r="AR80" s="369"/>
      <c r="AS80" s="363"/>
      <c r="AT80" s="363"/>
      <c r="AU80" s="368"/>
      <c r="AV80" s="363"/>
      <c r="AW80" s="363"/>
      <c r="AX80" s="363"/>
      <c r="AY80" s="363"/>
      <c r="AZ80" s="363"/>
      <c r="BA80" s="363"/>
      <c r="BB80" s="362"/>
    </row>
    <row r="81" ht="21.0" customHeight="1">
      <c r="A81" s="362"/>
      <c r="B81" s="362"/>
      <c r="C81" s="362"/>
      <c r="D81" s="362"/>
      <c r="E81" s="362"/>
      <c r="F81" s="362"/>
      <c r="G81" s="362"/>
      <c r="H81" s="362"/>
      <c r="I81" s="362"/>
      <c r="J81" s="363"/>
      <c r="K81" s="364"/>
      <c r="L81" s="365"/>
      <c r="M81" s="363"/>
      <c r="N81" s="363"/>
      <c r="O81" s="363"/>
      <c r="P81" s="363"/>
      <c r="Q81" s="363"/>
      <c r="R81" s="363"/>
      <c r="S81" s="363"/>
      <c r="T81" s="363"/>
      <c r="U81" s="363"/>
      <c r="V81" s="366"/>
      <c r="W81" s="363"/>
      <c r="X81" s="363"/>
      <c r="Y81" s="363"/>
      <c r="Z81" s="363"/>
      <c r="AA81" s="363"/>
      <c r="AB81" s="363"/>
      <c r="AC81" s="363"/>
      <c r="AD81" s="367"/>
      <c r="AE81" s="367"/>
      <c r="AF81" s="368"/>
      <c r="AG81" s="368"/>
      <c r="AH81" s="369"/>
      <c r="AI81" s="364"/>
      <c r="AJ81" s="364"/>
      <c r="AK81" s="367"/>
      <c r="AL81" s="367"/>
      <c r="AM81" s="363"/>
      <c r="AN81" s="363"/>
      <c r="AO81" s="363"/>
      <c r="AP81" s="363"/>
      <c r="AQ81" s="369"/>
      <c r="AR81" s="369"/>
      <c r="AS81" s="363"/>
      <c r="AT81" s="363"/>
      <c r="AU81" s="368"/>
      <c r="AV81" s="363"/>
      <c r="AW81" s="363"/>
      <c r="AX81" s="363"/>
      <c r="AY81" s="363"/>
      <c r="AZ81" s="363"/>
      <c r="BA81" s="363"/>
      <c r="BB81" s="362"/>
    </row>
    <row r="82" ht="21.0" customHeight="1">
      <c r="A82" s="362"/>
      <c r="B82" s="362"/>
      <c r="C82" s="362"/>
      <c r="D82" s="362"/>
      <c r="E82" s="362"/>
      <c r="F82" s="362"/>
      <c r="G82" s="362"/>
      <c r="H82" s="362"/>
      <c r="I82" s="362"/>
      <c r="J82" s="363"/>
      <c r="K82" s="364"/>
      <c r="L82" s="365"/>
      <c r="M82" s="363"/>
      <c r="N82" s="363"/>
      <c r="O82" s="363"/>
      <c r="P82" s="363"/>
      <c r="Q82" s="363"/>
      <c r="R82" s="363"/>
      <c r="S82" s="363"/>
      <c r="T82" s="363"/>
      <c r="U82" s="363"/>
      <c r="V82" s="366"/>
      <c r="W82" s="363"/>
      <c r="X82" s="363"/>
      <c r="Y82" s="363"/>
      <c r="Z82" s="363"/>
      <c r="AA82" s="363"/>
      <c r="AB82" s="363"/>
      <c r="AC82" s="363"/>
      <c r="AD82" s="367"/>
      <c r="AE82" s="367"/>
      <c r="AF82" s="368"/>
      <c r="AG82" s="368"/>
      <c r="AH82" s="369"/>
      <c r="AI82" s="364"/>
      <c r="AJ82" s="364"/>
      <c r="AK82" s="367"/>
      <c r="AL82" s="367"/>
      <c r="AM82" s="363"/>
      <c r="AN82" s="363"/>
      <c r="AO82" s="363"/>
      <c r="AP82" s="363"/>
      <c r="AQ82" s="369"/>
      <c r="AR82" s="369"/>
      <c r="AS82" s="363"/>
      <c r="AT82" s="363"/>
      <c r="AU82" s="368"/>
      <c r="AV82" s="363"/>
      <c r="AW82" s="363"/>
      <c r="AX82" s="363"/>
      <c r="AY82" s="363"/>
      <c r="AZ82" s="363"/>
      <c r="BA82" s="363"/>
      <c r="BB82" s="362"/>
    </row>
    <row r="83" ht="21.0" customHeight="1">
      <c r="A83" s="362"/>
      <c r="B83" s="362"/>
      <c r="C83" s="362"/>
      <c r="D83" s="362"/>
      <c r="E83" s="362"/>
      <c r="F83" s="362"/>
      <c r="G83" s="362"/>
      <c r="H83" s="362"/>
      <c r="I83" s="362"/>
      <c r="J83" s="363"/>
      <c r="K83" s="364"/>
      <c r="L83" s="365"/>
      <c r="M83" s="363"/>
      <c r="N83" s="363"/>
      <c r="O83" s="363"/>
      <c r="P83" s="363"/>
      <c r="Q83" s="363"/>
      <c r="R83" s="363"/>
      <c r="S83" s="363"/>
      <c r="T83" s="363"/>
      <c r="U83" s="363"/>
      <c r="V83" s="366"/>
      <c r="W83" s="363"/>
      <c r="X83" s="363"/>
      <c r="Y83" s="363"/>
      <c r="Z83" s="363"/>
      <c r="AA83" s="363"/>
      <c r="AB83" s="363"/>
      <c r="AC83" s="363"/>
      <c r="AD83" s="367"/>
      <c r="AE83" s="367"/>
      <c r="AF83" s="368"/>
      <c r="AG83" s="368"/>
      <c r="AH83" s="369"/>
      <c r="AI83" s="364"/>
      <c r="AJ83" s="364"/>
      <c r="AK83" s="367"/>
      <c r="AL83" s="367"/>
      <c r="AM83" s="363"/>
      <c r="AN83" s="363"/>
      <c r="AO83" s="363"/>
      <c r="AP83" s="363"/>
      <c r="AQ83" s="369"/>
      <c r="AR83" s="369"/>
      <c r="AS83" s="363"/>
      <c r="AT83" s="363"/>
      <c r="AU83" s="368"/>
      <c r="AV83" s="363"/>
      <c r="AW83" s="363"/>
      <c r="AX83" s="363"/>
      <c r="AY83" s="363"/>
      <c r="AZ83" s="363"/>
      <c r="BA83" s="363"/>
      <c r="BB83" s="362"/>
    </row>
    <row r="84" ht="21.0" customHeight="1">
      <c r="A84" s="362"/>
      <c r="B84" s="362"/>
      <c r="C84" s="362"/>
      <c r="D84" s="362"/>
      <c r="E84" s="362"/>
      <c r="F84" s="362"/>
      <c r="G84" s="362"/>
      <c r="H84" s="362"/>
      <c r="I84" s="362"/>
      <c r="J84" s="363"/>
      <c r="K84" s="364"/>
      <c r="L84" s="365"/>
      <c r="M84" s="363"/>
      <c r="N84" s="363"/>
      <c r="O84" s="363"/>
      <c r="P84" s="363"/>
      <c r="Q84" s="363"/>
      <c r="R84" s="363"/>
      <c r="S84" s="363"/>
      <c r="T84" s="363"/>
      <c r="U84" s="363"/>
      <c r="V84" s="366"/>
      <c r="W84" s="363"/>
      <c r="X84" s="363"/>
      <c r="Y84" s="363"/>
      <c r="Z84" s="363"/>
      <c r="AA84" s="363"/>
      <c r="AB84" s="363"/>
      <c r="AC84" s="363"/>
      <c r="AD84" s="367"/>
      <c r="AE84" s="367"/>
      <c r="AF84" s="368"/>
      <c r="AG84" s="368"/>
      <c r="AH84" s="369"/>
      <c r="AI84" s="364"/>
      <c r="AJ84" s="364"/>
      <c r="AK84" s="367"/>
      <c r="AL84" s="367"/>
      <c r="AM84" s="363"/>
      <c r="AN84" s="363"/>
      <c r="AO84" s="363"/>
      <c r="AP84" s="363"/>
      <c r="AQ84" s="369"/>
      <c r="AR84" s="369"/>
      <c r="AS84" s="363"/>
      <c r="AT84" s="363"/>
      <c r="AU84" s="368"/>
      <c r="AV84" s="363"/>
      <c r="AW84" s="363"/>
      <c r="AX84" s="363"/>
      <c r="AY84" s="363"/>
      <c r="AZ84" s="363"/>
      <c r="BA84" s="363"/>
      <c r="BB84" s="362"/>
    </row>
    <row r="85" ht="21.0" customHeight="1">
      <c r="A85" s="362"/>
      <c r="B85" s="362"/>
      <c r="C85" s="362"/>
      <c r="D85" s="362"/>
      <c r="E85" s="362"/>
      <c r="F85" s="362"/>
      <c r="G85" s="362"/>
      <c r="H85" s="362"/>
      <c r="I85" s="362"/>
      <c r="J85" s="363"/>
      <c r="K85" s="364"/>
      <c r="L85" s="365"/>
      <c r="M85" s="363"/>
      <c r="N85" s="363"/>
      <c r="O85" s="363"/>
      <c r="P85" s="363"/>
      <c r="Q85" s="363"/>
      <c r="R85" s="363"/>
      <c r="S85" s="363"/>
      <c r="T85" s="363"/>
      <c r="U85" s="363"/>
      <c r="V85" s="366"/>
      <c r="W85" s="363"/>
      <c r="X85" s="363"/>
      <c r="Y85" s="363"/>
      <c r="Z85" s="363"/>
      <c r="AA85" s="363"/>
      <c r="AB85" s="363"/>
      <c r="AC85" s="363"/>
      <c r="AD85" s="367"/>
      <c r="AE85" s="367"/>
      <c r="AF85" s="368"/>
      <c r="AG85" s="368"/>
      <c r="AH85" s="369"/>
      <c r="AI85" s="364"/>
      <c r="AJ85" s="364"/>
      <c r="AK85" s="367"/>
      <c r="AL85" s="367"/>
      <c r="AM85" s="363"/>
      <c r="AN85" s="363"/>
      <c r="AO85" s="363"/>
      <c r="AP85" s="363"/>
      <c r="AQ85" s="369"/>
      <c r="AR85" s="369"/>
      <c r="AS85" s="363"/>
      <c r="AT85" s="363"/>
      <c r="AU85" s="368"/>
      <c r="AV85" s="363"/>
      <c r="AW85" s="363"/>
      <c r="AX85" s="363"/>
      <c r="AY85" s="363"/>
      <c r="AZ85" s="363"/>
      <c r="BA85" s="363"/>
      <c r="BB85" s="362"/>
    </row>
    <row r="86" ht="21.0" customHeight="1">
      <c r="A86" s="362"/>
      <c r="B86" s="362"/>
      <c r="C86" s="362"/>
      <c r="D86" s="362"/>
      <c r="E86" s="362"/>
      <c r="F86" s="362"/>
      <c r="G86" s="362"/>
      <c r="H86" s="362"/>
      <c r="I86" s="362"/>
      <c r="J86" s="363"/>
      <c r="K86" s="364"/>
      <c r="L86" s="365"/>
      <c r="M86" s="363"/>
      <c r="N86" s="363"/>
      <c r="O86" s="363"/>
      <c r="P86" s="363"/>
      <c r="Q86" s="363"/>
      <c r="R86" s="363"/>
      <c r="S86" s="363"/>
      <c r="T86" s="363"/>
      <c r="U86" s="363"/>
      <c r="V86" s="366"/>
      <c r="W86" s="363"/>
      <c r="X86" s="363"/>
      <c r="Y86" s="363"/>
      <c r="Z86" s="363"/>
      <c r="AA86" s="363"/>
      <c r="AB86" s="363"/>
      <c r="AC86" s="363"/>
      <c r="AD86" s="367"/>
      <c r="AE86" s="367"/>
      <c r="AF86" s="368"/>
      <c r="AG86" s="368"/>
      <c r="AH86" s="369"/>
      <c r="AI86" s="364"/>
      <c r="AJ86" s="364"/>
      <c r="AK86" s="367"/>
      <c r="AL86" s="367"/>
      <c r="AM86" s="363"/>
      <c r="AN86" s="363"/>
      <c r="AO86" s="363"/>
      <c r="AP86" s="363"/>
      <c r="AQ86" s="369"/>
      <c r="AR86" s="369"/>
      <c r="AS86" s="363"/>
      <c r="AT86" s="363"/>
      <c r="AU86" s="368"/>
      <c r="AV86" s="363"/>
      <c r="AW86" s="363"/>
      <c r="AX86" s="363"/>
      <c r="AY86" s="363"/>
      <c r="AZ86" s="363"/>
      <c r="BA86" s="363"/>
      <c r="BB86" s="362"/>
    </row>
    <row r="87" ht="21.0" customHeight="1">
      <c r="A87" s="362"/>
      <c r="B87" s="362"/>
      <c r="C87" s="362"/>
      <c r="D87" s="362"/>
      <c r="E87" s="362"/>
      <c r="F87" s="362"/>
      <c r="G87" s="362"/>
      <c r="H87" s="362"/>
      <c r="I87" s="362"/>
      <c r="J87" s="363"/>
      <c r="K87" s="364"/>
      <c r="L87" s="365"/>
      <c r="M87" s="363"/>
      <c r="N87" s="363"/>
      <c r="O87" s="363"/>
      <c r="P87" s="363"/>
      <c r="Q87" s="363"/>
      <c r="R87" s="363"/>
      <c r="S87" s="363"/>
      <c r="T87" s="363"/>
      <c r="U87" s="363"/>
      <c r="V87" s="366"/>
      <c r="W87" s="363"/>
      <c r="X87" s="363"/>
      <c r="Y87" s="363"/>
      <c r="Z87" s="363"/>
      <c r="AA87" s="363"/>
      <c r="AB87" s="363"/>
      <c r="AC87" s="363"/>
      <c r="AD87" s="367"/>
      <c r="AE87" s="367"/>
      <c r="AF87" s="368"/>
      <c r="AG87" s="368"/>
      <c r="AH87" s="369"/>
      <c r="AI87" s="364"/>
      <c r="AJ87" s="364"/>
      <c r="AK87" s="367"/>
      <c r="AL87" s="367"/>
      <c r="AM87" s="363"/>
      <c r="AN87" s="363"/>
      <c r="AO87" s="363"/>
      <c r="AP87" s="363"/>
      <c r="AQ87" s="369"/>
      <c r="AR87" s="369"/>
      <c r="AS87" s="363"/>
      <c r="AT87" s="363"/>
      <c r="AU87" s="368"/>
      <c r="AV87" s="363"/>
      <c r="AW87" s="363"/>
      <c r="AX87" s="363"/>
      <c r="AY87" s="363"/>
      <c r="AZ87" s="363"/>
      <c r="BA87" s="363"/>
      <c r="BB87" s="362"/>
    </row>
    <row r="88" ht="21.0" customHeight="1">
      <c r="A88" s="362"/>
      <c r="B88" s="362"/>
      <c r="C88" s="362"/>
      <c r="D88" s="362"/>
      <c r="E88" s="362"/>
      <c r="F88" s="362"/>
      <c r="G88" s="362"/>
      <c r="H88" s="362"/>
      <c r="I88" s="362"/>
      <c r="J88" s="363"/>
      <c r="K88" s="364"/>
      <c r="L88" s="365"/>
      <c r="M88" s="363"/>
      <c r="N88" s="363"/>
      <c r="O88" s="363"/>
      <c r="P88" s="363"/>
      <c r="Q88" s="363"/>
      <c r="R88" s="363"/>
      <c r="S88" s="363"/>
      <c r="T88" s="363"/>
      <c r="U88" s="363"/>
      <c r="V88" s="366"/>
      <c r="W88" s="363"/>
      <c r="X88" s="363"/>
      <c r="Y88" s="363"/>
      <c r="Z88" s="363"/>
      <c r="AA88" s="363"/>
      <c r="AB88" s="363"/>
      <c r="AC88" s="363"/>
      <c r="AD88" s="367"/>
      <c r="AE88" s="367"/>
      <c r="AF88" s="368"/>
      <c r="AG88" s="368"/>
      <c r="AH88" s="369"/>
      <c r="AI88" s="364"/>
      <c r="AJ88" s="364"/>
      <c r="AK88" s="367"/>
      <c r="AL88" s="367"/>
      <c r="AM88" s="363"/>
      <c r="AN88" s="363"/>
      <c r="AO88" s="363"/>
      <c r="AP88" s="363"/>
      <c r="AQ88" s="369"/>
      <c r="AR88" s="369"/>
      <c r="AS88" s="363"/>
      <c r="AT88" s="363"/>
      <c r="AU88" s="368"/>
      <c r="AV88" s="363"/>
      <c r="AW88" s="363"/>
      <c r="AX88" s="363"/>
      <c r="AY88" s="363"/>
      <c r="AZ88" s="363"/>
      <c r="BA88" s="363"/>
      <c r="BB88" s="362"/>
    </row>
    <row r="89" ht="21.0" customHeight="1">
      <c r="A89" s="362"/>
      <c r="B89" s="362"/>
      <c r="C89" s="362"/>
      <c r="D89" s="362"/>
      <c r="E89" s="362"/>
      <c r="F89" s="362"/>
      <c r="G89" s="362"/>
      <c r="H89" s="362"/>
      <c r="I89" s="362"/>
      <c r="J89" s="363"/>
      <c r="K89" s="364"/>
      <c r="L89" s="365"/>
      <c r="M89" s="363"/>
      <c r="N89" s="363"/>
      <c r="O89" s="363"/>
      <c r="P89" s="363"/>
      <c r="Q89" s="363"/>
      <c r="R89" s="363"/>
      <c r="S89" s="363"/>
      <c r="T89" s="363"/>
      <c r="U89" s="363"/>
      <c r="V89" s="366"/>
      <c r="W89" s="363"/>
      <c r="X89" s="363"/>
      <c r="Y89" s="363"/>
      <c r="Z89" s="363"/>
      <c r="AA89" s="363"/>
      <c r="AB89" s="363"/>
      <c r="AC89" s="363"/>
      <c r="AD89" s="367"/>
      <c r="AE89" s="367"/>
      <c r="AF89" s="368"/>
      <c r="AG89" s="368"/>
      <c r="AH89" s="369"/>
      <c r="AI89" s="364"/>
      <c r="AJ89" s="364"/>
      <c r="AK89" s="367"/>
      <c r="AL89" s="367"/>
      <c r="AM89" s="363"/>
      <c r="AN89" s="363"/>
      <c r="AO89" s="363"/>
      <c r="AP89" s="363"/>
      <c r="AQ89" s="369"/>
      <c r="AR89" s="369"/>
      <c r="AS89" s="363"/>
      <c r="AT89" s="363"/>
      <c r="AU89" s="368"/>
      <c r="AV89" s="363"/>
      <c r="AW89" s="363"/>
      <c r="AX89" s="363"/>
      <c r="AY89" s="363"/>
      <c r="AZ89" s="363"/>
      <c r="BA89" s="363"/>
      <c r="BB89" s="362"/>
    </row>
    <row r="90" ht="21.0" customHeight="1">
      <c r="A90" s="362"/>
      <c r="B90" s="362"/>
      <c r="C90" s="362"/>
      <c r="D90" s="362"/>
      <c r="E90" s="362"/>
      <c r="F90" s="362"/>
      <c r="G90" s="362"/>
      <c r="H90" s="362"/>
      <c r="I90" s="362"/>
      <c r="J90" s="363"/>
      <c r="K90" s="364"/>
      <c r="L90" s="365"/>
      <c r="M90" s="363"/>
      <c r="N90" s="363"/>
      <c r="O90" s="363"/>
      <c r="P90" s="363"/>
      <c r="Q90" s="363"/>
      <c r="R90" s="363"/>
      <c r="S90" s="363"/>
      <c r="T90" s="363"/>
      <c r="U90" s="363"/>
      <c r="V90" s="366"/>
      <c r="W90" s="363"/>
      <c r="X90" s="363"/>
      <c r="Y90" s="363"/>
      <c r="Z90" s="363"/>
      <c r="AA90" s="363"/>
      <c r="AB90" s="363"/>
      <c r="AC90" s="363"/>
      <c r="AD90" s="367"/>
      <c r="AE90" s="367"/>
      <c r="AF90" s="368"/>
      <c r="AG90" s="368"/>
      <c r="AH90" s="369"/>
      <c r="AI90" s="364"/>
      <c r="AJ90" s="364"/>
      <c r="AK90" s="367"/>
      <c r="AL90" s="367"/>
      <c r="AM90" s="363"/>
      <c r="AN90" s="363"/>
      <c r="AO90" s="363"/>
      <c r="AP90" s="363"/>
      <c r="AQ90" s="369"/>
      <c r="AR90" s="369"/>
      <c r="AS90" s="363"/>
      <c r="AT90" s="363"/>
      <c r="AU90" s="368"/>
      <c r="AV90" s="363"/>
      <c r="AW90" s="363"/>
      <c r="AX90" s="363"/>
      <c r="AY90" s="363"/>
      <c r="AZ90" s="363"/>
      <c r="BA90" s="363"/>
      <c r="BB90" s="362"/>
    </row>
    <row r="91" ht="21.0" customHeight="1">
      <c r="A91" s="362"/>
      <c r="B91" s="362"/>
      <c r="C91" s="362"/>
      <c r="D91" s="362"/>
      <c r="E91" s="362"/>
      <c r="F91" s="362"/>
      <c r="G91" s="362"/>
      <c r="H91" s="362"/>
      <c r="I91" s="362"/>
      <c r="J91" s="363"/>
      <c r="K91" s="364"/>
      <c r="L91" s="365"/>
      <c r="M91" s="363"/>
      <c r="N91" s="363"/>
      <c r="O91" s="363"/>
      <c r="P91" s="363"/>
      <c r="Q91" s="363"/>
      <c r="R91" s="363"/>
      <c r="S91" s="363"/>
      <c r="T91" s="363"/>
      <c r="U91" s="363"/>
      <c r="V91" s="366"/>
      <c r="W91" s="363"/>
      <c r="X91" s="363"/>
      <c r="Y91" s="363"/>
      <c r="Z91" s="363"/>
      <c r="AA91" s="363"/>
      <c r="AB91" s="363"/>
      <c r="AC91" s="363"/>
      <c r="AD91" s="367"/>
      <c r="AE91" s="367"/>
      <c r="AF91" s="368"/>
      <c r="AG91" s="368"/>
      <c r="AH91" s="369"/>
      <c r="AI91" s="364"/>
      <c r="AJ91" s="364"/>
      <c r="AK91" s="367"/>
      <c r="AL91" s="367"/>
      <c r="AM91" s="363"/>
      <c r="AN91" s="363"/>
      <c r="AO91" s="363"/>
      <c r="AP91" s="363"/>
      <c r="AQ91" s="369"/>
      <c r="AR91" s="369"/>
      <c r="AS91" s="363"/>
      <c r="AT91" s="363"/>
      <c r="AU91" s="368"/>
      <c r="AV91" s="363"/>
      <c r="AW91" s="363"/>
      <c r="AX91" s="363"/>
      <c r="AY91" s="363"/>
      <c r="AZ91" s="363"/>
      <c r="BA91" s="363"/>
      <c r="BB91" s="362"/>
    </row>
    <row r="92" ht="21.0" customHeight="1">
      <c r="A92" s="362"/>
      <c r="B92" s="362"/>
      <c r="C92" s="362"/>
      <c r="D92" s="362"/>
      <c r="E92" s="362"/>
      <c r="F92" s="362"/>
      <c r="G92" s="362"/>
      <c r="H92" s="362"/>
      <c r="I92" s="362"/>
      <c r="J92" s="363"/>
      <c r="K92" s="364"/>
      <c r="L92" s="365"/>
      <c r="M92" s="363"/>
      <c r="N92" s="363"/>
      <c r="O92" s="363"/>
      <c r="P92" s="363"/>
      <c r="Q92" s="363"/>
      <c r="R92" s="363"/>
      <c r="S92" s="363"/>
      <c r="T92" s="363"/>
      <c r="U92" s="363"/>
      <c r="V92" s="366"/>
      <c r="W92" s="363"/>
      <c r="X92" s="363"/>
      <c r="Y92" s="363"/>
      <c r="Z92" s="363"/>
      <c r="AA92" s="363"/>
      <c r="AB92" s="363"/>
      <c r="AC92" s="363"/>
      <c r="AD92" s="367"/>
      <c r="AE92" s="367"/>
      <c r="AF92" s="368"/>
      <c r="AG92" s="368"/>
      <c r="AH92" s="369"/>
      <c r="AI92" s="364"/>
      <c r="AJ92" s="364"/>
      <c r="AK92" s="367"/>
      <c r="AL92" s="367"/>
      <c r="AM92" s="363"/>
      <c r="AN92" s="363"/>
      <c r="AO92" s="363"/>
      <c r="AP92" s="363"/>
      <c r="AQ92" s="369"/>
      <c r="AR92" s="369"/>
      <c r="AS92" s="363"/>
      <c r="AT92" s="363"/>
      <c r="AU92" s="368"/>
      <c r="AV92" s="363"/>
      <c r="AW92" s="363"/>
      <c r="AX92" s="363"/>
      <c r="AY92" s="363"/>
      <c r="AZ92" s="363"/>
      <c r="BA92" s="363"/>
      <c r="BB92" s="362"/>
    </row>
    <row r="93" ht="21.0" customHeight="1">
      <c r="A93" s="362"/>
      <c r="B93" s="362"/>
      <c r="C93" s="362"/>
      <c r="D93" s="362"/>
      <c r="E93" s="362"/>
      <c r="F93" s="362"/>
      <c r="G93" s="362"/>
      <c r="H93" s="362"/>
      <c r="I93" s="362"/>
      <c r="J93" s="363"/>
      <c r="K93" s="364"/>
      <c r="L93" s="365"/>
      <c r="M93" s="363"/>
      <c r="N93" s="363"/>
      <c r="O93" s="363"/>
      <c r="P93" s="363"/>
      <c r="Q93" s="363"/>
      <c r="R93" s="363"/>
      <c r="S93" s="363"/>
      <c r="T93" s="363"/>
      <c r="U93" s="363"/>
      <c r="V93" s="366"/>
      <c r="W93" s="363"/>
      <c r="X93" s="363"/>
      <c r="Y93" s="363"/>
      <c r="Z93" s="363"/>
      <c r="AA93" s="363"/>
      <c r="AB93" s="363"/>
      <c r="AC93" s="363"/>
      <c r="AD93" s="367"/>
      <c r="AE93" s="367"/>
      <c r="AF93" s="368"/>
      <c r="AG93" s="368"/>
      <c r="AH93" s="369"/>
      <c r="AI93" s="364"/>
      <c r="AJ93" s="364"/>
      <c r="AK93" s="367"/>
      <c r="AL93" s="367"/>
      <c r="AM93" s="363"/>
      <c r="AN93" s="363"/>
      <c r="AO93" s="363"/>
      <c r="AP93" s="363"/>
      <c r="AQ93" s="369"/>
      <c r="AR93" s="369"/>
      <c r="AS93" s="363"/>
      <c r="AT93" s="363"/>
      <c r="AU93" s="368"/>
      <c r="AV93" s="363"/>
      <c r="AW93" s="363"/>
      <c r="AX93" s="363"/>
      <c r="AY93" s="363"/>
      <c r="AZ93" s="363"/>
      <c r="BA93" s="363"/>
      <c r="BB93" s="362"/>
    </row>
    <row r="94" ht="21.0" customHeight="1">
      <c r="A94" s="362"/>
      <c r="B94" s="362"/>
      <c r="C94" s="362"/>
      <c r="D94" s="362"/>
      <c r="E94" s="362"/>
      <c r="F94" s="362"/>
      <c r="G94" s="362"/>
      <c r="H94" s="362"/>
      <c r="I94" s="362"/>
      <c r="J94" s="363"/>
      <c r="K94" s="364"/>
      <c r="L94" s="365"/>
      <c r="M94" s="363"/>
      <c r="N94" s="363"/>
      <c r="O94" s="363"/>
      <c r="P94" s="363"/>
      <c r="Q94" s="363"/>
      <c r="R94" s="363"/>
      <c r="S94" s="363"/>
      <c r="T94" s="363"/>
      <c r="U94" s="363"/>
      <c r="V94" s="366"/>
      <c r="W94" s="363"/>
      <c r="X94" s="363"/>
      <c r="Y94" s="363"/>
      <c r="Z94" s="363"/>
      <c r="AA94" s="363"/>
      <c r="AB94" s="363"/>
      <c r="AC94" s="363"/>
      <c r="AD94" s="367"/>
      <c r="AE94" s="367"/>
      <c r="AF94" s="368"/>
      <c r="AG94" s="368"/>
      <c r="AH94" s="369"/>
      <c r="AI94" s="364"/>
      <c r="AJ94" s="364"/>
      <c r="AK94" s="367"/>
      <c r="AL94" s="367"/>
      <c r="AM94" s="363"/>
      <c r="AN94" s="363"/>
      <c r="AO94" s="363"/>
      <c r="AP94" s="363"/>
      <c r="AQ94" s="369"/>
      <c r="AR94" s="369"/>
      <c r="AS94" s="363"/>
      <c r="AT94" s="363"/>
      <c r="AU94" s="368"/>
      <c r="AV94" s="363"/>
      <c r="AW94" s="363"/>
      <c r="AX94" s="363"/>
      <c r="AY94" s="363"/>
      <c r="AZ94" s="363"/>
      <c r="BA94" s="363"/>
      <c r="BB94" s="362"/>
    </row>
    <row r="95" ht="21.0" customHeight="1">
      <c r="A95" s="362"/>
      <c r="B95" s="362"/>
      <c r="C95" s="362"/>
      <c r="D95" s="362"/>
      <c r="E95" s="362"/>
      <c r="F95" s="362"/>
      <c r="G95" s="362"/>
      <c r="H95" s="362"/>
      <c r="I95" s="362"/>
      <c r="J95" s="363"/>
      <c r="K95" s="364"/>
      <c r="L95" s="365"/>
      <c r="M95" s="363"/>
      <c r="N95" s="363"/>
      <c r="O95" s="363"/>
      <c r="P95" s="363"/>
      <c r="Q95" s="363"/>
      <c r="R95" s="363"/>
      <c r="S95" s="363"/>
      <c r="T95" s="363"/>
      <c r="U95" s="363"/>
      <c r="V95" s="366"/>
      <c r="W95" s="363"/>
      <c r="X95" s="363"/>
      <c r="Y95" s="363"/>
      <c r="Z95" s="363"/>
      <c r="AA95" s="363"/>
      <c r="AB95" s="363"/>
      <c r="AC95" s="363"/>
      <c r="AD95" s="367"/>
      <c r="AE95" s="367"/>
      <c r="AF95" s="368"/>
      <c r="AG95" s="368"/>
      <c r="AH95" s="369"/>
      <c r="AI95" s="364"/>
      <c r="AJ95" s="364"/>
      <c r="AK95" s="367"/>
      <c r="AL95" s="367"/>
      <c r="AM95" s="363"/>
      <c r="AN95" s="363"/>
      <c r="AO95" s="363"/>
      <c r="AP95" s="363"/>
      <c r="AQ95" s="369"/>
      <c r="AR95" s="369"/>
      <c r="AS95" s="363"/>
      <c r="AT95" s="363"/>
      <c r="AU95" s="368"/>
      <c r="AV95" s="363"/>
      <c r="AW95" s="363"/>
      <c r="AX95" s="363"/>
      <c r="AY95" s="363"/>
      <c r="AZ95" s="363"/>
      <c r="BA95" s="363"/>
      <c r="BB95" s="362"/>
    </row>
    <row r="96" ht="21.0" customHeight="1">
      <c r="A96" s="362"/>
      <c r="B96" s="362"/>
      <c r="C96" s="362"/>
      <c r="D96" s="362"/>
      <c r="E96" s="362"/>
      <c r="F96" s="362"/>
      <c r="G96" s="362"/>
      <c r="H96" s="362"/>
      <c r="I96" s="362"/>
      <c r="J96" s="363"/>
      <c r="K96" s="364"/>
      <c r="L96" s="365"/>
      <c r="M96" s="363"/>
      <c r="N96" s="363"/>
      <c r="O96" s="363"/>
      <c r="P96" s="363"/>
      <c r="Q96" s="363"/>
      <c r="R96" s="363"/>
      <c r="S96" s="363"/>
      <c r="T96" s="363"/>
      <c r="U96" s="363"/>
      <c r="V96" s="366"/>
      <c r="W96" s="363"/>
      <c r="X96" s="363"/>
      <c r="Y96" s="363"/>
      <c r="Z96" s="363"/>
      <c r="AA96" s="363"/>
      <c r="AB96" s="363"/>
      <c r="AC96" s="363"/>
      <c r="AD96" s="367"/>
      <c r="AE96" s="367"/>
      <c r="AF96" s="368"/>
      <c r="AG96" s="368"/>
      <c r="AH96" s="369"/>
      <c r="AI96" s="364"/>
      <c r="AJ96" s="364"/>
      <c r="AK96" s="367"/>
      <c r="AL96" s="367"/>
      <c r="AM96" s="363"/>
      <c r="AN96" s="363"/>
      <c r="AO96" s="363"/>
      <c r="AP96" s="363"/>
      <c r="AQ96" s="369"/>
      <c r="AR96" s="369"/>
      <c r="AS96" s="363"/>
      <c r="AT96" s="363"/>
      <c r="AU96" s="368"/>
      <c r="AV96" s="363"/>
      <c r="AW96" s="363"/>
      <c r="AX96" s="363"/>
      <c r="AY96" s="363"/>
      <c r="AZ96" s="363"/>
      <c r="BA96" s="363"/>
      <c r="BB96" s="362"/>
    </row>
    <row r="97" ht="21.0" customHeight="1">
      <c r="A97" s="362"/>
      <c r="B97" s="362"/>
      <c r="C97" s="362"/>
      <c r="D97" s="362"/>
      <c r="E97" s="362"/>
      <c r="F97" s="362"/>
      <c r="G97" s="362"/>
      <c r="H97" s="362"/>
      <c r="I97" s="362"/>
      <c r="J97" s="363"/>
      <c r="K97" s="364"/>
      <c r="L97" s="365"/>
      <c r="M97" s="363"/>
      <c r="N97" s="363"/>
      <c r="O97" s="363"/>
      <c r="P97" s="363"/>
      <c r="Q97" s="363"/>
      <c r="R97" s="363"/>
      <c r="S97" s="363"/>
      <c r="T97" s="363"/>
      <c r="U97" s="363"/>
      <c r="V97" s="366"/>
      <c r="W97" s="363"/>
      <c r="X97" s="363"/>
      <c r="Y97" s="363"/>
      <c r="Z97" s="363"/>
      <c r="AA97" s="363"/>
      <c r="AB97" s="363"/>
      <c r="AC97" s="363"/>
      <c r="AD97" s="367"/>
      <c r="AE97" s="367"/>
      <c r="AF97" s="368"/>
      <c r="AG97" s="368"/>
      <c r="AH97" s="369"/>
      <c r="AI97" s="364"/>
      <c r="AJ97" s="364"/>
      <c r="AK97" s="367"/>
      <c r="AL97" s="367"/>
      <c r="AM97" s="363"/>
      <c r="AN97" s="363"/>
      <c r="AO97" s="363"/>
      <c r="AP97" s="363"/>
      <c r="AQ97" s="369"/>
      <c r="AR97" s="369"/>
      <c r="AS97" s="363"/>
      <c r="AT97" s="363"/>
      <c r="AU97" s="368"/>
      <c r="AV97" s="363"/>
      <c r="AW97" s="363"/>
      <c r="AX97" s="363"/>
      <c r="AY97" s="363"/>
      <c r="AZ97" s="363"/>
      <c r="BA97" s="363"/>
      <c r="BB97" s="362"/>
    </row>
    <row r="98" ht="21.0" customHeight="1">
      <c r="A98" s="362"/>
      <c r="B98" s="362"/>
      <c r="C98" s="362"/>
      <c r="D98" s="362"/>
      <c r="E98" s="362"/>
      <c r="F98" s="362"/>
      <c r="G98" s="362"/>
      <c r="H98" s="362"/>
      <c r="I98" s="362"/>
      <c r="J98" s="363"/>
      <c r="K98" s="364"/>
      <c r="L98" s="365"/>
      <c r="M98" s="363"/>
      <c r="N98" s="363"/>
      <c r="O98" s="363"/>
      <c r="P98" s="363"/>
      <c r="Q98" s="363"/>
      <c r="R98" s="363"/>
      <c r="S98" s="363"/>
      <c r="T98" s="363"/>
      <c r="U98" s="363"/>
      <c r="V98" s="366"/>
      <c r="W98" s="363"/>
      <c r="X98" s="363"/>
      <c r="Y98" s="363"/>
      <c r="Z98" s="363"/>
      <c r="AA98" s="363"/>
      <c r="AB98" s="363"/>
      <c r="AC98" s="363"/>
      <c r="AD98" s="367"/>
      <c r="AE98" s="367"/>
      <c r="AF98" s="368"/>
      <c r="AG98" s="368"/>
      <c r="AH98" s="369"/>
      <c r="AI98" s="364"/>
      <c r="AJ98" s="364"/>
      <c r="AK98" s="367"/>
      <c r="AL98" s="367"/>
      <c r="AM98" s="363"/>
      <c r="AN98" s="363"/>
      <c r="AO98" s="363"/>
      <c r="AP98" s="363"/>
      <c r="AQ98" s="369"/>
      <c r="AR98" s="369"/>
      <c r="AS98" s="363"/>
      <c r="AT98" s="363"/>
      <c r="AU98" s="368"/>
      <c r="AV98" s="363"/>
      <c r="AW98" s="363"/>
      <c r="AX98" s="363"/>
      <c r="AY98" s="363"/>
      <c r="AZ98" s="363"/>
      <c r="BA98" s="363"/>
      <c r="BB98" s="362"/>
    </row>
    <row r="99" ht="21.0" customHeight="1">
      <c r="A99" s="362"/>
      <c r="B99" s="362"/>
      <c r="C99" s="362"/>
      <c r="D99" s="362"/>
      <c r="E99" s="362"/>
      <c r="F99" s="362"/>
      <c r="G99" s="362"/>
      <c r="H99" s="362"/>
      <c r="I99" s="362"/>
      <c r="J99" s="363"/>
      <c r="K99" s="364"/>
      <c r="L99" s="365"/>
      <c r="M99" s="363"/>
      <c r="N99" s="363"/>
      <c r="O99" s="363"/>
      <c r="P99" s="363"/>
      <c r="Q99" s="363"/>
      <c r="R99" s="363"/>
      <c r="S99" s="363"/>
      <c r="T99" s="363"/>
      <c r="U99" s="363"/>
      <c r="V99" s="366"/>
      <c r="W99" s="363"/>
      <c r="X99" s="363"/>
      <c r="Y99" s="363"/>
      <c r="Z99" s="363"/>
      <c r="AA99" s="363"/>
      <c r="AB99" s="363"/>
      <c r="AC99" s="363"/>
      <c r="AD99" s="367"/>
      <c r="AE99" s="367"/>
      <c r="AF99" s="368"/>
      <c r="AG99" s="368"/>
      <c r="AH99" s="369"/>
      <c r="AI99" s="364"/>
      <c r="AJ99" s="364"/>
      <c r="AK99" s="367"/>
      <c r="AL99" s="367"/>
      <c r="AM99" s="363"/>
      <c r="AN99" s="363"/>
      <c r="AO99" s="363"/>
      <c r="AP99" s="363"/>
      <c r="AQ99" s="369"/>
      <c r="AR99" s="369"/>
      <c r="AS99" s="363"/>
      <c r="AT99" s="363"/>
      <c r="AU99" s="368"/>
      <c r="AV99" s="363"/>
      <c r="AW99" s="363"/>
      <c r="AX99" s="363"/>
      <c r="AY99" s="363"/>
      <c r="AZ99" s="363"/>
      <c r="BA99" s="363"/>
      <c r="BB99" s="362"/>
    </row>
    <row r="100" ht="21.0" customHeight="1">
      <c r="A100" s="362"/>
      <c r="B100" s="362"/>
      <c r="C100" s="362"/>
      <c r="D100" s="362"/>
      <c r="E100" s="362"/>
      <c r="F100" s="362"/>
      <c r="G100" s="362"/>
      <c r="H100" s="362"/>
      <c r="I100" s="362"/>
      <c r="J100" s="363"/>
      <c r="K100" s="364"/>
      <c r="L100" s="365"/>
      <c r="M100" s="363"/>
      <c r="N100" s="363"/>
      <c r="O100" s="363"/>
      <c r="P100" s="363"/>
      <c r="Q100" s="363"/>
      <c r="R100" s="363"/>
      <c r="S100" s="363"/>
      <c r="T100" s="363"/>
      <c r="U100" s="363"/>
      <c r="V100" s="366"/>
      <c r="W100" s="363"/>
      <c r="X100" s="363"/>
      <c r="Y100" s="363"/>
      <c r="Z100" s="363"/>
      <c r="AA100" s="363"/>
      <c r="AB100" s="363"/>
      <c r="AC100" s="363"/>
      <c r="AD100" s="367"/>
      <c r="AE100" s="367"/>
      <c r="AF100" s="368"/>
      <c r="AG100" s="368"/>
      <c r="AH100" s="369"/>
      <c r="AI100" s="364"/>
      <c r="AJ100" s="364"/>
      <c r="AK100" s="367"/>
      <c r="AL100" s="367"/>
      <c r="AM100" s="363"/>
      <c r="AN100" s="363"/>
      <c r="AO100" s="363"/>
      <c r="AP100" s="363"/>
      <c r="AQ100" s="369"/>
      <c r="AR100" s="369"/>
      <c r="AS100" s="363"/>
      <c r="AT100" s="363"/>
      <c r="AU100" s="368"/>
      <c r="AV100" s="363"/>
      <c r="AW100" s="363"/>
      <c r="AX100" s="363"/>
      <c r="AY100" s="363"/>
      <c r="AZ100" s="363"/>
      <c r="BA100" s="363"/>
      <c r="BB100" s="362"/>
    </row>
    <row r="101" ht="21.0" customHeight="1">
      <c r="A101" s="362"/>
      <c r="B101" s="362"/>
      <c r="C101" s="362"/>
      <c r="D101" s="362"/>
      <c r="E101" s="362"/>
      <c r="F101" s="362"/>
      <c r="G101" s="362"/>
      <c r="H101" s="362"/>
      <c r="I101" s="362"/>
      <c r="J101" s="363"/>
      <c r="K101" s="364"/>
      <c r="L101" s="365"/>
      <c r="M101" s="363"/>
      <c r="N101" s="363"/>
      <c r="O101" s="363"/>
      <c r="P101" s="363"/>
      <c r="Q101" s="363"/>
      <c r="R101" s="363"/>
      <c r="S101" s="363"/>
      <c r="T101" s="363"/>
      <c r="U101" s="363"/>
      <c r="V101" s="366"/>
      <c r="W101" s="363"/>
      <c r="X101" s="363"/>
      <c r="Y101" s="363"/>
      <c r="Z101" s="363"/>
      <c r="AA101" s="363"/>
      <c r="AB101" s="363"/>
      <c r="AC101" s="363"/>
      <c r="AD101" s="367"/>
      <c r="AE101" s="367"/>
      <c r="AF101" s="368"/>
      <c r="AG101" s="368"/>
      <c r="AH101" s="369"/>
      <c r="AI101" s="364"/>
      <c r="AJ101" s="364"/>
      <c r="AK101" s="367"/>
      <c r="AL101" s="367"/>
      <c r="AM101" s="363"/>
      <c r="AN101" s="363"/>
      <c r="AO101" s="363"/>
      <c r="AP101" s="363"/>
      <c r="AQ101" s="369"/>
      <c r="AR101" s="369"/>
      <c r="AS101" s="363"/>
      <c r="AT101" s="363"/>
      <c r="AU101" s="368"/>
      <c r="AV101" s="363"/>
      <c r="AW101" s="363"/>
      <c r="AX101" s="363"/>
      <c r="AY101" s="363"/>
      <c r="AZ101" s="363"/>
      <c r="BA101" s="363"/>
      <c r="BB101" s="362"/>
    </row>
    <row r="102" ht="21.0" customHeight="1">
      <c r="A102" s="362"/>
      <c r="B102" s="362"/>
      <c r="C102" s="362"/>
      <c r="D102" s="362"/>
      <c r="E102" s="362"/>
      <c r="F102" s="362"/>
      <c r="G102" s="362"/>
      <c r="H102" s="362"/>
      <c r="I102" s="362"/>
      <c r="J102" s="363"/>
      <c r="K102" s="364"/>
      <c r="L102" s="365"/>
      <c r="M102" s="363"/>
      <c r="N102" s="363"/>
      <c r="O102" s="363"/>
      <c r="P102" s="363"/>
      <c r="Q102" s="363"/>
      <c r="R102" s="363"/>
      <c r="S102" s="363"/>
      <c r="T102" s="363"/>
      <c r="U102" s="363"/>
      <c r="V102" s="366"/>
      <c r="W102" s="363"/>
      <c r="X102" s="363"/>
      <c r="Y102" s="363"/>
      <c r="Z102" s="363"/>
      <c r="AA102" s="363"/>
      <c r="AB102" s="363"/>
      <c r="AC102" s="363"/>
      <c r="AD102" s="367"/>
      <c r="AE102" s="367"/>
      <c r="AF102" s="368"/>
      <c r="AG102" s="368"/>
      <c r="AH102" s="369"/>
      <c r="AI102" s="364"/>
      <c r="AJ102" s="364"/>
      <c r="AK102" s="367"/>
      <c r="AL102" s="367"/>
      <c r="AM102" s="363"/>
      <c r="AN102" s="363"/>
      <c r="AO102" s="363"/>
      <c r="AP102" s="363"/>
      <c r="AQ102" s="369"/>
      <c r="AR102" s="369"/>
      <c r="AS102" s="363"/>
      <c r="AT102" s="363"/>
      <c r="AU102" s="368"/>
      <c r="AV102" s="363"/>
      <c r="AW102" s="363"/>
      <c r="AX102" s="363"/>
      <c r="AY102" s="363"/>
      <c r="AZ102" s="363"/>
      <c r="BA102" s="363"/>
      <c r="BB102" s="362"/>
    </row>
    <row r="103" ht="21.0" customHeight="1">
      <c r="A103" s="493"/>
      <c r="B103" s="493"/>
      <c r="C103" s="493"/>
      <c r="D103" s="493"/>
      <c r="E103" s="493"/>
      <c r="F103" s="493"/>
      <c r="G103" s="493"/>
      <c r="H103" s="493"/>
      <c r="I103" s="493"/>
      <c r="J103" s="363"/>
      <c r="K103" s="364"/>
      <c r="L103" s="365"/>
      <c r="M103" s="363"/>
      <c r="N103" s="363"/>
      <c r="O103" s="363"/>
      <c r="P103" s="363"/>
      <c r="Q103" s="363"/>
      <c r="R103" s="363"/>
      <c r="S103" s="363"/>
      <c r="T103" s="363"/>
      <c r="U103" s="363"/>
      <c r="V103" s="366"/>
      <c r="W103" s="363"/>
      <c r="X103" s="363"/>
      <c r="Y103" s="363"/>
      <c r="Z103" s="363"/>
      <c r="AA103" s="363"/>
      <c r="AB103" s="363"/>
      <c r="AC103" s="363"/>
      <c r="AD103" s="367"/>
      <c r="AE103" s="367"/>
      <c r="AF103" s="368"/>
      <c r="AG103" s="368"/>
      <c r="AH103" s="369"/>
      <c r="AI103" s="364"/>
      <c r="AJ103" s="364"/>
      <c r="AK103" s="367"/>
      <c r="AL103" s="367"/>
      <c r="AM103" s="363"/>
      <c r="AN103" s="363"/>
      <c r="AO103" s="363"/>
      <c r="AP103" s="363"/>
      <c r="AQ103" s="369"/>
      <c r="AR103" s="369"/>
      <c r="AS103" s="363"/>
      <c r="AT103" s="363"/>
      <c r="AU103" s="368"/>
      <c r="AV103" s="363"/>
      <c r="AW103" s="363"/>
      <c r="AX103" s="363"/>
      <c r="AY103" s="363"/>
      <c r="AZ103" s="363"/>
      <c r="BA103" s="363"/>
      <c r="BB103" s="362"/>
    </row>
    <row r="104" ht="21.0" customHeight="1">
      <c r="A104" s="495"/>
      <c r="B104" s="496"/>
      <c r="C104" s="496"/>
      <c r="D104" s="496"/>
      <c r="E104" s="496"/>
      <c r="F104" s="497"/>
      <c r="G104" s="497"/>
      <c r="H104" s="497"/>
      <c r="I104" s="495"/>
      <c r="J104" s="363"/>
      <c r="K104" s="364"/>
      <c r="L104" s="365"/>
      <c r="M104" s="363"/>
      <c r="N104" s="363"/>
      <c r="O104" s="363"/>
      <c r="P104" s="363"/>
      <c r="Q104" s="363"/>
      <c r="R104" s="363"/>
      <c r="S104" s="363"/>
      <c r="T104" s="363"/>
      <c r="U104" s="363"/>
      <c r="V104" s="366"/>
      <c r="W104" s="363"/>
      <c r="X104" s="363"/>
      <c r="Y104" s="363"/>
      <c r="Z104" s="363"/>
      <c r="AA104" s="363"/>
      <c r="AB104" s="363"/>
      <c r="AC104" s="363"/>
      <c r="AD104" s="367"/>
      <c r="AE104" s="367"/>
      <c r="AF104" s="368"/>
      <c r="AG104" s="368"/>
      <c r="AH104" s="369"/>
      <c r="AI104" s="364"/>
      <c r="AJ104" s="364"/>
      <c r="AK104" s="367"/>
      <c r="AL104" s="367"/>
      <c r="AM104" s="363"/>
      <c r="AN104" s="363"/>
      <c r="AO104" s="363"/>
      <c r="AP104" s="363"/>
      <c r="AQ104" s="369"/>
      <c r="AR104" s="369"/>
      <c r="AS104" s="363"/>
      <c r="AT104" s="363"/>
      <c r="AU104" s="368"/>
      <c r="AV104" s="363"/>
      <c r="AW104" s="363"/>
      <c r="AX104" s="363"/>
      <c r="AY104" s="363"/>
      <c r="AZ104" s="363"/>
      <c r="BA104" s="363"/>
      <c r="BB104" s="362"/>
    </row>
    <row r="105" ht="21.0" customHeight="1">
      <c r="A105" s="495"/>
      <c r="B105" s="498" t="s">
        <v>1499</v>
      </c>
      <c r="F105" s="497"/>
      <c r="G105" s="497"/>
      <c r="H105" s="497"/>
      <c r="I105" s="495"/>
      <c r="J105" s="363"/>
      <c r="K105" s="364"/>
      <c r="L105" s="365"/>
      <c r="M105" s="363"/>
      <c r="N105" s="363"/>
      <c r="O105" s="363"/>
      <c r="P105" s="363"/>
      <c r="Q105" s="363"/>
      <c r="R105" s="363"/>
      <c r="S105" s="363"/>
      <c r="T105" s="363"/>
      <c r="U105" s="363"/>
      <c r="V105" s="366"/>
      <c r="W105" s="363"/>
      <c r="X105" s="363"/>
      <c r="Y105" s="363"/>
      <c r="Z105" s="363"/>
      <c r="AA105" s="363"/>
      <c r="AB105" s="363"/>
      <c r="AC105" s="363"/>
      <c r="AD105" s="367"/>
      <c r="AE105" s="367"/>
      <c r="AF105" s="368"/>
      <c r="AG105" s="368"/>
      <c r="AH105" s="369"/>
      <c r="AI105" s="364"/>
      <c r="AJ105" s="364"/>
      <c r="AK105" s="367"/>
      <c r="AL105" s="367"/>
      <c r="AM105" s="363"/>
      <c r="AN105" s="363"/>
      <c r="AO105" s="363"/>
      <c r="AP105" s="363"/>
      <c r="AQ105" s="369"/>
      <c r="AR105" s="369"/>
      <c r="AS105" s="363"/>
      <c r="AT105" s="363"/>
      <c r="AU105" s="368"/>
      <c r="AV105" s="363"/>
      <c r="AW105" s="363"/>
      <c r="AX105" s="363"/>
      <c r="AY105" s="363"/>
      <c r="AZ105" s="363"/>
      <c r="BA105" s="363"/>
      <c r="BB105" s="362"/>
    </row>
    <row r="106" ht="21.0" customHeight="1">
      <c r="A106" s="495"/>
      <c r="B106" s="500" t="s">
        <v>1502</v>
      </c>
      <c r="C106" s="344"/>
      <c r="D106" s="344"/>
      <c r="E106" s="344"/>
      <c r="F106" s="501"/>
      <c r="G106" s="501"/>
      <c r="H106" s="501"/>
      <c r="I106" s="495"/>
      <c r="J106" s="363"/>
      <c r="K106" s="364"/>
      <c r="L106" s="365"/>
      <c r="M106" s="363"/>
      <c r="N106" s="363"/>
      <c r="O106" s="363"/>
      <c r="P106" s="363"/>
      <c r="Q106" s="363"/>
      <c r="R106" s="363"/>
      <c r="S106" s="363"/>
      <c r="T106" s="363"/>
      <c r="U106" s="363"/>
      <c r="V106" s="366"/>
      <c r="W106" s="363"/>
      <c r="X106" s="363"/>
      <c r="Y106" s="363"/>
      <c r="Z106" s="363"/>
      <c r="AA106" s="363"/>
      <c r="AB106" s="363"/>
      <c r="AC106" s="363"/>
      <c r="AD106" s="367"/>
      <c r="AE106" s="367"/>
      <c r="AF106" s="368"/>
      <c r="AG106" s="368"/>
      <c r="AH106" s="369"/>
      <c r="AI106" s="364"/>
      <c r="AJ106" s="364"/>
      <c r="AK106" s="367"/>
      <c r="AL106" s="367"/>
      <c r="AM106" s="363"/>
      <c r="AN106" s="363"/>
      <c r="AO106" s="363"/>
      <c r="AP106" s="363"/>
      <c r="AQ106" s="369"/>
      <c r="AR106" s="369"/>
      <c r="AS106" s="363"/>
      <c r="AT106" s="363"/>
      <c r="AU106" s="368"/>
      <c r="AV106" s="363"/>
      <c r="AW106" s="363"/>
      <c r="AX106" s="363"/>
      <c r="AY106" s="363"/>
      <c r="AZ106" s="363"/>
      <c r="BA106" s="363"/>
      <c r="BB106" s="362"/>
    </row>
    <row r="107" ht="21.0" customHeight="1">
      <c r="A107" s="495"/>
      <c r="B107" s="500" t="s">
        <v>1506</v>
      </c>
      <c r="C107" s="344"/>
      <c r="D107" s="344"/>
      <c r="E107" s="344"/>
      <c r="F107" s="501"/>
      <c r="G107" s="501"/>
      <c r="H107" s="501"/>
      <c r="I107" s="495"/>
      <c r="J107" s="363"/>
      <c r="K107" s="364"/>
      <c r="L107" s="365"/>
      <c r="M107" s="363"/>
      <c r="N107" s="363"/>
      <c r="O107" s="363"/>
      <c r="P107" s="363"/>
      <c r="Q107" s="363"/>
      <c r="R107" s="363"/>
      <c r="S107" s="363"/>
      <c r="T107" s="363"/>
      <c r="U107" s="363"/>
      <c r="V107" s="366"/>
      <c r="W107" s="363"/>
      <c r="X107" s="363"/>
      <c r="Y107" s="363"/>
      <c r="Z107" s="363"/>
      <c r="AA107" s="363"/>
      <c r="AB107" s="363"/>
      <c r="AC107" s="363"/>
      <c r="AD107" s="367"/>
      <c r="AE107" s="367"/>
      <c r="AF107" s="368"/>
      <c r="AG107" s="368"/>
      <c r="AH107" s="369"/>
      <c r="AI107" s="364"/>
      <c r="AJ107" s="364"/>
      <c r="AK107" s="367"/>
      <c r="AL107" s="367"/>
      <c r="AM107" s="363"/>
      <c r="AN107" s="363"/>
      <c r="AO107" s="363"/>
      <c r="AP107" s="363"/>
      <c r="AQ107" s="369"/>
      <c r="AR107" s="369"/>
      <c r="AS107" s="363"/>
      <c r="AT107" s="363"/>
      <c r="AU107" s="368"/>
      <c r="AV107" s="363"/>
      <c r="AW107" s="363"/>
      <c r="AX107" s="363"/>
      <c r="AY107" s="363"/>
      <c r="AZ107" s="363"/>
      <c r="BA107" s="363"/>
      <c r="BB107" s="362"/>
    </row>
    <row r="108" ht="21.0" customHeight="1">
      <c r="A108" s="495"/>
      <c r="B108" s="502" t="s">
        <v>1507</v>
      </c>
      <c r="C108" s="28"/>
      <c r="D108" s="28"/>
      <c r="E108" s="28"/>
      <c r="F108" s="501"/>
      <c r="G108" s="501"/>
      <c r="H108" s="501"/>
      <c r="I108" s="495"/>
      <c r="J108" s="363"/>
      <c r="K108" s="364"/>
      <c r="L108" s="365"/>
      <c r="M108" s="363"/>
      <c r="N108" s="363"/>
      <c r="O108" s="363"/>
      <c r="P108" s="363"/>
      <c r="Q108" s="363"/>
      <c r="R108" s="363"/>
      <c r="S108" s="363"/>
      <c r="T108" s="363"/>
      <c r="U108" s="363"/>
      <c r="V108" s="366"/>
      <c r="W108" s="363"/>
      <c r="X108" s="363"/>
      <c r="Y108" s="363"/>
      <c r="Z108" s="363"/>
      <c r="AA108" s="363"/>
      <c r="AB108" s="363"/>
      <c r="AC108" s="363"/>
      <c r="AD108" s="367"/>
      <c r="AE108" s="367"/>
      <c r="AF108" s="368"/>
      <c r="AG108" s="368"/>
      <c r="AH108" s="369"/>
      <c r="AI108" s="364"/>
      <c r="AJ108" s="364"/>
      <c r="AK108" s="367"/>
      <c r="AL108" s="367"/>
      <c r="AM108" s="363"/>
      <c r="AN108" s="363"/>
      <c r="AO108" s="363"/>
      <c r="AP108" s="363"/>
      <c r="AQ108" s="369"/>
      <c r="AR108" s="369"/>
      <c r="AS108" s="363"/>
      <c r="AT108" s="363"/>
      <c r="AU108" s="368"/>
      <c r="AV108" s="363"/>
      <c r="AW108" s="363"/>
      <c r="AX108" s="363"/>
      <c r="AY108" s="363"/>
      <c r="AZ108" s="363"/>
      <c r="BA108" s="363"/>
      <c r="BB108" s="362"/>
    </row>
    <row r="109" ht="21.0" customHeight="1">
      <c r="A109" s="495"/>
      <c r="B109" s="502" t="s">
        <v>1509</v>
      </c>
      <c r="C109" s="28"/>
      <c r="D109" s="28"/>
      <c r="E109" s="28"/>
      <c r="F109" s="501"/>
      <c r="G109" s="501"/>
      <c r="H109" s="501"/>
      <c r="I109" s="495"/>
      <c r="J109" s="363"/>
      <c r="K109" s="364"/>
      <c r="L109" s="365"/>
      <c r="M109" s="363"/>
      <c r="N109" s="363"/>
      <c r="O109" s="363"/>
      <c r="P109" s="363"/>
      <c r="Q109" s="363"/>
      <c r="R109" s="363"/>
      <c r="S109" s="363"/>
      <c r="T109" s="363"/>
      <c r="U109" s="363"/>
      <c r="V109" s="366"/>
      <c r="W109" s="363"/>
      <c r="X109" s="363"/>
      <c r="Y109" s="363"/>
      <c r="Z109" s="363"/>
      <c r="AA109" s="363"/>
      <c r="AB109" s="363"/>
      <c r="AC109" s="363"/>
      <c r="AD109" s="367"/>
      <c r="AE109" s="367"/>
      <c r="AF109" s="368"/>
      <c r="AG109" s="368"/>
      <c r="AH109" s="369"/>
      <c r="AI109" s="364"/>
      <c r="AJ109" s="364"/>
      <c r="AK109" s="367"/>
      <c r="AL109" s="367"/>
      <c r="AM109" s="363"/>
      <c r="AN109" s="363"/>
      <c r="AO109" s="363"/>
      <c r="AP109" s="363"/>
      <c r="AQ109" s="369"/>
      <c r="AR109" s="369"/>
      <c r="AS109" s="363"/>
      <c r="AT109" s="363"/>
      <c r="AU109" s="368"/>
      <c r="AV109" s="363"/>
      <c r="AW109" s="363"/>
      <c r="AX109" s="363"/>
      <c r="AY109" s="363"/>
      <c r="AZ109" s="363"/>
      <c r="BA109" s="363"/>
      <c r="BB109" s="362"/>
    </row>
    <row r="110" ht="21.0" customHeight="1">
      <c r="A110" s="495"/>
      <c r="B110" s="503" t="s">
        <v>1510</v>
      </c>
      <c r="C110" s="343"/>
      <c r="D110" s="343"/>
      <c r="E110" s="343"/>
      <c r="F110" s="501"/>
      <c r="G110" s="501"/>
      <c r="H110" s="501"/>
      <c r="I110" s="495"/>
      <c r="J110" s="362"/>
      <c r="K110" s="504"/>
      <c r="L110" s="362"/>
      <c r="M110" s="362"/>
      <c r="N110" s="362"/>
      <c r="O110" s="362"/>
      <c r="P110" s="362"/>
      <c r="Q110" s="362"/>
      <c r="R110" s="362"/>
      <c r="S110" s="362"/>
      <c r="T110" s="362"/>
      <c r="U110" s="362"/>
      <c r="V110" s="505"/>
      <c r="W110" s="362"/>
      <c r="X110" s="362"/>
      <c r="Y110" s="362"/>
      <c r="Z110" s="362"/>
      <c r="AA110" s="362"/>
      <c r="AB110" s="362"/>
      <c r="AC110" s="362"/>
      <c r="AD110" s="506"/>
      <c r="AE110" s="506"/>
      <c r="AF110" s="418"/>
      <c r="AG110" s="418"/>
      <c r="AH110" s="418"/>
      <c r="AI110" s="362"/>
      <c r="AJ110" s="362"/>
      <c r="AK110" s="506"/>
      <c r="AL110" s="506"/>
      <c r="AM110" s="362"/>
      <c r="AN110" s="362"/>
      <c r="AO110" s="362"/>
      <c r="AP110" s="362"/>
      <c r="AQ110" s="362"/>
      <c r="AR110" s="362"/>
      <c r="AS110" s="362"/>
      <c r="AT110" s="362"/>
      <c r="AU110" s="362"/>
      <c r="AV110" s="362"/>
      <c r="AW110" s="362"/>
      <c r="AX110" s="362"/>
      <c r="AY110" s="362"/>
      <c r="AZ110" s="362"/>
      <c r="BA110" s="362"/>
      <c r="BB110" s="362"/>
    </row>
    <row r="111" ht="21.0" customHeight="1">
      <c r="A111" s="495"/>
      <c r="B111" s="507" t="s">
        <v>1512</v>
      </c>
      <c r="E111" s="508" t="str">
        <f>HYPERLINK("https://www.youtube.com/watch?v=MoAPDZTzxd0","Youtube")</f>
        <v>Youtube</v>
      </c>
      <c r="F111" s="501"/>
      <c r="G111" s="501"/>
      <c r="H111" s="501"/>
      <c r="I111" s="495"/>
      <c r="J111" s="362"/>
      <c r="K111" s="504"/>
      <c r="L111" s="362"/>
      <c r="M111" s="362"/>
      <c r="N111" s="362"/>
      <c r="O111" s="362"/>
      <c r="P111" s="362"/>
      <c r="Q111" s="362"/>
      <c r="R111" s="362"/>
      <c r="S111" s="362"/>
      <c r="T111" s="362"/>
      <c r="U111" s="362"/>
      <c r="V111" s="505"/>
      <c r="W111" s="362"/>
      <c r="X111" s="362"/>
      <c r="Y111" s="362"/>
      <c r="Z111" s="362"/>
      <c r="AA111" s="362"/>
      <c r="AB111" s="362"/>
      <c r="AC111" s="362"/>
      <c r="AD111" s="506"/>
      <c r="AE111" s="506"/>
      <c r="AF111" s="418"/>
      <c r="AG111" s="418"/>
      <c r="AH111" s="418"/>
      <c r="AI111" s="362"/>
      <c r="AJ111" s="362"/>
      <c r="AK111" s="506"/>
      <c r="AL111" s="506"/>
      <c r="AM111" s="362"/>
      <c r="AN111" s="362"/>
      <c r="AO111" s="362"/>
      <c r="AP111" s="362"/>
      <c r="AQ111" s="362"/>
      <c r="AR111" s="362"/>
      <c r="AS111" s="362"/>
      <c r="AT111" s="362"/>
      <c r="AU111" s="362"/>
      <c r="AV111" s="362"/>
      <c r="AW111" s="362"/>
      <c r="AX111" s="362"/>
      <c r="AY111" s="362"/>
      <c r="AZ111" s="362"/>
      <c r="BA111" s="362"/>
      <c r="BB111" s="362"/>
    </row>
    <row r="112" ht="21.0" customHeight="1">
      <c r="A112" s="495"/>
      <c r="B112" s="509" t="s">
        <v>1513</v>
      </c>
      <c r="C112" s="500"/>
      <c r="D112" s="500"/>
      <c r="E112" s="511" t="str">
        <f>HYPERLINK("https://youtu.be/OUEVyw7iXNE?t=68","Youtube")</f>
        <v>Youtube</v>
      </c>
      <c r="F112" s="501"/>
      <c r="G112" s="501"/>
      <c r="H112" s="501"/>
      <c r="I112" s="495"/>
      <c r="J112" s="362"/>
      <c r="K112" s="504"/>
      <c r="L112" s="362"/>
      <c r="M112" s="362"/>
      <c r="N112" s="362"/>
      <c r="O112" s="362"/>
      <c r="P112" s="362"/>
      <c r="Q112" s="362"/>
      <c r="R112" s="362"/>
      <c r="S112" s="362"/>
      <c r="T112" s="362"/>
      <c r="U112" s="362"/>
      <c r="V112" s="505"/>
      <c r="W112" s="362"/>
      <c r="X112" s="362"/>
      <c r="Y112" s="362"/>
      <c r="Z112" s="362"/>
      <c r="AA112" s="362"/>
      <c r="AB112" s="362"/>
      <c r="AC112" s="362"/>
      <c r="AD112" s="506"/>
      <c r="AE112" s="506"/>
      <c r="AF112" s="418"/>
      <c r="AG112" s="418"/>
      <c r="AH112" s="418"/>
      <c r="AI112" s="362"/>
      <c r="AJ112" s="362"/>
      <c r="AK112" s="506"/>
      <c r="AL112" s="506"/>
      <c r="AM112" s="362"/>
      <c r="AN112" s="362"/>
      <c r="AO112" s="362"/>
      <c r="AP112" s="362"/>
      <c r="AQ112" s="362"/>
      <c r="AR112" s="362"/>
      <c r="AS112" s="362"/>
      <c r="AT112" s="362"/>
      <c r="AU112" s="362"/>
      <c r="AV112" s="362"/>
      <c r="AW112" s="362"/>
      <c r="AX112" s="362"/>
      <c r="AY112" s="362"/>
      <c r="AZ112" s="362"/>
      <c r="BA112" s="362"/>
      <c r="BB112" s="362"/>
    </row>
    <row r="113" ht="21.0" customHeight="1">
      <c r="A113" s="495"/>
      <c r="B113" s="502" t="s">
        <v>1515</v>
      </c>
      <c r="C113" s="28"/>
      <c r="D113" s="28"/>
      <c r="E113" s="28"/>
      <c r="F113" s="501"/>
      <c r="G113" s="501"/>
      <c r="H113" s="501"/>
      <c r="I113" s="495"/>
      <c r="J113" s="362"/>
      <c r="K113" s="504"/>
      <c r="L113" s="362"/>
      <c r="M113" s="362"/>
      <c r="N113" s="362"/>
      <c r="O113" s="362"/>
      <c r="P113" s="362"/>
      <c r="Q113" s="362"/>
      <c r="R113" s="362"/>
      <c r="S113" s="362"/>
      <c r="T113" s="362"/>
      <c r="U113" s="362"/>
      <c r="V113" s="505"/>
      <c r="W113" s="362"/>
      <c r="X113" s="362"/>
      <c r="Y113" s="362"/>
      <c r="Z113" s="362"/>
      <c r="AA113" s="362"/>
      <c r="AB113" s="362"/>
      <c r="AC113" s="362"/>
      <c r="AD113" s="506"/>
      <c r="AE113" s="506"/>
      <c r="AF113" s="418"/>
      <c r="AG113" s="418"/>
      <c r="AH113" s="418"/>
      <c r="AI113" s="362"/>
      <c r="AJ113" s="362"/>
      <c r="AK113" s="506"/>
      <c r="AL113" s="506"/>
      <c r="AM113" s="362"/>
      <c r="AN113" s="362"/>
      <c r="AO113" s="362"/>
      <c r="AP113" s="362"/>
      <c r="AQ113" s="362"/>
      <c r="AR113" s="362"/>
      <c r="AS113" s="362"/>
      <c r="AT113" s="362"/>
      <c r="AU113" s="362"/>
      <c r="AV113" s="362"/>
      <c r="AW113" s="362"/>
      <c r="AX113" s="362"/>
      <c r="AY113" s="362"/>
      <c r="AZ113" s="362"/>
      <c r="BA113" s="362"/>
      <c r="BB113" s="362"/>
    </row>
    <row r="114" ht="21.0" customHeight="1">
      <c r="A114" s="495"/>
      <c r="F114" s="493"/>
      <c r="G114" s="501"/>
      <c r="H114" s="501"/>
      <c r="I114" s="495"/>
      <c r="J114" s="362"/>
      <c r="K114" s="504"/>
      <c r="L114" s="362"/>
      <c r="M114" s="362"/>
      <c r="N114" s="362"/>
      <c r="O114" s="362"/>
      <c r="P114" s="362"/>
      <c r="Q114" s="362"/>
      <c r="R114" s="362"/>
      <c r="S114" s="362"/>
      <c r="T114" s="362"/>
      <c r="U114" s="362"/>
      <c r="V114" s="505"/>
      <c r="W114" s="362"/>
      <c r="X114" s="362"/>
      <c r="Y114" s="362"/>
      <c r="Z114" s="362"/>
      <c r="AA114" s="362"/>
      <c r="AB114" s="362"/>
      <c r="AC114" s="362"/>
      <c r="AD114" s="506"/>
      <c r="AE114" s="506"/>
      <c r="AF114" s="418"/>
      <c r="AG114" s="418"/>
      <c r="AH114" s="418"/>
      <c r="AI114" s="362"/>
      <c r="AJ114" s="362"/>
      <c r="AK114" s="506"/>
      <c r="AL114" s="506"/>
      <c r="AM114" s="362"/>
      <c r="AN114" s="362"/>
      <c r="AO114" s="362"/>
      <c r="AP114" s="362"/>
      <c r="AQ114" s="362"/>
      <c r="AR114" s="362"/>
      <c r="AS114" s="362"/>
      <c r="AT114" s="362"/>
      <c r="AU114" s="362"/>
      <c r="AV114" s="362"/>
      <c r="AW114" s="362"/>
      <c r="AX114" s="362"/>
      <c r="AY114" s="362"/>
      <c r="AZ114" s="362"/>
      <c r="BA114" s="362"/>
      <c r="BB114" s="362"/>
    </row>
    <row r="115" ht="21.0" customHeight="1">
      <c r="A115" s="495"/>
      <c r="B115" s="513" t="s">
        <v>1516</v>
      </c>
      <c r="F115" s="493"/>
      <c r="G115" s="501"/>
      <c r="H115" s="501"/>
      <c r="I115" s="495"/>
      <c r="J115" s="362"/>
      <c r="K115" s="504"/>
      <c r="L115" s="362"/>
      <c r="M115" s="362"/>
      <c r="N115" s="362"/>
      <c r="O115" s="362"/>
      <c r="P115" s="362"/>
      <c r="Q115" s="362"/>
      <c r="R115" s="362"/>
      <c r="S115" s="362"/>
      <c r="T115" s="362"/>
      <c r="U115" s="362"/>
      <c r="V115" s="505"/>
      <c r="W115" s="362"/>
      <c r="X115" s="362"/>
      <c r="Y115" s="362"/>
      <c r="Z115" s="362"/>
      <c r="AA115" s="362"/>
      <c r="AB115" s="362"/>
      <c r="AC115" s="362"/>
      <c r="AD115" s="506"/>
      <c r="AE115" s="506"/>
      <c r="AF115" s="418"/>
      <c r="AG115" s="418"/>
      <c r="AH115" s="418"/>
      <c r="AI115" s="362"/>
      <c r="AJ115" s="362"/>
      <c r="AK115" s="506"/>
      <c r="AL115" s="506"/>
      <c r="AM115" s="362"/>
      <c r="AN115" s="362"/>
      <c r="AO115" s="362"/>
      <c r="AP115" s="362"/>
      <c r="AQ115" s="362"/>
      <c r="AR115" s="362"/>
      <c r="AS115" s="362"/>
      <c r="AT115" s="362"/>
      <c r="AU115" s="362"/>
      <c r="AV115" s="362"/>
      <c r="AW115" s="362"/>
      <c r="AX115" s="362"/>
      <c r="AY115" s="362"/>
      <c r="AZ115" s="362"/>
      <c r="BA115" s="362"/>
      <c r="BB115" s="362"/>
    </row>
    <row r="116" ht="21.0" customHeight="1">
      <c r="A116" s="495"/>
      <c r="B116" s="514" t="s">
        <v>1518</v>
      </c>
      <c r="F116" s="501"/>
      <c r="G116" s="501"/>
      <c r="H116" s="501"/>
      <c r="I116" s="495"/>
      <c r="J116" s="362"/>
      <c r="K116" s="504"/>
      <c r="L116" s="362"/>
      <c r="M116" s="362"/>
      <c r="N116" s="362"/>
      <c r="O116" s="362"/>
      <c r="P116" s="362"/>
      <c r="Q116" s="362"/>
      <c r="R116" s="362"/>
      <c r="S116" s="362"/>
      <c r="T116" s="362"/>
      <c r="U116" s="362"/>
      <c r="V116" s="505"/>
      <c r="W116" s="362"/>
      <c r="X116" s="362"/>
      <c r="Y116" s="362"/>
      <c r="Z116" s="362"/>
      <c r="AA116" s="362"/>
      <c r="AB116" s="362"/>
      <c r="AC116" s="362"/>
      <c r="AD116" s="506"/>
      <c r="AE116" s="506"/>
      <c r="AF116" s="418"/>
      <c r="AG116" s="418"/>
      <c r="AH116" s="418"/>
      <c r="AI116" s="362"/>
      <c r="AJ116" s="362"/>
      <c r="AK116" s="506"/>
      <c r="AL116" s="506"/>
      <c r="AM116" s="362"/>
      <c r="AN116" s="362"/>
      <c r="AO116" s="362"/>
      <c r="AP116" s="362"/>
      <c r="AQ116" s="362"/>
      <c r="AR116" s="362"/>
      <c r="AS116" s="362"/>
      <c r="AT116" s="362"/>
      <c r="AU116" s="362"/>
      <c r="AV116" s="362"/>
      <c r="AW116" s="362"/>
      <c r="AX116" s="362"/>
      <c r="AY116" s="362"/>
      <c r="AZ116" s="362"/>
      <c r="BA116" s="362"/>
      <c r="BB116" s="362"/>
    </row>
    <row r="117" ht="21.0" customHeight="1">
      <c r="A117" s="495"/>
      <c r="B117" s="516" t="s">
        <v>1520</v>
      </c>
      <c r="E117" s="508" t="str">
        <f>HYPERLINK("http://my.teslamotors.com/forum/forums/charging-optimum-battery-life?page=2#comment-453301","Source")</f>
        <v>Source</v>
      </c>
      <c r="F117" s="518"/>
      <c r="G117" s="518"/>
      <c r="H117" s="518"/>
      <c r="I117" s="495"/>
      <c r="J117" s="362"/>
      <c r="K117" s="504"/>
      <c r="L117" s="362"/>
      <c r="M117" s="362"/>
      <c r="N117" s="362"/>
      <c r="O117" s="362"/>
      <c r="P117" s="362"/>
      <c r="Q117" s="362"/>
      <c r="R117" s="362"/>
      <c r="S117" s="362"/>
      <c r="T117" s="362"/>
      <c r="U117" s="362"/>
      <c r="V117" s="505"/>
      <c r="W117" s="362"/>
      <c r="X117" s="362"/>
      <c r="Y117" s="362"/>
      <c r="Z117" s="362"/>
      <c r="AA117" s="362"/>
      <c r="AB117" s="362"/>
      <c r="AC117" s="362"/>
      <c r="AD117" s="506"/>
      <c r="AE117" s="506"/>
      <c r="AF117" s="418"/>
      <c r="AG117" s="418"/>
      <c r="AH117" s="418"/>
      <c r="AI117" s="362"/>
      <c r="AJ117" s="362"/>
      <c r="AK117" s="506"/>
      <c r="AL117" s="506"/>
      <c r="AM117" s="362"/>
      <c r="AN117" s="362"/>
      <c r="AO117" s="362"/>
      <c r="AP117" s="362"/>
      <c r="AQ117" s="362"/>
      <c r="AR117" s="362"/>
      <c r="AS117" s="362"/>
      <c r="AT117" s="362"/>
      <c r="AU117" s="362"/>
      <c r="AV117" s="362"/>
      <c r="AW117" s="362"/>
      <c r="AX117" s="362"/>
      <c r="AY117" s="362"/>
      <c r="AZ117" s="362"/>
      <c r="BA117" s="362"/>
      <c r="BB117" s="362"/>
    </row>
    <row r="118" ht="21.0" customHeight="1">
      <c r="A118" s="495"/>
      <c r="B118" s="520" t="s">
        <v>1523</v>
      </c>
      <c r="F118" s="518"/>
      <c r="G118" s="518"/>
      <c r="H118" s="518"/>
      <c r="I118" s="495"/>
      <c r="J118" s="362"/>
      <c r="K118" s="504"/>
      <c r="L118" s="362"/>
      <c r="M118" s="362"/>
      <c r="N118" s="362"/>
      <c r="O118" s="362"/>
      <c r="P118" s="362"/>
      <c r="Q118" s="362"/>
      <c r="R118" s="362"/>
      <c r="S118" s="362"/>
      <c r="T118" s="362"/>
      <c r="U118" s="362"/>
      <c r="V118" s="505"/>
      <c r="W118" s="362"/>
      <c r="X118" s="362"/>
      <c r="Y118" s="362"/>
      <c r="Z118" s="362"/>
      <c r="AA118" s="362"/>
      <c r="AB118" s="362"/>
      <c r="AC118" s="362"/>
      <c r="AD118" s="506"/>
      <c r="AE118" s="506"/>
      <c r="AF118" s="418"/>
      <c r="AG118" s="418"/>
      <c r="AH118" s="418"/>
      <c r="AI118" s="362"/>
      <c r="AJ118" s="362"/>
      <c r="AK118" s="506"/>
      <c r="AL118" s="506"/>
      <c r="AM118" s="362"/>
      <c r="AN118" s="362"/>
      <c r="AO118" s="362"/>
      <c r="AP118" s="362"/>
      <c r="AQ118" s="362"/>
      <c r="AR118" s="362"/>
      <c r="AS118" s="362"/>
      <c r="AT118" s="362"/>
      <c r="AU118" s="362"/>
      <c r="AV118" s="362"/>
      <c r="AW118" s="362"/>
      <c r="AX118" s="362"/>
      <c r="AY118" s="362"/>
      <c r="AZ118" s="362"/>
      <c r="BA118" s="362"/>
      <c r="BB118" s="362"/>
    </row>
    <row r="119" ht="21.0" customHeight="1">
      <c r="A119" s="495"/>
      <c r="B119" s="514" t="s">
        <v>1526</v>
      </c>
      <c r="E119" s="508" t="str">
        <f>HYPERLINK("https://www.youtube.com/watch?v=9qi03QawZEk","Youtube")</f>
        <v>Youtube</v>
      </c>
      <c r="F119" s="518"/>
      <c r="G119" s="518"/>
      <c r="H119" s="518"/>
      <c r="I119" s="495"/>
      <c r="J119" s="362"/>
      <c r="K119" s="504"/>
      <c r="L119" s="362"/>
      <c r="M119" s="362"/>
      <c r="N119" s="362"/>
      <c r="O119" s="362"/>
      <c r="P119" s="362"/>
      <c r="Q119" s="362"/>
      <c r="R119" s="362"/>
      <c r="S119" s="362"/>
      <c r="T119" s="362"/>
      <c r="U119" s="362"/>
      <c r="V119" s="505"/>
      <c r="W119" s="362"/>
      <c r="X119" s="362"/>
      <c r="Y119" s="362"/>
      <c r="Z119" s="362"/>
      <c r="AA119" s="362"/>
      <c r="AB119" s="362"/>
      <c r="AC119" s="362"/>
      <c r="AD119" s="506"/>
      <c r="AE119" s="506"/>
      <c r="AF119" s="418"/>
      <c r="AG119" s="418"/>
      <c r="AH119" s="418"/>
      <c r="AI119" s="362"/>
      <c r="AJ119" s="362"/>
      <c r="AK119" s="506"/>
      <c r="AL119" s="506"/>
      <c r="AM119" s="362"/>
      <c r="AN119" s="362"/>
      <c r="AO119" s="362"/>
      <c r="AP119" s="362"/>
      <c r="AQ119" s="362"/>
      <c r="AR119" s="362"/>
      <c r="AS119" s="362"/>
      <c r="AT119" s="362"/>
      <c r="AU119" s="362"/>
      <c r="AV119" s="362"/>
      <c r="AW119" s="362"/>
      <c r="AX119" s="362"/>
      <c r="AY119" s="362"/>
      <c r="AZ119" s="362"/>
      <c r="BA119" s="362"/>
      <c r="BB119" s="362"/>
    </row>
    <row r="120" ht="21.0" customHeight="1">
      <c r="A120" s="495"/>
      <c r="F120" s="518"/>
      <c r="G120" s="518"/>
      <c r="H120" s="518"/>
      <c r="I120" s="495"/>
      <c r="J120" s="362"/>
      <c r="K120" s="504"/>
      <c r="L120" s="362"/>
      <c r="M120" s="362"/>
      <c r="N120" s="362"/>
      <c r="O120" s="362"/>
      <c r="P120" s="362"/>
      <c r="Q120" s="362"/>
      <c r="R120" s="362"/>
      <c r="S120" s="362"/>
      <c r="T120" s="362"/>
      <c r="U120" s="362"/>
      <c r="V120" s="505"/>
      <c r="W120" s="362"/>
      <c r="X120" s="362"/>
      <c r="Y120" s="362"/>
      <c r="Z120" s="362"/>
      <c r="AA120" s="362"/>
      <c r="AB120" s="362"/>
      <c r="AC120" s="362"/>
      <c r="AD120" s="506"/>
      <c r="AE120" s="506"/>
      <c r="AF120" s="418"/>
      <c r="AG120" s="418"/>
      <c r="AH120" s="418"/>
      <c r="AI120" s="362"/>
      <c r="AJ120" s="362"/>
      <c r="AK120" s="506"/>
      <c r="AL120" s="506"/>
      <c r="AM120" s="362"/>
      <c r="AN120" s="362"/>
      <c r="AO120" s="362"/>
      <c r="AP120" s="362"/>
      <c r="AQ120" s="362"/>
      <c r="AR120" s="362"/>
      <c r="AS120" s="362"/>
      <c r="AT120" s="362"/>
      <c r="AU120" s="362"/>
      <c r="AV120" s="362"/>
      <c r="AW120" s="362"/>
      <c r="AX120" s="362"/>
      <c r="AY120" s="362"/>
      <c r="AZ120" s="362"/>
      <c r="BA120" s="362"/>
      <c r="BB120" s="362"/>
    </row>
    <row r="121" ht="21.0" customHeight="1">
      <c r="A121" s="495"/>
      <c r="B121" s="513" t="s">
        <v>1528</v>
      </c>
      <c r="F121" s="518"/>
      <c r="G121" s="518"/>
      <c r="H121" s="518"/>
      <c r="I121" s="495"/>
      <c r="J121" s="362"/>
      <c r="K121" s="504"/>
      <c r="L121" s="362"/>
      <c r="M121" s="362"/>
      <c r="N121" s="362"/>
      <c r="O121" s="362"/>
      <c r="P121" s="362"/>
      <c r="Q121" s="362"/>
      <c r="R121" s="362"/>
      <c r="S121" s="362"/>
      <c r="T121" s="362"/>
      <c r="U121" s="362"/>
      <c r="V121" s="505"/>
      <c r="W121" s="362"/>
      <c r="X121" s="362"/>
      <c r="Y121" s="362"/>
      <c r="Z121" s="362"/>
      <c r="AA121" s="362"/>
      <c r="AB121" s="362"/>
      <c r="AC121" s="362"/>
      <c r="AD121" s="506"/>
      <c r="AE121" s="506"/>
      <c r="AF121" s="418"/>
      <c r="AG121" s="418"/>
      <c r="AH121" s="418"/>
      <c r="AI121" s="362"/>
      <c r="AJ121" s="362"/>
      <c r="AK121" s="506"/>
      <c r="AL121" s="506"/>
      <c r="AM121" s="362"/>
      <c r="AN121" s="362"/>
      <c r="AO121" s="362"/>
      <c r="AP121" s="362"/>
      <c r="AQ121" s="362"/>
      <c r="AR121" s="362"/>
      <c r="AS121" s="362"/>
      <c r="AT121" s="362"/>
      <c r="AU121" s="362"/>
      <c r="AV121" s="362"/>
      <c r="AW121" s="362"/>
      <c r="AX121" s="362"/>
      <c r="AY121" s="362"/>
      <c r="AZ121" s="362"/>
      <c r="BA121" s="362"/>
      <c r="BB121" s="362"/>
    </row>
    <row r="122" ht="21.0" customHeight="1">
      <c r="A122" s="495"/>
      <c r="B122" s="518" t="s">
        <v>1530</v>
      </c>
      <c r="F122" s="501"/>
      <c r="G122" s="501"/>
      <c r="H122" s="501"/>
      <c r="I122" s="495"/>
      <c r="J122" s="362"/>
      <c r="K122" s="504"/>
      <c r="L122" s="362"/>
      <c r="M122" s="362"/>
      <c r="N122" s="362"/>
      <c r="O122" s="362"/>
      <c r="P122" s="362"/>
      <c r="Q122" s="362"/>
      <c r="R122" s="362"/>
      <c r="S122" s="362"/>
      <c r="T122" s="362"/>
      <c r="U122" s="362"/>
      <c r="V122" s="505"/>
      <c r="W122" s="362"/>
      <c r="X122" s="362"/>
      <c r="Y122" s="362"/>
      <c r="Z122" s="362"/>
      <c r="AA122" s="362"/>
      <c r="AB122" s="362"/>
      <c r="AC122" s="362"/>
      <c r="AD122" s="506"/>
      <c r="AE122" s="506"/>
      <c r="AF122" s="418"/>
      <c r="AG122" s="418"/>
      <c r="AH122" s="418"/>
      <c r="AI122" s="362"/>
      <c r="AJ122" s="362"/>
      <c r="AK122" s="506"/>
      <c r="AL122" s="506"/>
      <c r="AM122" s="362"/>
      <c r="AN122" s="362"/>
      <c r="AO122" s="362"/>
      <c r="AP122" s="362"/>
      <c r="AQ122" s="362"/>
      <c r="AR122" s="362"/>
      <c r="AS122" s="362"/>
      <c r="AT122" s="362"/>
      <c r="AU122" s="362"/>
      <c r="AV122" s="362"/>
      <c r="AW122" s="362"/>
      <c r="AX122" s="362"/>
      <c r="AY122" s="362"/>
      <c r="AZ122" s="362"/>
      <c r="BA122" s="362"/>
      <c r="BB122" s="362"/>
    </row>
    <row r="123" ht="21.0" customHeight="1">
      <c r="A123" s="495"/>
      <c r="B123" s="518" t="s">
        <v>1532</v>
      </c>
      <c r="F123" s="495"/>
      <c r="G123" s="495"/>
      <c r="H123" s="495"/>
      <c r="I123" s="495"/>
      <c r="J123" s="362"/>
      <c r="K123" s="504"/>
      <c r="L123" s="362"/>
      <c r="M123" s="362"/>
      <c r="N123" s="362"/>
      <c r="O123" s="362"/>
      <c r="P123" s="362"/>
      <c r="Q123" s="362"/>
      <c r="R123" s="362"/>
      <c r="S123" s="362"/>
      <c r="T123" s="362"/>
      <c r="U123" s="362"/>
      <c r="V123" s="505"/>
      <c r="W123" s="362"/>
      <c r="X123" s="362"/>
      <c r="Y123" s="362"/>
      <c r="Z123" s="362"/>
      <c r="AA123" s="362"/>
      <c r="AB123" s="362"/>
      <c r="AC123" s="362"/>
      <c r="AD123" s="506"/>
      <c r="AE123" s="506"/>
      <c r="AF123" s="418"/>
      <c r="AG123" s="418"/>
      <c r="AH123" s="418"/>
      <c r="AI123" s="362"/>
      <c r="AJ123" s="362"/>
      <c r="AK123" s="506"/>
      <c r="AL123" s="506"/>
      <c r="AM123" s="362"/>
      <c r="AN123" s="362"/>
      <c r="AO123" s="362"/>
      <c r="AP123" s="362"/>
      <c r="AQ123" s="362"/>
      <c r="AR123" s="362"/>
      <c r="AS123" s="362"/>
      <c r="AT123" s="362"/>
      <c r="AU123" s="362"/>
      <c r="AV123" s="362"/>
      <c r="AW123" s="362"/>
      <c r="AX123" s="362"/>
      <c r="AY123" s="362"/>
      <c r="AZ123" s="362"/>
      <c r="BA123" s="362"/>
      <c r="BB123" s="362"/>
    </row>
    <row r="124" ht="21.0" customHeight="1">
      <c r="A124" s="495"/>
      <c r="B124" s="518" t="s">
        <v>1533</v>
      </c>
      <c r="F124" s="501"/>
      <c r="G124" s="501"/>
      <c r="H124" s="501"/>
      <c r="I124" s="495"/>
      <c r="J124" s="362"/>
      <c r="K124" s="504"/>
      <c r="L124" s="362"/>
      <c r="M124" s="362"/>
      <c r="N124" s="362"/>
      <c r="O124" s="362"/>
      <c r="P124" s="362"/>
      <c r="Q124" s="362"/>
      <c r="R124" s="362"/>
      <c r="S124" s="362"/>
      <c r="T124" s="362"/>
      <c r="U124" s="362"/>
      <c r="V124" s="505"/>
      <c r="W124" s="362"/>
      <c r="X124" s="362"/>
      <c r="Y124" s="362"/>
      <c r="Z124" s="362"/>
      <c r="AA124" s="362"/>
      <c r="AB124" s="362"/>
      <c r="AC124" s="362"/>
      <c r="AD124" s="506"/>
      <c r="AE124" s="506"/>
      <c r="AF124" s="418"/>
      <c r="AG124" s="418"/>
      <c r="AH124" s="418"/>
      <c r="AI124" s="362"/>
      <c r="AJ124" s="362"/>
      <c r="AK124" s="506"/>
      <c r="AL124" s="506"/>
      <c r="AM124" s="362"/>
      <c r="AN124" s="362"/>
      <c r="AO124" s="362"/>
      <c r="AP124" s="362"/>
      <c r="AQ124" s="362"/>
      <c r="AR124" s="362"/>
      <c r="AS124" s="362"/>
      <c r="AT124" s="362"/>
      <c r="AU124" s="362"/>
      <c r="AV124" s="362"/>
      <c r="AW124" s="362"/>
      <c r="AX124" s="362"/>
      <c r="AY124" s="362"/>
      <c r="AZ124" s="362"/>
      <c r="BA124" s="362"/>
      <c r="BB124" s="362"/>
    </row>
    <row r="125" ht="21.0" customHeight="1">
      <c r="A125" s="495"/>
      <c r="B125" s="523" t="s">
        <v>1536</v>
      </c>
      <c r="C125" s="344"/>
      <c r="D125" s="344"/>
      <c r="E125" s="344"/>
      <c r="F125" s="524"/>
      <c r="J125" s="362"/>
      <c r="K125" s="504"/>
      <c r="L125" s="362"/>
      <c r="M125" s="362"/>
      <c r="N125" s="362"/>
      <c r="O125" s="362"/>
      <c r="P125" s="362"/>
      <c r="Q125" s="362"/>
      <c r="R125" s="362"/>
      <c r="S125" s="362"/>
      <c r="T125" s="362"/>
      <c r="U125" s="362"/>
      <c r="V125" s="505"/>
      <c r="W125" s="362"/>
      <c r="X125" s="362"/>
      <c r="Y125" s="362"/>
      <c r="Z125" s="362"/>
      <c r="AA125" s="362"/>
      <c r="AB125" s="362"/>
      <c r="AC125" s="362"/>
      <c r="AD125" s="506"/>
      <c r="AE125" s="506"/>
      <c r="AF125" s="418"/>
      <c r="AG125" s="418"/>
      <c r="AH125" s="418"/>
      <c r="AI125" s="362"/>
      <c r="AJ125" s="362"/>
      <c r="AK125" s="506"/>
      <c r="AL125" s="506"/>
      <c r="AM125" s="362"/>
      <c r="AN125" s="362"/>
      <c r="AO125" s="362"/>
      <c r="AP125" s="362"/>
      <c r="AQ125" s="362"/>
      <c r="AR125" s="362"/>
      <c r="AS125" s="362"/>
      <c r="AT125" s="362"/>
      <c r="AU125" s="362"/>
      <c r="AV125" s="362"/>
      <c r="AW125" s="362"/>
      <c r="AX125" s="362"/>
      <c r="AY125" s="362"/>
      <c r="AZ125" s="362"/>
      <c r="BA125" s="362"/>
      <c r="BB125" s="362"/>
    </row>
    <row r="126" ht="21.0" customHeight="1">
      <c r="A126" s="495"/>
      <c r="B126" s="518" t="s">
        <v>1538</v>
      </c>
      <c r="F126" s="524"/>
      <c r="J126" s="362"/>
      <c r="K126" s="504"/>
      <c r="L126" s="362"/>
      <c r="M126" s="362"/>
      <c r="N126" s="362"/>
      <c r="O126" s="362"/>
      <c r="P126" s="362"/>
      <c r="Q126" s="362"/>
      <c r="R126" s="362"/>
      <c r="S126" s="362"/>
      <c r="T126" s="362"/>
      <c r="U126" s="362"/>
      <c r="V126" s="505"/>
      <c r="W126" s="362"/>
      <c r="X126" s="362"/>
      <c r="Y126" s="362"/>
      <c r="Z126" s="362"/>
      <c r="AA126" s="362"/>
      <c r="AB126" s="362"/>
      <c r="AC126" s="362"/>
      <c r="AD126" s="506"/>
      <c r="AE126" s="506"/>
      <c r="AF126" s="418"/>
      <c r="AG126" s="418"/>
      <c r="AH126" s="418"/>
      <c r="AI126" s="362"/>
      <c r="AJ126" s="362"/>
      <c r="AK126" s="506"/>
      <c r="AL126" s="506"/>
      <c r="AM126" s="362"/>
      <c r="AN126" s="362"/>
      <c r="AO126" s="362"/>
      <c r="AP126" s="362"/>
      <c r="AQ126" s="362"/>
      <c r="AR126" s="362"/>
      <c r="AS126" s="362"/>
      <c r="AT126" s="362"/>
      <c r="AU126" s="362"/>
      <c r="AV126" s="362"/>
      <c r="AW126" s="362"/>
      <c r="AX126" s="362"/>
      <c r="AY126" s="362"/>
      <c r="AZ126" s="362"/>
      <c r="BA126" s="362"/>
      <c r="BB126" s="362"/>
    </row>
    <row r="127" ht="21.0" customHeight="1">
      <c r="A127" s="495"/>
      <c r="B127" s="513" t="s">
        <v>1540</v>
      </c>
      <c r="F127" s="524"/>
      <c r="J127" s="362"/>
      <c r="K127" s="504"/>
      <c r="L127" s="362"/>
      <c r="M127" s="362"/>
      <c r="N127" s="362"/>
      <c r="O127" s="362"/>
      <c r="P127" s="362"/>
      <c r="Q127" s="362"/>
      <c r="R127" s="362"/>
      <c r="S127" s="362"/>
      <c r="T127" s="362"/>
      <c r="U127" s="362"/>
      <c r="V127" s="505"/>
      <c r="W127" s="362"/>
      <c r="X127" s="362"/>
      <c r="Y127" s="362"/>
      <c r="Z127" s="362"/>
      <c r="AA127" s="362"/>
      <c r="AB127" s="362"/>
      <c r="AC127" s="362"/>
      <c r="AD127" s="506"/>
      <c r="AE127" s="506"/>
      <c r="AF127" s="418"/>
      <c r="AG127" s="418"/>
      <c r="AH127" s="418"/>
      <c r="AI127" s="362"/>
      <c r="AJ127" s="362"/>
      <c r="AK127" s="506"/>
      <c r="AL127" s="506"/>
      <c r="AM127" s="362"/>
      <c r="AN127" s="362"/>
      <c r="AO127" s="362"/>
      <c r="AP127" s="362"/>
      <c r="AQ127" s="362"/>
      <c r="AR127" s="362"/>
      <c r="AS127" s="362"/>
      <c r="AT127" s="362"/>
      <c r="AU127" s="362"/>
      <c r="AV127" s="362"/>
      <c r="AW127" s="362"/>
      <c r="AX127" s="362"/>
      <c r="AY127" s="362"/>
      <c r="AZ127" s="362"/>
      <c r="BA127" s="362"/>
      <c r="BB127" s="362"/>
    </row>
    <row r="128" ht="21.0" customHeight="1">
      <c r="A128" s="495"/>
      <c r="B128" s="518" t="s">
        <v>1541</v>
      </c>
      <c r="F128" s="524"/>
      <c r="J128" s="362"/>
      <c r="K128" s="504"/>
      <c r="L128" s="362"/>
      <c r="M128" s="362"/>
      <c r="N128" s="362"/>
      <c r="O128" s="362"/>
      <c r="P128" s="362"/>
      <c r="Q128" s="362"/>
      <c r="R128" s="362"/>
      <c r="S128" s="362"/>
      <c r="T128" s="362"/>
      <c r="U128" s="362"/>
      <c r="V128" s="505"/>
      <c r="W128" s="362"/>
      <c r="X128" s="362"/>
      <c r="Y128" s="362"/>
      <c r="Z128" s="362"/>
      <c r="AA128" s="362"/>
      <c r="AB128" s="362"/>
      <c r="AC128" s="362"/>
      <c r="AD128" s="506"/>
      <c r="AE128" s="506"/>
      <c r="AF128" s="418"/>
      <c r="AG128" s="418"/>
      <c r="AH128" s="418"/>
      <c r="AI128" s="362"/>
      <c r="AJ128" s="362"/>
      <c r="AK128" s="506"/>
      <c r="AL128" s="506"/>
      <c r="AM128" s="362"/>
      <c r="AN128" s="362"/>
      <c r="AO128" s="362"/>
      <c r="AP128" s="362"/>
      <c r="AQ128" s="362"/>
      <c r="AR128" s="362"/>
      <c r="AS128" s="362"/>
      <c r="AT128" s="362"/>
      <c r="AU128" s="362"/>
      <c r="AV128" s="362"/>
      <c r="AW128" s="362"/>
      <c r="AX128" s="362"/>
      <c r="AY128" s="362"/>
      <c r="AZ128" s="362"/>
      <c r="BA128" s="362"/>
      <c r="BB128" s="362"/>
    </row>
    <row r="129" ht="21.0" customHeight="1">
      <c r="A129" s="495"/>
      <c r="B129" s="518" t="s">
        <v>1542</v>
      </c>
      <c r="F129" s="524"/>
      <c r="J129" s="362"/>
      <c r="K129" s="504"/>
      <c r="L129" s="362"/>
      <c r="M129" s="362"/>
      <c r="N129" s="362"/>
      <c r="O129" s="362"/>
      <c r="P129" s="362"/>
      <c r="Q129" s="362"/>
      <c r="R129" s="362"/>
      <c r="S129" s="362"/>
      <c r="T129" s="362"/>
      <c r="U129" s="362"/>
      <c r="V129" s="505"/>
      <c r="W129" s="362"/>
      <c r="X129" s="362"/>
      <c r="Y129" s="362"/>
      <c r="Z129" s="362"/>
      <c r="AA129" s="362"/>
      <c r="AB129" s="362"/>
      <c r="AC129" s="362"/>
      <c r="AD129" s="506"/>
      <c r="AE129" s="506"/>
      <c r="AF129" s="418"/>
      <c r="AG129" s="418"/>
      <c r="AH129" s="418"/>
      <c r="AI129" s="362"/>
      <c r="AJ129" s="362"/>
      <c r="AK129" s="506"/>
      <c r="AL129" s="506"/>
      <c r="AM129" s="362"/>
      <c r="AN129" s="362"/>
      <c r="AO129" s="362"/>
      <c r="AP129" s="362"/>
      <c r="AQ129" s="362"/>
      <c r="AR129" s="362"/>
      <c r="AS129" s="362"/>
      <c r="AT129" s="362"/>
      <c r="AU129" s="362"/>
      <c r="AV129" s="362"/>
      <c r="AW129" s="362"/>
      <c r="AX129" s="362"/>
      <c r="AY129" s="362"/>
      <c r="AZ129" s="362"/>
      <c r="BA129" s="362"/>
      <c r="BB129" s="362"/>
    </row>
    <row r="130" ht="21.0" customHeight="1">
      <c r="A130" s="495"/>
      <c r="B130" s="518" t="s">
        <v>1543</v>
      </c>
      <c r="F130" s="524"/>
      <c r="J130" s="362"/>
      <c r="K130" s="504"/>
      <c r="L130" s="362"/>
      <c r="M130" s="362"/>
      <c r="N130" s="362"/>
      <c r="O130" s="362"/>
      <c r="P130" s="362"/>
      <c r="Q130" s="362"/>
      <c r="R130" s="362"/>
      <c r="S130" s="362"/>
      <c r="T130" s="362"/>
      <c r="U130" s="362"/>
      <c r="V130" s="505"/>
      <c r="W130" s="362"/>
      <c r="X130" s="362"/>
      <c r="Y130" s="362"/>
      <c r="Z130" s="362"/>
      <c r="AA130" s="362"/>
      <c r="AB130" s="362"/>
      <c r="AC130" s="362"/>
      <c r="AD130" s="506"/>
      <c r="AE130" s="506"/>
      <c r="AF130" s="418"/>
      <c r="AG130" s="418"/>
      <c r="AH130" s="418"/>
      <c r="AI130" s="362"/>
      <c r="AJ130" s="362"/>
      <c r="AK130" s="506"/>
      <c r="AL130" s="506"/>
      <c r="AM130" s="362"/>
      <c r="AN130" s="362"/>
      <c r="AO130" s="362"/>
      <c r="AP130" s="362"/>
      <c r="AQ130" s="362"/>
      <c r="AR130" s="362"/>
      <c r="AS130" s="362"/>
      <c r="AT130" s="362"/>
      <c r="AU130" s="362"/>
      <c r="AV130" s="362"/>
      <c r="AW130" s="362"/>
      <c r="AX130" s="362"/>
      <c r="AY130" s="362"/>
      <c r="AZ130" s="362"/>
      <c r="BA130" s="362"/>
      <c r="BB130" s="362"/>
    </row>
    <row r="131" ht="21.0" customHeight="1">
      <c r="A131" s="495"/>
      <c r="B131" s="518" t="s">
        <v>1546</v>
      </c>
      <c r="F131" s="524"/>
      <c r="G131" s="524"/>
      <c r="H131" s="524"/>
      <c r="I131" s="524"/>
      <c r="J131" s="362"/>
      <c r="K131" s="504"/>
      <c r="L131" s="362"/>
      <c r="M131" s="362"/>
      <c r="N131" s="362"/>
      <c r="O131" s="362"/>
      <c r="P131" s="362"/>
      <c r="Q131" s="362"/>
      <c r="R131" s="362"/>
      <c r="S131" s="362"/>
      <c r="T131" s="362"/>
      <c r="U131" s="362"/>
      <c r="V131" s="505"/>
      <c r="W131" s="362"/>
      <c r="X131" s="362"/>
      <c r="Y131" s="362"/>
      <c r="Z131" s="362"/>
      <c r="AA131" s="362"/>
      <c r="AB131" s="362"/>
      <c r="AC131" s="362"/>
      <c r="AD131" s="506"/>
      <c r="AE131" s="506"/>
      <c r="AF131" s="418"/>
      <c r="AG131" s="418"/>
      <c r="AH131" s="418"/>
      <c r="AI131" s="362"/>
      <c r="AJ131" s="362"/>
      <c r="AK131" s="506"/>
      <c r="AL131" s="506"/>
      <c r="AM131" s="362"/>
      <c r="AN131" s="362"/>
      <c r="AO131" s="362"/>
      <c r="AP131" s="362"/>
      <c r="AQ131" s="362"/>
      <c r="AR131" s="362"/>
      <c r="AS131" s="362"/>
      <c r="AT131" s="362"/>
      <c r="AU131" s="362"/>
      <c r="AV131" s="362"/>
      <c r="AW131" s="362"/>
      <c r="AX131" s="362"/>
      <c r="AY131" s="362"/>
      <c r="AZ131" s="362"/>
      <c r="BA131" s="362"/>
      <c r="BB131" s="362"/>
    </row>
    <row r="132" ht="21.0" customHeight="1">
      <c r="A132" s="495"/>
      <c r="B132" s="524"/>
      <c r="C132" s="524"/>
      <c r="D132" s="524"/>
      <c r="E132" s="524"/>
      <c r="F132" s="524"/>
      <c r="G132" s="524"/>
      <c r="H132" s="524"/>
      <c r="I132" s="524"/>
      <c r="J132" s="362"/>
      <c r="K132" s="504"/>
      <c r="L132" s="362"/>
      <c r="M132" s="362"/>
      <c r="N132" s="362"/>
      <c r="O132" s="362"/>
      <c r="P132" s="362"/>
      <c r="Q132" s="362"/>
      <c r="R132" s="362"/>
      <c r="S132" s="362"/>
      <c r="T132" s="362"/>
      <c r="U132" s="362"/>
      <c r="V132" s="505"/>
      <c r="W132" s="362"/>
      <c r="X132" s="362"/>
      <c r="Y132" s="362"/>
      <c r="Z132" s="362"/>
      <c r="AA132" s="362"/>
      <c r="AB132" s="362"/>
      <c r="AC132" s="362"/>
      <c r="AD132" s="506"/>
      <c r="AE132" s="506"/>
      <c r="AF132" s="418"/>
      <c r="AG132" s="418"/>
      <c r="AH132" s="418"/>
      <c r="AI132" s="362"/>
      <c r="AJ132" s="362"/>
      <c r="AK132" s="506"/>
      <c r="AL132" s="506"/>
      <c r="AM132" s="362"/>
      <c r="AN132" s="362"/>
      <c r="AO132" s="362"/>
      <c r="AP132" s="362"/>
      <c r="AQ132" s="362"/>
      <c r="AR132" s="362"/>
      <c r="AS132" s="362"/>
      <c r="AT132" s="362"/>
      <c r="AU132" s="362"/>
      <c r="AV132" s="362"/>
      <c r="AW132" s="362"/>
      <c r="AX132" s="362"/>
      <c r="AY132" s="362"/>
      <c r="AZ132" s="362"/>
      <c r="BA132" s="362"/>
      <c r="BB132" s="362"/>
    </row>
    <row r="133" ht="21.0" customHeight="1">
      <c r="A133" s="495"/>
      <c r="B133" s="524"/>
      <c r="C133" s="524"/>
      <c r="D133" s="524"/>
      <c r="E133" s="524"/>
      <c r="F133" s="524"/>
      <c r="G133" s="524"/>
      <c r="H133" s="524"/>
      <c r="I133" s="524"/>
      <c r="J133" s="362"/>
      <c r="K133" s="504"/>
      <c r="L133" s="362"/>
      <c r="M133" s="362"/>
      <c r="N133" s="362"/>
      <c r="O133" s="362"/>
      <c r="P133" s="362"/>
      <c r="Q133" s="362"/>
      <c r="R133" s="362"/>
      <c r="S133" s="362"/>
      <c r="T133" s="362"/>
      <c r="U133" s="362"/>
      <c r="V133" s="505"/>
      <c r="W133" s="362"/>
      <c r="X133" s="362"/>
      <c r="Y133" s="362"/>
      <c r="Z133" s="362"/>
      <c r="AA133" s="362"/>
      <c r="AB133" s="362"/>
      <c r="AC133" s="362"/>
      <c r="AD133" s="506"/>
      <c r="AE133" s="506"/>
      <c r="AF133" s="418"/>
      <c r="AG133" s="418"/>
      <c r="AH133" s="418"/>
      <c r="AI133" s="362"/>
      <c r="AJ133" s="362"/>
      <c r="AK133" s="506"/>
      <c r="AL133" s="506"/>
      <c r="AM133" s="362"/>
      <c r="AN133" s="362"/>
      <c r="AO133" s="362"/>
      <c r="AP133" s="362"/>
      <c r="AQ133" s="362"/>
      <c r="AR133" s="362"/>
      <c r="AS133" s="362"/>
      <c r="AT133" s="362"/>
      <c r="AU133" s="362"/>
      <c r="AV133" s="362"/>
      <c r="AW133" s="362"/>
      <c r="AX133" s="362"/>
      <c r="AY133" s="362"/>
      <c r="AZ133" s="362"/>
      <c r="BA133" s="362"/>
      <c r="BB133" s="362"/>
    </row>
    <row r="134" ht="21.0" customHeight="1">
      <c r="A134" s="495"/>
      <c r="B134" s="524"/>
      <c r="C134" s="524"/>
      <c r="D134" s="524"/>
      <c r="E134" s="524"/>
      <c r="F134" s="524"/>
      <c r="G134" s="524"/>
      <c r="H134" s="524"/>
      <c r="I134" s="524"/>
      <c r="J134" s="362"/>
      <c r="K134" s="504"/>
      <c r="L134" s="362"/>
      <c r="M134" s="362"/>
      <c r="N134" s="362"/>
      <c r="O134" s="362"/>
      <c r="P134" s="362"/>
      <c r="Q134" s="362"/>
      <c r="R134" s="362"/>
      <c r="S134" s="362"/>
      <c r="T134" s="362"/>
      <c r="U134" s="362"/>
      <c r="V134" s="505"/>
      <c r="W134" s="362"/>
      <c r="X134" s="362"/>
      <c r="Y134" s="362"/>
      <c r="Z134" s="362"/>
      <c r="AA134" s="362"/>
      <c r="AB134" s="362"/>
      <c r="AC134" s="362"/>
      <c r="AD134" s="506"/>
      <c r="AE134" s="506"/>
      <c r="AF134" s="418"/>
      <c r="AG134" s="418"/>
      <c r="AH134" s="418"/>
      <c r="AI134" s="362"/>
      <c r="AJ134" s="362"/>
      <c r="AK134" s="506"/>
      <c r="AL134" s="506"/>
      <c r="AM134" s="362"/>
      <c r="AN134" s="362"/>
      <c r="AO134" s="362"/>
      <c r="AP134" s="362"/>
      <c r="AQ134" s="362"/>
      <c r="AR134" s="362"/>
      <c r="AS134" s="362"/>
      <c r="AT134" s="362"/>
      <c r="AU134" s="362"/>
      <c r="AV134" s="362"/>
      <c r="AW134" s="362"/>
      <c r="AX134" s="362"/>
      <c r="AY134" s="362"/>
      <c r="AZ134" s="362"/>
      <c r="BA134" s="362"/>
      <c r="BB134" s="362"/>
    </row>
    <row r="135" ht="21.0" customHeight="1">
      <c r="A135" s="495"/>
      <c r="B135" s="524"/>
      <c r="C135" s="524"/>
      <c r="D135" s="524"/>
      <c r="E135" s="524"/>
      <c r="F135" s="524"/>
      <c r="G135" s="524"/>
      <c r="H135" s="524"/>
      <c r="I135" s="524"/>
      <c r="J135" s="362"/>
      <c r="K135" s="504"/>
      <c r="L135" s="362"/>
      <c r="M135" s="362"/>
      <c r="N135" s="362"/>
      <c r="O135" s="362"/>
      <c r="P135" s="362"/>
      <c r="Q135" s="362"/>
      <c r="R135" s="362"/>
      <c r="S135" s="362"/>
      <c r="T135" s="362"/>
      <c r="U135" s="362"/>
      <c r="V135" s="505"/>
      <c r="W135" s="362"/>
      <c r="X135" s="362"/>
      <c r="Y135" s="362"/>
      <c r="Z135" s="362"/>
      <c r="AA135" s="362"/>
      <c r="AB135" s="362"/>
      <c r="AC135" s="362"/>
      <c r="AD135" s="506"/>
      <c r="AE135" s="506"/>
      <c r="AF135" s="418"/>
      <c r="AG135" s="418"/>
      <c r="AH135" s="418"/>
      <c r="AI135" s="362"/>
      <c r="AJ135" s="362"/>
      <c r="AK135" s="506"/>
      <c r="AL135" s="506"/>
      <c r="AM135" s="362"/>
      <c r="AN135" s="362"/>
      <c r="AO135" s="362"/>
      <c r="AP135" s="362"/>
      <c r="AQ135" s="362"/>
      <c r="AR135" s="362"/>
      <c r="AS135" s="362"/>
      <c r="AT135" s="362"/>
      <c r="AU135" s="362"/>
      <c r="AV135" s="362"/>
      <c r="AW135" s="362"/>
      <c r="AX135" s="362"/>
      <c r="AY135" s="362"/>
      <c r="AZ135" s="362"/>
      <c r="BA135" s="362"/>
      <c r="BB135" s="362"/>
    </row>
    <row r="136" ht="21.0" customHeight="1">
      <c r="A136" s="495"/>
      <c r="B136" s="524"/>
      <c r="C136" s="524"/>
      <c r="D136" s="524"/>
      <c r="E136" s="524"/>
      <c r="F136" s="524"/>
      <c r="G136" s="524"/>
      <c r="H136" s="524"/>
      <c r="I136" s="524"/>
      <c r="J136" s="362"/>
      <c r="K136" s="504"/>
      <c r="L136" s="362"/>
      <c r="M136" s="362"/>
      <c r="N136" s="362"/>
      <c r="O136" s="362"/>
      <c r="P136" s="362"/>
      <c r="Q136" s="362"/>
      <c r="R136" s="362"/>
      <c r="S136" s="362"/>
      <c r="T136" s="362"/>
      <c r="U136" s="362"/>
      <c r="V136" s="505"/>
      <c r="W136" s="362"/>
      <c r="X136" s="362"/>
      <c r="Y136" s="362"/>
      <c r="Z136" s="362"/>
      <c r="AA136" s="362"/>
      <c r="AB136" s="362"/>
      <c r="AC136" s="362"/>
      <c r="AD136" s="506"/>
      <c r="AE136" s="506"/>
      <c r="AF136" s="418"/>
      <c r="AG136" s="418"/>
      <c r="AH136" s="418"/>
      <c r="AI136" s="362"/>
      <c r="AJ136" s="362"/>
      <c r="AK136" s="506"/>
      <c r="AL136" s="506"/>
      <c r="AM136" s="362"/>
      <c r="AN136" s="362"/>
      <c r="AO136" s="362"/>
      <c r="AP136" s="362"/>
      <c r="AQ136" s="362"/>
      <c r="AR136" s="362"/>
      <c r="AS136" s="362"/>
      <c r="AT136" s="362"/>
      <c r="AU136" s="362"/>
      <c r="AV136" s="362"/>
      <c r="AW136" s="362"/>
      <c r="AX136" s="362"/>
      <c r="AY136" s="362"/>
      <c r="AZ136" s="362"/>
      <c r="BA136" s="362"/>
      <c r="BB136" s="362"/>
    </row>
    <row r="137" ht="21.0" customHeight="1">
      <c r="A137" s="495"/>
      <c r="B137" s="524"/>
      <c r="C137" s="524"/>
      <c r="D137" s="524"/>
      <c r="E137" s="524"/>
      <c r="F137" s="524"/>
      <c r="G137" s="524"/>
      <c r="H137" s="524"/>
      <c r="I137" s="524"/>
      <c r="J137" s="362"/>
      <c r="K137" s="504"/>
      <c r="L137" s="362"/>
      <c r="M137" s="362"/>
      <c r="N137" s="362"/>
      <c r="O137" s="362"/>
      <c r="P137" s="362"/>
      <c r="Q137" s="362"/>
      <c r="R137" s="362"/>
      <c r="S137" s="362"/>
      <c r="T137" s="362"/>
      <c r="U137" s="362"/>
      <c r="V137" s="505"/>
      <c r="W137" s="362"/>
      <c r="X137" s="362"/>
      <c r="Y137" s="362"/>
      <c r="Z137" s="362"/>
      <c r="AA137" s="362"/>
      <c r="AB137" s="362"/>
      <c r="AC137" s="362"/>
      <c r="AD137" s="506"/>
      <c r="AE137" s="506"/>
      <c r="AF137" s="418"/>
      <c r="AG137" s="418"/>
      <c r="AH137" s="418"/>
      <c r="AI137" s="362"/>
      <c r="AJ137" s="362"/>
      <c r="AK137" s="506"/>
      <c r="AL137" s="506"/>
      <c r="AM137" s="362"/>
      <c r="AN137" s="362"/>
      <c r="AO137" s="362"/>
      <c r="AP137" s="362"/>
      <c r="AQ137" s="362"/>
      <c r="AR137" s="362"/>
      <c r="AS137" s="362"/>
      <c r="AT137" s="362"/>
      <c r="AU137" s="362"/>
      <c r="AV137" s="362"/>
      <c r="AW137" s="362"/>
      <c r="AX137" s="362"/>
      <c r="AY137" s="362"/>
      <c r="AZ137" s="362"/>
      <c r="BA137" s="362"/>
      <c r="BB137" s="362"/>
    </row>
    <row r="138" ht="21.0" customHeight="1">
      <c r="A138" s="495"/>
      <c r="B138" s="524"/>
      <c r="C138" s="524"/>
      <c r="D138" s="524"/>
      <c r="E138" s="524"/>
      <c r="F138" s="524"/>
      <c r="G138" s="524"/>
      <c r="H138" s="524"/>
      <c r="I138" s="524"/>
      <c r="J138" s="362"/>
      <c r="K138" s="504"/>
      <c r="L138" s="362"/>
      <c r="M138" s="362"/>
      <c r="N138" s="362"/>
      <c r="O138" s="362"/>
      <c r="P138" s="362"/>
      <c r="Q138" s="362"/>
      <c r="R138" s="362"/>
      <c r="S138" s="362"/>
      <c r="T138" s="362"/>
      <c r="U138" s="362"/>
      <c r="V138" s="505"/>
      <c r="W138" s="362"/>
      <c r="X138" s="362"/>
      <c r="Y138" s="362"/>
      <c r="Z138" s="362"/>
      <c r="AA138" s="362"/>
      <c r="AB138" s="362"/>
      <c r="AC138" s="362"/>
      <c r="AD138" s="506"/>
      <c r="AE138" s="506"/>
      <c r="AF138" s="418"/>
      <c r="AG138" s="418"/>
      <c r="AH138" s="418"/>
      <c r="AI138" s="362"/>
      <c r="AJ138" s="362"/>
      <c r="AK138" s="506"/>
      <c r="AL138" s="506"/>
      <c r="AM138" s="362"/>
      <c r="AN138" s="362"/>
      <c r="AO138" s="362"/>
      <c r="AP138" s="362"/>
      <c r="AQ138" s="362"/>
      <c r="AR138" s="362"/>
      <c r="AS138" s="362"/>
      <c r="AT138" s="362"/>
      <c r="AU138" s="362"/>
      <c r="AV138" s="362"/>
      <c r="AW138" s="362"/>
      <c r="AX138" s="362"/>
      <c r="AY138" s="362"/>
      <c r="AZ138" s="362"/>
      <c r="BA138" s="362"/>
      <c r="BB138" s="362"/>
    </row>
    <row r="139" ht="21.0" customHeight="1">
      <c r="A139" s="495"/>
      <c r="B139" s="524"/>
      <c r="C139" s="524"/>
      <c r="D139" s="524"/>
      <c r="E139" s="524"/>
      <c r="F139" s="524"/>
      <c r="G139" s="524"/>
      <c r="H139" s="524"/>
      <c r="I139" s="524"/>
      <c r="J139" s="362"/>
      <c r="K139" s="504"/>
      <c r="L139" s="362"/>
      <c r="M139" s="362"/>
      <c r="N139" s="362"/>
      <c r="O139" s="362"/>
      <c r="P139" s="362"/>
      <c r="Q139" s="362"/>
      <c r="R139" s="362"/>
      <c r="S139" s="362"/>
      <c r="T139" s="362"/>
      <c r="U139" s="362"/>
      <c r="V139" s="505"/>
      <c r="W139" s="362"/>
      <c r="X139" s="362"/>
      <c r="Y139" s="362"/>
      <c r="Z139" s="362"/>
      <c r="AA139" s="362"/>
      <c r="AB139" s="362"/>
      <c r="AC139" s="362"/>
      <c r="AD139" s="506"/>
      <c r="AE139" s="506"/>
      <c r="AF139" s="418"/>
      <c r="AG139" s="418"/>
      <c r="AH139" s="418"/>
      <c r="AI139" s="362"/>
      <c r="AJ139" s="362"/>
      <c r="AK139" s="506"/>
      <c r="AL139" s="506"/>
      <c r="AM139" s="362"/>
      <c r="AN139" s="362"/>
      <c r="AO139" s="362"/>
      <c r="AP139" s="362"/>
      <c r="AQ139" s="362"/>
      <c r="AR139" s="362"/>
      <c r="AS139" s="362"/>
      <c r="AT139" s="362"/>
      <c r="AU139" s="362"/>
      <c r="AV139" s="362"/>
      <c r="AW139" s="362"/>
      <c r="AX139" s="362"/>
      <c r="AY139" s="362"/>
      <c r="AZ139" s="362"/>
      <c r="BA139" s="362"/>
      <c r="BB139" s="362"/>
    </row>
    <row r="140" ht="21.0" customHeight="1">
      <c r="A140" s="362"/>
      <c r="B140" s="362"/>
      <c r="C140" s="362"/>
      <c r="D140" s="362"/>
      <c r="E140" s="362"/>
      <c r="F140" s="362"/>
      <c r="G140" s="362"/>
      <c r="H140" s="362"/>
      <c r="I140" s="362"/>
      <c r="J140" s="362"/>
      <c r="K140" s="504"/>
      <c r="L140" s="362"/>
      <c r="M140" s="362"/>
      <c r="N140" s="362"/>
      <c r="O140" s="362"/>
      <c r="P140" s="362"/>
      <c r="Q140" s="362"/>
      <c r="R140" s="362"/>
      <c r="S140" s="362"/>
      <c r="T140" s="362"/>
      <c r="U140" s="362"/>
      <c r="V140" s="505"/>
      <c r="W140" s="362"/>
      <c r="X140" s="362"/>
      <c r="Y140" s="362"/>
      <c r="Z140" s="362"/>
      <c r="AA140" s="362"/>
      <c r="AB140" s="362"/>
      <c r="AC140" s="362"/>
      <c r="AD140" s="506"/>
      <c r="AE140" s="506"/>
      <c r="AF140" s="418"/>
      <c r="AG140" s="418"/>
      <c r="AH140" s="418"/>
      <c r="AI140" s="362"/>
      <c r="AJ140" s="362"/>
      <c r="AK140" s="506"/>
      <c r="AL140" s="506"/>
      <c r="AM140" s="362"/>
      <c r="AN140" s="362"/>
      <c r="AO140" s="362"/>
      <c r="AP140" s="362"/>
      <c r="AQ140" s="362"/>
      <c r="AR140" s="362"/>
      <c r="AS140" s="362"/>
      <c r="AT140" s="362"/>
      <c r="AU140" s="362"/>
      <c r="AV140" s="362"/>
      <c r="AW140" s="362"/>
      <c r="AX140" s="362"/>
      <c r="AY140" s="362"/>
      <c r="AZ140" s="362"/>
      <c r="BA140" s="362"/>
      <c r="BB140" s="362"/>
    </row>
  </sheetData>
  <mergeCells count="37">
    <mergeCell ref="L4:M4"/>
    <mergeCell ref="L3:M3"/>
    <mergeCell ref="K7:R7"/>
    <mergeCell ref="P5:Q5"/>
    <mergeCell ref="P4:Q4"/>
    <mergeCell ref="P3:Q3"/>
    <mergeCell ref="L5:M5"/>
    <mergeCell ref="B108:E108"/>
    <mergeCell ref="B107:E107"/>
    <mergeCell ref="B116:E116"/>
    <mergeCell ref="B115:E115"/>
    <mergeCell ref="B131:E131"/>
    <mergeCell ref="B130:E130"/>
    <mergeCell ref="F129:I129"/>
    <mergeCell ref="B129:E129"/>
    <mergeCell ref="F128:I128"/>
    <mergeCell ref="F130:I130"/>
    <mergeCell ref="B105:E105"/>
    <mergeCell ref="B106:E106"/>
    <mergeCell ref="B110:E110"/>
    <mergeCell ref="B111:D111"/>
    <mergeCell ref="B109:E109"/>
    <mergeCell ref="B117:D117"/>
    <mergeCell ref="B113:E113"/>
    <mergeCell ref="B126:E126"/>
    <mergeCell ref="B127:E127"/>
    <mergeCell ref="B128:E128"/>
    <mergeCell ref="F126:I126"/>
    <mergeCell ref="F125:I125"/>
    <mergeCell ref="F127:I127"/>
    <mergeCell ref="B118:E118"/>
    <mergeCell ref="B119:D119"/>
    <mergeCell ref="B122:E122"/>
    <mergeCell ref="B121:E121"/>
    <mergeCell ref="B125:E125"/>
    <mergeCell ref="B123:E123"/>
    <mergeCell ref="B124:E124"/>
  </mergeCells>
  <conditionalFormatting sqref="E1">
    <cfRule type="expression" dxfId="1" priority="1">
      <formula>$AX1="Data changed"</formula>
    </cfRule>
  </conditionalFormatting>
  <conditionalFormatting sqref="E1">
    <cfRule type="expression" dxfId="1" priority="2">
      <formula>$AW1="Data changed"</formula>
    </cfRule>
  </conditionalFormatting>
  <conditionalFormatting sqref="K11:BA75">
    <cfRule type="expression" dxfId="5" priority="3">
      <formula>isblank($K11)</formula>
    </cfRule>
  </conditionalFormatting>
  <conditionalFormatting sqref="K8:BA8">
    <cfRule type="notContainsBlanks" dxfId="0" priority="4">
      <formula>LEN(TRIM(K8))&gt;0</formula>
    </cfRule>
  </conditionalFormatting>
  <conditionalFormatting sqref="K3:P10 R3:BA10 Q6:Q10">
    <cfRule type="expression" dxfId="5" priority="5">
      <formula>isblank($K$3)</formula>
    </cfRule>
  </conditionalFormatting>
  <conditionalFormatting sqref="K7:P7">
    <cfRule type="notContainsBlanks" dxfId="6" priority="6">
      <formula>LEN(TRIM(K7))&gt;0</formula>
    </cfRule>
  </conditionalFormatting>
  <dataValidations>
    <dataValidation type="list" allowBlank="1" showErrorMessage="1" sqref="E1">
      <formula1>'Charts Data'!$A$3:$A</formula1>
    </dataValidation>
  </dataValidations>
  <drawing r:id="rId1"/>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showGridLines="0" workbookViewId="0"/>
  </sheetViews>
  <sheetFormatPr customHeight="1" defaultColWidth="14.43" defaultRowHeight="15.75"/>
  <cols>
    <col customWidth="1" min="1" max="1" width="4.43"/>
    <col customWidth="1" min="2" max="2" width="21.14"/>
    <col customWidth="1" min="3" max="28" width="14.29"/>
  </cols>
  <sheetData>
    <row r="1" ht="23.25" customHeight="1">
      <c r="A1" s="480"/>
      <c r="B1" s="289" t="s">
        <v>1472</v>
      </c>
      <c r="D1" s="481"/>
      <c r="E1" s="481"/>
      <c r="F1" s="481"/>
      <c r="G1" s="481"/>
      <c r="H1" s="482"/>
      <c r="I1" s="482"/>
      <c r="J1" s="482"/>
      <c r="K1" s="482"/>
      <c r="L1" s="482"/>
      <c r="M1" s="482"/>
      <c r="N1" s="482"/>
      <c r="O1" s="482"/>
      <c r="P1" s="482"/>
      <c r="Q1" s="482"/>
      <c r="R1" s="482"/>
      <c r="S1" s="482"/>
      <c r="T1" s="482"/>
      <c r="U1" s="482"/>
      <c r="V1" s="482"/>
      <c r="W1" s="482"/>
      <c r="X1" s="482"/>
      <c r="Y1" s="482"/>
      <c r="Z1" s="482"/>
      <c r="AA1" s="482"/>
      <c r="AB1" s="482"/>
    </row>
    <row r="2" ht="23.25" customHeight="1">
      <c r="A2" s="482"/>
      <c r="B2" s="482"/>
      <c r="C2" s="482"/>
      <c r="D2" s="482"/>
      <c r="E2" s="482"/>
      <c r="F2" s="482"/>
      <c r="G2" s="481"/>
      <c r="H2" s="482"/>
      <c r="I2" s="482"/>
      <c r="J2" s="482"/>
      <c r="K2" s="482"/>
      <c r="L2" s="482"/>
      <c r="M2" s="482"/>
      <c r="N2" s="482"/>
      <c r="O2" s="482"/>
      <c r="P2" s="482"/>
      <c r="Q2" s="482"/>
      <c r="R2" s="482"/>
      <c r="S2" s="482"/>
      <c r="T2" s="482"/>
      <c r="U2" s="482"/>
      <c r="V2" s="482"/>
      <c r="W2" s="482"/>
      <c r="X2" s="482"/>
      <c r="Y2" s="482"/>
      <c r="Z2" s="482"/>
      <c r="AA2" s="482"/>
      <c r="AB2" s="482"/>
    </row>
    <row r="3" ht="23.25" customHeight="1">
      <c r="A3" s="482"/>
      <c r="B3" s="483" t="s">
        <v>1474</v>
      </c>
      <c r="C3" s="484"/>
      <c r="D3" s="484"/>
      <c r="E3" s="484"/>
      <c r="F3" s="484"/>
      <c r="G3" s="484"/>
      <c r="H3" s="484"/>
      <c r="I3" s="485"/>
      <c r="J3" s="482"/>
      <c r="K3" s="486" t="s">
        <v>1479</v>
      </c>
      <c r="L3" s="343"/>
      <c r="M3" s="343"/>
      <c r="N3" s="343"/>
      <c r="O3" s="343"/>
      <c r="P3" s="343"/>
      <c r="Q3" s="309"/>
      <c r="R3" s="482"/>
      <c r="S3" s="482"/>
      <c r="T3" s="482"/>
      <c r="U3" s="482"/>
      <c r="V3" s="482"/>
      <c r="W3" s="482"/>
      <c r="X3" s="482"/>
      <c r="Y3" s="482"/>
      <c r="Z3" s="482"/>
      <c r="AA3" s="482"/>
      <c r="AB3" s="482"/>
    </row>
    <row r="4" ht="23.25" customHeight="1">
      <c r="A4" s="482"/>
      <c r="B4" s="487" t="s">
        <v>37</v>
      </c>
      <c r="C4" s="488" t="s">
        <v>1482</v>
      </c>
      <c r="D4" s="488" t="s">
        <v>1484</v>
      </c>
      <c r="E4" s="488" t="s">
        <v>1486</v>
      </c>
      <c r="F4" s="488" t="s">
        <v>1487</v>
      </c>
      <c r="G4" s="489" t="s">
        <v>1488</v>
      </c>
      <c r="H4" s="484"/>
      <c r="I4" s="485"/>
      <c r="J4" s="482"/>
      <c r="K4" s="315"/>
      <c r="Q4" s="316"/>
      <c r="R4" s="482"/>
      <c r="S4" s="482"/>
      <c r="T4" s="482"/>
      <c r="U4" s="482"/>
      <c r="V4" s="482"/>
      <c r="W4" s="482"/>
      <c r="X4" s="482"/>
      <c r="Y4" s="482"/>
      <c r="Z4" s="482"/>
      <c r="AA4" s="482"/>
      <c r="AB4" s="482"/>
    </row>
    <row r="5" ht="23.25" customHeight="1">
      <c r="A5" s="482"/>
      <c r="B5" s="490">
        <f t="array" ref="B5:B10">Administrative!$Z$5:$Z$10</f>
        <v>0.5</v>
      </c>
      <c r="C5" s="491">
        <f>COUNTIFS('Stats Data'!$L$2:$L118,"yes",'Stats Data'!$I$2:$I118,B5)</f>
        <v>4</v>
      </c>
      <c r="D5" s="492">
        <f>COUNTIFS('Stats Data'!$L$2:$L118,"yes",'Stats Data'!$I$2:$I118,B5,'Stats Data'!$K$2:$K118,"&gt;0")</f>
        <v>3</v>
      </c>
      <c r="E5" s="494">
        <f t="shared" ref="E5:E10" si="1">iferror(IF(C5=0,0,D5/C5))</f>
        <v>0.75</v>
      </c>
      <c r="F5" s="494">
        <f t="shared" ref="F5:F10" si="2">iferror(IF(C5=0,0,1-E5))</f>
        <v>0.25</v>
      </c>
      <c r="G5" s="499" t="str">
        <f>IFERROR(__xludf.DUMMYFUNCTION("SPARKLINE( E5:F5,{""charttype"",""bar"";""max"",1;""color1"",""#17e657"";""color2"",""#FF0000""})"),"")</f>
        <v/>
      </c>
      <c r="H5" s="484"/>
      <c r="I5" s="485"/>
      <c r="J5" s="482"/>
      <c r="K5" s="315"/>
      <c r="Q5" s="316"/>
      <c r="R5" s="482"/>
      <c r="S5" s="482"/>
      <c r="T5" s="482"/>
      <c r="U5" s="482"/>
      <c r="V5" s="482"/>
      <c r="W5" s="482"/>
      <c r="X5" s="482"/>
      <c r="Y5" s="482"/>
      <c r="Z5" s="482"/>
      <c r="AA5" s="482"/>
      <c r="AB5" s="482"/>
    </row>
    <row r="6" ht="23.25" customHeight="1">
      <c r="A6" s="482"/>
      <c r="B6" s="490">
        <v>0.6</v>
      </c>
      <c r="C6" s="491">
        <f>COUNTIFS('Stats Data'!$L$2:$L118,"yes",'Stats Data'!$I$2:$I118,B6)</f>
        <v>13</v>
      </c>
      <c r="D6" s="492">
        <f>COUNTIFS('Stats Data'!$L$2:$L118,"yes",'Stats Data'!$I$2:$I118,B6,'Stats Data'!$K$2:$K118,"&gt;0")</f>
        <v>8</v>
      </c>
      <c r="E6" s="494">
        <f t="shared" si="1"/>
        <v>0.6153846154</v>
      </c>
      <c r="F6" s="494">
        <f t="shared" si="2"/>
        <v>0.3846153846</v>
      </c>
      <c r="G6" s="499" t="str">
        <f>IFERROR(__xludf.DUMMYFUNCTION("SPARKLINE( E6:F6,{""charttype"",""bar"";""max"",1;""color1"",""#17e657"";""color2"",""#FF0000""})"),"")</f>
        <v/>
      </c>
      <c r="H6" s="484"/>
      <c r="I6" s="485"/>
      <c r="J6" s="482"/>
      <c r="K6" s="315"/>
      <c r="Q6" s="316"/>
      <c r="R6" s="482"/>
      <c r="S6" s="482"/>
      <c r="T6" s="482"/>
      <c r="U6" s="482"/>
      <c r="V6" s="482"/>
      <c r="W6" s="482"/>
      <c r="X6" s="482"/>
      <c r="Y6" s="482"/>
      <c r="Z6" s="482"/>
      <c r="AA6" s="482"/>
      <c r="AB6" s="482"/>
    </row>
    <row r="7" ht="23.25" customHeight="1">
      <c r="A7" s="482"/>
      <c r="B7" s="490">
        <v>0.7</v>
      </c>
      <c r="C7" s="491">
        <f>COUNTIFS('Stats Data'!$L$2:$L118,"yes",'Stats Data'!$I$2:$I118,B7)</f>
        <v>28</v>
      </c>
      <c r="D7" s="492">
        <f>COUNTIFS('Stats Data'!$L$2:$L118,"yes",'Stats Data'!$I$2:$I118,B7,'Stats Data'!$K$2:$K118,"&gt;0")</f>
        <v>17</v>
      </c>
      <c r="E7" s="494">
        <f t="shared" si="1"/>
        <v>0.6071428571</v>
      </c>
      <c r="F7" s="494">
        <f t="shared" si="2"/>
        <v>0.3928571429</v>
      </c>
      <c r="G7" s="499" t="str">
        <f>IFERROR(__xludf.DUMMYFUNCTION("SPARKLINE( E7:F7,{""charttype"",""bar"";""max"",1;""color1"",""#17e657"";""color2"",""#FF0000""})"),"")</f>
        <v/>
      </c>
      <c r="H7" s="484"/>
      <c r="I7" s="485"/>
      <c r="J7" s="482"/>
      <c r="K7" s="315"/>
      <c r="Q7" s="316"/>
      <c r="R7" s="482"/>
      <c r="S7" s="482"/>
      <c r="T7" s="482"/>
      <c r="U7" s="482"/>
      <c r="V7" s="482"/>
      <c r="W7" s="482"/>
      <c r="X7" s="482"/>
      <c r="Y7" s="482"/>
      <c r="Z7" s="482"/>
      <c r="AA7" s="482"/>
      <c r="AB7" s="482"/>
    </row>
    <row r="8" ht="23.25" customHeight="1">
      <c r="A8" s="482"/>
      <c r="B8" s="490">
        <v>0.8</v>
      </c>
      <c r="C8" s="491">
        <f>COUNTIFS('Stats Data'!$L$2:$L118,"yes",'Stats Data'!$I$2:$I118,B8)</f>
        <v>116</v>
      </c>
      <c r="D8" s="492">
        <f>COUNTIFS('Stats Data'!$L$2:$L118,"yes",'Stats Data'!$I$2:$I118,B8,'Stats Data'!$K$2:$K118,"&gt;0")</f>
        <v>72</v>
      </c>
      <c r="E8" s="494">
        <f t="shared" si="1"/>
        <v>0.6206896552</v>
      </c>
      <c r="F8" s="494">
        <f t="shared" si="2"/>
        <v>0.3793103448</v>
      </c>
      <c r="G8" s="499" t="str">
        <f>IFERROR(__xludf.DUMMYFUNCTION("SPARKLINE( E8:F8,{""charttype"",""bar"";""max"",1;""color1"",""#17e657"";""color2"",""#FF0000""})"),"")</f>
        <v/>
      </c>
      <c r="H8" s="484"/>
      <c r="I8" s="485"/>
      <c r="J8" s="482"/>
      <c r="K8" s="315"/>
      <c r="Q8" s="316"/>
      <c r="R8" s="482"/>
      <c r="S8" s="482"/>
      <c r="T8" s="482"/>
      <c r="U8" s="482"/>
      <c r="V8" s="482"/>
      <c r="W8" s="482"/>
      <c r="X8" s="482"/>
      <c r="Y8" s="482"/>
      <c r="Z8" s="482"/>
      <c r="AA8" s="482"/>
      <c r="AB8" s="482"/>
    </row>
    <row r="9" ht="23.25" customHeight="1">
      <c r="A9" s="482"/>
      <c r="B9" s="510">
        <v>0.9</v>
      </c>
      <c r="C9" s="491">
        <f>COUNTIFS('Stats Data'!$L$2:$L118,"yes",'Stats Data'!$I$2:$I118,B9)</f>
        <v>173</v>
      </c>
      <c r="D9" s="492">
        <f>COUNTIFS('Stats Data'!$L$2:$L118,"yes",'Stats Data'!$I$2:$I118,B9,'Stats Data'!$K$2:$K118,"&gt;0")</f>
        <v>97</v>
      </c>
      <c r="E9" s="494">
        <f t="shared" si="1"/>
        <v>0.5606936416</v>
      </c>
      <c r="F9" s="494">
        <f t="shared" si="2"/>
        <v>0.4393063584</v>
      </c>
      <c r="G9" s="499" t="str">
        <f>IFERROR(__xludf.DUMMYFUNCTION("SPARKLINE( E9:F9,{""charttype"",""bar"";""max"",1;""color1"",""#17e657"";""color2"",""#FF0000""})"),"")</f>
        <v/>
      </c>
      <c r="H9" s="484"/>
      <c r="I9" s="485"/>
      <c r="J9" s="482"/>
      <c r="K9" s="315"/>
      <c r="Q9" s="316"/>
      <c r="R9" s="482"/>
      <c r="S9" s="482"/>
      <c r="T9" s="482"/>
      <c r="U9" s="482"/>
      <c r="V9" s="482"/>
      <c r="W9" s="482"/>
      <c r="X9" s="482"/>
      <c r="Y9" s="482"/>
      <c r="Z9" s="482"/>
      <c r="AA9" s="482"/>
      <c r="AB9" s="482"/>
    </row>
    <row r="10" ht="23.25" customHeight="1">
      <c r="A10" s="482"/>
      <c r="B10" s="512">
        <v>1.0</v>
      </c>
      <c r="C10" s="491">
        <f>COUNTIFS('Stats Data'!$L$2:$L118,"yes",'Stats Data'!$I$2:$I118,B10)</f>
        <v>3</v>
      </c>
      <c r="D10" s="492">
        <f>COUNTIFS('Stats Data'!$L$2:$L118,"yes",'Stats Data'!$I$2:$I118,B10,'Stats Data'!$K$2:$K118,"&gt;0")</f>
        <v>2</v>
      </c>
      <c r="E10" s="494">
        <f t="shared" si="1"/>
        <v>0.6666666667</v>
      </c>
      <c r="F10" s="494">
        <f t="shared" si="2"/>
        <v>0.3333333333</v>
      </c>
      <c r="G10" s="499" t="str">
        <f>IFERROR(__xludf.DUMMYFUNCTION("SPARKLINE( E10:F10,{""charttype"",""bar"";""max"",1;""color1"",""#17e657"";""color2"",""#FF0000""})"),"")</f>
        <v/>
      </c>
      <c r="H10" s="484"/>
      <c r="I10" s="485"/>
      <c r="J10" s="482"/>
      <c r="K10" s="315"/>
      <c r="Q10" s="316"/>
      <c r="R10" s="482"/>
      <c r="S10" s="482"/>
      <c r="T10" s="482"/>
      <c r="U10" s="482"/>
      <c r="V10" s="482"/>
      <c r="W10" s="482"/>
      <c r="X10" s="482"/>
      <c r="Y10" s="482"/>
      <c r="Z10" s="482"/>
      <c r="AA10" s="482"/>
      <c r="AB10" s="482"/>
    </row>
    <row r="11" ht="23.25" customHeight="1">
      <c r="A11" s="482"/>
      <c r="B11" s="515" t="s">
        <v>1519</v>
      </c>
      <c r="C11" s="517">
        <f>SUM(C5:C10)</f>
        <v>337</v>
      </c>
      <c r="D11" s="519" t="s">
        <v>1522</v>
      </c>
      <c r="E11" s="484"/>
      <c r="F11" s="484"/>
      <c r="G11" s="484"/>
      <c r="H11" s="484"/>
      <c r="I11" s="485"/>
      <c r="J11" s="482"/>
      <c r="K11" s="315"/>
      <c r="Q11" s="316"/>
      <c r="R11" s="482"/>
      <c r="S11" s="482"/>
      <c r="T11" s="482"/>
      <c r="U11" s="482"/>
      <c r="V11" s="482"/>
      <c r="W11" s="482"/>
      <c r="X11" s="482"/>
      <c r="Y11" s="482"/>
      <c r="Z11" s="482"/>
      <c r="AA11" s="482"/>
      <c r="AB11" s="482"/>
    </row>
    <row r="12" ht="23.25" customHeight="1">
      <c r="A12" s="482"/>
      <c r="B12" s="482"/>
      <c r="C12" s="482"/>
      <c r="D12" s="482"/>
      <c r="E12" s="482"/>
      <c r="F12" s="482"/>
      <c r="G12" s="482"/>
      <c r="H12" s="482"/>
      <c r="I12" s="482"/>
      <c r="J12" s="482"/>
      <c r="K12" s="315"/>
      <c r="Q12" s="316"/>
      <c r="R12" s="482"/>
      <c r="S12" s="482"/>
      <c r="T12" s="482"/>
      <c r="U12" s="482"/>
      <c r="V12" s="482"/>
      <c r="W12" s="482"/>
      <c r="X12" s="482"/>
      <c r="Y12" s="482"/>
      <c r="Z12" s="482"/>
      <c r="AA12" s="482"/>
      <c r="AB12" s="482"/>
    </row>
    <row r="13" ht="23.25" customHeight="1">
      <c r="A13" s="482"/>
      <c r="B13" s="482"/>
      <c r="C13" s="482"/>
      <c r="D13" s="482"/>
      <c r="E13" s="482"/>
      <c r="F13" s="482"/>
      <c r="G13" s="482"/>
      <c r="H13" s="482"/>
      <c r="I13" s="482"/>
      <c r="J13" s="482"/>
      <c r="K13" s="315"/>
      <c r="Q13" s="316"/>
      <c r="R13" s="482"/>
      <c r="S13" s="482"/>
      <c r="T13" s="482"/>
      <c r="U13" s="482"/>
      <c r="V13" s="482"/>
      <c r="W13" s="482"/>
      <c r="X13" s="482"/>
      <c r="Y13" s="482"/>
      <c r="Z13" s="482"/>
      <c r="AA13" s="482"/>
      <c r="AB13" s="482"/>
    </row>
    <row r="14" ht="23.25" customHeight="1">
      <c r="A14" s="482"/>
      <c r="B14" s="483" t="s">
        <v>1527</v>
      </c>
      <c r="C14" s="484"/>
      <c r="D14" s="484"/>
      <c r="E14" s="484"/>
      <c r="F14" s="484"/>
      <c r="G14" s="484"/>
      <c r="H14" s="484"/>
      <c r="I14" s="485"/>
      <c r="J14" s="482"/>
      <c r="K14" s="315"/>
      <c r="Q14" s="316"/>
      <c r="R14" s="482"/>
      <c r="S14" s="482"/>
      <c r="T14" s="482"/>
      <c r="U14" s="482"/>
      <c r="V14" s="482"/>
      <c r="W14" s="482"/>
      <c r="X14" s="482"/>
      <c r="Y14" s="482"/>
      <c r="Z14" s="482"/>
      <c r="AA14" s="482"/>
      <c r="AB14" s="482"/>
    </row>
    <row r="15" ht="23.25" customHeight="1">
      <c r="B15" s="521" t="s">
        <v>1529</v>
      </c>
      <c r="C15" s="488" t="s">
        <v>1482</v>
      </c>
      <c r="D15" s="488" t="s">
        <v>1484</v>
      </c>
      <c r="E15" s="488" t="s">
        <v>1486</v>
      </c>
      <c r="F15" s="488" t="s">
        <v>1487</v>
      </c>
      <c r="G15" s="489" t="s">
        <v>1488</v>
      </c>
      <c r="H15" s="484"/>
      <c r="I15" s="485"/>
      <c r="J15" s="482"/>
      <c r="K15" s="315"/>
      <c r="Q15" s="316"/>
      <c r="R15" s="482"/>
      <c r="S15" s="482"/>
      <c r="T15" s="482"/>
      <c r="U15" s="482"/>
      <c r="V15" s="482"/>
      <c r="W15" s="482"/>
      <c r="X15" s="482"/>
      <c r="Y15" s="482"/>
      <c r="Z15" s="482"/>
      <c r="AA15" s="482"/>
      <c r="AB15" s="482"/>
    </row>
    <row r="16" ht="23.25" customHeight="1">
      <c r="B16" s="522" t="str">
        <f t="array" ref="B16:B23">Administrative!$X$5:$X$12</f>
        <v>A) daily</v>
      </c>
      <c r="C16" s="491">
        <f>COUNTIFS('Stats Data'!$L$2:$L118,"yes",'Stats Data'!$F$2:$F118,B16)</f>
        <v>11</v>
      </c>
      <c r="D16" s="492">
        <f>COUNTIFS('Stats Data'!$L$2:$L118,"yes",'Stats Data'!$F$2:$F118,B16,'Stats Data'!$K$2:$K118,"&gt;0")</f>
        <v>9</v>
      </c>
      <c r="E16" s="494">
        <f t="shared" ref="E16:E23" si="3">iferror(IF(C16=0,0,D16/C16))</f>
        <v>0.8181818182</v>
      </c>
      <c r="F16" s="494">
        <f t="shared" ref="F16:F23" si="4">iferror(IF(C16=0,0,1-E16))</f>
        <v>0.1818181818</v>
      </c>
      <c r="G16" s="499" t="str">
        <f>IFERROR(__xludf.DUMMYFUNCTION("SPARKLINE( E16:F16,{""charttype"",""bar"";""max"",1;""color1"",""#17e657"";""color2"",""#FF0000""})"),"")</f>
        <v/>
      </c>
      <c r="H16" s="484"/>
      <c r="I16" s="485"/>
      <c r="J16" s="482"/>
      <c r="K16" s="315"/>
      <c r="Q16" s="316"/>
      <c r="R16" s="482"/>
      <c r="S16" s="482"/>
      <c r="T16" s="482"/>
      <c r="U16" s="482"/>
      <c r="V16" s="482"/>
      <c r="W16" s="482"/>
      <c r="X16" s="482"/>
      <c r="Y16" s="482"/>
      <c r="Z16" s="482"/>
      <c r="AA16" s="482"/>
      <c r="AB16" s="482"/>
    </row>
    <row r="17" ht="23.25" customHeight="1">
      <c r="B17" s="522" t="s">
        <v>80</v>
      </c>
      <c r="C17" s="491">
        <f>COUNTIFS('Stats Data'!$L$2:$L118,"yes",'Stats Data'!$F$2:$F118,B17)</f>
        <v>23</v>
      </c>
      <c r="D17" s="492">
        <f>COUNTIFS('Stats Data'!$L$2:$L118,"yes",'Stats Data'!$F$2:$F118,B17,'Stats Data'!$K$2:$K118,"&gt;0")</f>
        <v>13</v>
      </c>
      <c r="E17" s="494">
        <f t="shared" si="3"/>
        <v>0.5652173913</v>
      </c>
      <c r="F17" s="494">
        <f t="shared" si="4"/>
        <v>0.4347826087</v>
      </c>
      <c r="G17" s="499" t="str">
        <f>IFERROR(__xludf.DUMMYFUNCTION("SPARKLINE( E17:F17,{""charttype"",""bar"";""max"",1;""color1"",""#17e657"";""color2"",""#FF0000""})"),"")</f>
        <v/>
      </c>
      <c r="H17" s="484"/>
      <c r="I17" s="485"/>
      <c r="J17" s="482"/>
      <c r="K17" s="315"/>
      <c r="Q17" s="316"/>
      <c r="R17" s="482"/>
      <c r="S17" s="482"/>
      <c r="T17" s="482"/>
      <c r="U17" s="482"/>
      <c r="V17" s="482"/>
      <c r="W17" s="482"/>
      <c r="X17" s="482"/>
      <c r="Y17" s="482"/>
      <c r="Z17" s="482"/>
      <c r="AA17" s="482"/>
      <c r="AB17" s="482"/>
    </row>
    <row r="18" ht="23.25" customHeight="1">
      <c r="B18" s="522" t="s">
        <v>67</v>
      </c>
      <c r="C18" s="491">
        <f>COUNTIFS('Stats Data'!$L$2:$L118,"yes",'Stats Data'!$F$2:$F118,B18)</f>
        <v>45</v>
      </c>
      <c r="D18" s="492">
        <f>COUNTIFS('Stats Data'!$L$2:$L118,"yes",'Stats Data'!$F$2:$F118,B18,'Stats Data'!$K$2:$K118,"&gt;0")</f>
        <v>24</v>
      </c>
      <c r="E18" s="494">
        <f t="shared" si="3"/>
        <v>0.5333333333</v>
      </c>
      <c r="F18" s="494">
        <f t="shared" si="4"/>
        <v>0.4666666667</v>
      </c>
      <c r="G18" s="499" t="str">
        <f>IFERROR(__xludf.DUMMYFUNCTION("SPARKLINE( E18:F18,{""charttype"",""bar"";""max"",1;""color1"",""#17e657"";""color2"",""#FF0000""})"),"")</f>
        <v/>
      </c>
      <c r="H18" s="484"/>
      <c r="I18" s="485"/>
      <c r="J18" s="482"/>
      <c r="K18" s="315"/>
      <c r="Q18" s="316"/>
      <c r="R18" s="482"/>
      <c r="S18" s="482"/>
      <c r="T18" s="482"/>
      <c r="U18" s="482"/>
      <c r="V18" s="482"/>
      <c r="W18" s="482"/>
      <c r="X18" s="482"/>
      <c r="Y18" s="482"/>
      <c r="Z18" s="482"/>
      <c r="AA18" s="482"/>
      <c r="AB18" s="482"/>
    </row>
    <row r="19" ht="23.25" customHeight="1">
      <c r="B19" s="522" t="s">
        <v>65</v>
      </c>
      <c r="C19" s="491">
        <f>COUNTIFS('Stats Data'!$L$2:$L118,"yes",'Stats Data'!$F$2:$F118,B19)</f>
        <v>91</v>
      </c>
      <c r="D19" s="492">
        <f>COUNTIFS('Stats Data'!$L$2:$L118,"yes",'Stats Data'!$F$2:$F118,B19,'Stats Data'!$K$2:$K118,"&gt;0")</f>
        <v>63</v>
      </c>
      <c r="E19" s="494">
        <f t="shared" si="3"/>
        <v>0.6923076923</v>
      </c>
      <c r="F19" s="494">
        <f t="shared" si="4"/>
        <v>0.3076923077</v>
      </c>
      <c r="G19" s="499" t="str">
        <f>IFERROR(__xludf.DUMMYFUNCTION("SPARKLINE( E19:F19,{""charttype"",""bar"";""max"",1;""color1"",""#17e657"";""color2"",""#FF0000""})"),"")</f>
        <v/>
      </c>
      <c r="H19" s="484"/>
      <c r="I19" s="485"/>
      <c r="J19" s="482"/>
      <c r="K19" s="315"/>
      <c r="Q19" s="316"/>
      <c r="R19" s="482"/>
      <c r="S19" s="482"/>
      <c r="T19" s="482"/>
      <c r="U19" s="482"/>
      <c r="V19" s="482"/>
      <c r="W19" s="482"/>
      <c r="X19" s="482"/>
      <c r="Y19" s="482"/>
      <c r="Z19" s="482"/>
      <c r="AA19" s="482"/>
      <c r="AB19" s="482"/>
    </row>
    <row r="20" ht="23.25" customHeight="1">
      <c r="B20" s="521" t="s">
        <v>64</v>
      </c>
      <c r="C20" s="491">
        <f>COUNTIFS('Stats Data'!$L$2:$L118,"yes",'Stats Data'!$F$2:$F118,B20)</f>
        <v>87</v>
      </c>
      <c r="D20" s="492">
        <f>COUNTIFS('Stats Data'!$L$2:$L118,"yes",'Stats Data'!$F$2:$F118,B20,'Stats Data'!$K$2:$K118,"&gt;0")</f>
        <v>49</v>
      </c>
      <c r="E20" s="494">
        <f t="shared" si="3"/>
        <v>0.5632183908</v>
      </c>
      <c r="F20" s="494">
        <f t="shared" si="4"/>
        <v>0.4367816092</v>
      </c>
      <c r="G20" s="499" t="str">
        <f>IFERROR(__xludf.DUMMYFUNCTION("SPARKLINE( E20:F20,{""charttype"",""bar"";""max"",1;""color1"",""#17e657"";""color2"",""#FF0000""})"),"")</f>
        <v/>
      </c>
      <c r="H20" s="484"/>
      <c r="I20" s="485"/>
      <c r="J20" s="482"/>
      <c r="K20" s="321"/>
      <c r="L20" s="344"/>
      <c r="M20" s="344"/>
      <c r="N20" s="344"/>
      <c r="O20" s="344"/>
      <c r="P20" s="344"/>
      <c r="Q20" s="322"/>
      <c r="R20" s="482"/>
      <c r="S20" s="482"/>
      <c r="T20" s="482"/>
      <c r="U20" s="482"/>
      <c r="V20" s="482"/>
      <c r="W20" s="482"/>
      <c r="X20" s="482"/>
      <c r="Y20" s="482"/>
      <c r="Z20" s="482"/>
      <c r="AA20" s="482"/>
      <c r="AB20" s="482"/>
    </row>
    <row r="21" ht="23.25" customHeight="1">
      <c r="B21" s="525" t="s">
        <v>69</v>
      </c>
      <c r="C21" s="491">
        <f>COUNTIFS('Stats Data'!$L$2:$L118,"yes",'Stats Data'!$F$2:$F118,B21)</f>
        <v>86</v>
      </c>
      <c r="D21" s="492">
        <f>COUNTIFS('Stats Data'!$L$2:$L118,"yes",'Stats Data'!$F$2:$F118,B21,'Stats Data'!$K$2:$K118,"&gt;0")</f>
        <v>46</v>
      </c>
      <c r="E21" s="494">
        <f t="shared" si="3"/>
        <v>0.5348837209</v>
      </c>
      <c r="F21" s="494">
        <f t="shared" si="4"/>
        <v>0.4651162791</v>
      </c>
      <c r="G21" s="499" t="str">
        <f>IFERROR(__xludf.DUMMYFUNCTION("SPARKLINE( E21:F21,{""charttype"",""bar"";""max"",1;""color1"",""#17e657"";""color2"",""#FF0000""})"),"")</f>
        <v/>
      </c>
      <c r="H21" s="484"/>
      <c r="I21" s="485"/>
      <c r="J21" s="482"/>
      <c r="R21" s="482"/>
      <c r="S21" s="482"/>
      <c r="T21" s="482"/>
      <c r="U21" s="482"/>
      <c r="V21" s="482"/>
      <c r="W21" s="482"/>
      <c r="X21" s="482"/>
      <c r="Y21" s="482"/>
      <c r="Z21" s="482"/>
      <c r="AA21" s="482"/>
      <c r="AB21" s="482"/>
    </row>
    <row r="22" ht="23.25" customHeight="1">
      <c r="B22" s="525" t="s">
        <v>66</v>
      </c>
      <c r="C22" s="491">
        <f>COUNTIFS('Stats Data'!$L$2:$L118,"yes",'Stats Data'!$F$2:$F118,B22)</f>
        <v>4</v>
      </c>
      <c r="D22" s="492">
        <f>COUNTIFS('Stats Data'!$L$2:$L118,"yes",'Stats Data'!$F$2:$F118,B22,'Stats Data'!$K$2:$K118,"&gt;0")</f>
        <v>3</v>
      </c>
      <c r="E22" s="494">
        <f t="shared" si="3"/>
        <v>0.75</v>
      </c>
      <c r="F22" s="494">
        <f t="shared" si="4"/>
        <v>0.25</v>
      </c>
      <c r="G22" s="499" t="str">
        <f>IFERROR(__xludf.DUMMYFUNCTION("SPARKLINE( E22:F22,{""charttype"",""bar"";""max"",1;""color1"",""#17e657"";""color2"",""#FF0000""})"),"")</f>
        <v/>
      </c>
      <c r="H22" s="484"/>
      <c r="I22" s="485"/>
      <c r="J22" s="482"/>
      <c r="R22" s="482"/>
      <c r="S22" s="482"/>
      <c r="T22" s="482"/>
      <c r="U22" s="482"/>
      <c r="V22" s="482"/>
      <c r="W22" s="482"/>
      <c r="X22" s="482"/>
      <c r="Y22" s="482"/>
      <c r="Z22" s="482"/>
      <c r="AA22" s="482"/>
      <c r="AB22" s="482"/>
    </row>
    <row r="23" ht="23.25" customHeight="1">
      <c r="B23" s="525" t="s">
        <v>68</v>
      </c>
      <c r="C23" s="491">
        <f>COUNTIFS('Stats Data'!$L$2:$L118,"yes",'Stats Data'!$F$2:$F118,B23)</f>
        <v>9</v>
      </c>
      <c r="D23" s="492">
        <f>COUNTIFS('Stats Data'!$L$2:$L118,"yes",'Stats Data'!$F$2:$F118,B23,'Stats Data'!$K$2:$K118,"&gt;0")</f>
        <v>4</v>
      </c>
      <c r="E23" s="494">
        <f t="shared" si="3"/>
        <v>0.4444444444</v>
      </c>
      <c r="F23" s="494">
        <f t="shared" si="4"/>
        <v>0.5555555556</v>
      </c>
      <c r="G23" s="499" t="str">
        <f>IFERROR(__xludf.DUMMYFUNCTION("SPARKLINE( E23:F23,{""charttype"",""bar"";""max"",1;""color1"",""#17e657"";""color2"",""#FF0000""})"),"")</f>
        <v/>
      </c>
      <c r="H23" s="484"/>
      <c r="I23" s="485"/>
      <c r="J23" s="482"/>
      <c r="R23" s="482"/>
      <c r="S23" s="482"/>
      <c r="T23" s="482"/>
      <c r="U23" s="482"/>
      <c r="V23" s="482"/>
      <c r="W23" s="482"/>
      <c r="X23" s="482"/>
      <c r="Y23" s="482"/>
      <c r="Z23" s="482"/>
      <c r="AA23" s="482"/>
      <c r="AB23" s="482"/>
    </row>
    <row r="24" ht="23.25" customHeight="1">
      <c r="A24" s="482"/>
      <c r="B24" s="521" t="s">
        <v>1519</v>
      </c>
      <c r="C24" s="517">
        <f>SUM(C16:C23)</f>
        <v>356</v>
      </c>
      <c r="D24" s="519" t="str">
        <f>if(iserror(1/0),"Supercharging more or less frequently doesn't seem to make a difference to degradation.","When looking at the general trend, supercharging more frequently seems to be slightly better for the battery. One possible explanation is that, during supercharging the battery is subject to heat for a shorter time, thus reducing parasitic reactions. This"&amp;" is explained by Prof Dahn in the following video at 6:15-6:30: https://youtu.be/9qi03QawZEk?t=368")</f>
        <v>Supercharging more or less frequently doesn't seem to make a difference to degradation.</v>
      </c>
      <c r="E24" s="484"/>
      <c r="F24" s="484"/>
      <c r="G24" s="484"/>
      <c r="H24" s="484"/>
      <c r="I24" s="485"/>
      <c r="J24" s="482"/>
      <c r="R24" s="482"/>
      <c r="S24" s="482"/>
      <c r="T24" s="482"/>
      <c r="U24" s="482"/>
      <c r="V24" s="482"/>
      <c r="W24" s="482"/>
      <c r="X24" s="482"/>
      <c r="Y24" s="482"/>
      <c r="Z24" s="482"/>
      <c r="AA24" s="482"/>
      <c r="AB24" s="482"/>
    </row>
    <row r="25" ht="23.25" customHeight="1">
      <c r="A25" s="482"/>
      <c r="B25" s="482"/>
      <c r="C25" s="482"/>
      <c r="D25" s="482"/>
      <c r="E25" s="482"/>
      <c r="F25" s="482"/>
      <c r="G25" s="482"/>
      <c r="H25" s="482"/>
      <c r="I25" s="482"/>
      <c r="J25" s="482"/>
      <c r="R25" s="482"/>
      <c r="S25" s="482"/>
      <c r="T25" s="482"/>
      <c r="U25" s="482"/>
      <c r="V25" s="482"/>
      <c r="W25" s="482"/>
      <c r="X25" s="482"/>
      <c r="Y25" s="482"/>
      <c r="Z25" s="482"/>
      <c r="AA25" s="482"/>
      <c r="AB25" s="482"/>
    </row>
    <row r="26" ht="23.25" customHeight="1">
      <c r="A26" s="482"/>
      <c r="B26" s="481"/>
      <c r="C26" s="481"/>
      <c r="D26" s="481"/>
      <c r="E26" s="530"/>
      <c r="F26" s="530"/>
      <c r="I26" s="530"/>
      <c r="J26" s="482"/>
      <c r="R26" s="482"/>
      <c r="S26" s="482"/>
      <c r="T26" s="482"/>
      <c r="U26" s="482"/>
      <c r="V26" s="482"/>
      <c r="W26" s="482"/>
      <c r="X26" s="482"/>
      <c r="Y26" s="482"/>
      <c r="Z26" s="482"/>
      <c r="AA26" s="482"/>
      <c r="AB26" s="482"/>
    </row>
    <row r="27" ht="23.25" customHeight="1">
      <c r="A27" s="482"/>
      <c r="B27" s="483" t="s">
        <v>1563</v>
      </c>
      <c r="C27" s="484"/>
      <c r="D27" s="484"/>
      <c r="E27" s="484"/>
      <c r="F27" s="485"/>
      <c r="H27" s="483" t="s">
        <v>1564</v>
      </c>
      <c r="I27" s="485"/>
      <c r="J27" s="482"/>
      <c r="R27" s="482"/>
      <c r="S27" s="482"/>
      <c r="T27" s="482"/>
      <c r="U27" s="482"/>
      <c r="V27" s="482"/>
      <c r="W27" s="482"/>
      <c r="X27" s="482"/>
      <c r="Y27" s="482"/>
      <c r="Z27" s="482"/>
      <c r="AA27" s="482"/>
      <c r="AB27" s="482"/>
    </row>
    <row r="28" ht="23.25" customHeight="1">
      <c r="A28" s="482"/>
      <c r="B28" s="521" t="s">
        <v>1529</v>
      </c>
      <c r="C28" s="488" t="s">
        <v>1482</v>
      </c>
      <c r="D28" s="488" t="s">
        <v>1566</v>
      </c>
      <c r="E28" s="488" t="s">
        <v>1567</v>
      </c>
      <c r="F28" s="488" t="s">
        <v>1568</v>
      </c>
      <c r="H28" s="521" t="s">
        <v>1569</v>
      </c>
      <c r="I28" s="521" t="s">
        <v>1570</v>
      </c>
      <c r="J28" s="482"/>
      <c r="R28" s="482"/>
      <c r="S28" s="482"/>
      <c r="T28" s="482"/>
      <c r="U28" s="482"/>
      <c r="V28" s="482"/>
      <c r="W28" s="482"/>
      <c r="X28" s="482"/>
      <c r="Y28" s="482"/>
      <c r="Z28" s="482"/>
      <c r="AA28" s="482"/>
      <c r="AB28" s="482"/>
    </row>
    <row r="29" ht="23.25" customHeight="1">
      <c r="A29" s="482"/>
      <c r="B29" s="522" t="str">
        <f t="array" ref="B29:B36">Administrative!$X$5:$X$12</f>
        <v>A) daily</v>
      </c>
      <c r="C29" s="491">
        <f>COUNTIFS('Stats Data'!$L$2:$L118,"yes",'Stats Data'!$F$2:$F118,B29)</f>
        <v>11</v>
      </c>
      <c r="D29" s="537">
        <f t="shared" ref="D29:D36" si="5">C29/sum($C$29:$C$36)</f>
        <v>0.0308988764</v>
      </c>
      <c r="E29" s="538">
        <f t="array" ref="E29">INDEX(Administrative!$X$5:$Y$23,MATCH(B29,Administrative!$X$5:$X$23,0),2)</f>
        <v>365</v>
      </c>
      <c r="F29" s="492">
        <f t="shared" ref="F29:F36" si="6">Round(C29*E29)</f>
        <v>4015</v>
      </c>
      <c r="H29" s="540">
        <v>42278.0</v>
      </c>
      <c r="I29" s="541">
        <v>25.1</v>
      </c>
      <c r="J29" s="482"/>
      <c r="R29" s="482"/>
      <c r="S29" s="482"/>
      <c r="T29" s="482"/>
      <c r="U29" s="482"/>
      <c r="V29" s="482"/>
      <c r="W29" s="482"/>
      <c r="X29" s="482"/>
      <c r="Y29" s="482"/>
      <c r="Z29" s="482"/>
      <c r="AA29" s="482"/>
      <c r="AB29" s="482"/>
    </row>
    <row r="30" ht="23.25" customHeight="1">
      <c r="A30" s="482"/>
      <c r="B30" s="522" t="s">
        <v>80</v>
      </c>
      <c r="C30" s="491">
        <f>COUNTIFS('Stats Data'!$L$2:$L118,"yes",'Stats Data'!$F$2:$F118,B30)</f>
        <v>23</v>
      </c>
      <c r="D30" s="537">
        <f t="shared" si="5"/>
        <v>0.06460674157</v>
      </c>
      <c r="E30" s="538">
        <f t="array" ref="E30">INDEX(Administrative!$X$5:$Y$23,MATCH(B30,Administrative!$X$5:$X$23,0),2)</f>
        <v>104</v>
      </c>
      <c r="F30" s="492">
        <f t="shared" si="6"/>
        <v>2392</v>
      </c>
      <c r="H30" s="540">
        <v>42370.0</v>
      </c>
      <c r="I30" s="544">
        <v>21.3</v>
      </c>
      <c r="J30" s="482"/>
      <c r="R30" s="482"/>
      <c r="S30" s="482"/>
      <c r="T30" s="482"/>
      <c r="U30" s="482"/>
      <c r="V30" s="482"/>
      <c r="W30" s="482"/>
      <c r="X30" s="482"/>
      <c r="Y30" s="482"/>
      <c r="Z30" s="482"/>
      <c r="AA30" s="482"/>
      <c r="AB30" s="482"/>
    </row>
    <row r="31" ht="23.25" customHeight="1">
      <c r="A31" s="482"/>
      <c r="B31" s="522" t="s">
        <v>67</v>
      </c>
      <c r="C31" s="491">
        <f>COUNTIFS('Stats Data'!$L$2:$L118,"yes",'Stats Data'!$F$2:$F118,B31)</f>
        <v>45</v>
      </c>
      <c r="D31" s="537">
        <f t="shared" si="5"/>
        <v>0.1264044944</v>
      </c>
      <c r="E31" s="538">
        <f t="array" ref="E31">INDEX(Administrative!$X$5:$Y$23,MATCH(B31,Administrative!$X$5:$X$23,0),2)</f>
        <v>52</v>
      </c>
      <c r="F31" s="492">
        <f t="shared" si="6"/>
        <v>2340</v>
      </c>
      <c r="H31" s="540">
        <v>42461.0</v>
      </c>
      <c r="I31" s="544">
        <v>23.1</v>
      </c>
      <c r="J31" s="482"/>
      <c r="R31" s="482"/>
      <c r="S31" s="482"/>
      <c r="T31" s="482"/>
      <c r="U31" s="482"/>
      <c r="V31" s="482"/>
      <c r="W31" s="482"/>
      <c r="X31" s="482"/>
      <c r="Y31" s="482"/>
      <c r="Z31" s="482"/>
      <c r="AA31" s="482"/>
      <c r="AB31" s="482"/>
    </row>
    <row r="32" ht="23.25" customHeight="1">
      <c r="A32" s="482"/>
      <c r="B32" s="522" t="s">
        <v>65</v>
      </c>
      <c r="C32" s="491">
        <f>COUNTIFS('Stats Data'!$L$2:$L118,"yes",'Stats Data'!$F$2:$F118,B32)</f>
        <v>91</v>
      </c>
      <c r="D32" s="537">
        <f t="shared" si="5"/>
        <v>0.2556179775</v>
      </c>
      <c r="E32" s="538">
        <f t="array" ref="E32">INDEX(Administrative!$X$5:$Y$23,MATCH(B32,Administrative!$X$5:$X$23,0),2)</f>
        <v>24</v>
      </c>
      <c r="F32" s="492">
        <f t="shared" si="6"/>
        <v>2184</v>
      </c>
      <c r="H32" s="540">
        <v>42552.0</v>
      </c>
      <c r="I32" s="544">
        <v>27.7</v>
      </c>
      <c r="J32" s="482"/>
      <c r="R32" s="482"/>
      <c r="S32" s="482"/>
      <c r="T32" s="482"/>
      <c r="U32" s="482"/>
      <c r="V32" s="482"/>
      <c r="W32" s="482"/>
      <c r="X32" s="482"/>
      <c r="Y32" s="482"/>
      <c r="Z32" s="482"/>
      <c r="AA32" s="482"/>
      <c r="AB32" s="482"/>
    </row>
    <row r="33" ht="23.25" customHeight="1">
      <c r="A33" s="482"/>
      <c r="B33" s="521" t="s">
        <v>64</v>
      </c>
      <c r="C33" s="491">
        <f>COUNTIFS('Stats Data'!$L$2:$L118,"yes",'Stats Data'!$F$2:$F118,B33)</f>
        <v>87</v>
      </c>
      <c r="D33" s="537">
        <f t="shared" si="5"/>
        <v>0.2443820225</v>
      </c>
      <c r="E33" s="538">
        <f t="array" ref="E33">INDEX(Administrative!$X$5:$Y$23,MATCH(B33,Administrative!$X$5:$X$23,0),2)</f>
        <v>12</v>
      </c>
      <c r="F33" s="492">
        <f t="shared" si="6"/>
        <v>1044</v>
      </c>
      <c r="H33" s="540">
        <v>42644.0</v>
      </c>
      <c r="I33" s="544">
        <v>27.6</v>
      </c>
      <c r="J33" s="482"/>
      <c r="R33" s="482"/>
      <c r="S33" s="482"/>
      <c r="T33" s="482"/>
      <c r="U33" s="482"/>
      <c r="V33" s="482"/>
      <c r="W33" s="482"/>
      <c r="X33" s="482"/>
      <c r="Y33" s="482"/>
      <c r="Z33" s="482"/>
      <c r="AA33" s="482"/>
      <c r="AB33" s="482"/>
    </row>
    <row r="34" ht="23.25" customHeight="1">
      <c r="A34" s="482"/>
      <c r="B34" s="525" t="s">
        <v>69</v>
      </c>
      <c r="C34" s="491">
        <f>COUNTIFS('Stats Data'!$L$2:$L118,"yes",'Stats Data'!$F$2:$F118,B34)</f>
        <v>86</v>
      </c>
      <c r="D34" s="537">
        <f t="shared" si="5"/>
        <v>0.2415730337</v>
      </c>
      <c r="E34" s="538">
        <f t="array" ref="E34">INDEX(Administrative!$X$5:$Y$23,MATCH(B34,Administrative!$X$5:$X$23,0),2)</f>
        <v>6</v>
      </c>
      <c r="F34" s="492">
        <f t="shared" si="6"/>
        <v>516</v>
      </c>
      <c r="H34" s="540">
        <v>42736.0</v>
      </c>
      <c r="I34" s="544">
        <v>30.6</v>
      </c>
      <c r="J34" s="482"/>
      <c r="R34" s="482"/>
      <c r="S34" s="482"/>
      <c r="T34" s="482"/>
      <c r="U34" s="482"/>
      <c r="V34" s="482"/>
      <c r="W34" s="482"/>
      <c r="X34" s="482"/>
      <c r="Y34" s="482"/>
      <c r="Z34" s="482"/>
      <c r="AA34" s="482"/>
      <c r="AB34" s="482"/>
    </row>
    <row r="35" ht="23.25" customHeight="1">
      <c r="A35" s="482"/>
      <c r="B35" s="525" t="s">
        <v>66</v>
      </c>
      <c r="C35" s="491">
        <f>COUNTIFS('Stats Data'!$L$2:$L118,"yes",'Stats Data'!$F$2:$F118,B35)</f>
        <v>4</v>
      </c>
      <c r="D35" s="537">
        <f t="shared" si="5"/>
        <v>0.01123595506</v>
      </c>
      <c r="E35" s="538">
        <f t="array" ref="E35">INDEX(Administrative!$X$5:$Y$23,MATCH(B35,Administrative!$X$5:$X$23,0),2)</f>
        <v>1.5</v>
      </c>
      <c r="F35" s="492">
        <f t="shared" si="6"/>
        <v>6</v>
      </c>
      <c r="H35" s="540">
        <v>42826.0</v>
      </c>
      <c r="I35" s="544">
        <v>30.5</v>
      </c>
      <c r="J35" s="482"/>
      <c r="R35" s="482"/>
      <c r="S35" s="482"/>
      <c r="T35" s="482"/>
      <c r="U35" s="482"/>
      <c r="V35" s="482"/>
      <c r="W35" s="482"/>
      <c r="X35" s="482"/>
      <c r="Y35" s="482"/>
      <c r="Z35" s="482"/>
      <c r="AA35" s="482"/>
      <c r="AB35" s="482"/>
    </row>
    <row r="36" ht="23.25" customHeight="1">
      <c r="A36" s="482"/>
      <c r="B36" s="525" t="s">
        <v>68</v>
      </c>
      <c r="C36" s="491">
        <f>COUNTIFS('Stats Data'!$L$2:$L118,"yes",'Stats Data'!$F$2:$F118,B36)</f>
        <v>9</v>
      </c>
      <c r="D36" s="537">
        <f t="shared" si="5"/>
        <v>0.02528089888</v>
      </c>
      <c r="E36" s="538">
        <f t="array" ref="E36">INDEX(Administrative!$X$5:$Y$23,MATCH(B36,Administrative!$X$5:$X$23,0),2)</f>
        <v>0</v>
      </c>
      <c r="F36" s="492">
        <f t="shared" si="6"/>
        <v>0</v>
      </c>
      <c r="H36" s="540">
        <v>42917.0</v>
      </c>
      <c r="I36" s="544">
        <v>32.0</v>
      </c>
      <c r="J36" s="482"/>
      <c r="R36" s="482"/>
      <c r="S36" s="482"/>
      <c r="T36" s="482"/>
      <c r="U36" s="482"/>
      <c r="V36" s="482"/>
      <c r="W36" s="482"/>
      <c r="X36" s="482"/>
      <c r="Y36" s="482"/>
      <c r="Z36" s="482"/>
      <c r="AA36" s="482"/>
      <c r="AB36" s="482"/>
    </row>
    <row r="37" ht="23.25" customHeight="1">
      <c r="A37" s="482"/>
      <c r="B37" s="521" t="s">
        <v>1519</v>
      </c>
      <c r="C37" s="545">
        <f>SUM(C29:C36)</f>
        <v>356</v>
      </c>
      <c r="D37" s="546"/>
      <c r="E37" s="546"/>
      <c r="F37" s="547">
        <f>SUM(F29:F36)</f>
        <v>12497</v>
      </c>
      <c r="H37" s="540">
        <v>43009.0</v>
      </c>
      <c r="I37" s="544">
        <v>33.3</v>
      </c>
      <c r="J37" s="482"/>
      <c r="R37" s="482"/>
      <c r="S37" s="482"/>
      <c r="T37" s="482"/>
      <c r="U37" s="482"/>
      <c r="V37" s="482"/>
      <c r="W37" s="482"/>
      <c r="X37" s="482"/>
      <c r="Y37" s="482"/>
      <c r="Z37" s="482"/>
      <c r="AA37" s="482"/>
      <c r="AB37" s="482"/>
    </row>
    <row r="38" ht="23.25" customHeight="1">
      <c r="A38" s="482"/>
      <c r="B38" s="548" t="s">
        <v>1570</v>
      </c>
      <c r="C38" s="549">
        <f>SUMPRODUCT(C16:C23,Administrative!$Y$5:$Y$12)/C24</f>
        <v>35.10393258</v>
      </c>
      <c r="D38" s="484"/>
      <c r="E38" s="484"/>
      <c r="F38" s="485"/>
      <c r="G38" s="530"/>
      <c r="H38" s="530"/>
      <c r="I38" s="530"/>
      <c r="J38" s="482"/>
      <c r="R38" s="482"/>
      <c r="S38" s="482"/>
      <c r="T38" s="482"/>
      <c r="U38" s="482"/>
      <c r="V38" s="482"/>
      <c r="W38" s="482"/>
      <c r="X38" s="482"/>
      <c r="Y38" s="482"/>
      <c r="Z38" s="482"/>
      <c r="AA38" s="482"/>
      <c r="AB38" s="482"/>
    </row>
    <row r="39" ht="23.25" customHeight="1">
      <c r="A39" s="482"/>
      <c r="B39" s="551"/>
      <c r="C39" s="555" t="str">
        <f>"("&amp;F37&amp;" sessions / "&amp;C37 &amp;" users = " &amp;Round(F37/C37,1)&amp;")"</f>
        <v>(12497 sessions / 356 users = 35.1)</v>
      </c>
      <c r="D39" s="484"/>
      <c r="E39" s="484"/>
      <c r="F39" s="485"/>
      <c r="G39" s="530"/>
      <c r="H39" s="530"/>
      <c r="I39" s="530"/>
      <c r="J39" s="482"/>
      <c r="R39" s="482"/>
      <c r="S39" s="482"/>
      <c r="T39" s="482"/>
      <c r="U39" s="482"/>
      <c r="V39" s="482"/>
      <c r="W39" s="482"/>
      <c r="X39" s="482"/>
      <c r="Y39" s="482"/>
      <c r="Z39" s="482"/>
      <c r="AA39" s="482"/>
      <c r="AB39" s="482"/>
    </row>
    <row r="40" ht="23.25" customHeight="1">
      <c r="A40" s="482"/>
      <c r="E40" s="530"/>
      <c r="F40" s="481"/>
      <c r="G40" s="530"/>
      <c r="H40" s="530"/>
      <c r="I40" s="530"/>
      <c r="J40" s="482"/>
      <c r="R40" s="482"/>
      <c r="S40" s="482"/>
      <c r="T40" s="482"/>
      <c r="U40" s="482"/>
      <c r="V40" s="482"/>
      <c r="W40" s="482"/>
      <c r="X40" s="482"/>
      <c r="Y40" s="482"/>
      <c r="Z40" s="482"/>
      <c r="AA40" s="482"/>
      <c r="AB40" s="482"/>
    </row>
    <row r="41" ht="23.25" customHeight="1">
      <c r="A41" s="482"/>
      <c r="B41" s="558"/>
      <c r="C41" s="482"/>
      <c r="D41" s="482"/>
      <c r="E41" s="482"/>
      <c r="F41" s="482"/>
      <c r="G41" s="482"/>
      <c r="H41" s="482"/>
      <c r="I41" s="482"/>
      <c r="J41" s="482"/>
      <c r="R41" s="482"/>
      <c r="S41" s="482"/>
      <c r="T41" s="482"/>
      <c r="U41" s="482"/>
      <c r="V41" s="482"/>
      <c r="W41" s="482"/>
      <c r="X41" s="482"/>
      <c r="Y41" s="482"/>
      <c r="Z41" s="482"/>
      <c r="AA41" s="482"/>
      <c r="AB41" s="482"/>
    </row>
    <row r="42" ht="23.25" customHeight="1">
      <c r="A42" s="482"/>
      <c r="B42" s="483" t="s">
        <v>1601</v>
      </c>
      <c r="C42" s="484"/>
      <c r="D42" s="484"/>
      <c r="E42" s="484"/>
      <c r="F42" s="484"/>
      <c r="G42" s="484"/>
      <c r="H42" s="484"/>
      <c r="I42" s="484"/>
      <c r="J42" s="482"/>
      <c r="R42" s="482"/>
      <c r="S42" s="482"/>
      <c r="T42" s="482"/>
      <c r="U42" s="482"/>
      <c r="V42" s="482"/>
      <c r="W42" s="482"/>
      <c r="X42" s="482"/>
      <c r="Y42" s="482"/>
      <c r="Z42" s="482"/>
      <c r="AA42" s="482"/>
      <c r="AB42" s="482"/>
    </row>
    <row r="43" ht="23.25" customHeight="1">
      <c r="A43" s="482"/>
      <c r="B43" s="521" t="s">
        <v>1603</v>
      </c>
      <c r="C43" s="488" t="s">
        <v>1482</v>
      </c>
      <c r="D43" s="488" t="s">
        <v>1484</v>
      </c>
      <c r="E43" s="488" t="s">
        <v>1486</v>
      </c>
      <c r="F43" s="488" t="s">
        <v>1487</v>
      </c>
      <c r="G43" s="489" t="s">
        <v>1488</v>
      </c>
      <c r="H43" s="484"/>
      <c r="I43" s="485"/>
      <c r="J43" s="482"/>
      <c r="R43" s="482"/>
      <c r="S43" s="482"/>
      <c r="T43" s="482"/>
      <c r="U43" s="482"/>
      <c r="V43" s="482"/>
      <c r="W43" s="482"/>
      <c r="X43" s="482"/>
      <c r="Y43" s="482"/>
      <c r="Z43" s="482"/>
      <c r="AA43" s="482"/>
      <c r="AB43" s="482"/>
    </row>
    <row r="44" ht="23.25" customHeight="1">
      <c r="A44" s="482"/>
      <c r="B44" s="522" t="str">
        <f t="array" ref="B44:B51">Administrative!$X$5:$X$12</f>
        <v>A) daily</v>
      </c>
      <c r="C44" s="491">
        <f>COUNTIFS('Stats Data'!$L$2:$L118,"yes",'Stats Data'!$G$2:$G118,B44)</f>
        <v>2</v>
      </c>
      <c r="D44" s="491">
        <f>COUNTIFS('Stats Data'!$L$2:$L118,"yes",'Stats Data'!$G$2:$G118,B44,'Stats Data'!$K$2:$K118,"&gt;0")</f>
        <v>1</v>
      </c>
      <c r="E44" s="494">
        <f t="shared" ref="E44:E51" si="7">iferror(IF(C44=0,0,D44/C44))</f>
        <v>0.5</v>
      </c>
      <c r="F44" s="494">
        <f t="shared" ref="F44:F51" si="8">iferror(IF(C44=0,0,1-E44))</f>
        <v>0.5</v>
      </c>
      <c r="G44" s="499" t="str">
        <f>IFERROR(__xludf.DUMMYFUNCTION("SPARKLINE( E44:F44,{""charttype"",""bar"";""max"",1;""color1"",""#17e657"";""color2"",""#FF0000""})"),"")</f>
        <v/>
      </c>
      <c r="H44" s="484"/>
      <c r="I44" s="485"/>
      <c r="J44" s="482"/>
      <c r="R44" s="482"/>
      <c r="S44" s="482"/>
      <c r="T44" s="482"/>
      <c r="U44" s="482"/>
      <c r="V44" s="482"/>
      <c r="W44" s="482"/>
      <c r="X44" s="482"/>
      <c r="Y44" s="482"/>
      <c r="Z44" s="482"/>
      <c r="AA44" s="482"/>
      <c r="AB44" s="482"/>
    </row>
    <row r="45" ht="23.25" customHeight="1">
      <c r="A45" s="482"/>
      <c r="B45" s="522" t="s">
        <v>80</v>
      </c>
      <c r="C45" s="491">
        <f>COUNTIFS('Stats Data'!$L$2:$L118,"yes",'Stats Data'!$G$2:$G118,B45)</f>
        <v>3</v>
      </c>
      <c r="D45" s="491">
        <f>COUNTIFS('Stats Data'!$L$2:$L118,"yes",'Stats Data'!$G$2:$G118,B45,'Stats Data'!$K$2:$K118,"&gt;0")</f>
        <v>2</v>
      </c>
      <c r="E45" s="494">
        <f t="shared" si="7"/>
        <v>0.6666666667</v>
      </c>
      <c r="F45" s="494">
        <f t="shared" si="8"/>
        <v>0.3333333333</v>
      </c>
      <c r="G45" s="499" t="str">
        <f>IFERROR(__xludf.DUMMYFUNCTION("SPARKLINE( E45:F45,{""charttype"",""bar"";""max"",1;""color1"",""#17e657"";""color2"",""#FF0000""})"),"")</f>
        <v/>
      </c>
      <c r="H45" s="484"/>
      <c r="I45" s="485"/>
      <c r="J45" s="482"/>
      <c r="R45" s="482"/>
      <c r="S45" s="482"/>
      <c r="T45" s="482"/>
      <c r="U45" s="482"/>
      <c r="V45" s="482"/>
      <c r="W45" s="482"/>
      <c r="X45" s="482"/>
      <c r="Y45" s="482"/>
      <c r="Z45" s="482"/>
      <c r="AA45" s="482"/>
      <c r="AB45" s="482"/>
    </row>
    <row r="46" ht="23.25" customHeight="1">
      <c r="A46" s="482"/>
      <c r="B46" s="522" t="s">
        <v>67</v>
      </c>
      <c r="C46" s="491">
        <f>COUNTIFS('Stats Data'!$L$2:$L118,"yes",'Stats Data'!$G$2:$G118,B46)</f>
        <v>11</v>
      </c>
      <c r="D46" s="491">
        <f>COUNTIFS('Stats Data'!$L$2:$L118,"yes",'Stats Data'!$G$2:$G118,B46,'Stats Data'!$K$2:$K118,"&gt;0")</f>
        <v>8</v>
      </c>
      <c r="E46" s="494">
        <f t="shared" si="7"/>
        <v>0.7272727273</v>
      </c>
      <c r="F46" s="494">
        <f t="shared" si="8"/>
        <v>0.2727272727</v>
      </c>
      <c r="G46" s="499" t="str">
        <f>IFERROR(__xludf.DUMMYFUNCTION("SPARKLINE( E46:F46,{""charttype"",""bar"";""max"",1;""color1"",""#17e657"";""color2"",""#FF0000""})"),"")</f>
        <v/>
      </c>
      <c r="H46" s="484"/>
      <c r="I46" s="485"/>
      <c r="J46" s="482"/>
      <c r="K46" s="482"/>
      <c r="L46" s="482"/>
      <c r="M46" s="482"/>
      <c r="N46" s="482"/>
      <c r="O46" s="482"/>
      <c r="P46" s="482"/>
      <c r="Q46" s="482"/>
      <c r="R46" s="482"/>
      <c r="S46" s="482"/>
      <c r="T46" s="482"/>
      <c r="U46" s="482"/>
      <c r="V46" s="482"/>
      <c r="W46" s="482"/>
      <c r="X46" s="482"/>
      <c r="Y46" s="482"/>
      <c r="Z46" s="482"/>
      <c r="AA46" s="482"/>
      <c r="AB46" s="482"/>
    </row>
    <row r="47" ht="23.25" customHeight="1">
      <c r="A47" s="482"/>
      <c r="B47" s="522" t="s">
        <v>65</v>
      </c>
      <c r="C47" s="491">
        <f>COUNTIFS('Stats Data'!$L$2:$L118,"yes",'Stats Data'!$G$2:$G118,B47)</f>
        <v>46</v>
      </c>
      <c r="D47" s="491">
        <f>COUNTIFS('Stats Data'!$L$2:$L118,"yes",'Stats Data'!$G$2:$G118,B47,'Stats Data'!$K$2:$K118,"&gt;0")</f>
        <v>31</v>
      </c>
      <c r="E47" s="494">
        <f t="shared" si="7"/>
        <v>0.6739130435</v>
      </c>
      <c r="F47" s="494">
        <f t="shared" si="8"/>
        <v>0.3260869565</v>
      </c>
      <c r="G47" s="499" t="str">
        <f>IFERROR(__xludf.DUMMYFUNCTION("SPARKLINE( E47:F47,{""charttype"",""bar"";""max"",1;""color1"",""#17e657"";""color2"",""#FF0000""})"),"")</f>
        <v/>
      </c>
      <c r="H47" s="484"/>
      <c r="I47" s="485"/>
      <c r="J47" s="482"/>
      <c r="K47" s="482"/>
      <c r="L47" s="482"/>
      <c r="M47" s="482"/>
      <c r="N47" s="482"/>
      <c r="O47" s="482"/>
      <c r="P47" s="482"/>
      <c r="Q47" s="482"/>
      <c r="R47" s="482"/>
      <c r="S47" s="482"/>
      <c r="T47" s="482"/>
      <c r="U47" s="482"/>
      <c r="V47" s="482"/>
      <c r="W47" s="482"/>
      <c r="X47" s="482"/>
      <c r="Y47" s="482"/>
      <c r="Z47" s="482"/>
      <c r="AA47" s="482"/>
      <c r="AB47" s="482"/>
    </row>
    <row r="48" ht="23.25" customHeight="1">
      <c r="A48" s="482"/>
      <c r="B48" s="521" t="s">
        <v>64</v>
      </c>
      <c r="C48" s="491">
        <f>COUNTIFS('Stats Data'!$L$2:$L118,"yes",'Stats Data'!$G$2:$G118,B48)</f>
        <v>82</v>
      </c>
      <c r="D48" s="491">
        <f>COUNTIFS('Stats Data'!$L$2:$L118,"yes",'Stats Data'!$G$2:$G118,B48,'Stats Data'!$K$2:$K118,"&gt;0")</f>
        <v>49</v>
      </c>
      <c r="E48" s="494">
        <f t="shared" si="7"/>
        <v>0.5975609756</v>
      </c>
      <c r="F48" s="494">
        <f t="shared" si="8"/>
        <v>0.4024390244</v>
      </c>
      <c r="G48" s="499" t="str">
        <f>IFERROR(__xludf.DUMMYFUNCTION("SPARKLINE( E48:F48,{""charttype"",""bar"";""max"",1;""color1"",""#17e657"";""color2"",""#FF0000""})"),"")</f>
        <v/>
      </c>
      <c r="H48" s="484"/>
      <c r="I48" s="485"/>
      <c r="J48" s="482"/>
      <c r="K48" s="482"/>
      <c r="L48" s="482"/>
      <c r="M48" s="482"/>
      <c r="N48" s="482"/>
      <c r="O48" s="482"/>
      <c r="P48" s="482"/>
      <c r="Q48" s="482"/>
      <c r="R48" s="482"/>
      <c r="S48" s="482"/>
      <c r="T48" s="482"/>
      <c r="U48" s="482"/>
      <c r="V48" s="482"/>
      <c r="W48" s="482"/>
      <c r="X48" s="482"/>
      <c r="Y48" s="482"/>
      <c r="Z48" s="482"/>
      <c r="AA48" s="482"/>
      <c r="AB48" s="482"/>
    </row>
    <row r="49" ht="23.25" customHeight="1">
      <c r="A49" s="482"/>
      <c r="B49" s="525" t="s">
        <v>69</v>
      </c>
      <c r="C49" s="491">
        <f>COUNTIFS('Stats Data'!$L$2:$L118,"yes",'Stats Data'!$G$2:$G118,B49)</f>
        <v>157</v>
      </c>
      <c r="D49" s="491">
        <f>COUNTIFS('Stats Data'!$L$2:$L118,"yes",'Stats Data'!$G$2:$G118,B49,'Stats Data'!$K$2:$K118,"&gt;0")</f>
        <v>85</v>
      </c>
      <c r="E49" s="494">
        <f t="shared" si="7"/>
        <v>0.5414012739</v>
      </c>
      <c r="F49" s="494">
        <f t="shared" si="8"/>
        <v>0.4585987261</v>
      </c>
      <c r="G49" s="499" t="str">
        <f>IFERROR(__xludf.DUMMYFUNCTION("SPARKLINE( E49:F49,{""charttype"",""bar"";""max"",1;""color1"",""#17e657"";""color2"",""#FF0000""})"),"")</f>
        <v/>
      </c>
      <c r="H49" s="484"/>
      <c r="I49" s="485"/>
      <c r="J49" s="482"/>
      <c r="K49" s="482"/>
      <c r="L49" s="482"/>
      <c r="M49" s="482"/>
      <c r="N49" s="482"/>
      <c r="O49" s="482"/>
      <c r="P49" s="482"/>
      <c r="Q49" s="482"/>
      <c r="R49" s="482"/>
      <c r="S49" s="482"/>
      <c r="T49" s="482"/>
      <c r="U49" s="482"/>
      <c r="V49" s="482"/>
      <c r="W49" s="482"/>
      <c r="X49" s="482"/>
      <c r="Y49" s="482"/>
      <c r="Z49" s="482"/>
      <c r="AA49" s="482"/>
      <c r="AB49" s="482"/>
    </row>
    <row r="50" ht="23.25" customHeight="1">
      <c r="A50" s="482"/>
      <c r="B50" s="525" t="s">
        <v>66</v>
      </c>
      <c r="C50" s="491">
        <f>COUNTIFS('Stats Data'!$L$2:$L118,"yes",'Stats Data'!$G$2:$G118,B50)</f>
        <v>42</v>
      </c>
      <c r="D50" s="491">
        <f>COUNTIFS('Stats Data'!$L$2:$L118,"yes",'Stats Data'!$G$2:$G118,B50,'Stats Data'!$K$2:$K118,"&gt;0")</f>
        <v>28</v>
      </c>
      <c r="E50" s="494">
        <f t="shared" si="7"/>
        <v>0.6666666667</v>
      </c>
      <c r="F50" s="494">
        <f t="shared" si="8"/>
        <v>0.3333333333</v>
      </c>
      <c r="G50" s="499" t="str">
        <f>IFERROR(__xludf.DUMMYFUNCTION("SPARKLINE( E50:F50,{""charttype"",""bar"";""max"",1;""color1"",""#17e657"";""color2"",""#FF0000""})"),"")</f>
        <v/>
      </c>
      <c r="H50" s="484"/>
      <c r="I50" s="485"/>
      <c r="J50" s="482"/>
      <c r="K50" s="482"/>
      <c r="L50" s="482"/>
      <c r="M50" s="482"/>
      <c r="N50" s="482"/>
      <c r="O50" s="482"/>
      <c r="P50" s="482"/>
      <c r="Q50" s="482"/>
      <c r="R50" s="482"/>
      <c r="S50" s="482"/>
      <c r="T50" s="482"/>
      <c r="U50" s="482"/>
      <c r="V50" s="482"/>
      <c r="W50" s="482"/>
      <c r="X50" s="482"/>
      <c r="Y50" s="482"/>
      <c r="Z50" s="482"/>
      <c r="AA50" s="482"/>
      <c r="AB50" s="482"/>
    </row>
    <row r="51" ht="23.25" customHeight="1">
      <c r="A51" s="482"/>
      <c r="B51" s="525" t="s">
        <v>68</v>
      </c>
      <c r="C51" s="491">
        <f>COUNTIFS('Stats Data'!$L$2:$L118,"yes",'Stats Data'!$G$2:$G118,B51)</f>
        <v>13</v>
      </c>
      <c r="D51" s="491">
        <f>COUNTIFS('Stats Data'!$L$2:$L118,"yes",'Stats Data'!$G$2:$G118,B51,'Stats Data'!$K$2:$K118,"&gt;0")</f>
        <v>6</v>
      </c>
      <c r="E51" s="494">
        <f t="shared" si="7"/>
        <v>0.4615384615</v>
      </c>
      <c r="F51" s="494">
        <f t="shared" si="8"/>
        <v>0.5384615385</v>
      </c>
      <c r="G51" s="499" t="str">
        <f>IFERROR(__xludf.DUMMYFUNCTION("SPARKLINE( E51:F51,{""charttype"",""bar"";""max"",1;""color1"",""#17e657"";""color2"",""#FF0000""})"),"")</f>
        <v/>
      </c>
      <c r="H51" s="484"/>
      <c r="I51" s="485"/>
      <c r="J51" s="482"/>
      <c r="K51" s="482"/>
      <c r="L51" s="482"/>
      <c r="M51" s="482"/>
      <c r="N51" s="482"/>
      <c r="O51" s="482"/>
      <c r="P51" s="482"/>
      <c r="Q51" s="482"/>
      <c r="R51" s="482"/>
      <c r="S51" s="482"/>
      <c r="T51" s="482"/>
      <c r="U51" s="482"/>
      <c r="V51" s="482"/>
      <c r="W51" s="482"/>
      <c r="X51" s="482"/>
      <c r="Y51" s="482"/>
      <c r="Z51" s="482"/>
      <c r="AA51" s="482"/>
      <c r="AB51" s="482"/>
    </row>
    <row r="52" ht="23.25" customHeight="1">
      <c r="A52" s="482"/>
      <c r="B52" s="521" t="s">
        <v>1519</v>
      </c>
      <c r="C52" s="517">
        <f>SUM(C44:C51)</f>
        <v>356</v>
      </c>
      <c r="D52" s="519" t="s">
        <v>1638</v>
      </c>
      <c r="E52" s="484"/>
      <c r="F52" s="484"/>
      <c r="G52" s="484"/>
      <c r="H52" s="484"/>
      <c r="I52" s="485"/>
      <c r="J52" s="482"/>
      <c r="K52" s="482"/>
      <c r="L52" s="482"/>
      <c r="M52" s="482"/>
      <c r="N52" s="482"/>
      <c r="O52" s="482"/>
      <c r="P52" s="482"/>
      <c r="Q52" s="482"/>
      <c r="R52" s="482"/>
      <c r="S52" s="482"/>
      <c r="T52" s="482"/>
      <c r="U52" s="482"/>
      <c r="V52" s="482"/>
      <c r="W52" s="482"/>
      <c r="X52" s="482"/>
      <c r="Y52" s="482"/>
      <c r="Z52" s="482"/>
      <c r="AA52" s="482"/>
      <c r="AB52" s="482"/>
    </row>
    <row r="53" ht="23.25" customHeight="1">
      <c r="A53" s="482"/>
      <c r="B53" s="481"/>
      <c r="C53" s="481"/>
      <c r="D53" s="481"/>
      <c r="E53" s="481"/>
      <c r="F53" s="481"/>
      <c r="G53" s="481"/>
      <c r="H53" s="482"/>
      <c r="I53" s="482"/>
      <c r="J53" s="482"/>
      <c r="K53" s="482"/>
      <c r="L53" s="482"/>
      <c r="M53" s="482"/>
      <c r="N53" s="482"/>
      <c r="O53" s="482"/>
      <c r="P53" s="482"/>
      <c r="Q53" s="482"/>
      <c r="R53" s="482"/>
      <c r="S53" s="482"/>
      <c r="T53" s="482"/>
      <c r="U53" s="482"/>
      <c r="V53" s="482"/>
      <c r="W53" s="482"/>
      <c r="X53" s="482"/>
      <c r="Y53" s="482"/>
      <c r="Z53" s="482"/>
      <c r="AA53" s="482"/>
      <c r="AB53" s="482"/>
    </row>
    <row r="54" ht="23.25" customHeight="1">
      <c r="A54" s="482"/>
      <c r="B54" s="482"/>
      <c r="C54" s="482"/>
      <c r="D54" s="482"/>
      <c r="E54" s="482"/>
      <c r="F54" s="482"/>
      <c r="G54" s="482"/>
      <c r="H54" s="482"/>
      <c r="I54" s="482"/>
      <c r="J54" s="482"/>
      <c r="K54" s="482"/>
      <c r="L54" s="482"/>
      <c r="M54" s="482"/>
      <c r="N54" s="482"/>
      <c r="O54" s="482"/>
      <c r="P54" s="482"/>
      <c r="Q54" s="482"/>
      <c r="R54" s="482"/>
      <c r="S54" s="482"/>
      <c r="T54" s="482"/>
      <c r="U54" s="482"/>
      <c r="V54" s="482"/>
      <c r="W54" s="482"/>
      <c r="X54" s="482"/>
      <c r="Y54" s="482"/>
      <c r="Z54" s="482"/>
      <c r="AA54" s="482"/>
      <c r="AB54" s="482"/>
    </row>
    <row r="55" ht="23.25" customHeight="1">
      <c r="A55" s="482"/>
      <c r="B55" s="571" t="s">
        <v>1639</v>
      </c>
      <c r="C55" s="484"/>
      <c r="D55" s="484"/>
      <c r="E55" s="484"/>
      <c r="F55" s="484"/>
      <c r="G55" s="484"/>
      <c r="H55" s="484"/>
      <c r="I55" s="484"/>
      <c r="J55" s="482"/>
      <c r="K55" s="482"/>
      <c r="L55" s="482"/>
      <c r="M55" s="482"/>
      <c r="N55" s="482"/>
      <c r="O55" s="482"/>
      <c r="P55" s="482"/>
      <c r="Q55" s="482"/>
      <c r="R55" s="482"/>
      <c r="S55" s="482"/>
      <c r="T55" s="482"/>
      <c r="U55" s="482"/>
      <c r="V55" s="482"/>
      <c r="W55" s="482"/>
      <c r="X55" s="482"/>
      <c r="Y55" s="482"/>
      <c r="Z55" s="482"/>
      <c r="AA55" s="482"/>
      <c r="AB55" s="482"/>
    </row>
    <row r="56" ht="23.25" customHeight="1">
      <c r="A56" s="482"/>
      <c r="B56" s="521" t="s">
        <v>1643</v>
      </c>
      <c r="C56" s="488" t="s">
        <v>1482</v>
      </c>
      <c r="D56" s="488" t="s">
        <v>1484</v>
      </c>
      <c r="E56" s="488" t="s">
        <v>1486</v>
      </c>
      <c r="F56" s="488" t="s">
        <v>1487</v>
      </c>
      <c r="G56" s="489" t="s">
        <v>1488</v>
      </c>
      <c r="H56" s="484"/>
      <c r="I56" s="485"/>
      <c r="J56" s="482"/>
      <c r="K56" s="482"/>
      <c r="L56" s="482"/>
      <c r="M56" s="482"/>
      <c r="N56" s="482"/>
      <c r="O56" s="482"/>
      <c r="P56" s="482"/>
      <c r="Q56" s="482"/>
      <c r="R56" s="482"/>
      <c r="S56" s="482"/>
      <c r="T56" s="482"/>
      <c r="U56" s="482"/>
      <c r="V56" s="482"/>
      <c r="W56" s="482"/>
      <c r="X56" s="482"/>
      <c r="Y56" s="482"/>
      <c r="Z56" s="482"/>
      <c r="AA56" s="482"/>
      <c r="AB56" s="482"/>
    </row>
    <row r="57" ht="23.25" customHeight="1">
      <c r="A57" s="482"/>
      <c r="B57" s="522" t="str">
        <f t="array" ref="B57:B64">Administrative!$X$5:$X$12</f>
        <v>A) daily</v>
      </c>
      <c r="C57" s="491">
        <f>COUNTIFS('Stats Data'!$L$2:$L118,"yes",'Stats Data'!$H$2:$H118,B57)</f>
        <v>0</v>
      </c>
      <c r="D57" s="491">
        <f>COUNTIFS('Stats Data'!$L$2:$L118,"yes",'Stats Data'!$H$2:$H118,B57,'Stats Data'!$K$2:$K118,"&gt;0")</f>
        <v>0</v>
      </c>
      <c r="E57" s="494">
        <f t="shared" ref="E57:E64" si="9">iferror(IF(C57=0,0,D57/C57))</f>
        <v>0</v>
      </c>
      <c r="F57" s="494">
        <f t="shared" ref="F57:F64" si="10">iferror(IF(C57=0,0,1-E57))</f>
        <v>0</v>
      </c>
      <c r="G57" s="499" t="str">
        <f>IFERROR(__xludf.DUMMYFUNCTION("SPARKLINE( E57:F57,{""charttype"",""bar"";""max"",1;""color1"",""#17e657"";""color2"",""#FF0000""})"),"")</f>
        <v/>
      </c>
      <c r="H57" s="484"/>
      <c r="I57" s="485"/>
      <c r="J57" s="482"/>
      <c r="K57" s="482"/>
      <c r="L57" s="482"/>
      <c r="M57" s="482"/>
      <c r="N57" s="482"/>
      <c r="O57" s="482"/>
      <c r="P57" s="482"/>
      <c r="Q57" s="482"/>
      <c r="R57" s="482"/>
      <c r="S57" s="482"/>
      <c r="T57" s="482"/>
      <c r="U57" s="482"/>
      <c r="V57" s="482"/>
      <c r="W57" s="482"/>
      <c r="X57" s="482"/>
      <c r="Y57" s="482"/>
      <c r="Z57" s="482"/>
      <c r="AA57" s="482"/>
      <c r="AB57" s="482"/>
    </row>
    <row r="58" ht="23.25" customHeight="1">
      <c r="A58" s="482"/>
      <c r="B58" s="522" t="s">
        <v>80</v>
      </c>
      <c r="C58" s="491">
        <f>COUNTIFS('Stats Data'!$L$2:$L118,"yes",'Stats Data'!$H$2:$H118,B58)</f>
        <v>0</v>
      </c>
      <c r="D58" s="491">
        <f>COUNTIFS('Stats Data'!$L$2:$L118,"yes",'Stats Data'!$H$2:$H118,B58,'Stats Data'!$K$2:$K118,"&gt;0")</f>
        <v>0</v>
      </c>
      <c r="E58" s="494">
        <f t="shared" si="9"/>
        <v>0</v>
      </c>
      <c r="F58" s="494">
        <f t="shared" si="10"/>
        <v>0</v>
      </c>
      <c r="G58" s="499" t="str">
        <f>IFERROR(__xludf.DUMMYFUNCTION("SPARKLINE( E58:F58,{""charttype"",""bar"";""max"",1;""color1"",""#17e657"";""color2"",""#FF0000""})"),"")</f>
        <v/>
      </c>
      <c r="H58" s="484"/>
      <c r="I58" s="485"/>
      <c r="J58" s="482"/>
      <c r="K58" s="482"/>
      <c r="L58" s="482"/>
      <c r="M58" s="482"/>
      <c r="N58" s="482"/>
      <c r="O58" s="482"/>
      <c r="P58" s="482"/>
      <c r="Q58" s="482"/>
      <c r="R58" s="482"/>
      <c r="S58" s="482"/>
      <c r="T58" s="482"/>
      <c r="U58" s="482"/>
      <c r="V58" s="482"/>
      <c r="W58" s="482"/>
      <c r="X58" s="482"/>
      <c r="Y58" s="482"/>
      <c r="Z58" s="482"/>
      <c r="AA58" s="482"/>
      <c r="AB58" s="482"/>
    </row>
    <row r="59" ht="23.25" customHeight="1">
      <c r="A59" s="482"/>
      <c r="B59" s="522" t="s">
        <v>67</v>
      </c>
      <c r="C59" s="491">
        <f>COUNTIFS('Stats Data'!$L$2:$L118,"yes",'Stats Data'!$H$2:$H118,B59)</f>
        <v>4</v>
      </c>
      <c r="D59" s="491">
        <f>COUNTIFS('Stats Data'!$L$2:$L118,"yes",'Stats Data'!$H$2:$H118,B59,'Stats Data'!$K$2:$K118,"&gt;0")</f>
        <v>3</v>
      </c>
      <c r="E59" s="494">
        <f t="shared" si="9"/>
        <v>0.75</v>
      </c>
      <c r="F59" s="494">
        <f t="shared" si="10"/>
        <v>0.25</v>
      </c>
      <c r="G59" s="499" t="str">
        <f>IFERROR(__xludf.DUMMYFUNCTION("SPARKLINE( E59:F59,{""charttype"",""bar"";""max"",1;""color1"",""#17e657"";""color2"",""#FF0000""})"),"")</f>
        <v/>
      </c>
      <c r="H59" s="484"/>
      <c r="I59" s="485"/>
      <c r="J59" s="482"/>
      <c r="K59" s="482"/>
      <c r="L59" s="482"/>
      <c r="M59" s="482"/>
      <c r="N59" s="482"/>
      <c r="O59" s="482"/>
      <c r="P59" s="482"/>
      <c r="Q59" s="482"/>
      <c r="R59" s="482"/>
      <c r="S59" s="482"/>
      <c r="T59" s="482"/>
      <c r="U59" s="482"/>
      <c r="V59" s="482"/>
      <c r="W59" s="482"/>
      <c r="X59" s="482"/>
      <c r="Y59" s="482"/>
      <c r="Z59" s="482"/>
      <c r="AA59" s="482"/>
      <c r="AB59" s="482"/>
    </row>
    <row r="60" ht="23.25" customHeight="1">
      <c r="A60" s="482"/>
      <c r="B60" s="522" t="s">
        <v>65</v>
      </c>
      <c r="C60" s="491">
        <f>COUNTIFS('Stats Data'!$L$2:$L118,"yes",'Stats Data'!$H$2:$H118,B60)</f>
        <v>9</v>
      </c>
      <c r="D60" s="491">
        <f>COUNTIFS('Stats Data'!$L$2:$L118,"yes",'Stats Data'!$H$2:$H118,B60,'Stats Data'!$K$2:$K118,"&gt;0")</f>
        <v>4</v>
      </c>
      <c r="E60" s="494">
        <f t="shared" si="9"/>
        <v>0.4444444444</v>
      </c>
      <c r="F60" s="494">
        <f t="shared" si="10"/>
        <v>0.5555555556</v>
      </c>
      <c r="G60" s="499" t="str">
        <f>IFERROR(__xludf.DUMMYFUNCTION("SPARKLINE( E60:F60,{""charttype"",""bar"";""max"",1;""color1"",""#17e657"";""color2"",""#FF0000""})"),"")</f>
        <v/>
      </c>
      <c r="H60" s="484"/>
      <c r="I60" s="485"/>
      <c r="J60" s="482"/>
      <c r="K60" s="482"/>
      <c r="L60" s="482"/>
      <c r="M60" s="482"/>
      <c r="N60" s="482"/>
      <c r="O60" s="482"/>
      <c r="P60" s="482"/>
      <c r="Q60" s="482"/>
      <c r="R60" s="482"/>
      <c r="S60" s="482"/>
      <c r="T60" s="482"/>
      <c r="U60" s="482"/>
      <c r="V60" s="482"/>
      <c r="W60" s="482"/>
      <c r="X60" s="482"/>
      <c r="Y60" s="482"/>
      <c r="Z60" s="482"/>
      <c r="AA60" s="482"/>
      <c r="AB60" s="482"/>
    </row>
    <row r="61" ht="23.25" customHeight="1">
      <c r="A61" s="482"/>
      <c r="B61" s="521" t="s">
        <v>64</v>
      </c>
      <c r="C61" s="491">
        <f>COUNTIFS('Stats Data'!$L$2:$L118,"yes",'Stats Data'!$H$2:$H118,B61)</f>
        <v>21</v>
      </c>
      <c r="D61" s="491">
        <f>COUNTIFS('Stats Data'!$L$2:$L118,"yes",'Stats Data'!$H$2:$H118,B61,'Stats Data'!$K$2:$K118,"&gt;0")</f>
        <v>14</v>
      </c>
      <c r="E61" s="494">
        <f t="shared" si="9"/>
        <v>0.6666666667</v>
      </c>
      <c r="F61" s="494">
        <f t="shared" si="10"/>
        <v>0.3333333333</v>
      </c>
      <c r="G61" s="499" t="str">
        <f>IFERROR(__xludf.DUMMYFUNCTION("SPARKLINE( E61:F61,{""charttype"",""bar"";""max"",1;""color1"",""#17e657"";""color2"",""#FF0000""})"),"")</f>
        <v/>
      </c>
      <c r="H61" s="484"/>
      <c r="I61" s="485"/>
      <c r="J61" s="482"/>
      <c r="K61" s="482"/>
      <c r="L61" s="482"/>
      <c r="M61" s="482"/>
      <c r="N61" s="482"/>
      <c r="O61" s="482"/>
      <c r="P61" s="482"/>
      <c r="Q61" s="482"/>
      <c r="R61" s="482"/>
      <c r="S61" s="482"/>
      <c r="T61" s="482"/>
      <c r="U61" s="482"/>
      <c r="V61" s="482"/>
      <c r="W61" s="482"/>
      <c r="X61" s="482"/>
      <c r="Y61" s="482"/>
      <c r="Z61" s="482"/>
      <c r="AA61" s="482"/>
      <c r="AB61" s="482"/>
    </row>
    <row r="62" ht="23.25" customHeight="1">
      <c r="A62" s="482"/>
      <c r="B62" s="525" t="s">
        <v>69</v>
      </c>
      <c r="C62" s="491">
        <f>COUNTIFS('Stats Data'!$L$2:$L118,"yes",'Stats Data'!$H$2:$H118,B62)</f>
        <v>96</v>
      </c>
      <c r="D62" s="491">
        <f>COUNTIFS('Stats Data'!$L$2:$L118,"yes",'Stats Data'!$H$2:$H118,B62,'Stats Data'!$K$2:$K118,"&gt;0")</f>
        <v>52</v>
      </c>
      <c r="E62" s="494">
        <f t="shared" si="9"/>
        <v>0.5416666667</v>
      </c>
      <c r="F62" s="494">
        <f t="shared" si="10"/>
        <v>0.4583333333</v>
      </c>
      <c r="G62" s="499" t="str">
        <f>IFERROR(__xludf.DUMMYFUNCTION("SPARKLINE( E62:F62,{""charttype"",""bar"";""max"",1;""color1"",""#17e657"";""color2"",""#FF0000""})"),"")</f>
        <v/>
      </c>
      <c r="H62" s="484"/>
      <c r="I62" s="485"/>
      <c r="J62" s="482"/>
      <c r="K62" s="482"/>
      <c r="L62" s="482"/>
      <c r="M62" s="482"/>
      <c r="N62" s="482"/>
      <c r="O62" s="482"/>
      <c r="P62" s="482"/>
      <c r="Q62" s="482"/>
      <c r="R62" s="482"/>
      <c r="S62" s="482"/>
      <c r="T62" s="482"/>
      <c r="U62" s="482"/>
      <c r="V62" s="482"/>
      <c r="W62" s="482"/>
      <c r="X62" s="482"/>
      <c r="Y62" s="482"/>
      <c r="Z62" s="482"/>
      <c r="AA62" s="482"/>
      <c r="AB62" s="482"/>
    </row>
    <row r="63" ht="23.25" customHeight="1">
      <c r="A63" s="482"/>
      <c r="B63" s="525" t="s">
        <v>66</v>
      </c>
      <c r="C63" s="491">
        <f>COUNTIFS('Stats Data'!$L$2:$L118,"yes",'Stats Data'!$H$2:$H118,B63)</f>
        <v>98</v>
      </c>
      <c r="D63" s="491">
        <f>COUNTIFS('Stats Data'!$L$2:$L118,"yes",'Stats Data'!$H$2:$H118,B63,'Stats Data'!$K$2:$K118,"&gt;0")</f>
        <v>56</v>
      </c>
      <c r="E63" s="494">
        <f t="shared" si="9"/>
        <v>0.5714285714</v>
      </c>
      <c r="F63" s="494">
        <f t="shared" si="10"/>
        <v>0.4285714286</v>
      </c>
      <c r="G63" s="499" t="str">
        <f>IFERROR(__xludf.DUMMYFUNCTION("SPARKLINE( E63:F63,{""charttype"",""bar"";""max"",1;""color1"",""#17e657"";""color2"",""#FF0000""})"),"")</f>
        <v/>
      </c>
      <c r="H63" s="484"/>
      <c r="I63" s="485"/>
      <c r="J63" s="482"/>
      <c r="K63" s="482"/>
      <c r="L63" s="482"/>
      <c r="M63" s="482"/>
      <c r="N63" s="482"/>
      <c r="O63" s="482"/>
      <c r="P63" s="482"/>
      <c r="Q63" s="482"/>
      <c r="R63" s="482"/>
      <c r="S63" s="482"/>
      <c r="T63" s="482"/>
      <c r="U63" s="482"/>
      <c r="V63" s="482"/>
      <c r="W63" s="482"/>
      <c r="X63" s="482"/>
      <c r="Y63" s="482"/>
      <c r="Z63" s="482"/>
      <c r="AA63" s="482"/>
      <c r="AB63" s="482"/>
    </row>
    <row r="64" ht="23.25" customHeight="1">
      <c r="A64" s="482"/>
      <c r="B64" s="525" t="s">
        <v>68</v>
      </c>
      <c r="C64" s="491">
        <f>COUNTIFS('Stats Data'!$L$2:$L118,"yes",'Stats Data'!$H$2:$H118,B64)</f>
        <v>127</v>
      </c>
      <c r="D64" s="491">
        <f>COUNTIFS('Stats Data'!$L$2:$L118,"yes",'Stats Data'!$H$2:$H118,B64,'Stats Data'!$K$2:$K118,"&gt;0")</f>
        <v>81</v>
      </c>
      <c r="E64" s="494">
        <f t="shared" si="9"/>
        <v>0.6377952756</v>
      </c>
      <c r="F64" s="494">
        <f t="shared" si="10"/>
        <v>0.3622047244</v>
      </c>
      <c r="G64" s="499" t="str">
        <f>IFERROR(__xludf.DUMMYFUNCTION("SPARKLINE( E64:F64,{""charttype"",""bar"";""max"",1;""color1"",""#17e657"";""color2"",""#FF0000""})"),"")</f>
        <v/>
      </c>
      <c r="H64" s="484"/>
      <c r="I64" s="485"/>
      <c r="J64" s="482"/>
      <c r="K64" s="482"/>
      <c r="L64" s="482"/>
      <c r="M64" s="482"/>
      <c r="N64" s="482"/>
      <c r="O64" s="482"/>
      <c r="P64" s="482"/>
      <c r="Q64" s="482"/>
      <c r="R64" s="482"/>
      <c r="S64" s="482"/>
      <c r="T64" s="482"/>
      <c r="U64" s="482"/>
      <c r="V64" s="482"/>
      <c r="W64" s="482"/>
      <c r="X64" s="482"/>
      <c r="Y64" s="482"/>
      <c r="Z64" s="482"/>
      <c r="AA64" s="482"/>
      <c r="AB64" s="482"/>
    </row>
    <row r="65" ht="23.25" customHeight="1">
      <c r="A65" s="482"/>
      <c r="B65" s="521" t="s">
        <v>1519</v>
      </c>
      <c r="C65" s="517">
        <f>SUM(C57:C64)</f>
        <v>355</v>
      </c>
      <c r="D65" s="519" t="s">
        <v>1675</v>
      </c>
      <c r="E65" s="484"/>
      <c r="F65" s="484"/>
      <c r="G65" s="484"/>
      <c r="H65" s="484"/>
      <c r="I65" s="485"/>
      <c r="J65" s="482"/>
      <c r="K65" s="482"/>
      <c r="L65" s="482"/>
      <c r="M65" s="482"/>
      <c r="N65" s="482"/>
      <c r="O65" s="482"/>
      <c r="P65" s="482"/>
      <c r="Q65" s="482"/>
      <c r="R65" s="482"/>
      <c r="S65" s="482"/>
      <c r="T65" s="482"/>
      <c r="U65" s="482"/>
      <c r="V65" s="482"/>
      <c r="W65" s="482"/>
      <c r="X65" s="482"/>
      <c r="Y65" s="482"/>
      <c r="Z65" s="482"/>
      <c r="AA65" s="482"/>
      <c r="AB65" s="482"/>
    </row>
    <row r="66" ht="23.25" customHeight="1">
      <c r="A66" s="482"/>
      <c r="B66" s="482"/>
      <c r="C66" s="482"/>
      <c r="D66" s="482"/>
      <c r="E66" s="482"/>
      <c r="F66" s="482"/>
      <c r="G66" s="482"/>
      <c r="H66" s="482"/>
      <c r="I66" s="482"/>
      <c r="J66" s="482"/>
      <c r="K66" s="482"/>
      <c r="L66" s="482"/>
      <c r="M66" s="482"/>
      <c r="N66" s="482"/>
      <c r="O66" s="482"/>
      <c r="P66" s="482"/>
      <c r="Q66" s="482"/>
      <c r="R66" s="482"/>
      <c r="S66" s="482"/>
      <c r="T66" s="482"/>
      <c r="U66" s="482"/>
      <c r="V66" s="482"/>
      <c r="W66" s="482"/>
      <c r="X66" s="482"/>
      <c r="Y66" s="482"/>
      <c r="Z66" s="482"/>
      <c r="AA66" s="482"/>
      <c r="AB66" s="482"/>
    </row>
    <row r="67" ht="23.25" customHeight="1">
      <c r="A67" s="480"/>
      <c r="B67" s="481"/>
      <c r="C67" s="481"/>
      <c r="D67" s="481"/>
      <c r="E67" s="481"/>
      <c r="F67" s="481"/>
      <c r="G67" s="481"/>
      <c r="H67" s="482"/>
      <c r="I67" s="482"/>
      <c r="J67" s="482"/>
      <c r="K67" s="482"/>
      <c r="L67" s="482"/>
      <c r="M67" s="482"/>
      <c r="N67" s="482"/>
      <c r="O67" s="482"/>
      <c r="P67" s="482"/>
      <c r="Q67" s="482"/>
      <c r="R67" s="482"/>
      <c r="S67" s="482"/>
      <c r="T67" s="482"/>
      <c r="U67" s="482"/>
      <c r="V67" s="482"/>
      <c r="W67" s="482"/>
      <c r="X67" s="482"/>
      <c r="Y67" s="482"/>
      <c r="Z67" s="482"/>
      <c r="AA67" s="482"/>
      <c r="AB67" s="482"/>
    </row>
    <row r="68" ht="23.25" customHeight="1">
      <c r="A68" s="480"/>
      <c r="B68" s="483" t="s">
        <v>1677</v>
      </c>
      <c r="C68" s="485"/>
      <c r="D68" s="481"/>
      <c r="F68" s="481"/>
      <c r="G68" s="481"/>
      <c r="H68" s="482"/>
      <c r="I68" s="482"/>
      <c r="J68" s="482"/>
      <c r="K68" s="482"/>
      <c r="L68" s="482"/>
      <c r="M68" s="482"/>
      <c r="N68" s="482"/>
      <c r="O68" s="482"/>
      <c r="P68" s="482"/>
      <c r="Q68" s="482"/>
      <c r="R68" s="482"/>
      <c r="S68" s="482"/>
      <c r="T68" s="482"/>
      <c r="U68" s="482"/>
      <c r="V68" s="482"/>
      <c r="W68" s="482"/>
      <c r="X68" s="482"/>
      <c r="Y68" s="482"/>
      <c r="Z68" s="482"/>
      <c r="AA68" s="482"/>
      <c r="AB68" s="482"/>
    </row>
    <row r="69" ht="23.25" customHeight="1">
      <c r="A69" s="482"/>
      <c r="B69" s="573" t="str">
        <f t="array" ref="B69:B72">transpose(Administrative!$M$1:$P$1)</f>
        <v>USA</v>
      </c>
      <c r="C69" s="574">
        <f>COUNTIFS('Stats Data'!$L$2:$L118,"yes",'Stats Data'!$B$2:$B118,B69)</f>
        <v>108</v>
      </c>
      <c r="D69" s="575"/>
      <c r="F69" s="575"/>
      <c r="G69" s="575"/>
      <c r="H69" s="482"/>
      <c r="I69" s="482"/>
      <c r="J69" s="482"/>
      <c r="K69" s="482"/>
      <c r="L69" s="482"/>
      <c r="M69" s="482"/>
      <c r="N69" s="482"/>
      <c r="O69" s="482"/>
      <c r="P69" s="482"/>
      <c r="Q69" s="482"/>
      <c r="R69" s="482"/>
      <c r="S69" s="482"/>
      <c r="T69" s="482"/>
      <c r="U69" s="482"/>
      <c r="V69" s="482"/>
      <c r="W69" s="482"/>
      <c r="X69" s="482"/>
      <c r="Y69" s="482"/>
      <c r="Z69" s="482"/>
      <c r="AA69" s="482"/>
      <c r="AB69" s="482"/>
    </row>
    <row r="70" ht="23.25" customHeight="1">
      <c r="A70" s="482"/>
      <c r="B70" s="525" t="s">
        <v>55</v>
      </c>
      <c r="C70" s="574">
        <f>COUNTIFS('Stats Data'!$L$2:$L118,"yes",'Stats Data'!$B$2:$B118,B70)</f>
        <v>21</v>
      </c>
      <c r="D70" s="575"/>
      <c r="F70" s="575"/>
      <c r="G70" s="575"/>
      <c r="H70" s="482"/>
      <c r="I70" s="482"/>
      <c r="J70" s="482"/>
      <c r="K70" s="482"/>
      <c r="L70" s="482"/>
      <c r="M70" s="482"/>
      <c r="N70" s="482"/>
      <c r="O70" s="482"/>
      <c r="P70" s="482"/>
      <c r="Q70" s="482"/>
      <c r="R70" s="482"/>
      <c r="S70" s="482"/>
      <c r="T70" s="482"/>
      <c r="U70" s="482"/>
      <c r="V70" s="482"/>
      <c r="W70" s="482"/>
      <c r="X70" s="482"/>
      <c r="Y70" s="482"/>
      <c r="Z70" s="482"/>
      <c r="AA70" s="482"/>
      <c r="AB70" s="482"/>
    </row>
    <row r="71" ht="23.25" customHeight="1">
      <c r="A71" s="482"/>
      <c r="B71" s="525" t="s">
        <v>638</v>
      </c>
      <c r="C71" s="574">
        <f>COUNTIFS('Stats Data'!$L$2:$L118,"yes",'Stats Data'!$B$2:$B118,B71)</f>
        <v>11</v>
      </c>
      <c r="D71" s="575"/>
      <c r="F71" s="575"/>
      <c r="G71" s="575"/>
      <c r="H71" s="482"/>
      <c r="I71" s="482"/>
      <c r="J71" s="482"/>
      <c r="K71" s="482"/>
      <c r="L71" s="482"/>
      <c r="M71" s="482"/>
      <c r="N71" s="482"/>
      <c r="O71" s="482"/>
      <c r="P71" s="482"/>
      <c r="Q71" s="482"/>
      <c r="R71" s="482"/>
      <c r="S71" s="482"/>
      <c r="T71" s="482"/>
      <c r="U71" s="482"/>
      <c r="V71" s="482"/>
      <c r="W71" s="482"/>
      <c r="X71" s="482"/>
      <c r="Y71" s="482"/>
      <c r="Z71" s="482"/>
      <c r="AA71" s="482"/>
      <c r="AB71" s="482"/>
    </row>
    <row r="72" ht="23.25" customHeight="1">
      <c r="A72" s="482"/>
      <c r="B72" s="525" t="s">
        <v>60</v>
      </c>
      <c r="C72" s="574">
        <f>COUNTIFS('Stats Data'!$L$2:$L118,"yes",'Stats Data'!$B$2:$B118,B72)</f>
        <v>256</v>
      </c>
      <c r="D72" s="575"/>
      <c r="F72" s="575"/>
      <c r="G72" s="575"/>
      <c r="H72" s="482"/>
      <c r="I72" s="482"/>
      <c r="J72" s="482"/>
      <c r="K72" s="482"/>
      <c r="L72" s="482"/>
      <c r="M72" s="482"/>
      <c r="N72" s="482"/>
      <c r="O72" s="482"/>
      <c r="P72" s="482"/>
      <c r="Q72" s="482"/>
      <c r="R72" s="482"/>
      <c r="S72" s="482"/>
      <c r="T72" s="482"/>
      <c r="U72" s="482"/>
      <c r="V72" s="482"/>
      <c r="W72" s="482"/>
      <c r="X72" s="482"/>
      <c r="Y72" s="482"/>
      <c r="Z72" s="482"/>
      <c r="AA72" s="482"/>
      <c r="AB72" s="482"/>
    </row>
    <row r="73" ht="23.25" customHeight="1">
      <c r="A73" s="530"/>
      <c r="B73" s="521" t="s">
        <v>1519</v>
      </c>
      <c r="C73" s="517">
        <f>SUM(C69:C72)</f>
        <v>396</v>
      </c>
      <c r="D73" s="576"/>
      <c r="F73" s="576"/>
      <c r="G73" s="576"/>
      <c r="H73" s="482"/>
      <c r="I73" s="482"/>
      <c r="J73" s="482"/>
      <c r="K73" s="482"/>
      <c r="L73" s="482"/>
      <c r="M73" s="482"/>
      <c r="N73" s="482"/>
      <c r="O73" s="482"/>
      <c r="P73" s="482"/>
      <c r="Q73" s="482"/>
      <c r="R73" s="482"/>
      <c r="S73" s="482"/>
      <c r="T73" s="482"/>
      <c r="U73" s="482"/>
      <c r="V73" s="482"/>
      <c r="W73" s="482"/>
      <c r="X73" s="482"/>
      <c r="Y73" s="482"/>
      <c r="Z73" s="482"/>
      <c r="AA73" s="482"/>
      <c r="AB73" s="482"/>
    </row>
    <row r="74" ht="23.25" customHeight="1">
      <c r="A74" s="530"/>
      <c r="B74" s="530"/>
      <c r="C74" s="530"/>
      <c r="D74" s="530"/>
      <c r="E74" s="530"/>
      <c r="F74" s="530"/>
      <c r="G74" s="530"/>
      <c r="H74" s="482"/>
      <c r="I74" s="482"/>
      <c r="J74" s="482"/>
      <c r="K74" s="482"/>
      <c r="L74" s="482"/>
      <c r="M74" s="482"/>
      <c r="N74" s="482"/>
      <c r="O74" s="482"/>
      <c r="P74" s="482"/>
      <c r="Q74" s="482"/>
      <c r="R74" s="482"/>
      <c r="S74" s="482"/>
      <c r="T74" s="482"/>
      <c r="U74" s="482"/>
      <c r="V74" s="482"/>
      <c r="W74" s="482"/>
      <c r="X74" s="482"/>
      <c r="Y74" s="482"/>
      <c r="Z74" s="482"/>
      <c r="AA74" s="482"/>
      <c r="AB74" s="482"/>
    </row>
    <row r="75" ht="23.25" customHeight="1">
      <c r="A75" s="530"/>
      <c r="B75" s="530"/>
      <c r="C75" s="530"/>
      <c r="D75" s="530"/>
      <c r="E75" s="530"/>
      <c r="F75" s="530"/>
      <c r="G75" s="530"/>
      <c r="H75" s="482"/>
      <c r="I75" s="482"/>
      <c r="J75" s="482"/>
      <c r="K75" s="482"/>
      <c r="L75" s="482"/>
      <c r="M75" s="482"/>
      <c r="N75" s="482"/>
      <c r="O75" s="482"/>
      <c r="P75" s="482"/>
      <c r="Q75" s="482"/>
      <c r="R75" s="482"/>
      <c r="S75" s="482"/>
      <c r="T75" s="482"/>
      <c r="U75" s="482"/>
      <c r="V75" s="482"/>
      <c r="W75" s="482"/>
      <c r="X75" s="482"/>
      <c r="Y75" s="482"/>
      <c r="Z75" s="482"/>
      <c r="AA75" s="482"/>
      <c r="AB75" s="482"/>
    </row>
    <row r="76" ht="23.25" customHeight="1">
      <c r="A76" s="530"/>
      <c r="B76" s="530"/>
      <c r="C76" s="530"/>
      <c r="D76" s="530"/>
      <c r="E76" s="530"/>
      <c r="F76" s="530"/>
      <c r="G76" s="530"/>
      <c r="H76" s="482"/>
      <c r="I76" s="482"/>
      <c r="J76" s="482"/>
      <c r="K76" s="482"/>
      <c r="L76" s="482"/>
      <c r="M76" s="482"/>
      <c r="N76" s="482"/>
      <c r="O76" s="482"/>
      <c r="P76" s="482"/>
      <c r="Q76" s="482"/>
      <c r="R76" s="482"/>
      <c r="S76" s="482"/>
      <c r="T76" s="482"/>
      <c r="U76" s="482"/>
      <c r="V76" s="482"/>
      <c r="W76" s="482"/>
      <c r="X76" s="482"/>
      <c r="Y76" s="482"/>
      <c r="Z76" s="482"/>
      <c r="AA76" s="482"/>
      <c r="AB76" s="482"/>
    </row>
    <row r="77" ht="23.25" customHeight="1">
      <c r="A77" s="482"/>
      <c r="B77" s="530"/>
      <c r="C77" s="530"/>
      <c r="D77" s="482"/>
      <c r="E77" s="482"/>
      <c r="F77" s="482"/>
      <c r="G77" s="482"/>
      <c r="H77" s="482"/>
      <c r="I77" s="482"/>
      <c r="J77" s="482"/>
      <c r="K77" s="482"/>
      <c r="L77" s="482"/>
      <c r="M77" s="482"/>
      <c r="N77" s="482"/>
      <c r="O77" s="482"/>
      <c r="P77" s="482"/>
      <c r="Q77" s="482"/>
      <c r="R77" s="482"/>
      <c r="S77" s="482"/>
      <c r="T77" s="482"/>
      <c r="U77" s="482"/>
      <c r="V77" s="482"/>
      <c r="W77" s="482"/>
      <c r="X77" s="482"/>
      <c r="Y77" s="482"/>
      <c r="Z77" s="482"/>
      <c r="AA77" s="482"/>
      <c r="AB77" s="482"/>
    </row>
    <row r="78" ht="23.25" customHeight="1">
      <c r="A78" s="482"/>
      <c r="B78" s="483" t="s">
        <v>1696</v>
      </c>
      <c r="C78" s="484"/>
      <c r="D78" s="484"/>
      <c r="E78" s="484"/>
      <c r="F78" s="484"/>
      <c r="G78" s="484"/>
      <c r="H78" s="484"/>
      <c r="I78" s="484"/>
      <c r="J78" s="484"/>
      <c r="K78" s="484"/>
      <c r="L78" s="485"/>
      <c r="M78" s="482"/>
      <c r="N78" s="482"/>
      <c r="O78" s="482"/>
      <c r="P78" s="482"/>
      <c r="Q78" s="482"/>
      <c r="R78" s="482"/>
      <c r="S78" s="482"/>
      <c r="T78" s="482"/>
      <c r="U78" s="482"/>
      <c r="V78" s="482"/>
      <c r="W78" s="482"/>
      <c r="X78" s="482"/>
      <c r="Y78" s="482"/>
      <c r="Z78" s="482"/>
      <c r="AA78" s="482"/>
      <c r="AB78" s="482"/>
    </row>
    <row r="79" ht="23.25" customHeight="1">
      <c r="A79" s="482"/>
      <c r="B79" s="577" t="s">
        <v>18</v>
      </c>
      <c r="C79" s="488" t="s">
        <v>1697</v>
      </c>
      <c r="D79" s="488" t="s">
        <v>1698</v>
      </c>
      <c r="E79" s="488" t="s">
        <v>1699</v>
      </c>
      <c r="F79" s="488" t="s">
        <v>1700</v>
      </c>
      <c r="G79" s="488" t="s">
        <v>1702</v>
      </c>
      <c r="H79" s="488" t="s">
        <v>1704</v>
      </c>
      <c r="I79" s="515" t="s">
        <v>1705</v>
      </c>
      <c r="J79" s="515" t="s">
        <v>1706</v>
      </c>
      <c r="K79" s="515" t="s">
        <v>1707</v>
      </c>
      <c r="L79" s="515" t="s">
        <v>1708</v>
      </c>
      <c r="M79" s="482"/>
      <c r="N79" s="482"/>
      <c r="O79" s="482"/>
      <c r="P79" s="482"/>
      <c r="Q79" s="482"/>
      <c r="R79" s="482"/>
      <c r="S79" s="482"/>
      <c r="T79" s="482"/>
      <c r="U79" s="482"/>
      <c r="V79" s="482"/>
      <c r="W79" s="482"/>
      <c r="X79" s="482"/>
      <c r="Y79" s="482"/>
      <c r="Z79" s="482"/>
      <c r="AA79" s="482"/>
      <c r="AB79" s="482"/>
    </row>
    <row r="80" ht="23.25" customHeight="1">
      <c r="A80" s="482"/>
      <c r="B80" s="578" t="str">
        <f>IFERROR(__xludf.DUMMYFUNCTION("query(filter({'Stats Data'!D2:D118,'Stats Data'!D2:D118,'Stats Data'!J2:J118},'Stats Data'!L2:L118=""yes""),""select Col1,count(Col2),avg(Col3) where Col3 is not null group by Col1 order by Col1 asc label count(Col2)'',avg(Col3)''"",0)"),"Model S 60")</f>
        <v>Model S 60</v>
      </c>
      <c r="C80" s="492">
        <v>26.0</v>
      </c>
      <c r="D80" s="579">
        <v>193.69230769230768</v>
      </c>
      <c r="E80" s="579">
        <f t="shared" ref="E80:E101" si="12">IFERROR(if(isblank(D80),,D80*1.609344))</f>
        <v>311.7175532</v>
      </c>
      <c r="F80" s="580">
        <f t="array" ref="F80">if(B80="","",vlookup(B80,{Administrative!$L$1:$L$73,Administrative!$Q$1:$Q$73},2,0))</f>
        <v>58500</v>
      </c>
      <c r="G80" s="579">
        <f t="shared" ref="G80:G101" si="13">iferror(round(F80/D80,1))</f>
        <v>302</v>
      </c>
      <c r="H80" s="579">
        <f t="shared" ref="H80:H101" si="14">if(G80="","",round(F80/D80*0.621371,1))</f>
        <v>187.7</v>
      </c>
      <c r="I80" s="580">
        <f t="array" ref="I80">if(B80="","",vlookup(B80,{Administrative!$L$1:$L$73,Administrative!$P$1:$P$73},2,0))</f>
        <v>289</v>
      </c>
      <c r="J80" s="580">
        <f t="array" ref="J80">if(B80="","",vlookup(B80,{Administrative!$L$1:$L$73,Administrative!$M$1:$M$73},2,0))</f>
        <v>210</v>
      </c>
      <c r="K80" s="494">
        <f t="shared" ref="K80:L80" si="11">iferror(if(or(G80="",I80=""),"",G80/I80))</f>
        <v>1.044982699</v>
      </c>
      <c r="L80" s="494">
        <f t="shared" si="11"/>
        <v>0.8938095238</v>
      </c>
      <c r="M80" s="482"/>
      <c r="N80" s="482"/>
      <c r="O80" s="482"/>
      <c r="P80" s="482"/>
      <c r="Q80" s="482"/>
      <c r="R80" s="482"/>
      <c r="S80" s="482"/>
      <c r="T80" s="482"/>
      <c r="U80" s="482"/>
      <c r="V80" s="482"/>
      <c r="W80" s="482"/>
      <c r="X80" s="482"/>
      <c r="Y80" s="482"/>
      <c r="Z80" s="482"/>
      <c r="AA80" s="482"/>
      <c r="AB80" s="482"/>
    </row>
    <row r="81" ht="23.25" customHeight="1">
      <c r="A81" s="482"/>
      <c r="B81" s="578" t="s">
        <v>250</v>
      </c>
      <c r="C81" s="492">
        <v>4.0</v>
      </c>
      <c r="D81" s="579">
        <v>194.75</v>
      </c>
      <c r="E81" s="579">
        <f t="shared" si="12"/>
        <v>313.419744</v>
      </c>
      <c r="F81" s="580">
        <f t="array" ref="F81">if(B81="","",vlookup(B81,{Administrative!$L$1:$L$73,Administrative!$Q$1:$Q$73},2,0))</f>
        <v>58500</v>
      </c>
      <c r="G81" s="579">
        <f t="shared" si="13"/>
        <v>300.4</v>
      </c>
      <c r="H81" s="579">
        <f t="shared" si="14"/>
        <v>186.7</v>
      </c>
      <c r="I81" s="580">
        <f t="array" ref="I81">if(B81="","",vlookup(B81,{Administrative!$L$1:$L$73,Administrative!$P$1:$P$73},2,0))</f>
        <v>333</v>
      </c>
      <c r="J81" s="580">
        <f t="array" ref="J81">if(B81="","",vlookup(B81,{Administrative!$L$1:$L$73,Administrative!$M$1:$M$73},2,0))</f>
        <v>222</v>
      </c>
      <c r="K81" s="494">
        <f t="shared" ref="K81:L81" si="15">iferror(if(or(G81="",I81=""),"",G81/I81))</f>
        <v>0.9021021021</v>
      </c>
      <c r="L81" s="494">
        <f t="shared" si="15"/>
        <v>0.840990991</v>
      </c>
      <c r="M81" s="482"/>
      <c r="N81" s="482"/>
      <c r="O81" s="482"/>
      <c r="P81" s="482"/>
      <c r="Q81" s="482"/>
      <c r="R81" s="482"/>
      <c r="S81" s="482"/>
      <c r="T81" s="482"/>
      <c r="U81" s="482"/>
      <c r="V81" s="482"/>
      <c r="W81" s="482"/>
      <c r="X81" s="482"/>
      <c r="Y81" s="482"/>
      <c r="Z81" s="482"/>
      <c r="AA81" s="482"/>
      <c r="AB81" s="482"/>
    </row>
    <row r="82" ht="23.25" customHeight="1">
      <c r="A82" s="482"/>
      <c r="B82" s="578" t="s">
        <v>870</v>
      </c>
      <c r="C82" s="492">
        <v>5.0</v>
      </c>
      <c r="D82" s="579">
        <v>207.6</v>
      </c>
      <c r="E82" s="579">
        <f t="shared" si="12"/>
        <v>334.0998144</v>
      </c>
      <c r="F82" s="580">
        <f t="array" ref="F82">if(B82="","",vlookup(B82,{Administrative!$L$1:$L$73,Administrative!$Q$1:$Q$73},2,0))</f>
        <v>68800</v>
      </c>
      <c r="G82" s="579">
        <f t="shared" si="13"/>
        <v>331.4</v>
      </c>
      <c r="H82" s="579">
        <f t="shared" si="14"/>
        <v>205.9</v>
      </c>
      <c r="I82" s="580">
        <f t="array" ref="I82">if(B82="","",vlookup(B82,{Administrative!$L$1:$L$73,Administrative!$P$1:$P$73},2,0))</f>
        <v>360</v>
      </c>
      <c r="J82" s="580">
        <f t="array" ref="J82">if(B82="","",vlookup(B82,{Administrative!$L$1:$L$73,Administrative!$M$1:$M$73},2,0))</f>
        <v>234</v>
      </c>
      <c r="K82" s="494">
        <f t="shared" ref="K82:L82" si="16">iferror(if(or(G82="",I82=""),"",G82/I82))</f>
        <v>0.9205555556</v>
      </c>
      <c r="L82" s="494">
        <f t="shared" si="16"/>
        <v>0.8799145299</v>
      </c>
      <c r="M82" s="482"/>
      <c r="N82" s="482"/>
      <c r="O82" s="482"/>
      <c r="P82" s="482"/>
      <c r="Q82" s="482"/>
      <c r="R82" s="482"/>
      <c r="S82" s="482"/>
      <c r="T82" s="482"/>
      <c r="U82" s="482"/>
      <c r="V82" s="482"/>
      <c r="W82" s="482"/>
      <c r="X82" s="482"/>
      <c r="Y82" s="482"/>
      <c r="Z82" s="482"/>
      <c r="AA82" s="482"/>
      <c r="AB82" s="482"/>
    </row>
    <row r="83" ht="23.25" customHeight="1">
      <c r="A83" s="482"/>
      <c r="B83" s="578" t="s">
        <v>118</v>
      </c>
      <c r="C83" s="492">
        <v>21.0</v>
      </c>
      <c r="D83" s="579">
        <v>202.57142857142858</v>
      </c>
      <c r="E83" s="579">
        <f t="shared" si="12"/>
        <v>326.0071131</v>
      </c>
      <c r="F83" s="580">
        <f t="array" ref="F83">if(B83="","",vlookup(B83,{Administrative!$L$1:$L$73,Administrative!$Q$1:$Q$73},2,0))</f>
        <v>68800</v>
      </c>
      <c r="G83" s="579">
        <f t="shared" si="13"/>
        <v>339.6</v>
      </c>
      <c r="H83" s="579">
        <f t="shared" si="14"/>
        <v>211</v>
      </c>
      <c r="I83" s="580">
        <f t="array" ref="I83">if(B83="","",vlookup(B83,{Administrative!$L$1:$L$73,Administrative!$P$1:$P$73},2,0))</f>
        <v>365</v>
      </c>
      <c r="J83" s="580">
        <f t="array" ref="J83">if(B83="","",vlookup(B83,{Administrative!$L$1:$L$73,Administrative!$M$1:$M$73},2,0))</f>
        <v>243</v>
      </c>
      <c r="K83" s="494">
        <f t="shared" ref="K83:L83" si="17">iferror(if(or(G83="",I83=""),"",G83/I83))</f>
        <v>0.9304109589</v>
      </c>
      <c r="L83" s="494">
        <f t="shared" si="17"/>
        <v>0.8683127572</v>
      </c>
      <c r="M83" s="482"/>
      <c r="N83" s="482"/>
      <c r="O83" s="482"/>
      <c r="P83" s="482"/>
      <c r="Q83" s="482"/>
      <c r="R83" s="482"/>
      <c r="S83" s="482"/>
      <c r="T83" s="482"/>
      <c r="U83" s="482"/>
      <c r="V83" s="482"/>
      <c r="W83" s="482"/>
      <c r="X83" s="482"/>
      <c r="Y83" s="482"/>
      <c r="Z83" s="482"/>
      <c r="AA83" s="482"/>
      <c r="AB83" s="482"/>
    </row>
    <row r="84" ht="23.25" customHeight="1">
      <c r="A84" s="482"/>
      <c r="B84" s="578" t="s">
        <v>629</v>
      </c>
      <c r="C84" s="492">
        <v>9.0</v>
      </c>
      <c r="D84" s="579">
        <v>187.77777777777777</v>
      </c>
      <c r="E84" s="579">
        <f t="shared" si="12"/>
        <v>302.19904</v>
      </c>
      <c r="F84" s="580">
        <f t="array" ref="F84">if(B84="","",vlookup(B84,{Administrative!$L$1:$L$73,Administrative!$Q$1:$Q$73},2,0))</f>
        <v>72600</v>
      </c>
      <c r="G84" s="579">
        <f t="shared" si="13"/>
        <v>386.6</v>
      </c>
      <c r="H84" s="579">
        <f t="shared" si="14"/>
        <v>240.2</v>
      </c>
      <c r="I84" s="580">
        <f t="array" ref="I84">if(B84="","",vlookup(B84,{Administrative!$L$1:$L$73,Administrative!$P$1:$P$73},2,0))</f>
        <v>386</v>
      </c>
      <c r="J84" s="580">
        <f t="array" ref="J84">if(B84="","",vlookup(B84,{Administrative!$L$1:$L$73,Administrative!$M$1:$M$73},2,0))</f>
        <v>249</v>
      </c>
      <c r="K84" s="494">
        <f t="shared" ref="K84:L84" si="18">iferror(if(or(G84="",I84=""),"",G84/I84))</f>
        <v>1.001554404</v>
      </c>
      <c r="L84" s="494">
        <f t="shared" si="18"/>
        <v>0.9646586345</v>
      </c>
      <c r="M84" s="482"/>
      <c r="N84" s="482"/>
      <c r="O84" s="482"/>
      <c r="P84" s="482"/>
      <c r="Q84" s="482"/>
      <c r="R84" s="482"/>
      <c r="S84" s="482"/>
      <c r="T84" s="482"/>
      <c r="U84" s="482"/>
      <c r="V84" s="482"/>
      <c r="W84" s="482"/>
      <c r="X84" s="482"/>
      <c r="Y84" s="482"/>
      <c r="Z84" s="482"/>
      <c r="AA84" s="482"/>
      <c r="AB84" s="482"/>
    </row>
    <row r="85" ht="23.25" customHeight="1">
      <c r="A85" s="482"/>
      <c r="B85" s="578" t="s">
        <v>675</v>
      </c>
      <c r="C85" s="492">
        <v>7.0</v>
      </c>
      <c r="D85" s="579">
        <v>191.14285714285714</v>
      </c>
      <c r="E85" s="579">
        <f t="shared" si="12"/>
        <v>307.6146103</v>
      </c>
      <c r="F85" s="580">
        <f t="array" ref="F85">if(B85="","",vlookup(B85,{Administrative!$L$1:$L$73,Administrative!$Q$1:$Q$73},2,0))</f>
        <v>72600</v>
      </c>
      <c r="G85" s="579">
        <f t="shared" si="13"/>
        <v>379.8</v>
      </c>
      <c r="H85" s="579">
        <f t="shared" si="14"/>
        <v>236</v>
      </c>
      <c r="I85" s="580">
        <f t="array" ref="I85">if(B85="","",vlookup(B85,{Administrative!$L$1:$L$73,Administrative!$P$1:$P$73},2,0))</f>
        <v>388</v>
      </c>
      <c r="J85" s="580">
        <f t="array" ref="J85">if(B85="","",vlookup(B85,{Administrative!$L$1:$L$73,Administrative!$M$1:$M$73},2,0))</f>
        <v>262</v>
      </c>
      <c r="K85" s="494">
        <f t="shared" ref="K85:L85" si="19">iferror(if(or(G85="",I85=""),"",G85/I85))</f>
        <v>0.9788659794</v>
      </c>
      <c r="L85" s="494">
        <f t="shared" si="19"/>
        <v>0.9007633588</v>
      </c>
      <c r="M85" s="482"/>
      <c r="N85" s="482"/>
      <c r="O85" s="482"/>
      <c r="P85" s="482"/>
      <c r="Q85" s="482"/>
      <c r="R85" s="482"/>
      <c r="S85" s="482"/>
      <c r="T85" s="482"/>
      <c r="U85" s="482"/>
      <c r="V85" s="482"/>
      <c r="W85" s="482"/>
      <c r="X85" s="482"/>
      <c r="Y85" s="482"/>
      <c r="Z85" s="482"/>
      <c r="AA85" s="482"/>
      <c r="AB85" s="482"/>
    </row>
    <row r="86" ht="23.25" customHeight="1">
      <c r="A86" s="482"/>
      <c r="B86" s="525" t="s">
        <v>59</v>
      </c>
      <c r="C86" s="492">
        <v>121.0</v>
      </c>
      <c r="D86" s="579">
        <v>213.1487603305785</v>
      </c>
      <c r="E86" s="579">
        <f t="shared" si="12"/>
        <v>343.0296785</v>
      </c>
      <c r="F86" s="580">
        <f t="array" ref="F86">if(B86="","",vlookup(B86,{Administrative!$L$1:$L$73,Administrative!$Q$1:$Q$73},2,0))</f>
        <v>77500</v>
      </c>
      <c r="G86" s="579">
        <f t="shared" si="13"/>
        <v>363.6</v>
      </c>
      <c r="H86" s="579">
        <f t="shared" si="14"/>
        <v>225.9</v>
      </c>
      <c r="I86" s="580">
        <f t="array" ref="I86">if(B86="","",vlookup(B86,{Administrative!$L$1:$L$73,Administrative!$P$1:$P$73},2,0))</f>
        <v>399</v>
      </c>
      <c r="J86" s="580">
        <f t="array" ref="J86">if(B86="","",vlookup(B86,{Administrative!$L$1:$L$73,Administrative!$M$1:$M$73},2,0))</f>
        <v>269</v>
      </c>
      <c r="K86" s="494">
        <f t="shared" ref="K86:L86" si="20">iferror(if(or(G86="",I86=""),"",G86/I86))</f>
        <v>0.9112781955</v>
      </c>
      <c r="L86" s="494">
        <f t="shared" si="20"/>
        <v>0.8397769517</v>
      </c>
      <c r="M86" s="482"/>
      <c r="N86" s="482"/>
      <c r="O86" s="482"/>
      <c r="P86" s="482"/>
      <c r="Q86" s="482"/>
      <c r="R86" s="482"/>
      <c r="S86" s="482"/>
      <c r="T86" s="482"/>
      <c r="U86" s="482"/>
      <c r="V86" s="482"/>
      <c r="W86" s="482"/>
      <c r="X86" s="482"/>
      <c r="Y86" s="482"/>
      <c r="Z86" s="482"/>
      <c r="AA86" s="482"/>
      <c r="AB86" s="482"/>
    </row>
    <row r="87" ht="23.25" customHeight="1">
      <c r="A87" s="482"/>
      <c r="B87" s="525" t="s">
        <v>86</v>
      </c>
      <c r="C87" s="492">
        <v>45.0</v>
      </c>
      <c r="D87" s="579">
        <v>213.27111111111114</v>
      </c>
      <c r="E87" s="579">
        <f t="shared" si="12"/>
        <v>343.226583</v>
      </c>
      <c r="F87" s="580">
        <f t="array" ref="F87">if(B87="","",vlookup(B87,{Administrative!$L$1:$L$73,Administrative!$Q$1:$Q$73},2,0))</f>
        <v>77500</v>
      </c>
      <c r="G87" s="579">
        <f t="shared" si="13"/>
        <v>363.4</v>
      </c>
      <c r="H87" s="579">
        <f t="shared" si="14"/>
        <v>225.8</v>
      </c>
      <c r="I87" s="580">
        <f t="array" ref="I87">if(B87="","",vlookup(B87,{Administrative!$L$1:$L$73,Administrative!$P$1:$P$73},2,0))</f>
        <v>430</v>
      </c>
      <c r="J87" s="580">
        <f t="array" ref="J87">if(B87="","",vlookup(B87,{Administrative!$L$1:$L$73,Administrative!$M$1:$M$73},2,0))</f>
        <v>273</v>
      </c>
      <c r="K87" s="494">
        <f t="shared" ref="K87:L87" si="21">iferror(if(or(G87="",I87=""),"",G87/I87))</f>
        <v>0.8451162791</v>
      </c>
      <c r="L87" s="494">
        <f t="shared" si="21"/>
        <v>0.8271062271</v>
      </c>
      <c r="M87" s="482"/>
      <c r="N87" s="482"/>
      <c r="O87" s="482"/>
      <c r="P87" s="482"/>
      <c r="Q87" s="482"/>
      <c r="R87" s="482"/>
      <c r="S87" s="482"/>
      <c r="T87" s="482"/>
      <c r="U87" s="482"/>
      <c r="V87" s="482"/>
      <c r="W87" s="482"/>
      <c r="X87" s="482"/>
      <c r="Y87" s="482"/>
      <c r="Z87" s="482"/>
      <c r="AA87" s="482"/>
      <c r="AB87" s="482"/>
    </row>
    <row r="88" ht="23.25" customHeight="1">
      <c r="A88" s="482"/>
      <c r="B88" s="525" t="s">
        <v>319</v>
      </c>
      <c r="C88" s="492">
        <v>2.0</v>
      </c>
      <c r="D88" s="579">
        <v>204.0</v>
      </c>
      <c r="E88" s="579">
        <f t="shared" si="12"/>
        <v>328.306176</v>
      </c>
      <c r="F88" s="580">
        <f t="array" ref="F88">if(B88="","",vlookup(B88,{Administrative!$L$1:$L$73,Administrative!$Q$1:$Q$73},2,0))</f>
        <v>81800</v>
      </c>
      <c r="G88" s="579">
        <f t="shared" si="13"/>
        <v>401</v>
      </c>
      <c r="H88" s="579">
        <f t="shared" si="14"/>
        <v>249.2</v>
      </c>
      <c r="I88" s="580">
        <f t="array" ref="I88">if(B88="","",vlookup(B88,{Administrative!$L$1:$L$73,Administrative!$P$1:$P$73},2,0))</f>
        <v>425</v>
      </c>
      <c r="J88" s="580">
        <f t="array" ref="J88">if(B88="","",vlookup(B88,{Administrative!$L$1:$L$73,Administrative!$M$1:$M$73},2,0))</f>
        <v>280</v>
      </c>
      <c r="K88" s="494">
        <f t="shared" ref="K88:L88" si="22">iferror(if(or(G88="",I88=""),"",G88/I88))</f>
        <v>0.9435294118</v>
      </c>
      <c r="L88" s="494">
        <f t="shared" si="22"/>
        <v>0.89</v>
      </c>
      <c r="M88" s="482"/>
      <c r="N88" s="482"/>
      <c r="O88" s="482"/>
      <c r="P88" s="482"/>
      <c r="Q88" s="482"/>
      <c r="R88" s="482"/>
      <c r="S88" s="482"/>
      <c r="T88" s="482"/>
      <c r="U88" s="482"/>
      <c r="V88" s="482"/>
      <c r="W88" s="482"/>
      <c r="X88" s="482"/>
      <c r="Y88" s="482"/>
      <c r="Z88" s="482"/>
      <c r="AA88" s="482"/>
      <c r="AB88" s="482"/>
    </row>
    <row r="89" ht="23.25" customHeight="1">
      <c r="A89" s="482"/>
      <c r="B89" s="525" t="s">
        <v>305</v>
      </c>
      <c r="C89" s="492">
        <v>31.0</v>
      </c>
      <c r="D89" s="579">
        <v>206.93548387096774</v>
      </c>
      <c r="E89" s="579">
        <f t="shared" si="12"/>
        <v>333.0303794</v>
      </c>
      <c r="F89" s="580">
        <f t="array" ref="F89">if(B89="","",vlookup(B89,{Administrative!$L$1:$L$73,Administrative!$Q$1:$Q$73},2,0))</f>
        <v>81800</v>
      </c>
      <c r="G89" s="579">
        <f t="shared" si="13"/>
        <v>395.3</v>
      </c>
      <c r="H89" s="579">
        <f t="shared" si="14"/>
        <v>245.6</v>
      </c>
      <c r="I89" s="580">
        <f t="array" ref="I89">if(B89="","",vlookup(B89,{Administrative!$L$1:$L$73,Administrative!$P$1:$P$73},2,0))</f>
        <v>452</v>
      </c>
      <c r="J89" s="580">
        <f t="array" ref="J89">if(B89="","",vlookup(B89,{Administrative!$L$1:$L$73,Administrative!$M$1:$M$73},2,0))</f>
        <v>295</v>
      </c>
      <c r="K89" s="494">
        <f t="shared" ref="K89:L89" si="23">iferror(if(or(G89="",I89=""),"",G89/I89))</f>
        <v>0.8745575221</v>
      </c>
      <c r="L89" s="494">
        <f t="shared" si="23"/>
        <v>0.8325423729</v>
      </c>
      <c r="M89" s="482"/>
      <c r="N89" s="482"/>
      <c r="O89" s="482"/>
      <c r="P89" s="482"/>
      <c r="Q89" s="482"/>
      <c r="R89" s="482"/>
      <c r="S89" s="482"/>
      <c r="T89" s="482"/>
      <c r="U89" s="482"/>
      <c r="V89" s="482"/>
      <c r="W89" s="482"/>
      <c r="X89" s="482"/>
      <c r="Y89" s="482"/>
      <c r="Z89" s="482"/>
      <c r="AA89" s="482"/>
      <c r="AB89" s="482"/>
    </row>
    <row r="90" ht="23.25" customHeight="1">
      <c r="A90" s="482"/>
      <c r="B90" s="525" t="s">
        <v>316</v>
      </c>
      <c r="C90" s="492">
        <v>7.0</v>
      </c>
      <c r="D90" s="579">
        <v>210.0</v>
      </c>
      <c r="E90" s="579">
        <f t="shared" si="12"/>
        <v>337.96224</v>
      </c>
      <c r="F90" s="580">
        <f t="array" ref="F90">if(B90="","",vlookup(B90,{Administrative!$L$1:$L$73,Administrative!$Q$1:$Q$73},2,0))</f>
        <v>81800</v>
      </c>
      <c r="G90" s="579">
        <f t="shared" si="13"/>
        <v>389.5</v>
      </c>
      <c r="H90" s="579">
        <f t="shared" si="14"/>
        <v>242</v>
      </c>
      <c r="I90" s="580">
        <f t="array" ref="I90">if(B90="","",vlookup(B90,{Administrative!$L$1:$L$73,Administrative!$P$1:$P$73},2,0))</f>
        <v>432</v>
      </c>
      <c r="J90" s="580">
        <f t="array" ref="J90">if(B90="","",vlookup(B90,{Administrative!$L$1:$L$73,Administrative!$M$1:$M$73},2,0))</f>
        <v>280</v>
      </c>
      <c r="K90" s="494">
        <f t="shared" ref="K90:L90" si="24">iferror(if(or(G90="",I90=""),"",G90/I90))</f>
        <v>0.9016203704</v>
      </c>
      <c r="L90" s="494">
        <f t="shared" si="24"/>
        <v>0.8642857143</v>
      </c>
      <c r="M90" s="482"/>
      <c r="N90" s="482"/>
      <c r="O90" s="482"/>
      <c r="P90" s="482"/>
      <c r="Q90" s="482"/>
      <c r="R90" s="482"/>
      <c r="S90" s="482"/>
      <c r="T90" s="482"/>
      <c r="U90" s="482"/>
      <c r="V90" s="482"/>
      <c r="W90" s="482"/>
      <c r="X90" s="482"/>
      <c r="Y90" s="482"/>
      <c r="Z90" s="482"/>
      <c r="AA90" s="482"/>
      <c r="AB90" s="482"/>
    </row>
    <row r="91" ht="23.25" customHeight="1">
      <c r="A91" s="482"/>
      <c r="B91" s="525" t="s">
        <v>921</v>
      </c>
      <c r="C91" s="492">
        <v>1.0</v>
      </c>
      <c r="D91" s="579">
        <v>260.0</v>
      </c>
      <c r="E91" s="579">
        <f t="shared" si="12"/>
        <v>418.42944</v>
      </c>
      <c r="F91" s="580">
        <f t="array" ref="F91">if(B91="","",vlookup(B91,{Administrative!$L$1:$L$73,Administrative!$Q$1:$Q$73},2,0))</f>
        <v>98400</v>
      </c>
      <c r="G91" s="579">
        <f t="shared" si="13"/>
        <v>378.5</v>
      </c>
      <c r="H91" s="579">
        <f t="shared" si="14"/>
        <v>235.2</v>
      </c>
      <c r="I91" s="580">
        <f t="array" ref="I91">if(B91="","",vlookup(B91,{Administrative!$L$1:$L$73,Administrative!$P$1:$P$73},2,0))</f>
        <v>488</v>
      </c>
      <c r="J91" s="580">
        <f t="array" ref="J91">if(B91="","",vlookup(B91,{Administrative!$L$1:$L$73,Administrative!$M$1:$M$73},2,0))</f>
        <v>317</v>
      </c>
      <c r="K91" s="494">
        <f t="shared" ref="K91:L91" si="25">iferror(if(or(G91="",I91=""),"",G91/I91))</f>
        <v>0.7756147541</v>
      </c>
      <c r="L91" s="494">
        <f t="shared" si="25"/>
        <v>0.741955836</v>
      </c>
      <c r="M91" s="482"/>
      <c r="N91" s="482"/>
      <c r="O91" s="482"/>
      <c r="P91" s="482"/>
      <c r="Q91" s="482"/>
      <c r="R91" s="482"/>
      <c r="S91" s="482"/>
      <c r="T91" s="482"/>
      <c r="U91" s="482"/>
      <c r="V91" s="482"/>
      <c r="W91" s="482"/>
      <c r="X91" s="482"/>
      <c r="Y91" s="482"/>
      <c r="Z91" s="482"/>
      <c r="AA91" s="482"/>
      <c r="AB91" s="482"/>
    </row>
    <row r="92" ht="23.25" customHeight="1">
      <c r="A92" s="482"/>
      <c r="B92" s="525" t="s">
        <v>79</v>
      </c>
      <c r="C92" s="492">
        <v>62.0</v>
      </c>
      <c r="D92" s="579">
        <v>214.0416129032258</v>
      </c>
      <c r="E92" s="579">
        <f t="shared" si="12"/>
        <v>344.4665855</v>
      </c>
      <c r="F92" s="580">
        <f t="array" ref="F92">if(B92="","",vlookup(B92,{Administrative!$L$1:$L$73,Administrative!$Q$1:$Q$73},2,0))</f>
        <v>77500</v>
      </c>
      <c r="G92" s="579">
        <f t="shared" si="13"/>
        <v>362.1</v>
      </c>
      <c r="H92" s="579">
        <f t="shared" si="14"/>
        <v>225</v>
      </c>
      <c r="I92" s="580">
        <f t="array" ref="I92">if(B92="","",vlookup(B92,{Administrative!$L$1:$L$73,Administrative!$P$1:$P$73},2,0))</f>
        <v>399</v>
      </c>
      <c r="J92" s="580">
        <f t="array" ref="J92">if(B92="","",vlookup(B92,{Administrative!$L$1:$L$73,Administrative!$M$1:$M$73},2,0))</f>
        <v>269</v>
      </c>
      <c r="K92" s="494">
        <f t="shared" ref="K92:L92" si="26">iferror(if(or(G92="",I92=""),"",G92/I92))</f>
        <v>0.907518797</v>
      </c>
      <c r="L92" s="494">
        <f t="shared" si="26"/>
        <v>0.8364312268</v>
      </c>
      <c r="M92" s="482"/>
      <c r="N92" s="482"/>
      <c r="O92" s="482"/>
      <c r="P92" s="482"/>
      <c r="Q92" s="482"/>
      <c r="R92" s="482"/>
      <c r="S92" s="482"/>
      <c r="T92" s="482"/>
      <c r="U92" s="482"/>
      <c r="V92" s="482"/>
      <c r="W92" s="482"/>
      <c r="X92" s="482"/>
      <c r="Y92" s="482"/>
      <c r="Z92" s="482"/>
      <c r="AA92" s="482"/>
      <c r="AB92" s="482"/>
    </row>
    <row r="93" ht="23.25" customHeight="1">
      <c r="A93" s="482"/>
      <c r="B93" s="525" t="s">
        <v>57</v>
      </c>
      <c r="C93" s="492">
        <v>11.0</v>
      </c>
      <c r="D93" s="579">
        <v>218.63636363636363</v>
      </c>
      <c r="E93" s="579">
        <f t="shared" si="12"/>
        <v>351.86112</v>
      </c>
      <c r="F93" s="580">
        <f t="array" ref="F93">if(B93="","",vlookup(B93,{Administrative!$L$1:$L$73,Administrative!$Q$1:$Q$73},2,0))</f>
        <v>77500</v>
      </c>
      <c r="G93" s="579">
        <f t="shared" si="13"/>
        <v>354.5</v>
      </c>
      <c r="H93" s="579">
        <f t="shared" si="14"/>
        <v>220.3</v>
      </c>
      <c r="I93" s="580">
        <f t="array" ref="I93">if(B93="","",vlookup(B93,{Administrative!$L$1:$L$73,Administrative!$P$1:$P$73},2,0))</f>
        <v>399</v>
      </c>
      <c r="J93" s="580">
        <f t="array" ref="J93">if(B93="","",vlookup(B93,{Administrative!$L$1:$L$73,Administrative!$M$1:$M$73},2,0))</f>
        <v>269</v>
      </c>
      <c r="K93" s="494">
        <f t="shared" ref="K93:L93" si="27">iferror(if(or(G93="",I93=""),"",G93/I93))</f>
        <v>0.8884711779</v>
      </c>
      <c r="L93" s="494">
        <f t="shared" si="27"/>
        <v>0.8189591078</v>
      </c>
      <c r="M93" s="482"/>
      <c r="N93" s="482"/>
      <c r="O93" s="482"/>
      <c r="P93" s="482"/>
      <c r="Q93" s="482"/>
      <c r="R93" s="482"/>
      <c r="S93" s="482"/>
      <c r="T93" s="482"/>
      <c r="U93" s="482"/>
      <c r="V93" s="482"/>
      <c r="W93" s="482"/>
      <c r="X93" s="482"/>
      <c r="Y93" s="482"/>
      <c r="Z93" s="482"/>
      <c r="AA93" s="482"/>
      <c r="AB93" s="482"/>
    </row>
    <row r="94" ht="23.25" customHeight="1">
      <c r="A94" s="482"/>
      <c r="B94" s="525" t="s">
        <v>90</v>
      </c>
      <c r="C94" s="492">
        <v>20.0</v>
      </c>
      <c r="D94" s="579">
        <v>214.3</v>
      </c>
      <c r="E94" s="579">
        <f t="shared" si="12"/>
        <v>344.8824192</v>
      </c>
      <c r="F94" s="580">
        <f t="array" ref="F94">if(B94="","",vlookup(B94,{Administrative!$L$1:$L$73,Administrative!$Q$1:$Q$73},2,0))</f>
        <v>77500</v>
      </c>
      <c r="G94" s="579">
        <f t="shared" si="13"/>
        <v>361.6</v>
      </c>
      <c r="H94" s="579">
        <f t="shared" si="14"/>
        <v>224.7</v>
      </c>
      <c r="I94" s="580">
        <f t="array" ref="I94">if(B94="","",vlookup(B94,{Administrative!$L$1:$L$73,Administrative!$P$1:$P$73},2,0))</f>
        <v>408</v>
      </c>
      <c r="J94" s="580">
        <f t="array" ref="J94">if(B94="","",vlookup(B94,{Administrative!$L$1:$L$73,Administrative!$M$1:$M$73},2,0))</f>
        <v>256</v>
      </c>
      <c r="K94" s="494">
        <f t="shared" ref="K94:L94" si="28">iferror(if(or(G94="",I94=""),"",G94/I94))</f>
        <v>0.8862745098</v>
      </c>
      <c r="L94" s="494">
        <f t="shared" si="28"/>
        <v>0.877734375</v>
      </c>
      <c r="M94" s="482"/>
      <c r="N94" s="482"/>
      <c r="O94" s="482"/>
      <c r="P94" s="482"/>
      <c r="Q94" s="482"/>
      <c r="R94" s="482"/>
      <c r="S94" s="482"/>
      <c r="T94" s="482"/>
      <c r="U94" s="482"/>
      <c r="V94" s="482"/>
      <c r="W94" s="482"/>
      <c r="X94" s="482"/>
      <c r="Y94" s="482"/>
      <c r="Z94" s="482"/>
      <c r="AA94" s="482"/>
      <c r="AB94" s="482"/>
    </row>
    <row r="95" ht="23.25" customHeight="1">
      <c r="A95" s="482"/>
      <c r="B95" s="521" t="s">
        <v>619</v>
      </c>
      <c r="C95" s="492">
        <v>3.0</v>
      </c>
      <c r="D95" s="579">
        <v>199.33333333333334</v>
      </c>
      <c r="E95" s="579">
        <f t="shared" si="12"/>
        <v>320.795904</v>
      </c>
      <c r="F95" s="580">
        <f t="array" ref="F95">if(B95="","",vlookup(B95,{Administrative!$L$1:$L$73,Administrative!$Q$1:$Q$73},2,0))</f>
        <v>81800</v>
      </c>
      <c r="G95" s="579">
        <f t="shared" si="13"/>
        <v>410.4</v>
      </c>
      <c r="H95" s="579">
        <f t="shared" si="14"/>
        <v>255</v>
      </c>
      <c r="I95" s="580">
        <f t="array" ref="I95">if(B95="","",vlookup(B95,{Administrative!$L$1:$L$73,Administrative!$P$1:$P$73},2,0))</f>
        <v>417</v>
      </c>
      <c r="J95" s="580">
        <f t="array" ref="J95">if(B95="","",vlookup(B95,{Administrative!$L$1:$L$73,Administrative!$M$1:$M$73},2,0))</f>
        <v>274</v>
      </c>
      <c r="K95" s="494">
        <f t="shared" ref="K95:L95" si="29">iferror(if(or(G95="",I95=""),"",G95/I95))</f>
        <v>0.9841726619</v>
      </c>
      <c r="L95" s="494">
        <f t="shared" si="29"/>
        <v>0.9306569343</v>
      </c>
      <c r="M95" s="482"/>
      <c r="N95" s="482"/>
      <c r="O95" s="482"/>
      <c r="P95" s="482"/>
      <c r="Q95" s="482"/>
      <c r="R95" s="482"/>
      <c r="S95" s="482"/>
      <c r="T95" s="482"/>
      <c r="U95" s="482"/>
      <c r="V95" s="482"/>
      <c r="W95" s="482"/>
      <c r="X95" s="482"/>
      <c r="Y95" s="482"/>
      <c r="Z95" s="482"/>
      <c r="AA95" s="482"/>
      <c r="AB95" s="482"/>
    </row>
    <row r="96" ht="23.25" customHeight="1">
      <c r="A96" s="482"/>
      <c r="B96" s="521" t="s">
        <v>939</v>
      </c>
      <c r="C96" s="492">
        <v>3.0</v>
      </c>
      <c r="D96" s="579">
        <v>243.33333333333334</v>
      </c>
      <c r="E96" s="579">
        <f t="shared" si="12"/>
        <v>391.60704</v>
      </c>
      <c r="F96" s="580">
        <f t="array" ref="F96">if(B96="","",vlookup(B96,{Administrative!$L$1:$L$73,Administrative!$Q$1:$Q$73},2,0))</f>
        <v>98400</v>
      </c>
      <c r="G96" s="579">
        <f t="shared" si="13"/>
        <v>404.4</v>
      </c>
      <c r="H96" s="579">
        <f t="shared" si="14"/>
        <v>251.3</v>
      </c>
      <c r="I96" s="580">
        <f t="array" ref="I96">if(B96="","",vlookup(B96,{Administrative!$L$1:$L$73,Administrative!$P$1:$P$73},2,0))</f>
        <v>453</v>
      </c>
      <c r="J96" s="580">
        <f t="array" ref="J96">if(B96="","",vlookup(B96,{Administrative!$L$1:$L$73,Administrative!$M$1:$M$73},2,0))</f>
        <v>295</v>
      </c>
      <c r="K96" s="494">
        <f t="shared" ref="K96:L96" si="30">iferror(if(or(G96="",I96=""),"",G96/I96))</f>
        <v>0.8927152318</v>
      </c>
      <c r="L96" s="494">
        <f t="shared" si="30"/>
        <v>0.8518644068</v>
      </c>
      <c r="M96" s="482"/>
      <c r="N96" s="482"/>
      <c r="O96" s="482"/>
      <c r="P96" s="482"/>
      <c r="Q96" s="482"/>
      <c r="R96" s="482"/>
      <c r="S96" s="482"/>
      <c r="T96" s="482"/>
      <c r="U96" s="482"/>
      <c r="V96" s="482"/>
      <c r="W96" s="482"/>
      <c r="X96" s="482"/>
      <c r="Y96" s="482"/>
      <c r="Z96" s="482"/>
      <c r="AA96" s="482"/>
      <c r="AB96" s="482"/>
    </row>
    <row r="97" ht="23.25" customHeight="1">
      <c r="A97" s="482"/>
      <c r="B97" s="521" t="s">
        <v>258</v>
      </c>
      <c r="C97" s="492">
        <v>1.0</v>
      </c>
      <c r="D97" s="579">
        <v>215.0</v>
      </c>
      <c r="E97" s="579">
        <f t="shared" si="12"/>
        <v>346.00896</v>
      </c>
      <c r="F97" s="580">
        <f t="array" ref="F97">if(B97="","",vlookup(B97,{Administrative!$L$1:$L$73,Administrative!$Q$1:$Q$73},2,0))</f>
        <v>62400</v>
      </c>
      <c r="G97" s="579">
        <f t="shared" si="13"/>
        <v>290.2</v>
      </c>
      <c r="H97" s="579">
        <f t="shared" si="14"/>
        <v>180.3</v>
      </c>
      <c r="I97" s="580" t="str">
        <f t="array" ref="I97">if(B97="","",vlookup(B97,{Administrative!$L$1:$L$73,Administrative!$P$1:$P$73},2,0))</f>
        <v>unknown</v>
      </c>
      <c r="J97" s="580">
        <f t="array" ref="J97">if(B97="","",vlookup(B97,{Administrative!$L$1:$L$73,Administrative!$M$1:$M$73},2,0))</f>
        <v>200</v>
      </c>
      <c r="K97" s="494" t="str">
        <f t="shared" ref="K97:L97" si="31">iferror(if(or(G97="",I97=""),"",G97/I97))</f>
        <v/>
      </c>
      <c r="L97" s="494">
        <f t="shared" si="31"/>
        <v>0.9015</v>
      </c>
      <c r="M97" s="482"/>
      <c r="N97" s="482"/>
      <c r="O97" s="482"/>
      <c r="P97" s="482"/>
      <c r="Q97" s="482"/>
      <c r="R97" s="482"/>
      <c r="S97" s="482"/>
      <c r="T97" s="482"/>
      <c r="U97" s="482"/>
      <c r="V97" s="482"/>
      <c r="W97" s="482"/>
      <c r="X97" s="482"/>
      <c r="Y97" s="482"/>
      <c r="Z97" s="482"/>
      <c r="AA97" s="482"/>
      <c r="AB97" s="482"/>
    </row>
    <row r="98" ht="23.25" customHeight="1">
      <c r="A98" s="482"/>
      <c r="B98" s="521" t="s">
        <v>683</v>
      </c>
      <c r="C98" s="492">
        <v>4.0</v>
      </c>
      <c r="D98" s="579">
        <v>223.25</v>
      </c>
      <c r="E98" s="579">
        <f t="shared" si="12"/>
        <v>359.286048</v>
      </c>
      <c r="F98" s="580">
        <f t="array" ref="F98">if(B98="","",vlookup(B98,{Administrative!$L$1:$L$73,Administrative!$Q$1:$Q$73},2,0))</f>
        <v>81800</v>
      </c>
      <c r="G98" s="579">
        <f t="shared" si="13"/>
        <v>366.4</v>
      </c>
      <c r="H98" s="579">
        <f t="shared" si="14"/>
        <v>227.7</v>
      </c>
      <c r="I98" s="580">
        <f t="array" ref="I98">if(B98="","",vlookup(B98,{Administrative!$L$1:$L$73,Administrative!$P$1:$P$73},2,0))</f>
        <v>405</v>
      </c>
      <c r="J98" s="580">
        <f t="array" ref="J98">if(B98="","",vlookup(B98,{Administrative!$L$1:$L$73,Administrative!$M$1:$M$73},2,0))</f>
        <v>260</v>
      </c>
      <c r="K98" s="494">
        <f t="shared" ref="K98:L98" si="32">iferror(if(or(G98="",I98=""),"",G98/I98))</f>
        <v>0.904691358</v>
      </c>
      <c r="L98" s="494">
        <f t="shared" si="32"/>
        <v>0.8757692308</v>
      </c>
      <c r="M98" s="482"/>
      <c r="N98" s="482"/>
      <c r="O98" s="482"/>
      <c r="P98" s="482"/>
      <c r="Q98" s="482"/>
      <c r="R98" s="482"/>
      <c r="S98" s="482"/>
      <c r="T98" s="482"/>
      <c r="U98" s="482"/>
      <c r="V98" s="482"/>
      <c r="W98" s="482"/>
      <c r="X98" s="482"/>
      <c r="Y98" s="482"/>
      <c r="Z98" s="482"/>
      <c r="AA98" s="482"/>
      <c r="AB98" s="482"/>
    </row>
    <row r="99" ht="23.25" customHeight="1">
      <c r="A99" s="482"/>
      <c r="B99" s="521" t="s">
        <v>950</v>
      </c>
      <c r="C99" s="492">
        <v>1.0</v>
      </c>
      <c r="D99" s="579">
        <v>261.0</v>
      </c>
      <c r="E99" s="579">
        <f t="shared" si="12"/>
        <v>420.038784</v>
      </c>
      <c r="F99" s="580">
        <f t="array" ref="F99">if(B99="","",vlookup(B99,{Administrative!$L$1:$L$73,Administrative!$Q$1:$Q$73},2,0))</f>
        <v>81800</v>
      </c>
      <c r="G99" s="579">
        <f t="shared" si="13"/>
        <v>313.4</v>
      </c>
      <c r="H99" s="579">
        <f t="shared" si="14"/>
        <v>194.7</v>
      </c>
      <c r="I99" s="583">
        <f t="array" ref="I99">if(B99="","",vlookup(B99,{Administrative!$L$1:$L$73,Administrative!$P$1:$P$73},2,0))</f>
        <v>384</v>
      </c>
      <c r="J99" s="580">
        <f t="array" ref="J99">if(B99="","",vlookup(B99,{Administrative!$L$1:$L$73,Administrative!$M$1:$M$73},2,0))</f>
        <v>250</v>
      </c>
      <c r="K99" s="494">
        <f t="shared" ref="K99:L99" si="33">iferror(if(or(G99="",I99=""),"",G99/I99))</f>
        <v>0.8161458333</v>
      </c>
      <c r="L99" s="494">
        <f t="shared" si="33"/>
        <v>0.7788</v>
      </c>
      <c r="M99" s="482"/>
      <c r="N99" s="482"/>
      <c r="O99" s="482"/>
      <c r="P99" s="482"/>
      <c r="Q99" s="482"/>
      <c r="R99" s="482"/>
      <c r="S99" s="482"/>
      <c r="T99" s="482"/>
      <c r="U99" s="482"/>
      <c r="V99" s="482"/>
      <c r="W99" s="482"/>
      <c r="X99" s="482"/>
      <c r="Y99" s="482"/>
      <c r="Z99" s="482"/>
      <c r="AA99" s="482"/>
      <c r="AB99" s="482"/>
    </row>
    <row r="100" ht="23.25" customHeight="1">
      <c r="A100" s="482"/>
      <c r="B100" s="521"/>
      <c r="C100" s="492"/>
      <c r="D100" s="579"/>
      <c r="E100" s="579" t="str">
        <f t="shared" si="12"/>
        <v/>
      </c>
      <c r="F100" s="580" t="str">
        <f t="array" ref="F100">if(B100="","",vlookup(B100,{Administrative!$L$1:$L$73,Administrative!$Q$1:$Q$73},2,0))</f>
        <v/>
      </c>
      <c r="G100" s="579" t="str">
        <f t="shared" si="13"/>
        <v/>
      </c>
      <c r="H100" s="579" t="str">
        <f t="shared" si="14"/>
        <v/>
      </c>
      <c r="I100" s="580" t="str">
        <f t="array" ref="I100">if(B100="","",vlookup(B100,{Administrative!$L$1:$L$73,Administrative!$P$1:$P$73},2,0))</f>
        <v/>
      </c>
      <c r="J100" s="580" t="str">
        <f t="array" ref="J100">if(B100="","",vlookup(B100,{Administrative!$L$1:$L$73,Administrative!$M$1:$M$73},2,0))</f>
        <v/>
      </c>
      <c r="K100" s="494" t="str">
        <f t="shared" ref="K100:L100" si="34">iferror(if(or(G100="",I100=""),"",G100/I100))</f>
        <v/>
      </c>
      <c r="L100" s="494" t="str">
        <f t="shared" si="34"/>
        <v/>
      </c>
      <c r="M100" s="482"/>
      <c r="N100" s="482"/>
      <c r="O100" s="482"/>
      <c r="P100" s="482"/>
      <c r="Q100" s="482"/>
      <c r="R100" s="482"/>
      <c r="S100" s="482"/>
      <c r="T100" s="482"/>
      <c r="U100" s="482"/>
      <c r="V100" s="482"/>
      <c r="W100" s="482"/>
      <c r="X100" s="482"/>
      <c r="Y100" s="482"/>
      <c r="Z100" s="482"/>
      <c r="AA100" s="482"/>
      <c r="AB100" s="482"/>
    </row>
    <row r="101" ht="23.25" customHeight="1">
      <c r="A101" s="482"/>
      <c r="B101" s="521"/>
      <c r="C101" s="492"/>
      <c r="D101" s="579"/>
      <c r="E101" s="579" t="str">
        <f t="shared" si="12"/>
        <v/>
      </c>
      <c r="F101" s="580" t="str">
        <f t="array" ref="F101">if(B101="","",vlookup(B101,{Administrative!$L$1:$L$73,Administrative!$Q$1:$Q$73},2,0))</f>
        <v/>
      </c>
      <c r="G101" s="579" t="str">
        <f t="shared" si="13"/>
        <v/>
      </c>
      <c r="H101" s="579" t="str">
        <f t="shared" si="14"/>
        <v/>
      </c>
      <c r="I101" s="580" t="str">
        <f t="array" ref="I101">if(B101="","",vlookup(B101,{Administrative!$L$1:$L$73,Administrative!$P$1:$P$73},2,0))</f>
        <v/>
      </c>
      <c r="J101" s="580" t="str">
        <f t="array" ref="J101">if(B101="","",vlookup(B101,{Administrative!$L$1:$L$73,Administrative!$M$1:$M$73},2,0))</f>
        <v/>
      </c>
      <c r="K101" s="494" t="str">
        <f t="shared" ref="K101:L101" si="35">iferror(if(or(G101="",I101=""),"",G101/I101))</f>
        <v/>
      </c>
      <c r="L101" s="494" t="str">
        <f t="shared" si="35"/>
        <v/>
      </c>
      <c r="M101" s="482"/>
      <c r="N101" s="482"/>
      <c r="O101" s="482"/>
      <c r="P101" s="482"/>
      <c r="Q101" s="482"/>
      <c r="R101" s="482"/>
      <c r="S101" s="482"/>
      <c r="T101" s="482"/>
      <c r="U101" s="482"/>
      <c r="V101" s="482"/>
      <c r="W101" s="482"/>
      <c r="X101" s="482"/>
      <c r="Y101" s="482"/>
      <c r="Z101" s="482"/>
      <c r="AA101" s="482"/>
      <c r="AB101" s="482"/>
    </row>
    <row r="102" ht="23.25" customHeight="1">
      <c r="A102" s="482"/>
      <c r="H102" s="482"/>
      <c r="I102" s="482"/>
      <c r="J102" s="482"/>
      <c r="K102" s="482"/>
      <c r="L102" s="482"/>
      <c r="M102" s="482"/>
      <c r="N102" s="482"/>
      <c r="O102" s="482"/>
      <c r="P102" s="482"/>
      <c r="Q102" s="482"/>
      <c r="R102" s="482"/>
      <c r="S102" s="482"/>
      <c r="T102" s="482"/>
      <c r="U102" s="482"/>
      <c r="V102" s="482"/>
      <c r="W102" s="482"/>
      <c r="X102" s="482"/>
      <c r="Y102" s="482"/>
      <c r="Z102" s="482"/>
      <c r="AA102" s="482"/>
      <c r="AB102" s="482"/>
    </row>
    <row r="103" ht="23.25" customHeight="1">
      <c r="A103" s="482"/>
      <c r="H103" s="482"/>
      <c r="I103" s="482"/>
      <c r="J103" s="482"/>
      <c r="K103" s="482"/>
      <c r="L103" s="482"/>
      <c r="M103" s="482"/>
      <c r="N103" s="482"/>
      <c r="O103" s="482"/>
      <c r="P103" s="482"/>
      <c r="Q103" s="482"/>
      <c r="R103" s="482"/>
      <c r="S103" s="482"/>
      <c r="T103" s="482"/>
      <c r="U103" s="482"/>
      <c r="V103" s="482"/>
      <c r="W103" s="482"/>
      <c r="X103" s="482"/>
      <c r="Y103" s="482"/>
      <c r="Z103" s="482"/>
      <c r="AA103" s="482"/>
      <c r="AB103" s="482"/>
    </row>
    <row r="104" ht="23.25" customHeight="1">
      <c r="A104" s="482"/>
      <c r="B104" s="483" t="s">
        <v>1944</v>
      </c>
      <c r="C104" s="484"/>
      <c r="D104" s="485"/>
      <c r="F104" s="584" t="s">
        <v>1564</v>
      </c>
      <c r="G104" s="585"/>
      <c r="H104" s="585"/>
      <c r="I104" s="586"/>
      <c r="K104" s="482"/>
      <c r="L104" s="482"/>
      <c r="M104" s="482"/>
      <c r="N104" s="482"/>
      <c r="O104" s="482"/>
      <c r="P104" s="482"/>
      <c r="Q104" s="482"/>
      <c r="R104" s="482"/>
      <c r="S104" s="482"/>
      <c r="T104" s="482"/>
      <c r="U104" s="482"/>
      <c r="V104" s="482"/>
      <c r="W104" s="482"/>
      <c r="X104" s="482"/>
      <c r="Y104" s="482"/>
      <c r="Z104" s="482"/>
      <c r="AA104" s="482"/>
      <c r="AB104" s="482"/>
    </row>
    <row r="105" ht="23.25" customHeight="1">
      <c r="A105" s="482"/>
      <c r="B105" s="521" t="s">
        <v>195</v>
      </c>
      <c r="C105" s="574">
        <f>COUNTIFS('Stats Data'!$L$2:$L118,"yes",'Stats Data'!$E$2:$E118,B105)</f>
        <v>18</v>
      </c>
      <c r="D105" s="494">
        <f>C105/C107</f>
        <v>0.04545454545</v>
      </c>
      <c r="F105" s="587" t="s">
        <v>1948</v>
      </c>
      <c r="G105" s="588"/>
      <c r="H105" s="588"/>
      <c r="I105" s="589"/>
      <c r="K105" s="482"/>
      <c r="L105" s="482"/>
      <c r="M105" s="482"/>
      <c r="N105" s="482"/>
      <c r="O105" s="482"/>
      <c r="P105" s="482"/>
      <c r="Q105" s="482"/>
      <c r="R105" s="482"/>
      <c r="S105" s="482"/>
      <c r="T105" s="482"/>
      <c r="U105" s="482"/>
      <c r="V105" s="482"/>
      <c r="W105" s="482"/>
      <c r="X105" s="482"/>
      <c r="Y105" s="482"/>
      <c r="Z105" s="482"/>
      <c r="AA105" s="482"/>
      <c r="AB105" s="482"/>
    </row>
    <row r="106" ht="23.25" customHeight="1">
      <c r="A106" s="482"/>
      <c r="B106" s="521" t="s">
        <v>63</v>
      </c>
      <c r="C106" s="574">
        <f>COUNTIFS('Stats Data'!$L$2:$L118,"yes",'Stats Data'!$E$2:$E118,B106)</f>
        <v>378</v>
      </c>
      <c r="D106" s="494">
        <f>1-D105</f>
        <v>0.9545454545</v>
      </c>
      <c r="F106" s="590">
        <v>42186.0</v>
      </c>
      <c r="G106" s="591">
        <v>0.092</v>
      </c>
      <c r="H106" s="590">
        <v>43009.0</v>
      </c>
      <c r="I106" s="591">
        <v>0.0465</v>
      </c>
      <c r="K106" s="482"/>
      <c r="L106" s="482"/>
      <c r="M106" s="482"/>
      <c r="N106" s="482"/>
      <c r="O106" s="482"/>
      <c r="P106" s="482"/>
      <c r="Q106" s="482"/>
      <c r="R106" s="482"/>
      <c r="S106" s="482"/>
      <c r="T106" s="482"/>
      <c r="U106" s="482"/>
      <c r="V106" s="482"/>
      <c r="W106" s="482"/>
      <c r="X106" s="482"/>
      <c r="Y106" s="482"/>
      <c r="Z106" s="482"/>
      <c r="AA106" s="482"/>
      <c r="AB106" s="482"/>
    </row>
    <row r="107" ht="23.25" customHeight="1">
      <c r="A107" s="482"/>
      <c r="B107" s="521" t="s">
        <v>1519</v>
      </c>
      <c r="C107" s="593">
        <f>sum(C105:C106)</f>
        <v>396</v>
      </c>
      <c r="D107" s="517"/>
      <c r="F107" s="594">
        <v>42278.0</v>
      </c>
      <c r="G107" s="595">
        <v>0.085</v>
      </c>
      <c r="H107" s="594"/>
      <c r="I107" s="595"/>
      <c r="K107" s="482"/>
      <c r="L107" s="482"/>
      <c r="M107" s="482"/>
      <c r="N107" s="482"/>
      <c r="O107" s="482"/>
      <c r="P107" s="482"/>
      <c r="Q107" s="482"/>
      <c r="R107" s="482"/>
      <c r="S107" s="482"/>
      <c r="T107" s="482"/>
      <c r="U107" s="482"/>
      <c r="V107" s="482"/>
      <c r="W107" s="482"/>
      <c r="X107" s="482"/>
      <c r="Y107" s="482"/>
      <c r="Z107" s="482"/>
      <c r="AA107" s="482"/>
      <c r="AB107" s="482"/>
    </row>
    <row r="108" ht="23.25" customHeight="1">
      <c r="A108" s="482"/>
      <c r="B108" s="482"/>
      <c r="C108" s="482"/>
      <c r="D108" s="482"/>
      <c r="E108" s="482"/>
      <c r="F108" s="594">
        <v>42370.0</v>
      </c>
      <c r="G108" s="595">
        <v>0.0708</v>
      </c>
      <c r="H108" s="594"/>
      <c r="I108" s="595"/>
      <c r="K108" s="482"/>
      <c r="L108" s="482"/>
      <c r="M108" s="482"/>
      <c r="N108" s="482"/>
      <c r="O108" s="482"/>
      <c r="P108" s="482"/>
      <c r="Q108" s="482"/>
      <c r="R108" s="482"/>
      <c r="S108" s="482"/>
      <c r="T108" s="482"/>
      <c r="U108" s="482"/>
      <c r="V108" s="482"/>
      <c r="W108" s="482"/>
      <c r="X108" s="482"/>
      <c r="Y108" s="482"/>
      <c r="Z108" s="482"/>
      <c r="AA108" s="482"/>
      <c r="AB108" s="482"/>
    </row>
    <row r="109" ht="23.25" customHeight="1">
      <c r="A109" s="482"/>
      <c r="B109" s="482"/>
      <c r="C109" s="482"/>
      <c r="D109" s="482"/>
      <c r="E109" s="482"/>
      <c r="F109" s="594">
        <v>42461.0</v>
      </c>
      <c r="G109" s="595">
        <v>0.062</v>
      </c>
      <c r="H109" s="594"/>
      <c r="I109" s="595"/>
      <c r="K109" s="482"/>
      <c r="L109" s="482"/>
      <c r="M109" s="482"/>
      <c r="N109" s="482"/>
      <c r="O109" s="482"/>
      <c r="P109" s="482"/>
      <c r="Q109" s="482"/>
      <c r="R109" s="482"/>
      <c r="S109" s="482"/>
      <c r="T109" s="482"/>
      <c r="U109" s="482"/>
      <c r="V109" s="482"/>
      <c r="W109" s="482"/>
      <c r="X109" s="482"/>
      <c r="Y109" s="482"/>
      <c r="Z109" s="482"/>
      <c r="AA109" s="482"/>
      <c r="AB109" s="482"/>
    </row>
    <row r="110" ht="23.25" customHeight="1">
      <c r="A110" s="482"/>
      <c r="B110" s="482"/>
      <c r="C110" s="482"/>
      <c r="D110" s="482"/>
      <c r="E110" s="482"/>
      <c r="F110" s="594">
        <v>42552.0</v>
      </c>
      <c r="G110" s="596">
        <v>0.0661</v>
      </c>
      <c r="H110" s="594"/>
      <c r="I110" s="596"/>
      <c r="K110" s="482"/>
      <c r="L110" s="482"/>
      <c r="M110" s="482"/>
      <c r="N110" s="482"/>
      <c r="O110" s="482"/>
      <c r="P110" s="482"/>
      <c r="Q110" s="482"/>
      <c r="R110" s="482"/>
      <c r="S110" s="482"/>
      <c r="T110" s="482"/>
      <c r="U110" s="482"/>
      <c r="V110" s="482"/>
      <c r="W110" s="482"/>
      <c r="X110" s="482"/>
      <c r="Y110" s="482"/>
      <c r="Z110" s="482"/>
      <c r="AA110" s="482"/>
      <c r="AB110" s="482"/>
    </row>
    <row r="111" ht="23.25" customHeight="1">
      <c r="A111" s="482"/>
      <c r="B111" s="482"/>
      <c r="C111" s="482"/>
      <c r="D111" s="482"/>
      <c r="E111" s="482"/>
      <c r="F111" s="594">
        <v>42644.0</v>
      </c>
      <c r="G111" s="596">
        <v>0.0612</v>
      </c>
      <c r="H111" s="594"/>
      <c r="I111" s="596"/>
      <c r="K111" s="482"/>
      <c r="L111" s="482"/>
      <c r="M111" s="482"/>
      <c r="N111" s="482"/>
      <c r="O111" s="482"/>
      <c r="P111" s="482"/>
      <c r="Q111" s="482"/>
      <c r="R111" s="482"/>
      <c r="S111" s="482"/>
      <c r="T111" s="482"/>
      <c r="U111" s="482"/>
      <c r="V111" s="482"/>
      <c r="W111" s="482"/>
      <c r="X111" s="482"/>
      <c r="Y111" s="482"/>
      <c r="Z111" s="482"/>
      <c r="AA111" s="482"/>
      <c r="AB111" s="482"/>
    </row>
    <row r="112" ht="23.25" customHeight="1">
      <c r="A112" s="482"/>
      <c r="B112" s="482"/>
      <c r="C112" s="482"/>
      <c r="D112" s="482"/>
      <c r="E112" s="482"/>
      <c r="F112" s="594">
        <v>42736.0</v>
      </c>
      <c r="G112" s="596">
        <v>0.0583</v>
      </c>
      <c r="H112" s="594"/>
      <c r="I112" s="596"/>
      <c r="K112" s="482"/>
      <c r="L112" s="482"/>
      <c r="M112" s="482"/>
      <c r="N112" s="482"/>
      <c r="O112" s="482"/>
      <c r="P112" s="482"/>
      <c r="Q112" s="482"/>
      <c r="R112" s="482"/>
      <c r="S112" s="482"/>
      <c r="T112" s="482"/>
      <c r="U112" s="482"/>
      <c r="V112" s="482"/>
      <c r="W112" s="482"/>
      <c r="X112" s="482"/>
      <c r="Y112" s="482"/>
      <c r="Z112" s="482"/>
      <c r="AA112" s="482"/>
      <c r="AB112" s="482"/>
    </row>
    <row r="113" ht="23.25" customHeight="1">
      <c r="A113" s="482"/>
      <c r="B113" s="482"/>
      <c r="C113" s="482"/>
      <c r="D113" s="482"/>
      <c r="E113" s="482"/>
      <c r="F113" s="594">
        <v>42826.0</v>
      </c>
      <c r="G113" s="596">
        <v>0.0561</v>
      </c>
      <c r="H113" s="594"/>
      <c r="I113" s="596"/>
      <c r="K113" s="482"/>
      <c r="L113" s="482"/>
      <c r="M113" s="482"/>
      <c r="N113" s="482"/>
      <c r="O113" s="482"/>
      <c r="P113" s="482"/>
      <c r="Q113" s="482"/>
      <c r="R113" s="482"/>
      <c r="S113" s="482"/>
      <c r="T113" s="482"/>
      <c r="U113" s="482"/>
      <c r="V113" s="482"/>
      <c r="W113" s="482"/>
      <c r="X113" s="482"/>
      <c r="Y113" s="482"/>
      <c r="Z113" s="482"/>
      <c r="AA113" s="482"/>
      <c r="AB113" s="482"/>
    </row>
    <row r="114" ht="23.25" customHeight="1">
      <c r="A114" s="482"/>
      <c r="B114" s="482"/>
      <c r="C114" s="482"/>
      <c r="D114" s="482"/>
      <c r="E114" s="482"/>
      <c r="F114" s="597">
        <v>42917.0</v>
      </c>
      <c r="G114" s="598">
        <v>0.0525</v>
      </c>
      <c r="H114" s="597"/>
      <c r="I114" s="598"/>
      <c r="K114" s="482"/>
      <c r="L114" s="482"/>
      <c r="M114" s="482"/>
      <c r="N114" s="482"/>
      <c r="O114" s="482"/>
      <c r="P114" s="482"/>
      <c r="Q114" s="482"/>
      <c r="R114" s="482"/>
      <c r="S114" s="482"/>
      <c r="T114" s="482"/>
      <c r="U114" s="482"/>
      <c r="V114" s="482"/>
      <c r="W114" s="482"/>
      <c r="X114" s="482"/>
      <c r="Y114" s="482"/>
      <c r="Z114" s="482"/>
      <c r="AA114" s="482"/>
      <c r="AB114" s="482"/>
    </row>
    <row r="115" ht="23.25" customHeight="1">
      <c r="A115" s="482"/>
      <c r="B115" s="482"/>
      <c r="C115" s="482"/>
      <c r="D115" s="482"/>
      <c r="E115" s="482"/>
      <c r="F115" s="482"/>
      <c r="G115" s="482"/>
      <c r="H115" s="482"/>
      <c r="I115" s="482"/>
      <c r="J115" s="482"/>
      <c r="K115" s="482"/>
      <c r="L115" s="482"/>
      <c r="M115" s="482"/>
      <c r="N115" s="482"/>
      <c r="O115" s="482"/>
      <c r="P115" s="482"/>
      <c r="Q115" s="482"/>
      <c r="R115" s="482"/>
      <c r="S115" s="482"/>
      <c r="T115" s="482"/>
      <c r="U115" s="482"/>
      <c r="V115" s="482"/>
      <c r="W115" s="482"/>
      <c r="X115" s="482"/>
      <c r="Y115" s="482"/>
      <c r="Z115" s="482"/>
      <c r="AA115" s="482"/>
      <c r="AB115" s="482"/>
    </row>
    <row r="116" ht="23.25" customHeight="1">
      <c r="A116" s="482"/>
      <c r="B116" s="482"/>
      <c r="C116" s="482"/>
      <c r="D116" s="482"/>
      <c r="E116" s="482"/>
      <c r="F116" s="482"/>
      <c r="G116" s="482"/>
      <c r="H116" s="482"/>
      <c r="I116" s="482"/>
      <c r="J116" s="482"/>
      <c r="K116" s="482"/>
      <c r="L116" s="482"/>
      <c r="M116" s="482"/>
      <c r="N116" s="482"/>
      <c r="O116" s="482"/>
      <c r="P116" s="482"/>
      <c r="Q116" s="482"/>
      <c r="R116" s="482"/>
      <c r="S116" s="482"/>
      <c r="T116" s="482"/>
      <c r="U116" s="482"/>
      <c r="V116" s="482"/>
      <c r="W116" s="482"/>
      <c r="X116" s="482"/>
      <c r="Y116" s="482"/>
      <c r="Z116" s="482"/>
      <c r="AA116" s="482"/>
      <c r="AB116" s="482"/>
    </row>
    <row r="117" ht="23.25" customHeight="1">
      <c r="A117" s="482"/>
      <c r="B117" s="482"/>
      <c r="C117" s="482"/>
      <c r="D117" s="482"/>
      <c r="E117" s="482"/>
      <c r="F117" s="482"/>
      <c r="G117" s="482"/>
      <c r="H117" s="482"/>
      <c r="I117" s="482"/>
      <c r="J117" s="482"/>
      <c r="K117" s="482"/>
      <c r="L117" s="482"/>
      <c r="M117" s="482"/>
      <c r="N117" s="482"/>
      <c r="O117" s="482"/>
      <c r="P117" s="482"/>
      <c r="Q117" s="482"/>
      <c r="R117" s="482"/>
      <c r="S117" s="482"/>
      <c r="T117" s="482"/>
      <c r="U117" s="482"/>
      <c r="V117" s="482"/>
      <c r="W117" s="482"/>
      <c r="X117" s="482"/>
      <c r="Y117" s="482"/>
      <c r="Z117" s="482"/>
      <c r="AA117" s="482"/>
      <c r="AB117" s="482"/>
    </row>
    <row r="118" ht="23.25" customHeight="1">
      <c r="A118" s="482"/>
      <c r="B118" s="482"/>
      <c r="C118" s="482"/>
      <c r="D118" s="482"/>
      <c r="E118" s="482"/>
      <c r="F118" s="482"/>
      <c r="G118" s="482"/>
      <c r="H118" s="482"/>
      <c r="I118" s="482"/>
      <c r="J118" s="482"/>
      <c r="K118" s="482"/>
      <c r="L118" s="482"/>
      <c r="M118" s="482"/>
      <c r="N118" s="482"/>
      <c r="O118" s="482"/>
      <c r="P118" s="482"/>
      <c r="Q118" s="482"/>
      <c r="R118" s="482"/>
      <c r="S118" s="482"/>
      <c r="T118" s="482"/>
      <c r="U118" s="482"/>
      <c r="V118" s="482"/>
      <c r="W118" s="482"/>
      <c r="X118" s="482"/>
      <c r="Y118" s="482"/>
      <c r="Z118" s="482"/>
      <c r="AA118" s="482"/>
      <c r="AB118" s="482"/>
    </row>
  </sheetData>
  <mergeCells count="53">
    <mergeCell ref="D65:I65"/>
    <mergeCell ref="G62:I62"/>
    <mergeCell ref="G63:I63"/>
    <mergeCell ref="G64:I64"/>
    <mergeCell ref="G60:I60"/>
    <mergeCell ref="G59:I59"/>
    <mergeCell ref="F104:I104"/>
    <mergeCell ref="F105:I105"/>
    <mergeCell ref="B104:D104"/>
    <mergeCell ref="G61:I61"/>
    <mergeCell ref="G50:I50"/>
    <mergeCell ref="G51:I51"/>
    <mergeCell ref="G56:I56"/>
    <mergeCell ref="B78:L78"/>
    <mergeCell ref="B68:C68"/>
    <mergeCell ref="D52:I52"/>
    <mergeCell ref="B55:I55"/>
    <mergeCell ref="G8:I8"/>
    <mergeCell ref="G9:I9"/>
    <mergeCell ref="B3:I3"/>
    <mergeCell ref="D11:I11"/>
    <mergeCell ref="B14:I14"/>
    <mergeCell ref="G10:I10"/>
    <mergeCell ref="K3:Q20"/>
    <mergeCell ref="G17:I17"/>
    <mergeCell ref="G4:I4"/>
    <mergeCell ref="G5:I5"/>
    <mergeCell ref="G6:I6"/>
    <mergeCell ref="G21:I21"/>
    <mergeCell ref="G22:I22"/>
    <mergeCell ref="B27:F27"/>
    <mergeCell ref="D24:I24"/>
    <mergeCell ref="G7:I7"/>
    <mergeCell ref="G15:I15"/>
    <mergeCell ref="G16:I16"/>
    <mergeCell ref="G18:I18"/>
    <mergeCell ref="G19:I19"/>
    <mergeCell ref="G20:I20"/>
    <mergeCell ref="H27:I27"/>
    <mergeCell ref="G23:I23"/>
    <mergeCell ref="B42:I42"/>
    <mergeCell ref="B38:B39"/>
    <mergeCell ref="C38:F38"/>
    <mergeCell ref="C39:F39"/>
    <mergeCell ref="G44:I44"/>
    <mergeCell ref="G45:I45"/>
    <mergeCell ref="G46:I46"/>
    <mergeCell ref="G47:I47"/>
    <mergeCell ref="G43:I43"/>
    <mergeCell ref="G49:I49"/>
    <mergeCell ref="G48:I48"/>
    <mergeCell ref="G57:I57"/>
    <mergeCell ref="G58:I58"/>
  </mergeCells>
  <drawing r:id="rId1"/>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35.57"/>
    <col customWidth="1" min="2" max="2" width="20.14"/>
    <col customWidth="1" min="3" max="3" width="29.57"/>
    <col customWidth="1" min="4" max="8" width="20.14"/>
    <col customWidth="1" min="9" max="9" width="15.29"/>
    <col customWidth="1" min="10" max="10" width="29.0"/>
  </cols>
  <sheetData>
    <row r="1">
      <c r="A1" s="526" t="s">
        <v>1557</v>
      </c>
      <c r="B1" s="527" t="str">
        <f>('Asia Pacific &amp; Europe (excl UK)'!$B$3)</f>
        <v>Username (can be anything inoffensive)</v>
      </c>
      <c r="C1" s="528" t="str">
        <f>('Asia Pacific &amp; Europe (excl UK)'!$P$3)</f>
        <v>Battery age (days) after correction if battery was replaced</v>
      </c>
      <c r="D1" s="529" t="str">
        <f>('Asia Pacific &amp; Europe (excl UK)'!$S$3)</f>
        <v>Remaining original range</v>
      </c>
      <c r="E1" s="531" t="str">
        <f>('Asia Pacific &amp; Europe (excl UK)'!$AO$3)</f>
        <v>Cycles</v>
      </c>
      <c r="F1" s="532" t="str">
        <f>('Asia Pacific &amp; Europe (excl UK)'!$AP$3)</f>
        <v>Mileage in km</v>
      </c>
      <c r="G1" s="533" t="str">
        <f>Charts!$E$1</f>
        <v/>
      </c>
      <c r="H1" s="534" t="s">
        <v>1571</v>
      </c>
      <c r="I1" s="535" t="s">
        <v>1573</v>
      </c>
      <c r="J1" s="536" t="s">
        <v>1574</v>
      </c>
      <c r="K1" s="275"/>
      <c r="L1" s="275"/>
      <c r="M1" s="275"/>
    </row>
    <row r="2">
      <c r="A2" s="314"/>
      <c r="B2" s="319"/>
      <c r="C2" s="319"/>
      <c r="D2" s="319"/>
      <c r="E2" s="319"/>
      <c r="F2" s="319"/>
      <c r="G2" s="319"/>
      <c r="I2" s="319"/>
      <c r="J2" s="539" t="str">
        <f>IF(OR(isblank(Charts!$E$1),Charts!$E$1='Charts Data'!$A$3),,IF(COUNTIF('Asia Pacific &amp; Europe (excl UK)'!B:B,Charts!$E$1)&gt;0,"km",IF(COUNTIF(UK!B:B,Charts!$E$1)&gt;0,"mi",IF(COUNTIF(USA!B:B,Charts!$E$1)&gt;0,"mi",IF(COUNTIF(Canada!B:B,Charts!$E$1)&gt;0,"km")))))</f>
        <v/>
      </c>
      <c r="K2" s="275"/>
      <c r="L2" s="542"/>
      <c r="M2" s="542"/>
    </row>
    <row r="3">
      <c r="A3" s="543" t="s">
        <v>1577</v>
      </c>
      <c r="B3" s="550" t="str">
        <f t="array" ref="B3:H1662">sort({
Administrative!AI2:AI386,
Administrative!AI2:AI386,
Administrative!AI2:AI386,
Administrative!AI2:AI386,
Administrative!AF2:AF386,
Administrative!AI2:AI386,
Administrative!AH2:AH386;
'Asia Pacific &amp; Europe (excl UK)'!B4:B1761,
'Asia Pacific &amp; Europe (excl UK)'!P4:P1761,
'Asia Pacific &amp; Europe (excl UK)'!S4:S1761,
'Asia Pacific &amp; Europe (excl UK)'!AO4:AO1761,
'Asia Pacific &amp; Europe (excl UK)'!AP4:AP1761,
'Asia Pacific &amp; Europe (excl UK)'!AR4:AR1761,
'Asia Pacific &amp; Europe (excl UK)'!BB4:BB1761;
Canada!B4:B1761,
Canada!P4:P1761,
Canada!S4:S1761,
Canada!AO4:AO1761,
Canada!AP4:AP1761,
Canada!AR4:AR1761,
Canada!BB4:BB1761;
UK!B4:B1761,
UK!P4:P1761,
UK!S4:S1761,
UK!AO4:AO1761,
UK!AP4:AP1761,
UK!AR4:AR1761,
UK!BB4:BB1761;
USA!B4:B1761,
USA!P4:P1761,
USA!S4:S1761,
USA!AO4:AO1761,
USA!AP4:AP1761,
USA!AR4:AR1761,
USA!BB4:BB1761
},5,False)</f>
        <v>Go4IT</v>
      </c>
      <c r="C3" s="552">
        <v>1522.0</v>
      </c>
      <c r="D3" s="553">
        <v>0.901</v>
      </c>
      <c r="E3" s="554">
        <v>795.82</v>
      </c>
      <c r="F3" s="556">
        <v>276500.0</v>
      </c>
      <c r="G3" s="557"/>
      <c r="H3" s="559"/>
      <c r="I3" s="560">
        <f t="array" ref="I3:I1761">IF(F3:F1761="",,Round(convert(F3:F1761,"km","mi")))</f>
        <v>171809</v>
      </c>
      <c r="J3" s="561">
        <f t="array" ref="J3:J1761">IF(OR($J$2="",$J$2="km"),F3:F1761,IF($J$2="mi",I3:I1761))</f>
        <v>276500</v>
      </c>
      <c r="K3" s="275"/>
      <c r="L3" s="542"/>
      <c r="M3" s="542"/>
    </row>
    <row r="4">
      <c r="A4" s="562" t="str">
        <f>IFERROR(__xludf.DUMMYFUNCTION("sort(unique({'Asia Pacific &amp; Europe (excl UK)'!B4:B1761;Canada!B4:B1761;UK!B4:B1761;USA!B4:B1761}),1,True)"),"220v")</f>
        <v>220v</v>
      </c>
      <c r="B4" s="557"/>
      <c r="C4" s="557"/>
      <c r="D4" s="557"/>
      <c r="E4" s="557"/>
      <c r="F4" s="563">
        <v>270800.0</v>
      </c>
      <c r="G4" s="557"/>
      <c r="H4" s="557">
        <v>0.9179077908970483</v>
      </c>
      <c r="I4" s="564">
        <v>168267.0</v>
      </c>
      <c r="J4" s="565">
        <v>270800.0</v>
      </c>
      <c r="K4" s="542"/>
      <c r="L4" s="542"/>
      <c r="M4" s="542"/>
    </row>
    <row r="5">
      <c r="A5" s="566" t="s">
        <v>672</v>
      </c>
      <c r="B5" s="557"/>
      <c r="C5" s="557"/>
      <c r="D5" s="557"/>
      <c r="E5" s="557"/>
      <c r="F5" s="563">
        <v>270050.0</v>
      </c>
      <c r="G5" s="557"/>
      <c r="H5" s="557">
        <v>0.9180250320191857</v>
      </c>
      <c r="I5" s="564">
        <v>167801.0</v>
      </c>
      <c r="J5" s="565">
        <v>270050.0</v>
      </c>
      <c r="K5" s="542"/>
      <c r="L5" s="542"/>
      <c r="M5" s="542"/>
    </row>
    <row r="6">
      <c r="A6" s="567" t="s">
        <v>292</v>
      </c>
      <c r="B6" s="557"/>
      <c r="C6" s="557"/>
      <c r="D6" s="557"/>
      <c r="E6" s="557"/>
      <c r="F6" s="563">
        <v>269300.0</v>
      </c>
      <c r="G6" s="557"/>
      <c r="H6" s="557">
        <v>0.9181422732874838</v>
      </c>
      <c r="I6" s="564">
        <v>167335.0</v>
      </c>
      <c r="J6" s="565">
        <v>269300.0</v>
      </c>
      <c r="K6" s="542"/>
      <c r="L6" s="542"/>
      <c r="M6" s="542"/>
    </row>
    <row r="7">
      <c r="A7" s="567" t="s">
        <v>1615</v>
      </c>
      <c r="B7" s="559" t="s">
        <v>126</v>
      </c>
      <c r="C7" s="568">
        <v>1449.0</v>
      </c>
      <c r="D7" s="557">
        <v>0.9213</v>
      </c>
      <c r="E7" s="569">
        <v>766.05</v>
      </c>
      <c r="F7" s="563">
        <v>269000.0</v>
      </c>
      <c r="G7" s="557"/>
      <c r="H7" s="559"/>
      <c r="I7" s="564">
        <v>167149.0</v>
      </c>
      <c r="J7" s="565">
        <v>269000.0</v>
      </c>
      <c r="K7" s="542"/>
      <c r="L7" s="542"/>
      <c r="M7" s="542"/>
    </row>
    <row r="8">
      <c r="A8" s="570" t="s">
        <v>1618</v>
      </c>
      <c r="B8" s="557"/>
      <c r="C8" s="557"/>
      <c r="D8" s="557"/>
      <c r="E8" s="557"/>
      <c r="F8" s="563">
        <v>268550.0</v>
      </c>
      <c r="G8" s="557"/>
      <c r="H8" s="557">
        <v>0.9182595147072057</v>
      </c>
      <c r="I8" s="564">
        <v>166869.0</v>
      </c>
      <c r="J8" s="565">
        <v>268550.0</v>
      </c>
      <c r="K8" s="542"/>
      <c r="L8" s="542"/>
      <c r="M8" s="542"/>
    </row>
    <row r="9">
      <c r="A9" s="570" t="s">
        <v>397</v>
      </c>
      <c r="B9" s="557"/>
      <c r="C9" s="557"/>
      <c r="D9" s="557"/>
      <c r="E9" s="557"/>
      <c r="F9" s="563">
        <v>267800.0</v>
      </c>
      <c r="G9" s="557"/>
      <c r="H9" s="557">
        <v>0.9183767562838043</v>
      </c>
      <c r="I9" s="564">
        <v>166403.0</v>
      </c>
      <c r="J9" s="565">
        <v>267800.0</v>
      </c>
      <c r="K9" s="542"/>
      <c r="L9" s="542"/>
      <c r="M9" s="542"/>
    </row>
    <row r="10">
      <c r="A10" s="570" t="s">
        <v>736</v>
      </c>
      <c r="B10" s="557"/>
      <c r="C10" s="557"/>
      <c r="D10" s="557"/>
      <c r="E10" s="557"/>
      <c r="F10" s="563">
        <v>267050.0</v>
      </c>
      <c r="G10" s="557"/>
      <c r="H10" s="557">
        <v>0.9184939980229291</v>
      </c>
      <c r="I10" s="564">
        <v>165937.0</v>
      </c>
      <c r="J10" s="565">
        <v>267050.0</v>
      </c>
      <c r="K10" s="542"/>
      <c r="L10" s="542"/>
      <c r="M10" s="542"/>
    </row>
    <row r="11">
      <c r="A11" s="570" t="s">
        <v>642</v>
      </c>
      <c r="B11" s="557"/>
      <c r="C11" s="557"/>
      <c r="D11" s="557"/>
      <c r="E11" s="557"/>
      <c r="F11" s="563">
        <v>266300.0</v>
      </c>
      <c r="G11" s="557"/>
      <c r="H11" s="557">
        <v>0.9186112399304324</v>
      </c>
      <c r="I11" s="564">
        <v>165471.0</v>
      </c>
      <c r="J11" s="565">
        <v>266300.0</v>
      </c>
      <c r="K11" s="542"/>
      <c r="L11" s="542"/>
      <c r="M11" s="542"/>
    </row>
    <row r="12">
      <c r="A12" s="570" t="s">
        <v>168</v>
      </c>
      <c r="B12" s="557"/>
      <c r="C12" s="557"/>
      <c r="D12" s="557"/>
      <c r="E12" s="557"/>
      <c r="F12" s="563">
        <v>265550.0</v>
      </c>
      <c r="G12" s="557"/>
      <c r="H12" s="557">
        <v>0.9187284820123778</v>
      </c>
      <c r="I12" s="564">
        <v>165005.0</v>
      </c>
      <c r="J12" s="565">
        <v>265550.0</v>
      </c>
      <c r="K12" s="542"/>
      <c r="L12" s="542"/>
      <c r="M12" s="542"/>
    </row>
    <row r="13">
      <c r="A13" s="570" t="s">
        <v>717</v>
      </c>
      <c r="B13" s="557"/>
      <c r="C13" s="557"/>
      <c r="D13" s="557"/>
      <c r="E13" s="557"/>
      <c r="F13" s="563">
        <v>264800.0</v>
      </c>
      <c r="G13" s="557"/>
      <c r="H13" s="557">
        <v>0.9188457242750471</v>
      </c>
      <c r="I13" s="564">
        <v>164539.0</v>
      </c>
      <c r="J13" s="565">
        <v>264800.0</v>
      </c>
      <c r="K13" s="542"/>
      <c r="L13" s="542"/>
      <c r="M13" s="542"/>
    </row>
    <row r="14">
      <c r="A14" s="570" t="s">
        <v>163</v>
      </c>
      <c r="B14" s="557"/>
      <c r="C14" s="557"/>
      <c r="D14" s="557"/>
      <c r="E14" s="557"/>
      <c r="F14" s="563">
        <v>264050.0</v>
      </c>
      <c r="G14" s="557"/>
      <c r="H14" s="557">
        <v>0.9189629667249481</v>
      </c>
      <c r="I14" s="564">
        <v>164073.0</v>
      </c>
      <c r="J14" s="565">
        <v>264050.0</v>
      </c>
      <c r="K14" s="542"/>
      <c r="L14" s="542"/>
      <c r="M14" s="542"/>
    </row>
    <row r="15">
      <c r="A15" s="570" t="s">
        <v>1622</v>
      </c>
      <c r="B15" s="557"/>
      <c r="C15" s="557"/>
      <c r="D15" s="557"/>
      <c r="E15" s="557"/>
      <c r="F15" s="563">
        <v>263300.0</v>
      </c>
      <c r="G15" s="557"/>
      <c r="H15" s="557">
        <v>0.9190802093688234</v>
      </c>
      <c r="I15" s="564">
        <v>163607.0</v>
      </c>
      <c r="J15" s="565">
        <v>263300.0</v>
      </c>
      <c r="K15" s="542"/>
      <c r="L15" s="542"/>
      <c r="M15" s="542"/>
    </row>
    <row r="16">
      <c r="A16" s="570" t="s">
        <v>246</v>
      </c>
      <c r="B16" s="557"/>
      <c r="C16" s="557"/>
      <c r="D16" s="557"/>
      <c r="E16" s="557"/>
      <c r="F16" s="563">
        <v>262550.0</v>
      </c>
      <c r="G16" s="557"/>
      <c r="H16" s="557">
        <v>0.9191974522136578</v>
      </c>
      <c r="I16" s="564">
        <v>163141.0</v>
      </c>
      <c r="J16" s="565">
        <v>262550.0</v>
      </c>
      <c r="K16" s="542"/>
      <c r="L16" s="542"/>
      <c r="M16" s="542"/>
    </row>
    <row r="17">
      <c r="A17" s="570" t="s">
        <v>1624</v>
      </c>
      <c r="B17" s="557"/>
      <c r="C17" s="557"/>
      <c r="D17" s="557"/>
      <c r="E17" s="557"/>
      <c r="F17" s="563">
        <v>261800.0</v>
      </c>
      <c r="G17" s="557"/>
      <c r="H17" s="557">
        <v>0.9193146952666881</v>
      </c>
      <c r="I17" s="564">
        <v>162675.0</v>
      </c>
      <c r="J17" s="565">
        <v>261800.0</v>
      </c>
      <c r="K17" s="542"/>
      <c r="L17" s="542"/>
      <c r="M17" s="542"/>
    </row>
    <row r="18">
      <c r="A18" s="570" t="s">
        <v>1625</v>
      </c>
      <c r="B18" s="557"/>
      <c r="C18" s="557"/>
      <c r="D18" s="557"/>
      <c r="E18" s="557"/>
      <c r="F18" s="563">
        <v>261050.0</v>
      </c>
      <c r="G18" s="557"/>
      <c r="H18" s="557">
        <v>0.9194319385354116</v>
      </c>
      <c r="I18" s="564">
        <v>162209.0</v>
      </c>
      <c r="J18" s="565">
        <v>261050.0</v>
      </c>
      <c r="K18" s="542"/>
      <c r="L18" s="542"/>
      <c r="M18" s="542"/>
    </row>
    <row r="19">
      <c r="A19" s="570" t="s">
        <v>445</v>
      </c>
      <c r="B19" s="557"/>
      <c r="C19" s="557"/>
      <c r="D19" s="557"/>
      <c r="E19" s="557"/>
      <c r="F19" s="563">
        <v>260300.0</v>
      </c>
      <c r="G19" s="557"/>
      <c r="H19" s="557">
        <v>0.9195491820275955</v>
      </c>
      <c r="I19" s="564">
        <v>161743.0</v>
      </c>
      <c r="J19" s="565">
        <v>260300.0</v>
      </c>
      <c r="K19" s="542"/>
      <c r="L19" s="542"/>
      <c r="M19" s="542"/>
    </row>
    <row r="20">
      <c r="A20" s="570" t="s">
        <v>1627</v>
      </c>
      <c r="B20" s="557"/>
      <c r="C20" s="557"/>
      <c r="D20" s="557"/>
      <c r="E20" s="557"/>
      <c r="F20" s="563">
        <v>259550.0</v>
      </c>
      <c r="G20" s="557"/>
      <c r="H20" s="557">
        <v>0.9196664257512867</v>
      </c>
      <c r="I20" s="564">
        <v>161277.0</v>
      </c>
      <c r="J20" s="565">
        <v>259550.0</v>
      </c>
      <c r="K20" s="542"/>
      <c r="L20" s="542"/>
      <c r="M20" s="542"/>
    </row>
    <row r="21">
      <c r="A21" s="570" t="s">
        <v>1628</v>
      </c>
      <c r="B21" s="557"/>
      <c r="C21" s="557"/>
      <c r="D21" s="557"/>
      <c r="E21" s="557"/>
      <c r="F21" s="563">
        <v>258800.0</v>
      </c>
      <c r="G21" s="557"/>
      <c r="H21" s="557">
        <v>0.919783669714822</v>
      </c>
      <c r="I21" s="564">
        <v>160811.0</v>
      </c>
      <c r="J21" s="565">
        <v>258800.0</v>
      </c>
      <c r="K21" s="542"/>
      <c r="L21" s="542"/>
      <c r="M21" s="542"/>
    </row>
    <row r="22">
      <c r="A22" s="570" t="s">
        <v>918</v>
      </c>
      <c r="B22" s="557"/>
      <c r="C22" s="557"/>
      <c r="D22" s="557"/>
      <c r="E22" s="557"/>
      <c r="F22" s="563">
        <v>258050.0</v>
      </c>
      <c r="G22" s="557"/>
      <c r="H22" s="557">
        <v>0.9199009139268381</v>
      </c>
      <c r="I22" s="564">
        <v>160345.0</v>
      </c>
      <c r="J22" s="565">
        <v>258050.0</v>
      </c>
      <c r="K22" s="542"/>
      <c r="L22" s="542"/>
      <c r="M22" s="542"/>
    </row>
    <row r="23">
      <c r="A23" s="570" t="s">
        <v>1558</v>
      </c>
      <c r="B23" s="557"/>
      <c r="C23" s="557"/>
      <c r="D23" s="557"/>
      <c r="E23" s="557"/>
      <c r="F23" s="563">
        <v>257300.0</v>
      </c>
      <c r="G23" s="557"/>
      <c r="H23" s="557">
        <v>0.9200181583962833</v>
      </c>
      <c r="I23" s="564">
        <v>159879.0</v>
      </c>
      <c r="J23" s="565">
        <v>257300.0</v>
      </c>
      <c r="K23" s="542"/>
      <c r="L23" s="542"/>
      <c r="M23" s="542"/>
    </row>
    <row r="24">
      <c r="A24" s="570" t="s">
        <v>1629</v>
      </c>
      <c r="B24" s="557"/>
      <c r="C24" s="557"/>
      <c r="D24" s="557"/>
      <c r="E24" s="557"/>
      <c r="F24" s="563">
        <v>256550.0</v>
      </c>
      <c r="G24" s="557"/>
      <c r="H24" s="557">
        <v>0.9201354031324276</v>
      </c>
      <c r="I24" s="564">
        <v>159413.0</v>
      </c>
      <c r="J24" s="565">
        <v>256550.0</v>
      </c>
      <c r="K24" s="542"/>
      <c r="L24" s="542"/>
      <c r="M24" s="542"/>
    </row>
    <row r="25">
      <c r="A25" s="570" t="s">
        <v>1630</v>
      </c>
      <c r="B25" s="557"/>
      <c r="C25" s="557"/>
      <c r="D25" s="557"/>
      <c r="E25" s="557"/>
      <c r="F25" s="563">
        <v>255800.0</v>
      </c>
      <c r="G25" s="557"/>
      <c r="H25" s="557">
        <v>0.9202526481448748</v>
      </c>
      <c r="I25" s="564">
        <v>158947.0</v>
      </c>
      <c r="J25" s="565">
        <v>255800.0</v>
      </c>
      <c r="K25" s="542"/>
      <c r="L25" s="542"/>
      <c r="M25" s="542"/>
    </row>
    <row r="26">
      <c r="A26" s="570" t="s">
        <v>1632</v>
      </c>
      <c r="B26" s="557"/>
      <c r="C26" s="557"/>
      <c r="D26" s="557"/>
      <c r="E26" s="557"/>
      <c r="F26" s="563">
        <v>255050.0</v>
      </c>
      <c r="G26" s="557"/>
      <c r="H26" s="557">
        <v>0.9203698934435751</v>
      </c>
      <c r="I26" s="564">
        <v>158481.0</v>
      </c>
      <c r="J26" s="565">
        <v>255050.0</v>
      </c>
      <c r="K26" s="542"/>
      <c r="L26" s="542"/>
      <c r="M26" s="542"/>
    </row>
    <row r="27">
      <c r="A27" s="570" t="s">
        <v>1634</v>
      </c>
      <c r="B27" s="557"/>
      <c r="C27" s="557"/>
      <c r="D27" s="557"/>
      <c r="E27" s="557"/>
      <c r="F27" s="563">
        <v>254300.0</v>
      </c>
      <c r="G27" s="557"/>
      <c r="H27" s="557">
        <v>0.9204871390388364</v>
      </c>
      <c r="I27" s="564">
        <v>158015.0</v>
      </c>
      <c r="J27" s="565">
        <v>254300.0</v>
      </c>
      <c r="K27" s="542"/>
      <c r="L27" s="542"/>
      <c r="M27" s="542"/>
    </row>
    <row r="28">
      <c r="A28" s="570" t="s">
        <v>181</v>
      </c>
      <c r="B28" s="557"/>
      <c r="C28" s="557"/>
      <c r="D28" s="557"/>
      <c r="E28" s="557"/>
      <c r="F28" s="563">
        <v>253550.0</v>
      </c>
      <c r="G28" s="557"/>
      <c r="H28" s="557">
        <v>0.9206043849413381</v>
      </c>
      <c r="I28" s="564">
        <v>157549.0</v>
      </c>
      <c r="J28" s="565">
        <v>253550.0</v>
      </c>
      <c r="K28" s="542"/>
      <c r="L28" s="542"/>
      <c r="M28" s="542"/>
    </row>
    <row r="29">
      <c r="A29" s="570" t="s">
        <v>160</v>
      </c>
      <c r="B29" s="557"/>
      <c r="C29" s="557"/>
      <c r="D29" s="557"/>
      <c r="E29" s="557"/>
      <c r="F29" s="563">
        <v>252800.0</v>
      </c>
      <c r="G29" s="557"/>
      <c r="H29" s="557">
        <v>0.920721631162144</v>
      </c>
      <c r="I29" s="564">
        <v>157083.0</v>
      </c>
      <c r="J29" s="565">
        <v>252800.0</v>
      </c>
      <c r="K29" s="542"/>
      <c r="L29" s="542"/>
      <c r="M29" s="542"/>
    </row>
    <row r="30">
      <c r="A30" s="570" t="s">
        <v>161</v>
      </c>
      <c r="B30" s="557"/>
      <c r="C30" s="557"/>
      <c r="D30" s="557"/>
      <c r="E30" s="557"/>
      <c r="F30" s="563">
        <v>252050.0</v>
      </c>
      <c r="G30" s="557"/>
      <c r="H30" s="557">
        <v>0.9208388777127166</v>
      </c>
      <c r="I30" s="564">
        <v>156617.0</v>
      </c>
      <c r="J30" s="565">
        <v>252050.0</v>
      </c>
      <c r="K30" s="542"/>
      <c r="L30" s="542"/>
      <c r="M30" s="542"/>
    </row>
    <row r="31">
      <c r="A31" s="570" t="s">
        <v>1336</v>
      </c>
      <c r="B31" s="557"/>
      <c r="C31" s="557"/>
      <c r="D31" s="557"/>
      <c r="E31" s="557"/>
      <c r="F31" s="563">
        <v>251300.0</v>
      </c>
      <c r="G31" s="557"/>
      <c r="H31" s="557">
        <v>0.9209561246049307</v>
      </c>
      <c r="I31" s="564">
        <v>156151.0</v>
      </c>
      <c r="J31" s="565">
        <v>251300.0</v>
      </c>
      <c r="K31" s="542"/>
      <c r="L31" s="542"/>
      <c r="M31" s="542"/>
    </row>
    <row r="32">
      <c r="A32" s="570" t="s">
        <v>1607</v>
      </c>
      <c r="B32" s="559" t="s">
        <v>126</v>
      </c>
      <c r="C32" s="568">
        <v>1403.0</v>
      </c>
      <c r="D32" s="557">
        <v>0.9365</v>
      </c>
      <c r="E32" s="569">
        <v>709.75</v>
      </c>
      <c r="F32" s="563">
        <v>251200.0</v>
      </c>
      <c r="G32" s="557"/>
      <c r="H32" s="559"/>
      <c r="I32" s="564">
        <v>156088.0</v>
      </c>
      <c r="J32" s="565">
        <v>251200.0</v>
      </c>
      <c r="K32" s="542"/>
      <c r="L32" s="542"/>
      <c r="M32" s="542"/>
    </row>
    <row r="33">
      <c r="A33" s="570" t="s">
        <v>1640</v>
      </c>
      <c r="B33" s="559" t="s">
        <v>126</v>
      </c>
      <c r="C33" s="568">
        <v>1402.0</v>
      </c>
      <c r="D33" s="557">
        <v>0.9365</v>
      </c>
      <c r="E33" s="569">
        <v>709.18</v>
      </c>
      <c r="F33" s="563">
        <v>251000.0</v>
      </c>
      <c r="G33" s="557"/>
      <c r="H33" s="559"/>
      <c r="I33" s="564">
        <v>155964.0</v>
      </c>
      <c r="J33" s="565">
        <v>251000.0</v>
      </c>
      <c r="K33" s="542"/>
      <c r="L33" s="542"/>
      <c r="M33" s="542"/>
    </row>
    <row r="34">
      <c r="A34" s="570" t="s">
        <v>1642</v>
      </c>
      <c r="B34" s="557"/>
      <c r="C34" s="557"/>
      <c r="D34" s="557"/>
      <c r="E34" s="557"/>
      <c r="F34" s="563">
        <v>250550.0</v>
      </c>
      <c r="G34" s="557"/>
      <c r="H34" s="557">
        <v>0.9210733718510894</v>
      </c>
      <c r="I34" s="564">
        <v>155685.0</v>
      </c>
      <c r="J34" s="565">
        <v>250550.0</v>
      </c>
      <c r="K34" s="542"/>
      <c r="L34" s="542"/>
      <c r="M34" s="542"/>
    </row>
    <row r="35">
      <c r="A35" s="570" t="s">
        <v>1644</v>
      </c>
      <c r="B35" s="557"/>
      <c r="C35" s="557"/>
      <c r="D35" s="557"/>
      <c r="E35" s="557"/>
      <c r="F35" s="563">
        <v>249800.0</v>
      </c>
      <c r="G35" s="557"/>
      <c r="H35" s="557">
        <v>0.9211906194639381</v>
      </c>
      <c r="I35" s="564">
        <v>155219.0</v>
      </c>
      <c r="J35" s="565">
        <v>249800.0</v>
      </c>
      <c r="K35" s="542"/>
      <c r="L35" s="542"/>
      <c r="M35" s="542"/>
    </row>
    <row r="36">
      <c r="A36" s="570" t="s">
        <v>1645</v>
      </c>
      <c r="B36" s="557"/>
      <c r="C36" s="557"/>
      <c r="D36" s="557"/>
      <c r="E36" s="557"/>
      <c r="F36" s="563">
        <v>249050.0</v>
      </c>
      <c r="G36" s="557"/>
      <c r="H36" s="557">
        <v>0.9213078674566818</v>
      </c>
      <c r="I36" s="564">
        <v>154752.0</v>
      </c>
      <c r="J36" s="565">
        <v>249050.0</v>
      </c>
      <c r="K36" s="542"/>
      <c r="L36" s="542"/>
      <c r="M36" s="542"/>
    </row>
    <row r="37">
      <c r="A37" s="570" t="s">
        <v>1646</v>
      </c>
      <c r="B37" s="559" t="s">
        <v>1647</v>
      </c>
      <c r="C37" s="568">
        <v>1302.0</v>
      </c>
      <c r="D37" s="557">
        <v>0.9123</v>
      </c>
      <c r="E37" s="569">
        <v>749.04</v>
      </c>
      <c r="F37" s="563">
        <v>248884.0</v>
      </c>
      <c r="G37" s="557"/>
      <c r="H37" s="559"/>
      <c r="I37" s="564">
        <v>154649.0</v>
      </c>
      <c r="J37" s="565">
        <v>248884.0</v>
      </c>
      <c r="K37" s="542"/>
      <c r="L37" s="542"/>
      <c r="M37" s="542"/>
    </row>
    <row r="38">
      <c r="A38" s="570" t="s">
        <v>1648</v>
      </c>
      <c r="B38" s="557"/>
      <c r="C38" s="557"/>
      <c r="D38" s="557"/>
      <c r="E38" s="557"/>
      <c r="F38" s="563">
        <v>248300.0</v>
      </c>
      <c r="G38" s="557"/>
      <c r="H38" s="557">
        <v>0.9214251158430006</v>
      </c>
      <c r="I38" s="564">
        <v>154286.0</v>
      </c>
      <c r="J38" s="565">
        <v>248300.0</v>
      </c>
      <c r="K38" s="542"/>
      <c r="L38" s="542"/>
      <c r="M38" s="542"/>
    </row>
    <row r="39">
      <c r="A39" s="570" t="s">
        <v>1650</v>
      </c>
      <c r="B39" s="557"/>
      <c r="C39" s="557"/>
      <c r="D39" s="557"/>
      <c r="E39" s="557"/>
      <c r="F39" s="563">
        <v>247550.0</v>
      </c>
      <c r="G39" s="557"/>
      <c r="H39" s="557">
        <v>0.9215423646370673</v>
      </c>
      <c r="I39" s="564">
        <v>153820.0</v>
      </c>
      <c r="J39" s="565">
        <v>247550.0</v>
      </c>
      <c r="K39" s="542"/>
      <c r="L39" s="542"/>
      <c r="M39" s="542"/>
    </row>
    <row r="40">
      <c r="A40" s="570" t="s">
        <v>306</v>
      </c>
      <c r="B40" s="557"/>
      <c r="C40" s="557"/>
      <c r="D40" s="557"/>
      <c r="E40" s="557"/>
      <c r="F40" s="563">
        <v>246800.0</v>
      </c>
      <c r="G40" s="557"/>
      <c r="H40" s="557">
        <v>0.9216596138535653</v>
      </c>
      <c r="I40" s="564">
        <v>153354.0</v>
      </c>
      <c r="J40" s="565">
        <v>246800.0</v>
      </c>
      <c r="K40" s="542"/>
      <c r="L40" s="542"/>
      <c r="M40" s="542"/>
    </row>
    <row r="41">
      <c r="A41" s="570" t="s">
        <v>1478</v>
      </c>
      <c r="B41" s="557"/>
      <c r="C41" s="557"/>
      <c r="D41" s="557"/>
      <c r="E41" s="557"/>
      <c r="F41" s="563">
        <v>246050.0</v>
      </c>
      <c r="G41" s="557"/>
      <c r="H41" s="557">
        <v>0.9217768635077065</v>
      </c>
      <c r="I41" s="564">
        <v>152888.0</v>
      </c>
      <c r="J41" s="565">
        <v>246050.0</v>
      </c>
      <c r="K41" s="542"/>
      <c r="L41" s="542"/>
      <c r="M41" s="542"/>
    </row>
    <row r="42">
      <c r="A42" s="570" t="s">
        <v>1458</v>
      </c>
      <c r="B42" s="559" t="s">
        <v>126</v>
      </c>
      <c r="C42" s="568">
        <v>1369.0</v>
      </c>
      <c r="D42" s="557">
        <v>0.9315</v>
      </c>
      <c r="E42" s="569">
        <v>696.85</v>
      </c>
      <c r="F42" s="563">
        <v>246000.0</v>
      </c>
      <c r="G42" s="557"/>
      <c r="H42" s="559"/>
      <c r="I42" s="564">
        <v>152857.0</v>
      </c>
      <c r="J42" s="565">
        <v>246000.0</v>
      </c>
      <c r="K42" s="542"/>
      <c r="L42" s="542"/>
      <c r="M42" s="542"/>
    </row>
    <row r="43">
      <c r="A43" s="570" t="s">
        <v>58</v>
      </c>
      <c r="B43" s="557"/>
      <c r="C43" s="557"/>
      <c r="D43" s="557"/>
      <c r="E43" s="557"/>
      <c r="F43" s="563">
        <v>245300.0</v>
      </c>
      <c r="G43" s="557"/>
      <c r="H43" s="557">
        <v>0.9218941136152508</v>
      </c>
      <c r="I43" s="564">
        <v>152422.0</v>
      </c>
      <c r="J43" s="565">
        <v>245300.0</v>
      </c>
      <c r="K43" s="542"/>
      <c r="L43" s="542"/>
      <c r="M43" s="542"/>
    </row>
    <row r="44">
      <c r="A44" s="570" t="s">
        <v>429</v>
      </c>
      <c r="B44" s="557"/>
      <c r="C44" s="557"/>
      <c r="D44" s="557"/>
      <c r="E44" s="557"/>
      <c r="F44" s="563">
        <v>244550.0</v>
      </c>
      <c r="G44" s="557"/>
      <c r="H44" s="557">
        <v>0.9220113641925253</v>
      </c>
      <c r="I44" s="564">
        <v>151956.0</v>
      </c>
      <c r="J44" s="565">
        <v>244550.0</v>
      </c>
      <c r="K44" s="542"/>
      <c r="L44" s="542"/>
      <c r="M44" s="542"/>
    </row>
    <row r="45">
      <c r="A45" s="570" t="s">
        <v>457</v>
      </c>
      <c r="B45" s="557"/>
      <c r="C45" s="557"/>
      <c r="D45" s="557"/>
      <c r="E45" s="557"/>
      <c r="F45" s="563">
        <v>243800.0</v>
      </c>
      <c r="G45" s="557"/>
      <c r="H45" s="557">
        <v>0.9221286152564455</v>
      </c>
      <c r="I45" s="564">
        <v>151490.0</v>
      </c>
      <c r="J45" s="565">
        <v>243800.0</v>
      </c>
      <c r="K45" s="542"/>
      <c r="L45" s="542"/>
      <c r="M45" s="542"/>
    </row>
    <row r="46">
      <c r="A46" s="570" t="s">
        <v>290</v>
      </c>
      <c r="B46" s="557"/>
      <c r="C46" s="557"/>
      <c r="D46" s="557"/>
      <c r="E46" s="557"/>
      <c r="F46" s="563">
        <v>243050.0</v>
      </c>
      <c r="G46" s="557"/>
      <c r="H46" s="557">
        <v>0.9222458668245356</v>
      </c>
      <c r="I46" s="564">
        <v>151024.0</v>
      </c>
      <c r="J46" s="565">
        <v>243050.0</v>
      </c>
      <c r="K46" s="542"/>
      <c r="L46" s="542"/>
      <c r="M46" s="542"/>
    </row>
    <row r="47">
      <c r="A47" s="570" t="s">
        <v>788</v>
      </c>
      <c r="B47" s="557"/>
      <c r="C47" s="557"/>
      <c r="D47" s="557"/>
      <c r="E47" s="557"/>
      <c r="F47" s="563">
        <v>242300.0</v>
      </c>
      <c r="G47" s="557"/>
      <c r="H47" s="557">
        <v>0.922363118914951</v>
      </c>
      <c r="I47" s="564">
        <v>150558.0</v>
      </c>
      <c r="J47" s="565">
        <v>242300.0</v>
      </c>
      <c r="K47" s="542"/>
      <c r="L47" s="542"/>
      <c r="M47" s="542"/>
    </row>
    <row r="48">
      <c r="A48" s="570" t="s">
        <v>1652</v>
      </c>
      <c r="B48" s="557"/>
      <c r="C48" s="557"/>
      <c r="D48" s="557"/>
      <c r="E48" s="557"/>
      <c r="F48" s="563">
        <v>241550.0</v>
      </c>
      <c r="G48" s="557"/>
      <c r="H48" s="557">
        <v>0.9224803715465012</v>
      </c>
      <c r="I48" s="564">
        <v>150092.0</v>
      </c>
      <c r="J48" s="565">
        <v>241550.0</v>
      </c>
      <c r="K48" s="542"/>
      <c r="L48" s="542"/>
      <c r="M48" s="542"/>
    </row>
    <row r="49">
      <c r="A49" s="570" t="s">
        <v>304</v>
      </c>
      <c r="B49" s="557"/>
      <c r="C49" s="557"/>
      <c r="D49" s="557"/>
      <c r="E49" s="557"/>
      <c r="F49" s="563">
        <v>240800.0</v>
      </c>
      <c r="G49" s="557"/>
      <c r="H49" s="557">
        <v>0.9225976247386727</v>
      </c>
      <c r="I49" s="564">
        <v>149626.0</v>
      </c>
      <c r="J49" s="565">
        <v>240800.0</v>
      </c>
      <c r="K49" s="542"/>
      <c r="L49" s="542"/>
      <c r="M49" s="542"/>
    </row>
    <row r="50">
      <c r="A50" s="570" t="s">
        <v>1475</v>
      </c>
      <c r="B50" s="557"/>
      <c r="C50" s="557"/>
      <c r="D50" s="557"/>
      <c r="E50" s="557"/>
      <c r="F50" s="563">
        <v>240050.0</v>
      </c>
      <c r="G50" s="557"/>
      <c r="H50" s="557">
        <v>0.9227148785116536</v>
      </c>
      <c r="I50" s="564">
        <v>149160.0</v>
      </c>
      <c r="J50" s="565">
        <v>240050.0</v>
      </c>
      <c r="K50" s="542"/>
      <c r="L50" s="542"/>
      <c r="M50" s="542"/>
    </row>
    <row r="51">
      <c r="A51" s="570" t="s">
        <v>1654</v>
      </c>
      <c r="B51" s="559" t="s">
        <v>126</v>
      </c>
      <c r="C51" s="568">
        <v>1338.0</v>
      </c>
      <c r="D51" s="557">
        <v>0.9289</v>
      </c>
      <c r="E51" s="569">
        <v>680.77</v>
      </c>
      <c r="F51" s="563">
        <v>240000.0</v>
      </c>
      <c r="G51" s="557"/>
      <c r="H51" s="559"/>
      <c r="I51" s="564">
        <v>149129.0</v>
      </c>
      <c r="J51" s="565">
        <v>240000.0</v>
      </c>
      <c r="K51" s="542"/>
      <c r="L51" s="542"/>
      <c r="M51" s="542"/>
    </row>
    <row r="52">
      <c r="A52" s="570" t="s">
        <v>620</v>
      </c>
      <c r="B52" s="557"/>
      <c r="C52" s="557"/>
      <c r="D52" s="557"/>
      <c r="E52" s="557"/>
      <c r="F52" s="563">
        <v>239300.0</v>
      </c>
      <c r="G52" s="557"/>
      <c r="H52" s="557">
        <v>0.9228321328863593</v>
      </c>
      <c r="I52" s="564">
        <v>148694.0</v>
      </c>
      <c r="J52" s="565">
        <v>239300.0</v>
      </c>
      <c r="K52" s="542"/>
      <c r="L52" s="542"/>
      <c r="M52" s="542"/>
    </row>
    <row r="53">
      <c r="A53" s="570" t="s">
        <v>225</v>
      </c>
      <c r="B53" s="557"/>
      <c r="C53" s="557"/>
      <c r="D53" s="557"/>
      <c r="E53" s="557"/>
      <c r="F53" s="563">
        <v>238550.0</v>
      </c>
      <c r="G53" s="557"/>
      <c r="H53" s="557">
        <v>0.9229493878844583</v>
      </c>
      <c r="I53" s="564">
        <v>148228.0</v>
      </c>
      <c r="J53" s="565">
        <v>238550.0</v>
      </c>
      <c r="K53" s="542"/>
      <c r="L53" s="542"/>
      <c r="M53" s="542"/>
    </row>
    <row r="54">
      <c r="A54" s="570" t="s">
        <v>1554</v>
      </c>
      <c r="B54" s="557"/>
      <c r="C54" s="557"/>
      <c r="D54" s="557"/>
      <c r="E54" s="557"/>
      <c r="F54" s="563">
        <v>237800.0</v>
      </c>
      <c r="G54" s="557"/>
      <c r="H54" s="557">
        <v>0.9230666435283995</v>
      </c>
      <c r="I54" s="564">
        <v>147762.0</v>
      </c>
      <c r="J54" s="565">
        <v>237800.0</v>
      </c>
      <c r="K54" s="542"/>
      <c r="L54" s="542"/>
      <c r="M54" s="542"/>
    </row>
    <row r="55">
      <c r="A55" s="570" t="s">
        <v>1581</v>
      </c>
      <c r="B55" s="557"/>
      <c r="C55" s="557"/>
      <c r="D55" s="557"/>
      <c r="E55" s="557"/>
      <c r="F55" s="563">
        <v>237050.0</v>
      </c>
      <c r="G55" s="557"/>
      <c r="H55" s="557">
        <v>0.9231838998414398</v>
      </c>
      <c r="I55" s="564">
        <v>147296.0</v>
      </c>
      <c r="J55" s="565">
        <v>237050.0</v>
      </c>
      <c r="K55" s="542"/>
      <c r="L55" s="542"/>
      <c r="M55" s="542"/>
    </row>
    <row r="56">
      <c r="A56" s="570" t="s">
        <v>257</v>
      </c>
      <c r="B56" s="557"/>
      <c r="C56" s="557"/>
      <c r="D56" s="557"/>
      <c r="E56" s="557"/>
      <c r="F56" s="563">
        <v>236300.0</v>
      </c>
      <c r="G56" s="557"/>
      <c r="H56" s="557">
        <v>0.9233011568476739</v>
      </c>
      <c r="I56" s="564">
        <v>146830.0</v>
      </c>
      <c r="J56" s="565">
        <v>236300.0</v>
      </c>
      <c r="K56" s="542"/>
      <c r="L56" s="542"/>
      <c r="M56" s="542"/>
    </row>
    <row r="57">
      <c r="A57" s="570" t="s">
        <v>1656</v>
      </c>
      <c r="B57" s="557"/>
      <c r="C57" s="557"/>
      <c r="D57" s="557"/>
      <c r="E57" s="557"/>
      <c r="F57" s="563">
        <v>235550.0</v>
      </c>
      <c r="G57" s="557"/>
      <c r="H57" s="557">
        <v>0.9234184145720642</v>
      </c>
      <c r="I57" s="564">
        <v>146364.0</v>
      </c>
      <c r="J57" s="565">
        <v>235550.0</v>
      </c>
      <c r="K57" s="542"/>
      <c r="L57" s="542"/>
      <c r="M57" s="542"/>
    </row>
    <row r="58">
      <c r="A58" s="570" t="s">
        <v>746</v>
      </c>
      <c r="B58" s="559" t="s">
        <v>126</v>
      </c>
      <c r="C58" s="568">
        <v>1291.0</v>
      </c>
      <c r="D58" s="557">
        <v>0.9187</v>
      </c>
      <c r="E58" s="569">
        <v>670.13</v>
      </c>
      <c r="F58" s="563">
        <v>235000.0</v>
      </c>
      <c r="G58" s="557"/>
      <c r="H58" s="559"/>
      <c r="I58" s="564">
        <v>146022.0</v>
      </c>
      <c r="J58" s="565">
        <v>235000.0</v>
      </c>
      <c r="K58" s="542"/>
      <c r="L58" s="542"/>
      <c r="M58" s="542"/>
    </row>
    <row r="59">
      <c r="A59" s="570" t="s">
        <v>703</v>
      </c>
      <c r="B59" s="557"/>
      <c r="C59" s="557"/>
      <c r="D59" s="557"/>
      <c r="E59" s="557"/>
      <c r="F59" s="563">
        <v>234800.0</v>
      </c>
      <c r="G59" s="557"/>
      <c r="H59" s="557">
        <v>0.9235356730404719</v>
      </c>
      <c r="I59" s="564">
        <v>145898.0</v>
      </c>
      <c r="J59" s="565">
        <v>234800.0</v>
      </c>
      <c r="K59" s="542"/>
      <c r="L59" s="542"/>
      <c r="M59" s="542"/>
    </row>
    <row r="60">
      <c r="A60" s="570" t="s">
        <v>378</v>
      </c>
      <c r="B60" s="557"/>
      <c r="C60" s="557"/>
      <c r="D60" s="557"/>
      <c r="E60" s="557"/>
      <c r="F60" s="563">
        <v>234050.0</v>
      </c>
      <c r="G60" s="557"/>
      <c r="H60" s="557">
        <v>0.9236529322796895</v>
      </c>
      <c r="I60" s="564">
        <v>145432.0</v>
      </c>
      <c r="J60" s="565">
        <v>234050.0</v>
      </c>
      <c r="K60" s="542"/>
      <c r="L60" s="542"/>
      <c r="M60" s="542"/>
    </row>
    <row r="61">
      <c r="A61" s="570" t="s">
        <v>650</v>
      </c>
      <c r="B61" s="557"/>
      <c r="C61" s="557"/>
      <c r="D61" s="557"/>
      <c r="E61" s="557"/>
      <c r="F61" s="563">
        <v>233300.0</v>
      </c>
      <c r="G61" s="557"/>
      <c r="H61" s="557">
        <v>0.9237701923174743</v>
      </c>
      <c r="I61" s="564">
        <v>144966.0</v>
      </c>
      <c r="J61" s="565">
        <v>233300.0</v>
      </c>
      <c r="K61" s="542"/>
      <c r="L61" s="542"/>
      <c r="M61" s="542"/>
    </row>
    <row r="62">
      <c r="A62" s="570" t="s">
        <v>1661</v>
      </c>
      <c r="B62" s="557"/>
      <c r="C62" s="557"/>
      <c r="D62" s="557"/>
      <c r="E62" s="557"/>
      <c r="F62" s="563">
        <v>232550.0</v>
      </c>
      <c r="G62" s="557"/>
      <c r="H62" s="557">
        <v>0.923887453182583</v>
      </c>
      <c r="I62" s="564">
        <v>144500.0</v>
      </c>
      <c r="J62" s="565">
        <v>232550.0</v>
      </c>
      <c r="K62" s="542"/>
      <c r="L62" s="542"/>
      <c r="M62" s="542"/>
    </row>
    <row r="63">
      <c r="A63" s="570" t="s">
        <v>589</v>
      </c>
      <c r="B63" s="557"/>
      <c r="C63" s="557"/>
      <c r="D63" s="557"/>
      <c r="E63" s="557"/>
      <c r="F63" s="563">
        <v>231800.0</v>
      </c>
      <c r="G63" s="557"/>
      <c r="H63" s="557">
        <v>0.9240047149048083</v>
      </c>
      <c r="I63" s="564">
        <v>144034.0</v>
      </c>
      <c r="J63" s="565">
        <v>231800.0</v>
      </c>
      <c r="K63" s="542"/>
      <c r="L63" s="542"/>
      <c r="M63" s="542"/>
    </row>
    <row r="64">
      <c r="A64" s="570" t="s">
        <v>1663</v>
      </c>
      <c r="B64" s="557"/>
      <c r="C64" s="557"/>
      <c r="D64" s="557"/>
      <c r="E64" s="557"/>
      <c r="F64" s="563">
        <v>231050.0</v>
      </c>
      <c r="G64" s="557"/>
      <c r="H64" s="557">
        <v>0.9241219775150153</v>
      </c>
      <c r="I64" s="564">
        <v>143568.0</v>
      </c>
      <c r="J64" s="565">
        <v>231050.0</v>
      </c>
      <c r="K64" s="542"/>
      <c r="L64" s="542"/>
      <c r="M64" s="542"/>
    </row>
    <row r="65">
      <c r="A65" s="570" t="s">
        <v>1664</v>
      </c>
      <c r="B65" s="557"/>
      <c r="C65" s="557"/>
      <c r="D65" s="557"/>
      <c r="E65" s="557"/>
      <c r="F65" s="563">
        <v>230300.0</v>
      </c>
      <c r="G65" s="557"/>
      <c r="H65" s="557">
        <v>0.9242392410451808</v>
      </c>
      <c r="I65" s="564">
        <v>143102.0</v>
      </c>
      <c r="J65" s="565">
        <v>230300.0</v>
      </c>
      <c r="K65" s="542"/>
      <c r="L65" s="542"/>
      <c r="M65" s="542"/>
    </row>
    <row r="66">
      <c r="A66" s="570" t="s">
        <v>1591</v>
      </c>
      <c r="B66" s="559" t="s">
        <v>126</v>
      </c>
      <c r="C66" s="568">
        <v>1269.0</v>
      </c>
      <c r="D66" s="557">
        <v>0.9137</v>
      </c>
      <c r="E66" s="569">
        <v>657.59</v>
      </c>
      <c r="F66" s="563">
        <v>230000.0</v>
      </c>
      <c r="G66" s="557"/>
      <c r="H66" s="559"/>
      <c r="I66" s="564">
        <v>142915.0</v>
      </c>
      <c r="J66" s="565">
        <v>230000.0</v>
      </c>
      <c r="K66" s="542"/>
      <c r="L66" s="542"/>
      <c r="M66" s="542"/>
    </row>
    <row r="67">
      <c r="A67" s="570" t="s">
        <v>1667</v>
      </c>
      <c r="B67" s="557"/>
      <c r="C67" s="557"/>
      <c r="D67" s="557"/>
      <c r="E67" s="557"/>
      <c r="F67" s="563">
        <v>229550.0</v>
      </c>
      <c r="G67" s="557"/>
      <c r="H67" s="557">
        <v>0.9243565055284331</v>
      </c>
      <c r="I67" s="564">
        <v>142636.0</v>
      </c>
      <c r="J67" s="565">
        <v>229550.0</v>
      </c>
      <c r="K67" s="542"/>
      <c r="L67" s="542"/>
      <c r="M67" s="542"/>
    </row>
    <row r="68">
      <c r="A68" s="570" t="s">
        <v>1668</v>
      </c>
      <c r="B68" s="557"/>
      <c r="C68" s="557"/>
      <c r="D68" s="557"/>
      <c r="E68" s="557"/>
      <c r="F68" s="563">
        <v>228800.0</v>
      </c>
      <c r="G68" s="557"/>
      <c r="H68" s="557">
        <v>0.9244737709990932</v>
      </c>
      <c r="I68" s="564">
        <v>142170.0</v>
      </c>
      <c r="J68" s="565">
        <v>228800.0</v>
      </c>
      <c r="K68" s="542"/>
      <c r="L68" s="542"/>
      <c r="M68" s="542"/>
    </row>
    <row r="69">
      <c r="A69" s="570" t="s">
        <v>715</v>
      </c>
      <c r="B69" s="557"/>
      <c r="C69" s="557"/>
      <c r="D69" s="557"/>
      <c r="E69" s="557"/>
      <c r="F69" s="563">
        <v>228050.0</v>
      </c>
      <c r="G69" s="557"/>
      <c r="H69" s="557">
        <v>0.9245910374927184</v>
      </c>
      <c r="I69" s="564">
        <v>141704.0</v>
      </c>
      <c r="J69" s="565">
        <v>228050.0</v>
      </c>
      <c r="K69" s="542"/>
      <c r="L69" s="542"/>
      <c r="M69" s="542"/>
    </row>
    <row r="70">
      <c r="A70" s="570" t="s">
        <v>436</v>
      </c>
      <c r="B70" s="557"/>
      <c r="C70" s="557"/>
      <c r="D70" s="557"/>
      <c r="E70" s="557"/>
      <c r="F70" s="563">
        <v>227300.0</v>
      </c>
      <c r="G70" s="557"/>
      <c r="H70" s="557">
        <v>0.9247083050461463</v>
      </c>
      <c r="I70" s="564">
        <v>141238.0</v>
      </c>
      <c r="J70" s="565">
        <v>227300.0</v>
      </c>
      <c r="K70" s="542"/>
      <c r="L70" s="542"/>
      <c r="M70" s="542"/>
    </row>
    <row r="71">
      <c r="A71" s="570" t="s">
        <v>749</v>
      </c>
      <c r="B71" s="557"/>
      <c r="C71" s="557"/>
      <c r="D71" s="557"/>
      <c r="E71" s="557"/>
      <c r="F71" s="563">
        <v>226550.0</v>
      </c>
      <c r="G71" s="557"/>
      <c r="H71" s="557">
        <v>0.9248255736975409</v>
      </c>
      <c r="I71" s="564">
        <v>140772.0</v>
      </c>
      <c r="J71" s="565">
        <v>226550.0</v>
      </c>
      <c r="K71" s="542"/>
      <c r="L71" s="542"/>
      <c r="M71" s="542"/>
    </row>
    <row r="72">
      <c r="A72" s="570" t="s">
        <v>100</v>
      </c>
      <c r="B72" s="557"/>
      <c r="C72" s="557"/>
      <c r="D72" s="557"/>
      <c r="E72" s="557"/>
      <c r="F72" s="563">
        <v>225800.0</v>
      </c>
      <c r="G72" s="557"/>
      <c r="H72" s="557">
        <v>0.9249428434864407</v>
      </c>
      <c r="I72" s="564">
        <v>140306.0</v>
      </c>
      <c r="J72" s="565">
        <v>225800.0</v>
      </c>
      <c r="K72" s="542"/>
      <c r="L72" s="542"/>
      <c r="M72" s="542"/>
    </row>
    <row r="73">
      <c r="A73" s="570" t="s">
        <v>1456</v>
      </c>
      <c r="B73" s="557"/>
      <c r="C73" s="557"/>
      <c r="D73" s="557"/>
      <c r="E73" s="557"/>
      <c r="F73" s="563">
        <v>225050.0</v>
      </c>
      <c r="G73" s="557"/>
      <c r="H73" s="557">
        <v>0.9250601144538079</v>
      </c>
      <c r="I73" s="564">
        <v>139840.0</v>
      </c>
      <c r="J73" s="565">
        <v>225050.0</v>
      </c>
      <c r="K73" s="542"/>
      <c r="L73" s="542"/>
      <c r="M73" s="542"/>
    </row>
    <row r="74">
      <c r="A74" s="570" t="s">
        <v>206</v>
      </c>
      <c r="B74" s="557"/>
      <c r="C74" s="557"/>
      <c r="D74" s="557"/>
      <c r="E74" s="557"/>
      <c r="F74" s="563">
        <v>224300.0</v>
      </c>
      <c r="G74" s="557"/>
      <c r="H74" s="557">
        <v>0.9251773866420797</v>
      </c>
      <c r="I74" s="564">
        <v>139374.0</v>
      </c>
      <c r="J74" s="565">
        <v>224300.0</v>
      </c>
      <c r="K74" s="542"/>
      <c r="L74" s="542"/>
      <c r="M74" s="542"/>
    </row>
    <row r="75">
      <c r="A75" s="570" t="s">
        <v>772</v>
      </c>
      <c r="B75" s="557"/>
      <c r="C75" s="557"/>
      <c r="D75" s="557"/>
      <c r="E75" s="557"/>
      <c r="F75" s="563">
        <v>223550.0</v>
      </c>
      <c r="G75" s="557"/>
      <c r="H75" s="557">
        <v>0.9252946600952218</v>
      </c>
      <c r="I75" s="564">
        <v>138908.0</v>
      </c>
      <c r="J75" s="565">
        <v>223550.0</v>
      </c>
      <c r="K75" s="542"/>
      <c r="L75" s="542"/>
      <c r="M75" s="542"/>
    </row>
    <row r="76">
      <c r="A76" s="570" t="s">
        <v>1672</v>
      </c>
      <c r="B76" s="557"/>
      <c r="C76" s="557"/>
      <c r="D76" s="557"/>
      <c r="E76" s="557"/>
      <c r="F76" s="563">
        <v>222800.0</v>
      </c>
      <c r="G76" s="557"/>
      <c r="H76" s="557">
        <v>0.9254119348587828</v>
      </c>
      <c r="I76" s="564">
        <v>138442.0</v>
      </c>
      <c r="J76" s="565">
        <v>222800.0</v>
      </c>
      <c r="K76" s="542"/>
      <c r="L76" s="542"/>
      <c r="M76" s="542"/>
    </row>
    <row r="77">
      <c r="A77" s="570" t="s">
        <v>1673</v>
      </c>
      <c r="B77" s="557"/>
      <c r="C77" s="557"/>
      <c r="D77" s="557"/>
      <c r="E77" s="557"/>
      <c r="F77" s="563">
        <v>222050.0</v>
      </c>
      <c r="G77" s="557"/>
      <c r="H77" s="557">
        <v>0.9255292109799517</v>
      </c>
      <c r="I77" s="564">
        <v>137975.0</v>
      </c>
      <c r="J77" s="565">
        <v>222050.0</v>
      </c>
      <c r="K77" s="542"/>
      <c r="L77" s="542"/>
      <c r="M77" s="542"/>
    </row>
    <row r="78">
      <c r="A78" s="570" t="s">
        <v>792</v>
      </c>
      <c r="B78" s="559" t="s">
        <v>126</v>
      </c>
      <c r="C78" s="568">
        <v>1226.0</v>
      </c>
      <c r="D78" s="557">
        <v>0.9048</v>
      </c>
      <c r="E78" s="569">
        <v>637.68</v>
      </c>
      <c r="F78" s="563">
        <v>222000.0</v>
      </c>
      <c r="G78" s="557"/>
      <c r="H78" s="559"/>
      <c r="I78" s="564">
        <v>137944.0</v>
      </c>
      <c r="J78" s="565">
        <v>222000.0</v>
      </c>
      <c r="K78" s="542"/>
      <c r="L78" s="542"/>
      <c r="M78" s="542"/>
    </row>
    <row r="79">
      <c r="A79" s="570" t="s">
        <v>743</v>
      </c>
      <c r="B79" s="557"/>
      <c r="C79" s="557"/>
      <c r="D79" s="557"/>
      <c r="E79" s="557"/>
      <c r="F79" s="563">
        <v>221300.0</v>
      </c>
      <c r="G79" s="557"/>
      <c r="H79" s="557">
        <v>0.9256464885076164</v>
      </c>
      <c r="I79" s="564">
        <v>137509.0</v>
      </c>
      <c r="J79" s="565">
        <v>221300.0</v>
      </c>
      <c r="K79" s="542"/>
      <c r="L79" s="542"/>
      <c r="M79" s="542"/>
    </row>
    <row r="80">
      <c r="A80" s="570" t="s">
        <v>751</v>
      </c>
      <c r="B80" s="557"/>
      <c r="C80" s="557"/>
      <c r="D80" s="557"/>
      <c r="E80" s="557"/>
      <c r="F80" s="563">
        <v>220550.0</v>
      </c>
      <c r="G80" s="557"/>
      <c r="H80" s="557">
        <v>0.9257637674924262</v>
      </c>
      <c r="I80" s="564">
        <v>137043.0</v>
      </c>
      <c r="J80" s="565">
        <v>220550.0</v>
      </c>
      <c r="K80" s="542"/>
      <c r="L80" s="542"/>
      <c r="M80" s="542"/>
    </row>
    <row r="81">
      <c r="A81" s="570" t="s">
        <v>719</v>
      </c>
      <c r="B81" s="557"/>
      <c r="C81" s="557"/>
      <c r="D81" s="557"/>
      <c r="E81" s="557"/>
      <c r="F81" s="563">
        <v>219800.0</v>
      </c>
      <c r="G81" s="557"/>
      <c r="H81" s="557">
        <v>0.9258810479868533</v>
      </c>
      <c r="I81" s="564">
        <v>136577.0</v>
      </c>
      <c r="J81" s="565">
        <v>219800.0</v>
      </c>
      <c r="K81" s="542"/>
      <c r="L81" s="542"/>
      <c r="M81" s="542"/>
    </row>
    <row r="82">
      <c r="A82" s="570" t="s">
        <v>92</v>
      </c>
      <c r="B82" s="557"/>
      <c r="C82" s="557"/>
      <c r="D82" s="557"/>
      <c r="E82" s="557"/>
      <c r="F82" s="563">
        <v>219050.0</v>
      </c>
      <c r="G82" s="557"/>
      <c r="H82" s="557">
        <v>0.9259983300452601</v>
      </c>
      <c r="I82" s="564">
        <v>136111.0</v>
      </c>
      <c r="J82" s="565">
        <v>219050.0</v>
      </c>
      <c r="K82" s="542"/>
      <c r="L82" s="542"/>
      <c r="M82" s="542"/>
    </row>
    <row r="83">
      <c r="A83" s="570" t="s">
        <v>248</v>
      </c>
      <c r="B83" s="557"/>
      <c r="C83" s="557"/>
      <c r="D83" s="557"/>
      <c r="E83" s="557"/>
      <c r="F83" s="563">
        <v>218300.0</v>
      </c>
      <c r="G83" s="557"/>
      <c r="H83" s="557">
        <v>0.9261156137239664</v>
      </c>
      <c r="I83" s="564">
        <v>135645.0</v>
      </c>
      <c r="J83" s="565">
        <v>218300.0</v>
      </c>
      <c r="K83" s="542"/>
      <c r="L83" s="542"/>
      <c r="M83" s="542"/>
    </row>
    <row r="84">
      <c r="A84" s="570" t="s">
        <v>143</v>
      </c>
      <c r="B84" s="557"/>
      <c r="C84" s="557"/>
      <c r="D84" s="557"/>
      <c r="E84" s="557"/>
      <c r="F84" s="563">
        <v>217550.0</v>
      </c>
      <c r="G84" s="557"/>
      <c r="H84" s="557">
        <v>0.9262328990813201</v>
      </c>
      <c r="I84" s="564">
        <v>135179.0</v>
      </c>
      <c r="J84" s="565">
        <v>217550.0</v>
      </c>
      <c r="K84" s="542"/>
      <c r="L84" s="542"/>
      <c r="M84" s="542"/>
    </row>
    <row r="85">
      <c r="A85" s="570" t="s">
        <v>647</v>
      </c>
      <c r="B85" s="557"/>
      <c r="C85" s="557"/>
      <c r="D85" s="557"/>
      <c r="E85" s="557"/>
      <c r="F85" s="563">
        <v>216800.0</v>
      </c>
      <c r="G85" s="557"/>
      <c r="H85" s="557">
        <v>0.9263501861777703</v>
      </c>
      <c r="I85" s="564">
        <v>134713.0</v>
      </c>
      <c r="J85" s="565">
        <v>216800.0</v>
      </c>
      <c r="K85" s="542"/>
      <c r="L85" s="542"/>
      <c r="M85" s="542"/>
    </row>
    <row r="86">
      <c r="A86" s="570" t="s">
        <v>696</v>
      </c>
      <c r="B86" s="557"/>
      <c r="C86" s="557"/>
      <c r="D86" s="557"/>
      <c r="E86" s="557"/>
      <c r="F86" s="563">
        <v>216050.0</v>
      </c>
      <c r="G86" s="557"/>
      <c r="H86" s="557">
        <v>0.926467475075943</v>
      </c>
      <c r="I86" s="564">
        <v>134247.0</v>
      </c>
      <c r="J86" s="565">
        <v>216050.0</v>
      </c>
      <c r="K86" s="542"/>
      <c r="L86" s="542"/>
      <c r="M86" s="542"/>
    </row>
    <row r="87">
      <c r="A87" s="570" t="s">
        <v>1681</v>
      </c>
      <c r="B87" s="557"/>
      <c r="C87" s="557"/>
      <c r="D87" s="557"/>
      <c r="E87" s="557"/>
      <c r="F87" s="563">
        <v>215300.0</v>
      </c>
      <c r="G87" s="557"/>
      <c r="H87" s="557">
        <v>0.9265847658407189</v>
      </c>
      <c r="I87" s="564">
        <v>133781.0</v>
      </c>
      <c r="J87" s="565">
        <v>215300.0</v>
      </c>
      <c r="K87" s="542"/>
      <c r="L87" s="542"/>
      <c r="M87" s="542"/>
    </row>
    <row r="88">
      <c r="A88" s="570" t="s">
        <v>1683</v>
      </c>
      <c r="B88" s="557"/>
      <c r="C88" s="557"/>
      <c r="D88" s="557"/>
      <c r="E88" s="557"/>
      <c r="F88" s="563">
        <v>214550.0</v>
      </c>
      <c r="G88" s="557"/>
      <c r="H88" s="557">
        <v>0.9267020585393159</v>
      </c>
      <c r="I88" s="564">
        <v>133315.0</v>
      </c>
      <c r="J88" s="565">
        <v>214550.0</v>
      </c>
      <c r="K88" s="542"/>
      <c r="L88" s="542"/>
      <c r="M88" s="542"/>
    </row>
    <row r="89">
      <c r="A89" s="570" t="s">
        <v>465</v>
      </c>
      <c r="B89" s="557"/>
      <c r="C89" s="557"/>
      <c r="D89" s="557"/>
      <c r="E89" s="557"/>
      <c r="F89" s="563">
        <v>213800.0</v>
      </c>
      <c r="G89" s="557"/>
      <c r="H89" s="557">
        <v>0.9268193532413717</v>
      </c>
      <c r="I89" s="564">
        <v>132849.0</v>
      </c>
      <c r="J89" s="565">
        <v>213800.0</v>
      </c>
      <c r="K89" s="542"/>
      <c r="L89" s="542"/>
      <c r="M89" s="542"/>
    </row>
    <row r="90">
      <c r="A90" s="570" t="s">
        <v>1263</v>
      </c>
      <c r="B90" s="557"/>
      <c r="C90" s="557"/>
      <c r="D90" s="557"/>
      <c r="E90" s="557"/>
      <c r="F90" s="563">
        <v>213050.0</v>
      </c>
      <c r="G90" s="557"/>
      <c r="H90" s="557">
        <v>0.9269366500190322</v>
      </c>
      <c r="I90" s="564">
        <v>132383.0</v>
      </c>
      <c r="J90" s="565">
        <v>213050.0</v>
      </c>
      <c r="K90" s="542"/>
      <c r="L90" s="542"/>
      <c r="M90" s="542"/>
    </row>
    <row r="91">
      <c r="A91" s="570" t="s">
        <v>705</v>
      </c>
      <c r="B91" s="557"/>
      <c r="C91" s="557"/>
      <c r="D91" s="557"/>
      <c r="E91" s="557"/>
      <c r="F91" s="563">
        <v>212300.0</v>
      </c>
      <c r="G91" s="557"/>
      <c r="H91" s="557">
        <v>0.9270539489470412</v>
      </c>
      <c r="I91" s="564">
        <v>131917.0</v>
      </c>
      <c r="J91" s="565">
        <v>212300.0</v>
      </c>
      <c r="K91" s="542"/>
      <c r="L91" s="542"/>
      <c r="M91" s="542"/>
    </row>
    <row r="92">
      <c r="A92" s="570" t="s">
        <v>1685</v>
      </c>
      <c r="B92" s="557"/>
      <c r="C92" s="557"/>
      <c r="D92" s="557"/>
      <c r="E92" s="557"/>
      <c r="F92" s="563">
        <v>211550.0</v>
      </c>
      <c r="G92" s="557"/>
      <c r="H92" s="557">
        <v>0.9271712501028337</v>
      </c>
      <c r="I92" s="564">
        <v>131451.0</v>
      </c>
      <c r="J92" s="565">
        <v>211550.0</v>
      </c>
      <c r="K92" s="542"/>
      <c r="L92" s="542"/>
      <c r="M92" s="542"/>
    </row>
    <row r="93">
      <c r="A93" s="570" t="s">
        <v>357</v>
      </c>
      <c r="B93" s="559" t="s">
        <v>126</v>
      </c>
      <c r="C93" s="568">
        <v>1176.0</v>
      </c>
      <c r="D93" s="557">
        <v>0.9086</v>
      </c>
      <c r="E93" s="569">
        <v>606.31</v>
      </c>
      <c r="F93" s="563">
        <v>211500.0</v>
      </c>
      <c r="G93" s="557"/>
      <c r="H93" s="559"/>
      <c r="I93" s="564">
        <v>131420.0</v>
      </c>
      <c r="J93" s="565">
        <v>211500.0</v>
      </c>
      <c r="K93" s="542"/>
      <c r="L93" s="542"/>
      <c r="M93" s="542"/>
    </row>
    <row r="94">
      <c r="A94" s="570" t="s">
        <v>477</v>
      </c>
      <c r="B94" s="557"/>
      <c r="C94" s="557"/>
      <c r="D94" s="557"/>
      <c r="E94" s="557"/>
      <c r="F94" s="563">
        <v>210800.0</v>
      </c>
      <c r="G94" s="557"/>
      <c r="H94" s="557">
        <v>0.9272885535666338</v>
      </c>
      <c r="I94" s="564">
        <v>130985.0</v>
      </c>
      <c r="J94" s="565">
        <v>210800.0</v>
      </c>
      <c r="K94" s="542"/>
      <c r="L94" s="542"/>
      <c r="M94" s="542"/>
    </row>
    <row r="95">
      <c r="A95" s="570" t="s">
        <v>395</v>
      </c>
      <c r="B95" s="557"/>
      <c r="C95" s="557"/>
      <c r="D95" s="557"/>
      <c r="E95" s="557"/>
      <c r="F95" s="563">
        <v>210050.0</v>
      </c>
      <c r="G95" s="557"/>
      <c r="H95" s="557">
        <v>0.927405859421554</v>
      </c>
      <c r="I95" s="564">
        <v>130519.0</v>
      </c>
      <c r="J95" s="565">
        <v>210050.0</v>
      </c>
      <c r="K95" s="542"/>
      <c r="L95" s="542"/>
      <c r="M95" s="542"/>
    </row>
    <row r="96">
      <c r="A96" s="570" t="s">
        <v>432</v>
      </c>
      <c r="B96" s="557"/>
      <c r="C96" s="557"/>
      <c r="D96" s="557"/>
      <c r="E96" s="557"/>
      <c r="F96" s="563">
        <v>209300.0</v>
      </c>
      <c r="G96" s="557"/>
      <c r="H96" s="557">
        <v>0.9275231677536999</v>
      </c>
      <c r="I96" s="564">
        <v>130053.0</v>
      </c>
      <c r="J96" s="565">
        <v>209300.0</v>
      </c>
      <c r="K96" s="542"/>
      <c r="L96" s="542"/>
      <c r="M96" s="542"/>
    </row>
    <row r="97">
      <c r="A97" s="570" t="s">
        <v>149</v>
      </c>
      <c r="B97" s="557"/>
      <c r="C97" s="557"/>
      <c r="D97" s="557"/>
      <c r="E97" s="557"/>
      <c r="F97" s="563">
        <v>208550.0</v>
      </c>
      <c r="G97" s="557"/>
      <c r="H97" s="557">
        <v>0.927640478652278</v>
      </c>
      <c r="I97" s="564">
        <v>129587.0</v>
      </c>
      <c r="J97" s="565">
        <v>208550.0</v>
      </c>
      <c r="K97" s="542"/>
      <c r="L97" s="542"/>
      <c r="M97" s="542"/>
    </row>
    <row r="98">
      <c r="A98" s="570" t="s">
        <v>1689</v>
      </c>
      <c r="B98" s="557"/>
      <c r="C98" s="557"/>
      <c r="D98" s="557"/>
      <c r="E98" s="557"/>
      <c r="F98" s="563">
        <v>207800.0</v>
      </c>
      <c r="G98" s="557"/>
      <c r="H98" s="557">
        <v>0.927757792209707</v>
      </c>
      <c r="I98" s="564">
        <v>129121.0</v>
      </c>
      <c r="J98" s="565">
        <v>207800.0</v>
      </c>
      <c r="K98" s="542"/>
      <c r="L98" s="542"/>
      <c r="M98" s="542"/>
    </row>
    <row r="99">
      <c r="A99" s="570" t="s">
        <v>556</v>
      </c>
      <c r="B99" s="557"/>
      <c r="C99" s="557"/>
      <c r="D99" s="557"/>
      <c r="E99" s="557"/>
      <c r="F99" s="563">
        <v>207050.0</v>
      </c>
      <c r="G99" s="557"/>
      <c r="H99" s="557">
        <v>0.9278751085217336</v>
      </c>
      <c r="I99" s="564">
        <v>128655.0</v>
      </c>
      <c r="J99" s="565">
        <v>207050.0</v>
      </c>
      <c r="K99" s="542"/>
      <c r="L99" s="542"/>
      <c r="M99" s="542"/>
    </row>
    <row r="100">
      <c r="A100" s="570" t="s">
        <v>1691</v>
      </c>
      <c r="B100" s="557"/>
      <c r="C100" s="557"/>
      <c r="D100" s="557"/>
      <c r="E100" s="557"/>
      <c r="F100" s="563">
        <v>206300.0</v>
      </c>
      <c r="G100" s="557"/>
      <c r="H100" s="557">
        <v>0.9279924276875525</v>
      </c>
      <c r="I100" s="564">
        <v>128189.0</v>
      </c>
      <c r="J100" s="565">
        <v>206300.0</v>
      </c>
      <c r="K100" s="542"/>
      <c r="L100" s="542"/>
      <c r="M100" s="542"/>
    </row>
    <row r="101">
      <c r="A101" s="570" t="s">
        <v>244</v>
      </c>
      <c r="B101" s="557"/>
      <c r="C101" s="557"/>
      <c r="D101" s="557"/>
      <c r="E101" s="557"/>
      <c r="F101" s="563">
        <v>205550.0</v>
      </c>
      <c r="G101" s="557"/>
      <c r="H101" s="557">
        <v>0.9281097498099304</v>
      </c>
      <c r="I101" s="564">
        <v>127723.0</v>
      </c>
      <c r="J101" s="565">
        <v>205550.0</v>
      </c>
      <c r="K101" s="542"/>
      <c r="L101" s="542"/>
      <c r="M101" s="542"/>
    </row>
    <row r="102">
      <c r="A102" s="570" t="s">
        <v>1692</v>
      </c>
      <c r="B102" s="557"/>
      <c r="C102" s="557"/>
      <c r="D102" s="557"/>
      <c r="E102" s="557"/>
      <c r="F102" s="563">
        <v>204800.0</v>
      </c>
      <c r="G102" s="557"/>
      <c r="H102" s="557">
        <v>0.9282270749953347</v>
      </c>
      <c r="I102" s="564">
        <v>127257.0</v>
      </c>
      <c r="J102" s="565">
        <v>204800.0</v>
      </c>
      <c r="K102" s="542"/>
      <c r="L102" s="542"/>
      <c r="M102" s="542"/>
    </row>
    <row r="103">
      <c r="A103" s="570" t="s">
        <v>1693</v>
      </c>
      <c r="B103" s="557"/>
      <c r="C103" s="557"/>
      <c r="D103" s="557"/>
      <c r="E103" s="557"/>
      <c r="F103" s="563">
        <v>204050.0</v>
      </c>
      <c r="G103" s="557"/>
      <c r="H103" s="557">
        <v>0.9283444033540668</v>
      </c>
      <c r="I103" s="564">
        <v>126791.0</v>
      </c>
      <c r="J103" s="565">
        <v>204050.0</v>
      </c>
      <c r="K103" s="542"/>
      <c r="L103" s="542"/>
      <c r="M103" s="542"/>
    </row>
    <row r="104">
      <c r="A104" s="570" t="s">
        <v>813</v>
      </c>
      <c r="B104" s="559" t="s">
        <v>143</v>
      </c>
      <c r="C104" s="568">
        <v>1245.0</v>
      </c>
      <c r="D104" s="557">
        <v>0.9299</v>
      </c>
      <c r="E104" s="569">
        <v>551.5</v>
      </c>
      <c r="F104" s="563">
        <v>203582.0</v>
      </c>
      <c r="G104" s="557">
        <v>-1.0</v>
      </c>
      <c r="H104" s="559"/>
      <c r="I104" s="564">
        <v>126500.0</v>
      </c>
      <c r="J104" s="565">
        <v>203582.0</v>
      </c>
      <c r="K104" s="542"/>
      <c r="L104" s="542"/>
      <c r="M104" s="542"/>
    </row>
    <row r="105">
      <c r="A105" s="570" t="s">
        <v>628</v>
      </c>
      <c r="B105" s="557"/>
      <c r="C105" s="557"/>
      <c r="D105" s="557"/>
      <c r="E105" s="557"/>
      <c r="F105" s="563">
        <v>203300.0</v>
      </c>
      <c r="G105" s="557"/>
      <c r="H105" s="557">
        <v>0.9284617350004002</v>
      </c>
      <c r="I105" s="564">
        <v>126325.0</v>
      </c>
      <c r="J105" s="565">
        <v>203300.0</v>
      </c>
      <c r="K105" s="542"/>
      <c r="L105" s="542"/>
      <c r="M105" s="542"/>
    </row>
    <row r="106">
      <c r="A106" s="570" t="s">
        <v>392</v>
      </c>
      <c r="B106" s="557"/>
      <c r="C106" s="557"/>
      <c r="D106" s="557"/>
      <c r="E106" s="557"/>
      <c r="F106" s="563">
        <v>202550.0</v>
      </c>
      <c r="G106" s="557"/>
      <c r="H106" s="557">
        <v>0.928579070052723</v>
      </c>
      <c r="I106" s="564">
        <v>125859.0</v>
      </c>
      <c r="J106" s="565">
        <v>202550.0</v>
      </c>
      <c r="K106" s="542"/>
      <c r="L106" s="542"/>
      <c r="M106" s="542"/>
    </row>
    <row r="107">
      <c r="A107" s="570" t="s">
        <v>1703</v>
      </c>
      <c r="B107" s="559" t="s">
        <v>623</v>
      </c>
      <c r="C107" s="568">
        <v>1238.0</v>
      </c>
      <c r="D107" s="557">
        <v>0.9348</v>
      </c>
      <c r="E107" s="569">
        <v>486.24</v>
      </c>
      <c r="F107" s="563">
        <v>202506.0</v>
      </c>
      <c r="G107" s="557"/>
      <c r="H107" s="559"/>
      <c r="I107" s="564">
        <v>125831.0</v>
      </c>
      <c r="J107" s="565">
        <v>202506.0</v>
      </c>
      <c r="K107" s="542"/>
      <c r="L107" s="542"/>
      <c r="M107" s="542"/>
    </row>
    <row r="108">
      <c r="A108" s="570" t="s">
        <v>279</v>
      </c>
      <c r="B108" s="557"/>
      <c r="C108" s="557"/>
      <c r="D108" s="557"/>
      <c r="E108" s="557"/>
      <c r="F108" s="563">
        <v>201800.0</v>
      </c>
      <c r="G108" s="557"/>
      <c r="H108" s="557">
        <v>0.9286964086336872</v>
      </c>
      <c r="I108" s="564">
        <v>125393.0</v>
      </c>
      <c r="J108" s="565">
        <v>201800.0</v>
      </c>
      <c r="K108" s="542"/>
      <c r="L108" s="542"/>
      <c r="M108" s="542"/>
    </row>
    <row r="109">
      <c r="A109" s="570" t="s">
        <v>878</v>
      </c>
      <c r="B109" s="557"/>
      <c r="C109" s="557"/>
      <c r="D109" s="557"/>
      <c r="E109" s="557"/>
      <c r="F109" s="563">
        <v>201050.0</v>
      </c>
      <c r="G109" s="557"/>
      <c r="H109" s="557">
        <v>0.928813750870361</v>
      </c>
      <c r="I109" s="564">
        <v>124927.0</v>
      </c>
      <c r="J109" s="565">
        <v>201050.0</v>
      </c>
      <c r="K109" s="542"/>
      <c r="L109" s="542"/>
      <c r="M109" s="542"/>
    </row>
    <row r="110">
      <c r="A110" s="570" t="s">
        <v>381</v>
      </c>
      <c r="B110" s="559" t="s">
        <v>1652</v>
      </c>
      <c r="C110" s="568">
        <v>1202.0</v>
      </c>
      <c r="D110" s="557">
        <v>0.9315</v>
      </c>
      <c r="E110" s="569">
        <v>582.81</v>
      </c>
      <c r="F110" s="563">
        <v>201000.0</v>
      </c>
      <c r="G110" s="557"/>
      <c r="H110" s="559"/>
      <c r="I110" s="564">
        <v>124896.0</v>
      </c>
      <c r="J110" s="565">
        <v>201000.0</v>
      </c>
      <c r="K110" s="542"/>
      <c r="L110" s="542"/>
      <c r="M110" s="542"/>
    </row>
    <row r="111">
      <c r="A111" s="570" t="s">
        <v>1095</v>
      </c>
      <c r="B111" s="557"/>
      <c r="C111" s="557"/>
      <c r="D111" s="557"/>
      <c r="E111" s="557"/>
      <c r="F111" s="563">
        <v>200300.0</v>
      </c>
      <c r="G111" s="557"/>
      <c r="H111" s="557">
        <v>0.9289310968943888</v>
      </c>
      <c r="I111" s="564">
        <v>124461.0</v>
      </c>
      <c r="J111" s="565">
        <v>200300.0</v>
      </c>
      <c r="K111" s="542"/>
      <c r="L111" s="542"/>
      <c r="M111" s="542"/>
    </row>
    <row r="112">
      <c r="A112" s="570" t="s">
        <v>400</v>
      </c>
      <c r="B112" s="559" t="s">
        <v>126</v>
      </c>
      <c r="C112" s="568">
        <v>1102.0</v>
      </c>
      <c r="D112" s="557">
        <v>0.9289</v>
      </c>
      <c r="E112" s="569">
        <v>567.31</v>
      </c>
      <c r="F112" s="563">
        <v>200000.0</v>
      </c>
      <c r="G112" s="557"/>
      <c r="H112" s="559"/>
      <c r="I112" s="564">
        <v>124274.0</v>
      </c>
      <c r="J112" s="565">
        <v>200000.0</v>
      </c>
      <c r="K112" s="542"/>
      <c r="L112" s="542"/>
      <c r="M112" s="542"/>
    </row>
    <row r="113">
      <c r="A113" s="570" t="s">
        <v>1712</v>
      </c>
      <c r="B113" s="557"/>
      <c r="C113" s="557"/>
      <c r="D113" s="557"/>
      <c r="E113" s="557"/>
      <c r="F113" s="563">
        <v>199550.0</v>
      </c>
      <c r="G113" s="557"/>
      <c r="H113" s="557">
        <v>0.9290484468421553</v>
      </c>
      <c r="I113" s="564">
        <v>123995.0</v>
      </c>
      <c r="J113" s="565">
        <v>199550.0</v>
      </c>
      <c r="K113" s="542"/>
      <c r="L113" s="542"/>
      <c r="M113" s="542"/>
    </row>
    <row r="114">
      <c r="A114" s="570" t="s">
        <v>1714</v>
      </c>
      <c r="B114" s="557"/>
      <c r="C114" s="557"/>
      <c r="D114" s="557"/>
      <c r="E114" s="557"/>
      <c r="F114" s="563">
        <v>198800.0</v>
      </c>
      <c r="G114" s="557"/>
      <c r="H114" s="557">
        <v>0.9291658008549567</v>
      </c>
      <c r="I114" s="564">
        <v>123529.0</v>
      </c>
      <c r="J114" s="565">
        <v>198800.0</v>
      </c>
      <c r="K114" s="542"/>
      <c r="L114" s="542"/>
      <c r="M114" s="542"/>
    </row>
    <row r="115">
      <c r="A115" s="570" t="s">
        <v>1716</v>
      </c>
      <c r="B115" s="557"/>
      <c r="C115" s="557"/>
      <c r="D115" s="557"/>
      <c r="E115" s="557"/>
      <c r="F115" s="563">
        <v>198050.0</v>
      </c>
      <c r="G115" s="557"/>
      <c r="H115" s="557">
        <v>0.9292831590791772</v>
      </c>
      <c r="I115" s="564">
        <v>123063.0</v>
      </c>
      <c r="J115" s="565">
        <v>198050.0</v>
      </c>
      <c r="K115" s="542"/>
      <c r="L115" s="542"/>
      <c r="M115" s="542"/>
    </row>
    <row r="116">
      <c r="A116" s="570" t="s">
        <v>636</v>
      </c>
      <c r="B116" s="557"/>
      <c r="C116" s="557"/>
      <c r="D116" s="557"/>
      <c r="E116" s="557"/>
      <c r="F116" s="563">
        <v>197300.0</v>
      </c>
      <c r="G116" s="557"/>
      <c r="H116" s="557">
        <v>0.9294005216664725</v>
      </c>
      <c r="I116" s="564">
        <v>122597.0</v>
      </c>
      <c r="J116" s="565">
        <v>197300.0</v>
      </c>
      <c r="K116" s="542"/>
      <c r="L116" s="542"/>
      <c r="M116" s="542"/>
    </row>
    <row r="117">
      <c r="A117" s="570" t="s">
        <v>1717</v>
      </c>
      <c r="B117" s="557"/>
      <c r="C117" s="557"/>
      <c r="D117" s="557"/>
      <c r="E117" s="557"/>
      <c r="F117" s="563">
        <v>196550.0</v>
      </c>
      <c r="G117" s="557"/>
      <c r="H117" s="557">
        <v>0.9295178887739595</v>
      </c>
      <c r="I117" s="564">
        <v>122131.0</v>
      </c>
      <c r="J117" s="565">
        <v>196550.0</v>
      </c>
      <c r="K117" s="542"/>
      <c r="L117" s="542"/>
      <c r="M117" s="542"/>
    </row>
    <row r="118">
      <c r="A118" s="570" t="s">
        <v>186</v>
      </c>
      <c r="B118" s="559" t="s">
        <v>623</v>
      </c>
      <c r="C118" s="568">
        <v>1204.0</v>
      </c>
      <c r="D118" s="557">
        <v>0.9373</v>
      </c>
      <c r="E118" s="569">
        <v>476.39</v>
      </c>
      <c r="F118" s="563">
        <v>196476.0</v>
      </c>
      <c r="G118" s="557"/>
      <c r="H118" s="559"/>
      <c r="I118" s="564">
        <v>122085.0</v>
      </c>
      <c r="J118" s="565">
        <v>196476.0</v>
      </c>
      <c r="K118" s="542"/>
      <c r="L118" s="542"/>
      <c r="M118" s="542"/>
    </row>
    <row r="119">
      <c r="A119" s="570" t="s">
        <v>843</v>
      </c>
      <c r="B119" s="557"/>
      <c r="C119" s="557"/>
      <c r="D119" s="557"/>
      <c r="E119" s="557"/>
      <c r="F119" s="563">
        <v>195800.0</v>
      </c>
      <c r="G119" s="557"/>
      <c r="H119" s="557">
        <v>0.9296352605644129</v>
      </c>
      <c r="I119" s="564">
        <v>121664.0</v>
      </c>
      <c r="J119" s="565">
        <v>195800.0</v>
      </c>
      <c r="K119" s="542"/>
      <c r="L119" s="542"/>
      <c r="M119" s="542"/>
    </row>
    <row r="120">
      <c r="A120" s="570" t="s">
        <v>1719</v>
      </c>
      <c r="B120" s="557"/>
      <c r="C120" s="557"/>
      <c r="D120" s="557"/>
      <c r="E120" s="557"/>
      <c r="F120" s="563">
        <v>195050.0</v>
      </c>
      <c r="G120" s="557"/>
      <c r="H120" s="557">
        <v>0.9297526372064691</v>
      </c>
      <c r="I120" s="564">
        <v>121198.0</v>
      </c>
      <c r="J120" s="565">
        <v>195050.0</v>
      </c>
      <c r="K120" s="542"/>
      <c r="L120" s="542"/>
      <c r="M120" s="542"/>
    </row>
    <row r="121">
      <c r="A121" s="570" t="s">
        <v>566</v>
      </c>
      <c r="B121" s="557"/>
      <c r="C121" s="557"/>
      <c r="D121" s="557"/>
      <c r="E121" s="557"/>
      <c r="F121" s="563">
        <v>194300.0</v>
      </c>
      <c r="G121" s="557"/>
      <c r="H121" s="557">
        <v>0.929870018874837</v>
      </c>
      <c r="I121" s="564">
        <v>120732.0</v>
      </c>
      <c r="J121" s="565">
        <v>194300.0</v>
      </c>
      <c r="K121" s="542"/>
      <c r="L121" s="542"/>
      <c r="M121" s="542"/>
    </row>
    <row r="122">
      <c r="A122" s="570" t="s">
        <v>339</v>
      </c>
      <c r="B122" s="557"/>
      <c r="C122" s="557"/>
      <c r="D122" s="557"/>
      <c r="E122" s="557"/>
      <c r="F122" s="563">
        <v>193550.0</v>
      </c>
      <c r="G122" s="557"/>
      <c r="H122" s="557">
        <v>0.9299874057505172</v>
      </c>
      <c r="I122" s="564">
        <v>120266.0</v>
      </c>
      <c r="J122" s="565">
        <v>193550.0</v>
      </c>
      <c r="K122" s="542"/>
      <c r="L122" s="542"/>
      <c r="M122" s="542"/>
    </row>
    <row r="123">
      <c r="A123" s="570" t="s">
        <v>1617</v>
      </c>
      <c r="B123" s="557"/>
      <c r="C123" s="557"/>
      <c r="D123" s="557"/>
      <c r="E123" s="557"/>
      <c r="F123" s="563">
        <v>192800.0</v>
      </c>
      <c r="G123" s="557"/>
      <c r="H123" s="557">
        <v>0.9301047980210279</v>
      </c>
      <c r="I123" s="564">
        <v>119800.0</v>
      </c>
      <c r="J123" s="565">
        <v>192800.0</v>
      </c>
      <c r="K123" s="542"/>
      <c r="L123" s="542"/>
      <c r="M123" s="542"/>
    </row>
    <row r="124">
      <c r="A124" s="570" t="s">
        <v>1722</v>
      </c>
      <c r="B124" s="557"/>
      <c r="C124" s="557"/>
      <c r="D124" s="557"/>
      <c r="E124" s="557"/>
      <c r="F124" s="563">
        <v>192050.0</v>
      </c>
      <c r="G124" s="557"/>
      <c r="H124" s="557">
        <v>0.93022219588064</v>
      </c>
      <c r="I124" s="564">
        <v>119334.0</v>
      </c>
      <c r="J124" s="565">
        <v>192050.0</v>
      </c>
      <c r="K124" s="542"/>
      <c r="L124" s="542"/>
      <c r="M124" s="542"/>
    </row>
    <row r="125">
      <c r="A125" s="570" t="s">
        <v>116</v>
      </c>
      <c r="B125" s="557"/>
      <c r="C125" s="557"/>
      <c r="D125" s="557"/>
      <c r="E125" s="557"/>
      <c r="F125" s="563">
        <v>191300.0</v>
      </c>
      <c r="G125" s="557"/>
      <c r="H125" s="557">
        <v>0.9303395995306206</v>
      </c>
      <c r="I125" s="564">
        <v>118868.0</v>
      </c>
      <c r="J125" s="565">
        <v>191300.0</v>
      </c>
      <c r="K125" s="542"/>
      <c r="L125" s="542"/>
      <c r="M125" s="542"/>
    </row>
    <row r="126">
      <c r="A126" s="570" t="s">
        <v>1602</v>
      </c>
      <c r="B126" s="557"/>
      <c r="C126" s="557"/>
      <c r="D126" s="557"/>
      <c r="E126" s="557"/>
      <c r="F126" s="563">
        <v>190550.0</v>
      </c>
      <c r="G126" s="557"/>
      <c r="H126" s="557">
        <v>0.930457009179484</v>
      </c>
      <c r="I126" s="564">
        <v>118402.0</v>
      </c>
      <c r="J126" s="565">
        <v>190550.0</v>
      </c>
      <c r="K126" s="542"/>
      <c r="L126" s="542"/>
      <c r="M126" s="542"/>
    </row>
    <row r="127">
      <c r="A127" s="570" t="s">
        <v>1723</v>
      </c>
      <c r="B127" s="557"/>
      <c r="C127" s="557"/>
      <c r="D127" s="557"/>
      <c r="E127" s="557"/>
      <c r="F127" s="563">
        <v>189800.0</v>
      </c>
      <c r="G127" s="557"/>
      <c r="H127" s="557">
        <v>0.9305744250432536</v>
      </c>
      <c r="I127" s="564">
        <v>117936.0</v>
      </c>
      <c r="J127" s="565">
        <v>189800.0</v>
      </c>
      <c r="K127" s="542"/>
      <c r="L127" s="542"/>
      <c r="M127" s="542"/>
    </row>
    <row r="128">
      <c r="A128" s="570" t="s">
        <v>1584</v>
      </c>
      <c r="B128" s="557"/>
      <c r="C128" s="557"/>
      <c r="D128" s="557"/>
      <c r="E128" s="557"/>
      <c r="F128" s="563">
        <v>189050.0</v>
      </c>
      <c r="G128" s="557"/>
      <c r="H128" s="557">
        <v>0.9306918473457317</v>
      </c>
      <c r="I128" s="564">
        <v>117470.0</v>
      </c>
      <c r="J128" s="565">
        <v>189050.0</v>
      </c>
      <c r="K128" s="542"/>
      <c r="L128" s="542"/>
      <c r="M128" s="542"/>
    </row>
    <row r="129">
      <c r="A129" s="570" t="s">
        <v>210</v>
      </c>
      <c r="B129" s="557"/>
      <c r="C129" s="557"/>
      <c r="D129" s="557"/>
      <c r="E129" s="557"/>
      <c r="F129" s="563">
        <v>188300.0</v>
      </c>
      <c r="G129" s="557"/>
      <c r="H129" s="557">
        <v>0.93080927631878</v>
      </c>
      <c r="I129" s="564">
        <v>117004.0</v>
      </c>
      <c r="J129" s="565">
        <v>188300.0</v>
      </c>
      <c r="K129" s="542"/>
      <c r="L129" s="542"/>
      <c r="M129" s="542"/>
    </row>
    <row r="130">
      <c r="A130" s="570" t="s">
        <v>980</v>
      </c>
      <c r="B130" s="559" t="s">
        <v>623</v>
      </c>
      <c r="C130" s="568">
        <v>1152.0</v>
      </c>
      <c r="D130" s="557">
        <v>0.9398</v>
      </c>
      <c r="E130" s="569">
        <v>452.82</v>
      </c>
      <c r="F130" s="563">
        <v>187618.0</v>
      </c>
      <c r="G130" s="557"/>
      <c r="H130" s="559"/>
      <c r="I130" s="564">
        <v>116580.0</v>
      </c>
      <c r="J130" s="565">
        <v>187618.0</v>
      </c>
      <c r="K130" s="542"/>
      <c r="L130" s="542"/>
      <c r="M130" s="542"/>
    </row>
    <row r="131">
      <c r="A131" s="570" t="s">
        <v>853</v>
      </c>
      <c r="B131" s="559" t="s">
        <v>114</v>
      </c>
      <c r="C131" s="568">
        <v>1364.0</v>
      </c>
      <c r="D131" s="557">
        <v>0.9543</v>
      </c>
      <c r="E131" s="569">
        <v>507.93</v>
      </c>
      <c r="F131" s="563">
        <v>187612.0</v>
      </c>
      <c r="G131" s="557"/>
      <c r="H131" s="559"/>
      <c r="I131" s="564">
        <v>116577.0</v>
      </c>
      <c r="J131" s="565">
        <v>187612.0</v>
      </c>
      <c r="K131" s="542"/>
      <c r="L131" s="542"/>
      <c r="M131" s="542"/>
    </row>
    <row r="132">
      <c r="A132" s="570" t="s">
        <v>1727</v>
      </c>
      <c r="B132" s="557"/>
      <c r="C132" s="557"/>
      <c r="D132" s="557"/>
      <c r="E132" s="557"/>
      <c r="F132" s="563">
        <v>187550.0</v>
      </c>
      <c r="G132" s="557"/>
      <c r="H132" s="557">
        <v>0.9309267122026096</v>
      </c>
      <c r="I132" s="564">
        <v>116538.0</v>
      </c>
      <c r="J132" s="565">
        <v>187550.0</v>
      </c>
      <c r="K132" s="542"/>
      <c r="L132" s="542"/>
      <c r="M132" s="542"/>
    </row>
    <row r="133">
      <c r="A133" s="570" t="s">
        <v>169</v>
      </c>
      <c r="B133" s="557"/>
      <c r="C133" s="557"/>
      <c r="D133" s="557"/>
      <c r="E133" s="557"/>
      <c r="F133" s="563">
        <v>186800.0</v>
      </c>
      <c r="G133" s="557"/>
      <c r="H133" s="557">
        <v>0.9310441552460818</v>
      </c>
      <c r="I133" s="564">
        <v>116072.0</v>
      </c>
      <c r="J133" s="565">
        <v>186800.0</v>
      </c>
      <c r="K133" s="542"/>
      <c r="L133" s="542"/>
      <c r="M133" s="542"/>
    </row>
    <row r="134">
      <c r="A134" s="570" t="s">
        <v>1447</v>
      </c>
      <c r="B134" s="559" t="s">
        <v>1729</v>
      </c>
      <c r="C134" s="568">
        <v>1258.0</v>
      </c>
      <c r="D134" s="557">
        <v>0.9315</v>
      </c>
      <c r="E134" s="569">
        <v>554.99</v>
      </c>
      <c r="F134" s="563">
        <v>186254.0</v>
      </c>
      <c r="G134" s="557"/>
      <c r="H134" s="559"/>
      <c r="I134" s="564">
        <v>115733.0</v>
      </c>
      <c r="J134" s="565">
        <v>186254.0</v>
      </c>
      <c r="K134" s="542"/>
      <c r="L134" s="542"/>
      <c r="M134" s="542"/>
    </row>
    <row r="135">
      <c r="A135" s="570" t="s">
        <v>328</v>
      </c>
      <c r="B135" s="557"/>
      <c r="C135" s="557"/>
      <c r="D135" s="557"/>
      <c r="E135" s="557"/>
      <c r="F135" s="563">
        <v>186050.0</v>
      </c>
      <c r="G135" s="557"/>
      <c r="H135" s="557">
        <v>0.9311616057070193</v>
      </c>
      <c r="I135" s="564">
        <v>115606.0</v>
      </c>
      <c r="J135" s="565">
        <v>186050.0</v>
      </c>
      <c r="K135" s="542"/>
      <c r="L135" s="542"/>
      <c r="M135" s="542"/>
    </row>
    <row r="136">
      <c r="A136" s="570" t="s">
        <v>757</v>
      </c>
      <c r="B136" s="557"/>
      <c r="C136" s="557"/>
      <c r="D136" s="557"/>
      <c r="E136" s="557"/>
      <c r="F136" s="563">
        <v>185300.0</v>
      </c>
      <c r="G136" s="557"/>
      <c r="H136" s="557">
        <v>0.9312790638525296</v>
      </c>
      <c r="I136" s="564">
        <v>115140.0</v>
      </c>
      <c r="J136" s="565">
        <v>185300.0</v>
      </c>
      <c r="K136" s="542"/>
      <c r="L136" s="542"/>
      <c r="M136" s="542"/>
    </row>
    <row r="137">
      <c r="A137" s="570" t="s">
        <v>1731</v>
      </c>
      <c r="B137" s="557"/>
      <c r="C137" s="557"/>
      <c r="D137" s="557"/>
      <c r="E137" s="557"/>
      <c r="F137" s="563">
        <v>184550.0</v>
      </c>
      <c r="G137" s="557"/>
      <c r="H137" s="557">
        <v>0.9313965299593385</v>
      </c>
      <c r="I137" s="564">
        <v>114674.0</v>
      </c>
      <c r="J137" s="565">
        <v>184550.0</v>
      </c>
      <c r="K137" s="542"/>
      <c r="L137" s="542"/>
      <c r="M137" s="542"/>
    </row>
    <row r="138">
      <c r="A138" s="570" t="s">
        <v>694</v>
      </c>
      <c r="B138" s="557"/>
      <c r="C138" s="557"/>
      <c r="D138" s="557"/>
      <c r="E138" s="557"/>
      <c r="F138" s="563">
        <v>183800.0</v>
      </c>
      <c r="G138" s="557"/>
      <c r="H138" s="557">
        <v>0.9315140043141372</v>
      </c>
      <c r="I138" s="564">
        <v>114208.0</v>
      </c>
      <c r="J138" s="565">
        <v>183800.0</v>
      </c>
      <c r="K138" s="542"/>
      <c r="L138" s="542"/>
      <c r="M138" s="542"/>
    </row>
    <row r="139">
      <c r="A139" s="570" t="s">
        <v>1695</v>
      </c>
      <c r="B139" s="557"/>
      <c r="C139" s="557"/>
      <c r="D139" s="557"/>
      <c r="E139" s="557"/>
      <c r="F139" s="563">
        <v>183050.0</v>
      </c>
      <c r="G139" s="557"/>
      <c r="H139" s="557">
        <v>0.9316314872139403</v>
      </c>
      <c r="I139" s="564">
        <v>113742.0</v>
      </c>
      <c r="J139" s="565">
        <v>183050.0</v>
      </c>
      <c r="K139" s="542"/>
      <c r="L139" s="542"/>
      <c r="M139" s="542"/>
    </row>
    <row r="140">
      <c r="A140" s="570" t="s">
        <v>1734</v>
      </c>
      <c r="B140" s="559" t="s">
        <v>126</v>
      </c>
      <c r="C140" s="568">
        <v>1036.0</v>
      </c>
      <c r="D140" s="557">
        <v>0.9289</v>
      </c>
      <c r="E140" s="569">
        <v>526.43</v>
      </c>
      <c r="F140" s="563">
        <v>183000.0</v>
      </c>
      <c r="G140" s="557"/>
      <c r="H140" s="559"/>
      <c r="I140" s="564">
        <v>113711.0</v>
      </c>
      <c r="J140" s="565">
        <v>183000.0</v>
      </c>
      <c r="K140" s="542"/>
      <c r="L140" s="542"/>
      <c r="M140" s="542"/>
    </row>
    <row r="141">
      <c r="A141" s="570" t="s">
        <v>342</v>
      </c>
      <c r="B141" s="557"/>
      <c r="C141" s="557"/>
      <c r="D141" s="557"/>
      <c r="E141" s="557"/>
      <c r="F141" s="563">
        <v>182300.0</v>
      </c>
      <c r="G141" s="557"/>
      <c r="H141" s="557">
        <v>0.9317489789664586</v>
      </c>
      <c r="I141" s="564">
        <v>113276.0</v>
      </c>
      <c r="J141" s="565">
        <v>182300.0</v>
      </c>
      <c r="K141" s="542"/>
      <c r="L141" s="542"/>
      <c r="M141" s="542"/>
    </row>
    <row r="142">
      <c r="A142" s="570" t="s">
        <v>1588</v>
      </c>
      <c r="B142" s="557"/>
      <c r="C142" s="557"/>
      <c r="D142" s="557"/>
      <c r="E142" s="557"/>
      <c r="F142" s="563">
        <v>181550.0</v>
      </c>
      <c r="G142" s="557"/>
      <c r="H142" s="557">
        <v>0.9318664798904834</v>
      </c>
      <c r="I142" s="564">
        <v>112810.0</v>
      </c>
      <c r="J142" s="565">
        <v>181550.0</v>
      </c>
      <c r="K142" s="542"/>
      <c r="L142" s="542"/>
      <c r="M142" s="542"/>
    </row>
    <row r="143">
      <c r="A143" s="570" t="s">
        <v>348</v>
      </c>
      <c r="B143" s="557"/>
      <c r="C143" s="557"/>
      <c r="D143" s="557"/>
      <c r="E143" s="557"/>
      <c r="F143" s="563">
        <v>180800.0</v>
      </c>
      <c r="G143" s="557"/>
      <c r="H143" s="557">
        <v>0.9319839903162861</v>
      </c>
      <c r="I143" s="564">
        <v>112344.0</v>
      </c>
      <c r="J143" s="565">
        <v>180800.0</v>
      </c>
      <c r="K143" s="542"/>
      <c r="L143" s="542"/>
      <c r="M143" s="542"/>
    </row>
    <row r="144">
      <c r="A144" s="570" t="s">
        <v>367</v>
      </c>
      <c r="B144" s="559" t="s">
        <v>449</v>
      </c>
      <c r="C144" s="568">
        <v>1213.0</v>
      </c>
      <c r="D144" s="557">
        <v>0.9148</v>
      </c>
      <c r="E144" s="569">
        <v>452.78</v>
      </c>
      <c r="F144" s="563">
        <v>180600.0</v>
      </c>
      <c r="G144" s="557"/>
      <c r="H144" s="559"/>
      <c r="I144" s="564">
        <v>112220.0</v>
      </c>
      <c r="J144" s="565">
        <v>180600.0</v>
      </c>
      <c r="K144" s="542"/>
      <c r="L144" s="542"/>
      <c r="M144" s="542"/>
    </row>
    <row r="145">
      <c r="A145" s="570" t="s">
        <v>595</v>
      </c>
      <c r="B145" s="557"/>
      <c r="C145" s="557"/>
      <c r="D145" s="557"/>
      <c r="E145" s="557"/>
      <c r="F145" s="563">
        <v>180050.0</v>
      </c>
      <c r="G145" s="557"/>
      <c r="H145" s="557">
        <v>0.9321015105860312</v>
      </c>
      <c r="I145" s="564">
        <v>111878.0</v>
      </c>
      <c r="J145" s="565">
        <v>180050.0</v>
      </c>
      <c r="K145" s="542"/>
      <c r="L145" s="542"/>
      <c r="M145" s="542"/>
    </row>
    <row r="146">
      <c r="A146" s="570" t="s">
        <v>1737</v>
      </c>
      <c r="B146" s="557"/>
      <c r="C146" s="557"/>
      <c r="D146" s="557"/>
      <c r="E146" s="557"/>
      <c r="F146" s="563">
        <v>179300.0</v>
      </c>
      <c r="G146" s="557"/>
      <c r="H146" s="557">
        <v>0.9322190410542048</v>
      </c>
      <c r="I146" s="564">
        <v>111412.0</v>
      </c>
      <c r="J146" s="565">
        <v>179300.0</v>
      </c>
      <c r="K146" s="542"/>
      <c r="L146" s="542"/>
      <c r="M146" s="542"/>
    </row>
    <row r="147">
      <c r="A147" s="570" t="s">
        <v>78</v>
      </c>
      <c r="B147" s="559" t="s">
        <v>143</v>
      </c>
      <c r="C147" s="568">
        <v>1091.0</v>
      </c>
      <c r="D147" s="557">
        <v>0.9336</v>
      </c>
      <c r="E147" s="569">
        <v>483.25</v>
      </c>
      <c r="F147" s="563">
        <v>179281.0</v>
      </c>
      <c r="G147" s="557">
        <v>-1.0</v>
      </c>
      <c r="H147" s="559"/>
      <c r="I147" s="564">
        <v>111400.0</v>
      </c>
      <c r="J147" s="565">
        <v>179281.0</v>
      </c>
      <c r="K147" s="542"/>
      <c r="L147" s="542"/>
      <c r="M147" s="542"/>
    </row>
    <row r="148">
      <c r="A148" s="570" t="s">
        <v>126</v>
      </c>
      <c r="B148" s="557"/>
      <c r="C148" s="557"/>
      <c r="D148" s="557"/>
      <c r="E148" s="557"/>
      <c r="F148" s="563">
        <v>178550.0</v>
      </c>
      <c r="G148" s="557"/>
      <c r="H148" s="557">
        <v>0.9323365820880584</v>
      </c>
      <c r="I148" s="564">
        <v>110946.0</v>
      </c>
      <c r="J148" s="565">
        <v>178550.0</v>
      </c>
      <c r="K148" s="542"/>
      <c r="L148" s="542"/>
      <c r="M148" s="542"/>
    </row>
    <row r="149">
      <c r="A149" s="570" t="s">
        <v>1460</v>
      </c>
      <c r="B149" s="557"/>
      <c r="C149" s="557"/>
      <c r="D149" s="557"/>
      <c r="E149" s="557"/>
      <c r="F149" s="563">
        <v>177800.0</v>
      </c>
      <c r="G149" s="557"/>
      <c r="H149" s="557">
        <v>0.9324541340680681</v>
      </c>
      <c r="I149" s="564">
        <v>110480.0</v>
      </c>
      <c r="J149" s="565">
        <v>177800.0</v>
      </c>
      <c r="K149" s="542"/>
      <c r="L149" s="542"/>
      <c r="M149" s="542"/>
    </row>
    <row r="150">
      <c r="A150" s="570" t="s">
        <v>1740</v>
      </c>
      <c r="B150" s="557"/>
      <c r="C150" s="557"/>
      <c r="D150" s="557"/>
      <c r="E150" s="557"/>
      <c r="F150" s="563">
        <v>177050.0</v>
      </c>
      <c r="G150" s="557"/>
      <c r="H150" s="557">
        <v>0.9325716973884114</v>
      </c>
      <c r="I150" s="564">
        <v>110014.0</v>
      </c>
      <c r="J150" s="565">
        <v>177050.0</v>
      </c>
      <c r="K150" s="542"/>
      <c r="L150" s="542"/>
      <c r="M150" s="542"/>
    </row>
    <row r="151">
      <c r="A151" s="570" t="s">
        <v>1741</v>
      </c>
      <c r="B151" s="557"/>
      <c r="C151" s="557"/>
      <c r="D151" s="557"/>
      <c r="E151" s="557"/>
      <c r="F151" s="563">
        <v>176300.0</v>
      </c>
      <c r="G151" s="557"/>
      <c r="H151" s="557">
        <v>0.9326892724574603</v>
      </c>
      <c r="I151" s="564">
        <v>109548.0</v>
      </c>
      <c r="J151" s="565">
        <v>176300.0</v>
      </c>
      <c r="K151" s="542"/>
      <c r="L151" s="542"/>
      <c r="M151" s="542"/>
    </row>
    <row r="152">
      <c r="A152" s="570" t="s">
        <v>1742</v>
      </c>
      <c r="B152" s="559" t="s">
        <v>449</v>
      </c>
      <c r="C152" s="568">
        <v>1189.0</v>
      </c>
      <c r="D152" s="557">
        <v>0.9223</v>
      </c>
      <c r="E152" s="569">
        <v>437.55</v>
      </c>
      <c r="F152" s="563">
        <v>176157.0</v>
      </c>
      <c r="G152" s="557"/>
      <c r="H152" s="559"/>
      <c r="I152" s="564">
        <v>109459.0</v>
      </c>
      <c r="J152" s="565">
        <v>176157.0</v>
      </c>
      <c r="K152" s="542"/>
      <c r="L152" s="542"/>
      <c r="M152" s="542"/>
    </row>
    <row r="153">
      <c r="A153" s="570" t="s">
        <v>131</v>
      </c>
      <c r="B153" s="557"/>
      <c r="C153" s="557"/>
      <c r="D153" s="557"/>
      <c r="E153" s="557"/>
      <c r="F153" s="563">
        <v>175550.0</v>
      </c>
      <c r="G153" s="557"/>
      <c r="H153" s="557">
        <v>0.9328068596982926</v>
      </c>
      <c r="I153" s="564">
        <v>109082.0</v>
      </c>
      <c r="J153" s="565">
        <v>175550.0</v>
      </c>
      <c r="K153" s="542"/>
      <c r="L153" s="542"/>
      <c r="M153" s="542"/>
    </row>
    <row r="154">
      <c r="A154" s="570" t="s">
        <v>136</v>
      </c>
      <c r="B154" s="557"/>
      <c r="C154" s="557"/>
      <c r="D154" s="557"/>
      <c r="E154" s="557"/>
      <c r="F154" s="563">
        <v>174800.0</v>
      </c>
      <c r="G154" s="557"/>
      <c r="H154" s="557">
        <v>0.9329244595492212</v>
      </c>
      <c r="I154" s="564">
        <v>108616.0</v>
      </c>
      <c r="J154" s="565">
        <v>174800.0</v>
      </c>
      <c r="K154" s="542"/>
      <c r="L154" s="542"/>
      <c r="M154" s="542"/>
    </row>
    <row r="155">
      <c r="A155" s="570" t="s">
        <v>1710</v>
      </c>
      <c r="B155" s="557"/>
      <c r="C155" s="557"/>
      <c r="D155" s="557"/>
      <c r="E155" s="557"/>
      <c r="F155" s="563">
        <v>174050.0</v>
      </c>
      <c r="G155" s="557"/>
      <c r="H155" s="557">
        <v>0.9330420724643432</v>
      </c>
      <c r="I155" s="564">
        <v>108150.0</v>
      </c>
      <c r="J155" s="565">
        <v>174050.0</v>
      </c>
      <c r="K155" s="542"/>
      <c r="L155" s="542"/>
      <c r="M155" s="542"/>
    </row>
    <row r="156">
      <c r="A156" s="570" t="s">
        <v>1745</v>
      </c>
      <c r="B156" s="557"/>
      <c r="C156" s="557"/>
      <c r="D156" s="557"/>
      <c r="E156" s="557"/>
      <c r="F156" s="563">
        <v>173300.0</v>
      </c>
      <c r="G156" s="557"/>
      <c r="H156" s="557">
        <v>0.9331596989141078</v>
      </c>
      <c r="I156" s="564">
        <v>107684.0</v>
      </c>
      <c r="J156" s="565">
        <v>173300.0</v>
      </c>
      <c r="K156" s="542"/>
      <c r="L156" s="542"/>
      <c r="M156" s="542"/>
    </row>
    <row r="157">
      <c r="A157" s="570" t="s">
        <v>1043</v>
      </c>
      <c r="B157" s="559" t="s">
        <v>623</v>
      </c>
      <c r="C157" s="568">
        <v>1064.0</v>
      </c>
      <c r="D157" s="557">
        <v>0.9524</v>
      </c>
      <c r="E157" s="569">
        <v>415.91</v>
      </c>
      <c r="F157" s="563">
        <v>172871.0</v>
      </c>
      <c r="G157" s="557"/>
      <c r="H157" s="559"/>
      <c r="I157" s="564">
        <v>107417.0</v>
      </c>
      <c r="J157" s="565">
        <v>172871.0</v>
      </c>
      <c r="K157" s="542"/>
      <c r="L157" s="542"/>
      <c r="M157" s="542"/>
    </row>
    <row r="158">
      <c r="A158" s="570" t="s">
        <v>1746</v>
      </c>
      <c r="B158" s="557"/>
      <c r="C158" s="557"/>
      <c r="D158" s="557"/>
      <c r="E158" s="557"/>
      <c r="F158" s="563">
        <v>172550.0</v>
      </c>
      <c r="G158" s="557"/>
      <c r="H158" s="557">
        <v>0.9332773393859052</v>
      </c>
      <c r="I158" s="564">
        <v>107218.0</v>
      </c>
      <c r="J158" s="565">
        <v>172550.0</v>
      </c>
      <c r="K158" s="542"/>
      <c r="L158" s="542"/>
      <c r="M158" s="542"/>
    </row>
    <row r="159">
      <c r="A159" s="570" t="s">
        <v>617</v>
      </c>
      <c r="B159" s="559" t="s">
        <v>126</v>
      </c>
      <c r="C159" s="568">
        <v>982.0</v>
      </c>
      <c r="D159" s="557">
        <v>0.9264</v>
      </c>
      <c r="E159" s="569">
        <v>486.22</v>
      </c>
      <c r="F159" s="563">
        <v>172000.0</v>
      </c>
      <c r="G159" s="557"/>
      <c r="H159" s="559"/>
      <c r="I159" s="564">
        <v>106876.0</v>
      </c>
      <c r="J159" s="565">
        <v>172000.0</v>
      </c>
      <c r="K159" s="542"/>
      <c r="L159" s="542"/>
      <c r="M159" s="542"/>
    </row>
    <row r="160">
      <c r="A160" s="570" t="s">
        <v>1748</v>
      </c>
      <c r="B160" s="559" t="s">
        <v>1648</v>
      </c>
      <c r="C160" s="568">
        <v>791.0</v>
      </c>
      <c r="D160" s="557">
        <v>0.9616</v>
      </c>
      <c r="E160" s="569">
        <v>479.07</v>
      </c>
      <c r="F160" s="563">
        <v>171941.0</v>
      </c>
      <c r="G160" s="557"/>
      <c r="H160" s="559"/>
      <c r="I160" s="564">
        <v>106839.0</v>
      </c>
      <c r="J160" s="565">
        <v>171941.0</v>
      </c>
      <c r="K160" s="542"/>
      <c r="L160" s="542"/>
      <c r="M160" s="542"/>
    </row>
    <row r="161">
      <c r="A161" s="570" t="s">
        <v>663</v>
      </c>
      <c r="B161" s="557"/>
      <c r="C161" s="557"/>
      <c r="D161" s="557"/>
      <c r="E161" s="557"/>
      <c r="F161" s="563">
        <v>171800.0</v>
      </c>
      <c r="G161" s="557"/>
      <c r="H161" s="557">
        <v>0.9333949943846769</v>
      </c>
      <c r="I161" s="564">
        <v>106752.0</v>
      </c>
      <c r="J161" s="565">
        <v>171800.0</v>
      </c>
      <c r="K161" s="542"/>
      <c r="L161" s="542"/>
      <c r="M161" s="542"/>
    </row>
    <row r="162">
      <c r="A162" s="570" t="s">
        <v>1505</v>
      </c>
      <c r="B162" s="559" t="s">
        <v>449</v>
      </c>
      <c r="C162" s="568">
        <v>1148.0</v>
      </c>
      <c r="D162" s="557">
        <v>0.9148</v>
      </c>
      <c r="E162" s="569">
        <v>428.24</v>
      </c>
      <c r="F162" s="563">
        <v>171735.0</v>
      </c>
      <c r="G162" s="557"/>
      <c r="H162" s="559"/>
      <c r="I162" s="564">
        <v>106711.0</v>
      </c>
      <c r="J162" s="565">
        <v>171735.0</v>
      </c>
      <c r="K162" s="542"/>
      <c r="L162" s="542"/>
      <c r="M162" s="542"/>
    </row>
    <row r="163">
      <c r="A163" s="570" t="s">
        <v>255</v>
      </c>
      <c r="B163" s="557"/>
      <c r="C163" s="557"/>
      <c r="D163" s="557"/>
      <c r="E163" s="557"/>
      <c r="F163" s="563">
        <v>171050.0</v>
      </c>
      <c r="G163" s="557"/>
      <c r="H163" s="557">
        <v>0.9335126644335479</v>
      </c>
      <c r="I163" s="564">
        <v>106286.0</v>
      </c>
      <c r="J163" s="565">
        <v>171050.0</v>
      </c>
      <c r="K163" s="542"/>
      <c r="L163" s="542"/>
      <c r="M163" s="542"/>
    </row>
    <row r="164">
      <c r="A164" s="570" t="s">
        <v>76</v>
      </c>
      <c r="B164" s="557"/>
      <c r="C164" s="557"/>
      <c r="D164" s="557"/>
      <c r="E164" s="557"/>
      <c r="F164" s="563">
        <v>170300.0</v>
      </c>
      <c r="G164" s="557"/>
      <c r="H164" s="557">
        <v>0.933630350074481</v>
      </c>
      <c r="I164" s="564">
        <v>105820.0</v>
      </c>
      <c r="J164" s="565">
        <v>170300.0</v>
      </c>
      <c r="K164" s="542"/>
      <c r="L164" s="542"/>
      <c r="M164" s="542"/>
    </row>
    <row r="165">
      <c r="A165" s="570" t="s">
        <v>480</v>
      </c>
      <c r="B165" s="557"/>
      <c r="C165" s="557"/>
      <c r="D165" s="557"/>
      <c r="E165" s="557"/>
      <c r="F165" s="563">
        <v>169550.0</v>
      </c>
      <c r="G165" s="557"/>
      <c r="H165" s="557">
        <v>0.9337480518689554</v>
      </c>
      <c r="I165" s="564">
        <v>105353.0</v>
      </c>
      <c r="J165" s="565">
        <v>169550.0</v>
      </c>
      <c r="K165" s="542"/>
      <c r="L165" s="542"/>
      <c r="M165" s="542"/>
    </row>
    <row r="166">
      <c r="A166" s="570" t="s">
        <v>1560</v>
      </c>
      <c r="B166" s="559" t="s">
        <v>1322</v>
      </c>
      <c r="C166" s="568">
        <v>820.0</v>
      </c>
      <c r="D166" s="557">
        <v>0.9628</v>
      </c>
      <c r="E166" s="569">
        <v>551.08</v>
      </c>
      <c r="F166" s="563">
        <v>169000.0</v>
      </c>
      <c r="G166" s="557"/>
      <c r="H166" s="559"/>
      <c r="I166" s="564">
        <v>105012.0</v>
      </c>
      <c r="J166" s="565">
        <v>169000.0</v>
      </c>
      <c r="K166" s="542"/>
      <c r="L166" s="542"/>
      <c r="M166" s="542"/>
    </row>
    <row r="167">
      <c r="A167" s="570" t="s">
        <v>689</v>
      </c>
      <c r="B167" s="557"/>
      <c r="C167" s="557"/>
      <c r="D167" s="557"/>
      <c r="E167" s="557"/>
      <c r="F167" s="563">
        <v>168800.0</v>
      </c>
      <c r="G167" s="557"/>
      <c r="H167" s="557">
        <v>0.9338657703986696</v>
      </c>
      <c r="I167" s="564">
        <v>104887.0</v>
      </c>
      <c r="J167" s="565">
        <v>168800.0</v>
      </c>
      <c r="K167" s="542"/>
      <c r="L167" s="542"/>
      <c r="M167" s="542"/>
    </row>
    <row r="168">
      <c r="A168" s="570" t="s">
        <v>1751</v>
      </c>
      <c r="B168" s="557"/>
      <c r="C168" s="557"/>
      <c r="D168" s="557"/>
      <c r="E168" s="557"/>
      <c r="F168" s="563">
        <v>168050.0</v>
      </c>
      <c r="G168" s="557"/>
      <c r="H168" s="557">
        <v>0.9339835062662691</v>
      </c>
      <c r="I168" s="564">
        <v>104421.0</v>
      </c>
      <c r="J168" s="565">
        <v>168050.0</v>
      </c>
      <c r="K168" s="542"/>
      <c r="L168" s="542"/>
      <c r="M168" s="542"/>
    </row>
    <row r="169">
      <c r="A169" s="570" t="s">
        <v>1752</v>
      </c>
      <c r="B169" s="557"/>
      <c r="C169" s="557"/>
      <c r="D169" s="557"/>
      <c r="E169" s="557"/>
      <c r="F169" s="563">
        <v>167300.0</v>
      </c>
      <c r="G169" s="557"/>
      <c r="H169" s="557">
        <v>0.9341012600961016</v>
      </c>
      <c r="I169" s="564">
        <v>103955.0</v>
      </c>
      <c r="J169" s="565">
        <v>167300.0</v>
      </c>
      <c r="K169" s="542"/>
      <c r="L169" s="542"/>
      <c r="M169" s="542"/>
    </row>
    <row r="170">
      <c r="A170" s="570" t="s">
        <v>710</v>
      </c>
      <c r="B170" s="557"/>
      <c r="C170" s="557"/>
      <c r="D170" s="557"/>
      <c r="E170" s="557"/>
      <c r="F170" s="563">
        <v>166550.0</v>
      </c>
      <c r="G170" s="557"/>
      <c r="H170" s="557">
        <v>0.9342190325349974</v>
      </c>
      <c r="I170" s="564">
        <v>103489.0</v>
      </c>
      <c r="J170" s="565">
        <v>166550.0</v>
      </c>
      <c r="K170" s="542"/>
      <c r="L170" s="542"/>
      <c r="M170" s="542"/>
    </row>
    <row r="171">
      <c r="A171" s="570" t="s">
        <v>1744</v>
      </c>
      <c r="B171" s="557"/>
      <c r="C171" s="557"/>
      <c r="D171" s="557"/>
      <c r="E171" s="557"/>
      <c r="F171" s="563">
        <v>165800.0</v>
      </c>
      <c r="G171" s="557"/>
      <c r="H171" s="557">
        <v>0.9343368242530796</v>
      </c>
      <c r="I171" s="564">
        <v>103023.0</v>
      </c>
      <c r="J171" s="565">
        <v>165800.0</v>
      </c>
      <c r="K171" s="542"/>
      <c r="L171" s="542"/>
      <c r="M171" s="542"/>
    </row>
    <row r="172">
      <c r="A172" s="570" t="s">
        <v>1551</v>
      </c>
      <c r="B172" s="557"/>
      <c r="C172" s="557"/>
      <c r="D172" s="557"/>
      <c r="E172" s="557"/>
      <c r="F172" s="563">
        <v>165050.0</v>
      </c>
      <c r="G172" s="557"/>
      <c r="H172" s="557">
        <v>0.9344546359446032</v>
      </c>
      <c r="I172" s="564">
        <v>102557.0</v>
      </c>
      <c r="J172" s="565">
        <v>165050.0</v>
      </c>
      <c r="K172" s="542"/>
      <c r="L172" s="542"/>
      <c r="M172" s="542"/>
    </row>
    <row r="173">
      <c r="A173" s="570" t="s">
        <v>192</v>
      </c>
      <c r="B173" s="559" t="s">
        <v>126</v>
      </c>
      <c r="C173" s="568">
        <v>939.0</v>
      </c>
      <c r="D173" s="557">
        <v>0.9289</v>
      </c>
      <c r="E173" s="569">
        <v>465.82</v>
      </c>
      <c r="F173" s="563">
        <v>165000.0</v>
      </c>
      <c r="G173" s="557"/>
      <c r="H173" s="559"/>
      <c r="I173" s="564">
        <v>102526.0</v>
      </c>
      <c r="J173" s="565">
        <v>165000.0</v>
      </c>
      <c r="K173" s="542"/>
      <c r="L173" s="542"/>
      <c r="M173" s="542"/>
    </row>
    <row r="174">
      <c r="A174" s="570" t="s">
        <v>1726</v>
      </c>
      <c r="B174" s="557"/>
      <c r="C174" s="557"/>
      <c r="D174" s="557"/>
      <c r="E174" s="557"/>
      <c r="F174" s="563">
        <v>164300.0</v>
      </c>
      <c r="G174" s="557"/>
      <c r="H174" s="557">
        <v>0.9345724683288232</v>
      </c>
      <c r="I174" s="564">
        <v>102091.0</v>
      </c>
      <c r="J174" s="565">
        <v>164300.0</v>
      </c>
      <c r="K174" s="542"/>
      <c r="L174" s="542"/>
      <c r="M174" s="542"/>
    </row>
    <row r="175">
      <c r="A175" s="570" t="s">
        <v>1755</v>
      </c>
      <c r="B175" s="557"/>
      <c r="C175" s="557"/>
      <c r="D175" s="557"/>
      <c r="E175" s="557"/>
      <c r="F175" s="563">
        <v>163550.0</v>
      </c>
      <c r="G175" s="557"/>
      <c r="H175" s="557">
        <v>0.9346903221508958</v>
      </c>
      <c r="I175" s="564">
        <v>101625.0</v>
      </c>
      <c r="J175" s="565">
        <v>163550.0</v>
      </c>
      <c r="K175" s="542"/>
      <c r="L175" s="542"/>
      <c r="M175" s="542"/>
    </row>
    <row r="176">
      <c r="A176" s="570" t="s">
        <v>1623</v>
      </c>
      <c r="B176" s="557"/>
      <c r="C176" s="557"/>
      <c r="D176" s="557"/>
      <c r="E176" s="557"/>
      <c r="F176" s="563">
        <v>162800.0</v>
      </c>
      <c r="G176" s="557"/>
      <c r="H176" s="557">
        <v>0.9348081981828106</v>
      </c>
      <c r="I176" s="564">
        <v>101159.0</v>
      </c>
      <c r="J176" s="565">
        <v>162800.0</v>
      </c>
      <c r="K176" s="542"/>
      <c r="L176" s="542"/>
      <c r="M176" s="542"/>
    </row>
    <row r="177">
      <c r="A177" s="570" t="s">
        <v>1063</v>
      </c>
      <c r="B177" s="557"/>
      <c r="C177" s="557"/>
      <c r="D177" s="557"/>
      <c r="E177" s="557"/>
      <c r="F177" s="563">
        <v>162050.0</v>
      </c>
      <c r="G177" s="557"/>
      <c r="H177" s="557">
        <v>0.9349260972243567</v>
      </c>
      <c r="I177" s="564">
        <v>100693.0</v>
      </c>
      <c r="J177" s="565">
        <v>162050.0</v>
      </c>
      <c r="K177" s="542"/>
      <c r="L177" s="542"/>
      <c r="M177" s="542"/>
    </row>
    <row r="178">
      <c r="A178" s="570" t="s">
        <v>1757</v>
      </c>
      <c r="B178" s="557"/>
      <c r="C178" s="557"/>
      <c r="D178" s="557"/>
      <c r="E178" s="557"/>
      <c r="F178" s="563">
        <v>161300.0</v>
      </c>
      <c r="G178" s="557"/>
      <c r="H178" s="557">
        <v>0.9350440201041245</v>
      </c>
      <c r="I178" s="564">
        <v>100227.0</v>
      </c>
      <c r="J178" s="565">
        <v>161300.0</v>
      </c>
      <c r="K178" s="542"/>
      <c r="L178" s="542"/>
      <c r="M178" s="542"/>
    </row>
    <row r="179">
      <c r="A179" s="570" t="s">
        <v>1759</v>
      </c>
      <c r="B179" s="559" t="s">
        <v>143</v>
      </c>
      <c r="C179" s="568">
        <v>1014.0</v>
      </c>
      <c r="D179" s="557">
        <v>0.9411</v>
      </c>
      <c r="E179" s="569">
        <v>427.59</v>
      </c>
      <c r="F179" s="563">
        <v>160728.0</v>
      </c>
      <c r="G179" s="557">
        <v>-1.0</v>
      </c>
      <c r="H179" s="559"/>
      <c r="I179" s="564">
        <v>99872.0</v>
      </c>
      <c r="J179" s="565">
        <v>160728.0</v>
      </c>
      <c r="K179" s="542"/>
      <c r="L179" s="542"/>
      <c r="M179" s="542"/>
    </row>
    <row r="180">
      <c r="A180" s="570" t="s">
        <v>1761</v>
      </c>
      <c r="B180" s="557"/>
      <c r="C180" s="557"/>
      <c r="D180" s="557"/>
      <c r="E180" s="557"/>
      <c r="F180" s="563">
        <v>160550.0</v>
      </c>
      <c r="G180" s="557"/>
      <c r="H180" s="557">
        <v>0.9351619676805422</v>
      </c>
      <c r="I180" s="564">
        <v>99761.0</v>
      </c>
      <c r="J180" s="565">
        <v>160550.0</v>
      </c>
      <c r="K180" s="542"/>
      <c r="L180" s="542"/>
      <c r="M180" s="542"/>
    </row>
    <row r="181">
      <c r="A181" s="570" t="s">
        <v>299</v>
      </c>
      <c r="B181" s="557"/>
      <c r="C181" s="557"/>
      <c r="D181" s="557"/>
      <c r="E181" s="557"/>
      <c r="F181" s="563">
        <v>159800.0</v>
      </c>
      <c r="G181" s="557"/>
      <c r="H181" s="557">
        <v>0.9352799408429506</v>
      </c>
      <c r="I181" s="564">
        <v>99295.0</v>
      </c>
      <c r="J181" s="565">
        <v>159800.0</v>
      </c>
      <c r="K181" s="542"/>
      <c r="L181" s="542"/>
      <c r="M181" s="542"/>
    </row>
    <row r="182">
      <c r="A182" s="570" t="s">
        <v>541</v>
      </c>
      <c r="B182" s="559" t="s">
        <v>169</v>
      </c>
      <c r="C182" s="568">
        <v>1573.0</v>
      </c>
      <c r="D182" s="557">
        <v>0.9355</v>
      </c>
      <c r="E182" s="569">
        <v>468.66</v>
      </c>
      <c r="F182" s="563">
        <v>159750.0</v>
      </c>
      <c r="G182" s="557">
        <v>-1.0</v>
      </c>
      <c r="H182" s="559"/>
      <c r="I182" s="564">
        <v>99264.0</v>
      </c>
      <c r="J182" s="565">
        <v>159750.0</v>
      </c>
      <c r="K182" s="542"/>
      <c r="L182" s="542"/>
      <c r="M182" s="542"/>
    </row>
    <row r="183">
      <c r="A183" s="570" t="s">
        <v>1762</v>
      </c>
      <c r="B183" s="557"/>
      <c r="C183" s="557"/>
      <c r="D183" s="557"/>
      <c r="E183" s="557"/>
      <c r="F183" s="563">
        <v>159050.0</v>
      </c>
      <c r="G183" s="557"/>
      <c r="H183" s="557">
        <v>0.9353979405127162</v>
      </c>
      <c r="I183" s="564">
        <v>98829.0</v>
      </c>
      <c r="J183" s="565">
        <v>159050.0</v>
      </c>
      <c r="K183" s="542"/>
      <c r="L183" s="542"/>
      <c r="M183" s="542"/>
    </row>
    <row r="184">
      <c r="A184" s="570" t="s">
        <v>454</v>
      </c>
      <c r="B184" s="559" t="s">
        <v>231</v>
      </c>
      <c r="C184" s="568">
        <v>1433.0</v>
      </c>
      <c r="D184" s="557">
        <v>0.9223</v>
      </c>
      <c r="E184" s="569">
        <v>427.49</v>
      </c>
      <c r="F184" s="563">
        <v>158400.0</v>
      </c>
      <c r="G184" s="557"/>
      <c r="H184" s="559"/>
      <c r="I184" s="564">
        <v>98425.0</v>
      </c>
      <c r="J184" s="565">
        <v>158400.0</v>
      </c>
      <c r="K184" s="542"/>
      <c r="L184" s="542"/>
      <c r="M184" s="542"/>
    </row>
    <row r="185">
      <c r="A185" s="570" t="s">
        <v>84</v>
      </c>
      <c r="B185" s="557"/>
      <c r="C185" s="557"/>
      <c r="D185" s="557"/>
      <c r="E185" s="557"/>
      <c r="F185" s="563">
        <v>158300.0</v>
      </c>
      <c r="G185" s="557"/>
      <c r="H185" s="557">
        <v>0.9355159676443842</v>
      </c>
      <c r="I185" s="564">
        <v>98363.0</v>
      </c>
      <c r="J185" s="565">
        <v>158300.0</v>
      </c>
      <c r="K185" s="542"/>
      <c r="L185" s="542"/>
      <c r="M185" s="542"/>
    </row>
    <row r="186">
      <c r="A186" s="570" t="s">
        <v>1493</v>
      </c>
      <c r="B186" s="559" t="s">
        <v>1764</v>
      </c>
      <c r="C186" s="568">
        <v>1068.0</v>
      </c>
      <c r="D186" s="557">
        <v>0.939</v>
      </c>
      <c r="E186" s="569">
        <v>467.66</v>
      </c>
      <c r="F186" s="563">
        <v>157556.0</v>
      </c>
      <c r="G186" s="557"/>
      <c r="H186" s="559"/>
      <c r="I186" s="564">
        <v>97901.0</v>
      </c>
      <c r="J186" s="565">
        <v>157556.0</v>
      </c>
      <c r="K186" s="542"/>
      <c r="L186" s="542"/>
      <c r="M186" s="542"/>
    </row>
    <row r="187">
      <c r="A187" s="570" t="s">
        <v>605</v>
      </c>
      <c r="B187" s="557"/>
      <c r="C187" s="557"/>
      <c r="D187" s="557"/>
      <c r="E187" s="557"/>
      <c r="F187" s="563">
        <v>157550.0</v>
      </c>
      <c r="G187" s="557"/>
      <c r="H187" s="557">
        <v>0.9356340232268737</v>
      </c>
      <c r="I187" s="564">
        <v>97897.0</v>
      </c>
      <c r="J187" s="565">
        <v>157550.0</v>
      </c>
      <c r="K187" s="542"/>
      <c r="L187" s="542"/>
      <c r="M187" s="542"/>
    </row>
    <row r="188">
      <c r="A188" s="570" t="s">
        <v>579</v>
      </c>
      <c r="B188" s="557"/>
      <c r="C188" s="557"/>
      <c r="D188" s="557"/>
      <c r="E188" s="557"/>
      <c r="F188" s="563">
        <v>156800.0</v>
      </c>
      <c r="G188" s="557"/>
      <c r="H188" s="557">
        <v>0.9357521082847156</v>
      </c>
      <c r="I188" s="564">
        <v>97431.0</v>
      </c>
      <c r="J188" s="565">
        <v>156800.0</v>
      </c>
      <c r="K188" s="542"/>
      <c r="L188" s="542"/>
      <c r="M188" s="542"/>
    </row>
    <row r="189">
      <c r="A189" s="570" t="s">
        <v>231</v>
      </c>
      <c r="B189" s="559" t="s">
        <v>449</v>
      </c>
      <c r="C189" s="568">
        <v>1042.0</v>
      </c>
      <c r="D189" s="557">
        <v>0.9424</v>
      </c>
      <c r="E189" s="569">
        <v>384.7</v>
      </c>
      <c r="F189" s="563">
        <v>156500.0</v>
      </c>
      <c r="G189" s="557"/>
      <c r="H189" s="559"/>
      <c r="I189" s="564">
        <v>97245.0</v>
      </c>
      <c r="J189" s="565">
        <v>156500.0</v>
      </c>
      <c r="K189" s="542"/>
      <c r="L189" s="542"/>
      <c r="M189" s="542"/>
    </row>
    <row r="190">
      <c r="A190" s="570" t="s">
        <v>138</v>
      </c>
      <c r="B190" s="559" t="s">
        <v>541</v>
      </c>
      <c r="C190" s="568">
        <v>1370.0</v>
      </c>
      <c r="D190" s="557">
        <v>0.901</v>
      </c>
      <c r="E190" s="569">
        <v>478.03</v>
      </c>
      <c r="F190" s="563">
        <v>156486.0</v>
      </c>
      <c r="G190" s="557"/>
      <c r="H190" s="559"/>
      <c r="I190" s="564">
        <v>97236.0</v>
      </c>
      <c r="J190" s="565">
        <v>156486.0</v>
      </c>
      <c r="K190" s="542"/>
      <c r="L190" s="542"/>
      <c r="M190" s="542"/>
    </row>
    <row r="191">
      <c r="A191" s="570" t="s">
        <v>554</v>
      </c>
      <c r="B191" s="559" t="s">
        <v>1652</v>
      </c>
      <c r="C191" s="568">
        <v>898.0</v>
      </c>
      <c r="D191" s="557">
        <v>0.9441</v>
      </c>
      <c r="E191" s="569">
        <v>443.51</v>
      </c>
      <c r="F191" s="563">
        <v>156115.0</v>
      </c>
      <c r="G191" s="557"/>
      <c r="H191" s="559"/>
      <c r="I191" s="564">
        <v>97005.0</v>
      </c>
      <c r="J191" s="565">
        <v>156115.0</v>
      </c>
      <c r="K191" s="542"/>
      <c r="L191" s="542"/>
      <c r="M191" s="542"/>
    </row>
    <row r="192">
      <c r="A192" s="570" t="s">
        <v>674</v>
      </c>
      <c r="B192" s="557"/>
      <c r="C192" s="557"/>
      <c r="D192" s="557"/>
      <c r="E192" s="557"/>
      <c r="F192" s="563">
        <v>156050.0</v>
      </c>
      <c r="G192" s="557"/>
      <c r="H192" s="557">
        <v>0.9358702238793342</v>
      </c>
      <c r="I192" s="564">
        <v>96965.0</v>
      </c>
      <c r="J192" s="565">
        <v>156050.0</v>
      </c>
      <c r="K192" s="542"/>
      <c r="L192" s="542"/>
      <c r="M192" s="542"/>
    </row>
    <row r="193">
      <c r="A193" s="570" t="s">
        <v>450</v>
      </c>
      <c r="B193" s="557"/>
      <c r="C193" s="557"/>
      <c r="D193" s="557"/>
      <c r="E193" s="557"/>
      <c r="F193" s="563">
        <v>155300.0</v>
      </c>
      <c r="G193" s="557"/>
      <c r="H193" s="557">
        <v>0.9359883711103768</v>
      </c>
      <c r="I193" s="564">
        <v>96499.0</v>
      </c>
      <c r="J193" s="565">
        <v>155300.0</v>
      </c>
      <c r="K193" s="542"/>
      <c r="L193" s="542"/>
      <c r="M193" s="542"/>
    </row>
    <row r="194">
      <c r="A194" s="570" t="s">
        <v>428</v>
      </c>
      <c r="B194" s="559" t="s">
        <v>126</v>
      </c>
      <c r="C194" s="568">
        <v>890.0</v>
      </c>
      <c r="D194" s="557">
        <v>0.9061</v>
      </c>
      <c r="E194" s="569">
        <v>442.83</v>
      </c>
      <c r="F194" s="563">
        <v>155000.0</v>
      </c>
      <c r="G194" s="557"/>
      <c r="H194" s="559"/>
      <c r="I194" s="564">
        <v>96313.0</v>
      </c>
      <c r="J194" s="565">
        <v>155000.0</v>
      </c>
      <c r="K194" s="542"/>
      <c r="L194" s="542"/>
      <c r="M194" s="542"/>
    </row>
    <row r="195">
      <c r="A195" s="570" t="s">
        <v>1013</v>
      </c>
      <c r="B195" s="559" t="s">
        <v>541</v>
      </c>
      <c r="C195" s="568">
        <v>1370.0</v>
      </c>
      <c r="D195" s="557">
        <v>0.9162</v>
      </c>
      <c r="E195" s="569">
        <v>468.56</v>
      </c>
      <c r="F195" s="563">
        <v>154610.0</v>
      </c>
      <c r="G195" s="557"/>
      <c r="H195" s="559"/>
      <c r="I195" s="564">
        <v>96070.0</v>
      </c>
      <c r="J195" s="565">
        <v>154610.0</v>
      </c>
      <c r="K195" s="542"/>
      <c r="L195" s="542"/>
      <c r="M195" s="542"/>
    </row>
    <row r="196">
      <c r="A196" s="570" t="s">
        <v>294</v>
      </c>
      <c r="B196" s="557"/>
      <c r="C196" s="557"/>
      <c r="D196" s="557"/>
      <c r="E196" s="557"/>
      <c r="F196" s="563">
        <v>154550.0</v>
      </c>
      <c r="G196" s="557"/>
      <c r="H196" s="557">
        <v>0.9361065511170894</v>
      </c>
      <c r="I196" s="564">
        <v>96033.0</v>
      </c>
      <c r="J196" s="565">
        <v>154550.0</v>
      </c>
      <c r="K196" s="542"/>
      <c r="L196" s="542"/>
      <c r="M196" s="542"/>
    </row>
    <row r="197">
      <c r="A197" s="570" t="s">
        <v>1662</v>
      </c>
      <c r="B197" s="559" t="s">
        <v>186</v>
      </c>
      <c r="C197" s="568">
        <v>613.0</v>
      </c>
      <c r="D197" s="557">
        <v>0.9273</v>
      </c>
      <c r="E197" s="569">
        <v>470.17</v>
      </c>
      <c r="F197" s="563">
        <v>154000.0</v>
      </c>
      <c r="G197" s="557"/>
      <c r="H197" s="559"/>
      <c r="I197" s="564">
        <v>95691.0</v>
      </c>
      <c r="J197" s="565">
        <v>154000.0</v>
      </c>
      <c r="K197" s="542"/>
      <c r="L197" s="542"/>
      <c r="M197" s="542"/>
    </row>
    <row r="198">
      <c r="A198" s="570" t="s">
        <v>536</v>
      </c>
      <c r="B198" s="557"/>
      <c r="C198" s="557"/>
      <c r="D198" s="557"/>
      <c r="E198" s="557"/>
      <c r="F198" s="563">
        <v>153800.0</v>
      </c>
      <c r="G198" s="557"/>
      <c r="H198" s="557">
        <v>0.9362247650797431</v>
      </c>
      <c r="I198" s="564">
        <v>95567.0</v>
      </c>
      <c r="J198" s="565">
        <v>153800.0</v>
      </c>
      <c r="K198" s="542"/>
      <c r="L198" s="542"/>
      <c r="M198" s="542"/>
    </row>
    <row r="199">
      <c r="A199" s="570" t="s">
        <v>1772</v>
      </c>
      <c r="B199" s="557"/>
      <c r="C199" s="557"/>
      <c r="D199" s="557"/>
      <c r="E199" s="557"/>
      <c r="F199" s="563">
        <v>153050.0</v>
      </c>
      <c r="G199" s="557"/>
      <c r="H199" s="557">
        <v>0.9363430142211109</v>
      </c>
      <c r="I199" s="564">
        <v>95101.0</v>
      </c>
      <c r="J199" s="565">
        <v>153050.0</v>
      </c>
      <c r="K199" s="542"/>
      <c r="L199" s="542"/>
      <c r="M199" s="542"/>
    </row>
    <row r="200">
      <c r="A200" s="570" t="s">
        <v>361</v>
      </c>
      <c r="B200" s="559" t="s">
        <v>798</v>
      </c>
      <c r="C200" s="568">
        <v>1639.0</v>
      </c>
      <c r="D200" s="557">
        <v>0.9637</v>
      </c>
      <c r="E200" s="569">
        <v>390.84</v>
      </c>
      <c r="F200" s="563">
        <v>152888.0</v>
      </c>
      <c r="G200" s="557">
        <v>-1.0</v>
      </c>
      <c r="H200" s="559"/>
      <c r="I200" s="564">
        <v>95000.0</v>
      </c>
      <c r="J200" s="565">
        <v>152888.0</v>
      </c>
      <c r="K200" s="542"/>
      <c r="L200" s="542"/>
      <c r="M200" s="542"/>
    </row>
    <row r="201">
      <c r="A201" s="570" t="s">
        <v>1647</v>
      </c>
      <c r="B201" s="557"/>
      <c r="C201" s="557"/>
      <c r="D201" s="557"/>
      <c r="E201" s="557"/>
      <c r="F201" s="563">
        <v>152300.0</v>
      </c>
      <c r="G201" s="557"/>
      <c r="H201" s="557">
        <v>0.9364612998079989</v>
      </c>
      <c r="I201" s="564">
        <v>94635.0</v>
      </c>
      <c r="J201" s="565">
        <v>152300.0</v>
      </c>
      <c r="K201" s="542"/>
      <c r="L201" s="542"/>
      <c r="M201" s="542"/>
    </row>
    <row r="202">
      <c r="A202" s="570" t="s">
        <v>699</v>
      </c>
      <c r="B202" s="559" t="s">
        <v>449</v>
      </c>
      <c r="C202" s="568">
        <v>1022.0</v>
      </c>
      <c r="D202" s="557">
        <v>0.9574</v>
      </c>
      <c r="E202" s="569">
        <v>371.39</v>
      </c>
      <c r="F202" s="563">
        <v>152250.0</v>
      </c>
      <c r="G202" s="557"/>
      <c r="H202" s="559"/>
      <c r="I202" s="564">
        <v>94604.0</v>
      </c>
      <c r="J202" s="565">
        <v>152250.0</v>
      </c>
      <c r="K202" s="542"/>
      <c r="L202" s="542"/>
      <c r="M202" s="542"/>
    </row>
    <row r="203">
      <c r="A203" s="570" t="s">
        <v>784</v>
      </c>
      <c r="B203" s="559" t="s">
        <v>361</v>
      </c>
      <c r="C203" s="568">
        <v>1395.0</v>
      </c>
      <c r="D203" s="557">
        <v>0.9543</v>
      </c>
      <c r="E203" s="569">
        <v>445.86</v>
      </c>
      <c r="F203" s="563">
        <v>152072.0</v>
      </c>
      <c r="G203" s="557"/>
      <c r="H203" s="559"/>
      <c r="I203" s="564">
        <v>94493.0</v>
      </c>
      <c r="J203" s="565">
        <v>152072.0</v>
      </c>
      <c r="K203" s="542"/>
      <c r="L203" s="542"/>
      <c r="M203" s="542"/>
    </row>
    <row r="204">
      <c r="A204" s="570" t="s">
        <v>1774</v>
      </c>
      <c r="B204" s="557"/>
      <c r="C204" s="557"/>
      <c r="D204" s="557"/>
      <c r="E204" s="557"/>
      <c r="F204" s="563">
        <v>151550.0</v>
      </c>
      <c r="G204" s="557"/>
      <c r="H204" s="557">
        <v>0.9365796231528314</v>
      </c>
      <c r="I204" s="564">
        <v>94169.0</v>
      </c>
      <c r="J204" s="565">
        <v>151550.0</v>
      </c>
      <c r="K204" s="542"/>
      <c r="L204" s="542"/>
      <c r="M204" s="542"/>
    </row>
    <row r="205">
      <c r="A205" s="570" t="s">
        <v>1775</v>
      </c>
      <c r="B205" s="557"/>
      <c r="C205" s="557"/>
      <c r="D205" s="557"/>
      <c r="E205" s="557"/>
      <c r="F205" s="563">
        <v>150800.0</v>
      </c>
      <c r="G205" s="557"/>
      <c r="H205" s="557">
        <v>0.936697985615294</v>
      </c>
      <c r="I205" s="564">
        <v>93703.0</v>
      </c>
      <c r="J205" s="565">
        <v>150800.0</v>
      </c>
      <c r="K205" s="542"/>
      <c r="L205" s="542"/>
      <c r="M205" s="542"/>
    </row>
    <row r="206">
      <c r="A206" s="570" t="s">
        <v>761</v>
      </c>
      <c r="B206" s="557"/>
      <c r="C206" s="557"/>
      <c r="D206" s="557"/>
      <c r="E206" s="557"/>
      <c r="F206" s="563">
        <v>150050.0</v>
      </c>
      <c r="G206" s="557"/>
      <c r="H206" s="557">
        <v>0.9368163886040356</v>
      </c>
      <c r="I206" s="564">
        <v>93237.0</v>
      </c>
      <c r="J206" s="565">
        <v>150050.0</v>
      </c>
      <c r="K206" s="542"/>
      <c r="L206" s="542"/>
      <c r="M206" s="542"/>
    </row>
    <row r="207">
      <c r="A207" s="570" t="s">
        <v>942</v>
      </c>
      <c r="B207" s="559" t="s">
        <v>126</v>
      </c>
      <c r="C207" s="568">
        <v>863.0</v>
      </c>
      <c r="D207" s="557">
        <v>0.9035</v>
      </c>
      <c r="E207" s="569">
        <v>435.23</v>
      </c>
      <c r="F207" s="563">
        <v>150000.0</v>
      </c>
      <c r="G207" s="557"/>
      <c r="H207" s="559"/>
      <c r="I207" s="564">
        <v>93206.0</v>
      </c>
      <c r="J207" s="565">
        <v>150000.0</v>
      </c>
      <c r="K207" s="542"/>
      <c r="L207" s="542"/>
      <c r="M207" s="542"/>
    </row>
    <row r="208">
      <c r="A208" s="570" t="s">
        <v>1776</v>
      </c>
      <c r="B208" s="557"/>
      <c r="C208" s="557"/>
      <c r="D208" s="557"/>
      <c r="E208" s="557"/>
      <c r="F208" s="563">
        <v>149300.0</v>
      </c>
      <c r="G208" s="557"/>
      <c r="H208" s="557">
        <v>0.9369348335784308</v>
      </c>
      <c r="I208" s="564">
        <v>92771.0</v>
      </c>
      <c r="J208" s="565">
        <v>149300.0</v>
      </c>
      <c r="K208" s="542"/>
      <c r="L208" s="542"/>
      <c r="M208" s="542"/>
    </row>
    <row r="209">
      <c r="A209" s="570" t="s">
        <v>1637</v>
      </c>
      <c r="B209" s="559" t="s">
        <v>143</v>
      </c>
      <c r="C209" s="568">
        <v>962.0</v>
      </c>
      <c r="D209" s="557">
        <v>0.9411</v>
      </c>
      <c r="E209" s="569">
        <v>402.61</v>
      </c>
      <c r="F209" s="563">
        <v>149025.0</v>
      </c>
      <c r="G209" s="557">
        <v>-1.0</v>
      </c>
      <c r="H209" s="559"/>
      <c r="I209" s="564">
        <v>92600.0</v>
      </c>
      <c r="J209" s="565">
        <v>149025.0</v>
      </c>
      <c r="K209" s="542"/>
      <c r="L209" s="542"/>
      <c r="M209" s="542"/>
    </row>
    <row r="210">
      <c r="A210" s="570" t="s">
        <v>681</v>
      </c>
      <c r="B210" s="557"/>
      <c r="C210" s="557"/>
      <c r="D210" s="557"/>
      <c r="E210" s="557"/>
      <c r="F210" s="563">
        <v>148550.0</v>
      </c>
      <c r="G210" s="557"/>
      <c r="H210" s="557">
        <v>0.9370533220504076</v>
      </c>
      <c r="I210" s="564">
        <v>92305.0</v>
      </c>
      <c r="J210" s="565">
        <v>148550.0</v>
      </c>
      <c r="K210" s="542"/>
      <c r="L210" s="542"/>
      <c r="M210" s="542"/>
    </row>
    <row r="211">
      <c r="A211" s="570" t="s">
        <v>640</v>
      </c>
      <c r="B211" s="559" t="s">
        <v>449</v>
      </c>
      <c r="C211" s="568">
        <v>994.0</v>
      </c>
      <c r="D211" s="557">
        <v>0.9499</v>
      </c>
      <c r="E211" s="569">
        <v>364.74</v>
      </c>
      <c r="F211" s="563">
        <v>148150.0</v>
      </c>
      <c r="G211" s="557"/>
      <c r="H211" s="559"/>
      <c r="I211" s="564">
        <v>92056.0</v>
      </c>
      <c r="J211" s="565">
        <v>148150.0</v>
      </c>
      <c r="K211" s="542"/>
      <c r="L211" s="542"/>
      <c r="M211" s="542"/>
    </row>
    <row r="212">
      <c r="A212" s="570" t="s">
        <v>1454</v>
      </c>
      <c r="B212" s="557"/>
      <c r="C212" s="557"/>
      <c r="D212" s="557"/>
      <c r="E212" s="557"/>
      <c r="F212" s="563">
        <v>147800.0</v>
      </c>
      <c r="G212" s="557"/>
      <c r="H212" s="557">
        <v>0.9371718555863391</v>
      </c>
      <c r="I212" s="564">
        <v>91839.0</v>
      </c>
      <c r="J212" s="565">
        <v>147800.0</v>
      </c>
      <c r="K212" s="542"/>
      <c r="L212" s="542"/>
      <c r="M212" s="542"/>
    </row>
    <row r="213">
      <c r="A213" s="570" t="s">
        <v>1779</v>
      </c>
      <c r="B213" s="559" t="s">
        <v>541</v>
      </c>
      <c r="C213" s="568">
        <v>1126.0</v>
      </c>
      <c r="D213" s="557">
        <v>0.9467</v>
      </c>
      <c r="E213" s="569">
        <v>442.76</v>
      </c>
      <c r="F213" s="563">
        <v>147768.0</v>
      </c>
      <c r="G213" s="557"/>
      <c r="H213" s="559"/>
      <c r="I213" s="564">
        <v>91819.0</v>
      </c>
      <c r="J213" s="565">
        <v>147768.0</v>
      </c>
      <c r="K213" s="542"/>
      <c r="L213" s="542"/>
      <c r="M213" s="542"/>
    </row>
    <row r="214">
      <c r="A214" s="570" t="s">
        <v>125</v>
      </c>
      <c r="B214" s="559" t="s">
        <v>169</v>
      </c>
      <c r="C214" s="568">
        <v>1472.0</v>
      </c>
      <c r="D214" s="557">
        <v>0.9308</v>
      </c>
      <c r="E214" s="569">
        <v>424.48</v>
      </c>
      <c r="F214" s="563">
        <v>147694.0</v>
      </c>
      <c r="G214" s="557">
        <v>-1.0</v>
      </c>
      <c r="H214" s="559"/>
      <c r="I214" s="564">
        <v>91773.0</v>
      </c>
      <c r="J214" s="565">
        <v>147694.0</v>
      </c>
      <c r="K214" s="542"/>
      <c r="L214" s="542"/>
      <c r="M214" s="542"/>
    </row>
    <row r="215">
      <c r="A215" s="570" t="s">
        <v>261</v>
      </c>
      <c r="B215" s="559" t="s">
        <v>169</v>
      </c>
      <c r="C215" s="568">
        <v>1465.0</v>
      </c>
      <c r="D215" s="557">
        <v>0.8934</v>
      </c>
      <c r="E215" s="569">
        <v>430.09</v>
      </c>
      <c r="F215" s="563">
        <v>147433.0</v>
      </c>
      <c r="G215" s="557">
        <v>-1.0</v>
      </c>
      <c r="H215" s="559"/>
      <c r="I215" s="564">
        <v>91611.0</v>
      </c>
      <c r="J215" s="565">
        <v>147433.0</v>
      </c>
      <c r="K215" s="542"/>
      <c r="L215" s="542"/>
      <c r="M215" s="542"/>
    </row>
    <row r="216">
      <c r="A216" s="570" t="s">
        <v>829</v>
      </c>
      <c r="B216" s="557"/>
      <c r="C216" s="557"/>
      <c r="D216" s="557"/>
      <c r="E216" s="557"/>
      <c r="F216" s="563">
        <v>147050.0</v>
      </c>
      <c r="G216" s="557"/>
      <c r="H216" s="557">
        <v>0.9372904358090047</v>
      </c>
      <c r="I216" s="564">
        <v>91373.0</v>
      </c>
      <c r="J216" s="565">
        <v>147050.0</v>
      </c>
      <c r="K216" s="542"/>
      <c r="L216" s="542"/>
      <c r="M216" s="542"/>
    </row>
    <row r="217">
      <c r="A217" s="570" t="s">
        <v>548</v>
      </c>
      <c r="B217" s="559" t="s">
        <v>78</v>
      </c>
      <c r="C217" s="568">
        <v>1550.0</v>
      </c>
      <c r="D217" s="557">
        <v>0.9223</v>
      </c>
      <c r="E217" s="569">
        <v>376.28</v>
      </c>
      <c r="F217" s="563">
        <v>146904.0</v>
      </c>
      <c r="G217" s="557">
        <v>-1.0</v>
      </c>
      <c r="H217" s="559"/>
      <c r="I217" s="564">
        <v>91282.0</v>
      </c>
      <c r="J217" s="565">
        <v>146904.0</v>
      </c>
      <c r="K217" s="542"/>
      <c r="L217" s="542"/>
      <c r="M217" s="542"/>
    </row>
    <row r="218">
      <c r="A218" s="570" t="s">
        <v>194</v>
      </c>
      <c r="B218" s="557"/>
      <c r="C218" s="557"/>
      <c r="D218" s="557"/>
      <c r="E218" s="557"/>
      <c r="F218" s="563">
        <v>146300.0</v>
      </c>
      <c r="G218" s="557"/>
      <c r="H218" s="557">
        <v>0.9374090643996209</v>
      </c>
      <c r="I218" s="564">
        <v>90907.0</v>
      </c>
      <c r="J218" s="565">
        <v>146300.0</v>
      </c>
      <c r="K218" s="542"/>
      <c r="L218" s="542"/>
      <c r="M218" s="542"/>
    </row>
    <row r="219">
      <c r="A219" s="570" t="s">
        <v>661</v>
      </c>
      <c r="B219" s="557"/>
      <c r="C219" s="557"/>
      <c r="D219" s="557"/>
      <c r="E219" s="557"/>
      <c r="F219" s="563">
        <v>145550.0</v>
      </c>
      <c r="G219" s="557"/>
      <c r="H219" s="557">
        <v>0.9375277430999456</v>
      </c>
      <c r="I219" s="564">
        <v>90441.0</v>
      </c>
      <c r="J219" s="565">
        <v>145550.0</v>
      </c>
      <c r="K219" s="542"/>
      <c r="L219" s="542"/>
      <c r="M219" s="542"/>
    </row>
    <row r="220">
      <c r="A220" s="570" t="s">
        <v>296</v>
      </c>
      <c r="B220" s="559" t="s">
        <v>623</v>
      </c>
      <c r="C220" s="568">
        <v>904.0</v>
      </c>
      <c r="D220" s="557">
        <v>0.9449</v>
      </c>
      <c r="E220" s="569">
        <v>350.59</v>
      </c>
      <c r="F220" s="563">
        <v>145160.0</v>
      </c>
      <c r="G220" s="557"/>
      <c r="H220" s="559"/>
      <c r="I220" s="564">
        <v>90198.0</v>
      </c>
      <c r="J220" s="565">
        <v>145160.0</v>
      </c>
      <c r="K220" s="542"/>
      <c r="L220" s="542"/>
      <c r="M220" s="542"/>
    </row>
    <row r="221">
      <c r="A221" s="570" t="s">
        <v>1781</v>
      </c>
      <c r="B221" s="559" t="s">
        <v>1663</v>
      </c>
      <c r="C221" s="568">
        <v>769.0</v>
      </c>
      <c r="D221" s="557">
        <v>0.9273</v>
      </c>
      <c r="E221" s="569">
        <v>441.15</v>
      </c>
      <c r="F221" s="563">
        <v>145128.0</v>
      </c>
      <c r="G221" s="557"/>
      <c r="H221" s="559"/>
      <c r="I221" s="564">
        <v>90178.0</v>
      </c>
      <c r="J221" s="565">
        <v>145128.0</v>
      </c>
      <c r="K221" s="542"/>
      <c r="L221" s="542"/>
      <c r="M221" s="542"/>
    </row>
    <row r="222">
      <c r="A222" s="570" t="s">
        <v>85</v>
      </c>
      <c r="B222" s="557"/>
      <c r="C222" s="557"/>
      <c r="D222" s="557"/>
      <c r="E222" s="557"/>
      <c r="F222" s="563">
        <v>144800.0</v>
      </c>
      <c r="G222" s="557"/>
      <c r="H222" s="557">
        <v>0.9376464737144588</v>
      </c>
      <c r="I222" s="564">
        <v>89975.0</v>
      </c>
      <c r="J222" s="565">
        <v>144800.0</v>
      </c>
      <c r="K222" s="542"/>
      <c r="L222" s="542"/>
      <c r="M222" s="542"/>
    </row>
    <row r="223">
      <c r="A223" s="570" t="s">
        <v>845</v>
      </c>
      <c r="B223" s="557"/>
      <c r="C223" s="557"/>
      <c r="D223" s="557"/>
      <c r="E223" s="557"/>
      <c r="F223" s="563">
        <v>144050.0</v>
      </c>
      <c r="G223" s="557"/>
      <c r="H223" s="557">
        <v>0.9377652581126205</v>
      </c>
      <c r="I223" s="564">
        <v>89509.0</v>
      </c>
      <c r="J223" s="565">
        <v>144050.0</v>
      </c>
      <c r="K223" s="542"/>
      <c r="L223" s="542"/>
      <c r="M223" s="542"/>
    </row>
    <row r="224">
      <c r="A224" s="570" t="s">
        <v>106</v>
      </c>
      <c r="B224" s="559" t="s">
        <v>126</v>
      </c>
      <c r="C224" s="568">
        <v>826.0</v>
      </c>
      <c r="D224" s="557">
        <v>0.9289</v>
      </c>
      <c r="E224" s="569">
        <v>412.32</v>
      </c>
      <c r="F224" s="563">
        <v>144000.0</v>
      </c>
      <c r="G224" s="557"/>
      <c r="H224" s="559"/>
      <c r="I224" s="564">
        <v>89477.0</v>
      </c>
      <c r="J224" s="565">
        <v>144000.0</v>
      </c>
      <c r="K224" s="542"/>
      <c r="L224" s="542"/>
      <c r="M224" s="542"/>
    </row>
    <row r="225">
      <c r="A225" s="570" t="s">
        <v>1783</v>
      </c>
      <c r="B225" s="559" t="s">
        <v>1013</v>
      </c>
      <c r="C225" s="568">
        <v>1150.0</v>
      </c>
      <c r="D225" s="557">
        <v>0.9298</v>
      </c>
      <c r="E225" s="569">
        <v>416.25</v>
      </c>
      <c r="F225" s="563">
        <v>143425.0</v>
      </c>
      <c r="G225" s="557"/>
      <c r="H225" s="559"/>
      <c r="I225" s="564">
        <v>89120.0</v>
      </c>
      <c r="J225" s="565">
        <v>143425.0</v>
      </c>
      <c r="K225" s="542"/>
      <c r="L225" s="542"/>
      <c r="M225" s="542"/>
    </row>
    <row r="226">
      <c r="A226" s="570" t="s">
        <v>1784</v>
      </c>
      <c r="B226" s="559" t="s">
        <v>143</v>
      </c>
      <c r="C226" s="568">
        <v>955.0</v>
      </c>
      <c r="D226" s="557">
        <v>0.9411</v>
      </c>
      <c r="E226" s="569">
        <v>376.73</v>
      </c>
      <c r="F226" s="563">
        <v>143393.0</v>
      </c>
      <c r="G226" s="557">
        <v>-1.0</v>
      </c>
      <c r="H226" s="559"/>
      <c r="I226" s="564">
        <v>89100.0</v>
      </c>
      <c r="J226" s="565">
        <v>143393.0</v>
      </c>
      <c r="K226" s="542"/>
      <c r="L226" s="542"/>
      <c r="M226" s="542"/>
    </row>
    <row r="227">
      <c r="A227" s="570" t="s">
        <v>1786</v>
      </c>
      <c r="B227" s="557"/>
      <c r="C227" s="557"/>
      <c r="D227" s="557"/>
      <c r="E227" s="557"/>
      <c r="F227" s="563">
        <v>143300.0</v>
      </c>
      <c r="G227" s="557"/>
      <c r="H227" s="557">
        <v>0.9378840982312114</v>
      </c>
      <c r="I227" s="564">
        <v>89042.0</v>
      </c>
      <c r="J227" s="565">
        <v>143300.0</v>
      </c>
      <c r="K227" s="542"/>
      <c r="L227" s="542"/>
      <c r="M227" s="542"/>
    </row>
    <row r="228">
      <c r="A228" s="570" t="s">
        <v>201</v>
      </c>
      <c r="B228" s="557"/>
      <c r="C228" s="557"/>
      <c r="D228" s="557"/>
      <c r="E228" s="557"/>
      <c r="F228" s="563">
        <v>142550.0</v>
      </c>
      <c r="G228" s="557"/>
      <c r="H228" s="557">
        <v>0.9380029960767564</v>
      </c>
      <c r="I228" s="564">
        <v>88576.0</v>
      </c>
      <c r="J228" s="565">
        <v>142550.0</v>
      </c>
      <c r="K228" s="542"/>
      <c r="L228" s="542"/>
      <c r="M228" s="542"/>
    </row>
    <row r="229">
      <c r="A229" s="570" t="s">
        <v>1787</v>
      </c>
      <c r="B229" s="557"/>
      <c r="C229" s="557"/>
      <c r="D229" s="557"/>
      <c r="E229" s="557"/>
      <c r="F229" s="563">
        <v>141800.0</v>
      </c>
      <c r="G229" s="557"/>
      <c r="H229" s="557">
        <v>0.9381219537280369</v>
      </c>
      <c r="I229" s="564">
        <v>88110.0</v>
      </c>
      <c r="J229" s="565">
        <v>141800.0</v>
      </c>
      <c r="K229" s="542"/>
      <c r="L229" s="542"/>
      <c r="M229" s="542"/>
    </row>
    <row r="230">
      <c r="A230" s="570" t="s">
        <v>354</v>
      </c>
      <c r="B230" s="557"/>
      <c r="C230" s="557"/>
      <c r="D230" s="557"/>
      <c r="E230" s="557"/>
      <c r="F230" s="563">
        <v>141050.0</v>
      </c>
      <c r="G230" s="557"/>
      <c r="H230" s="557">
        <v>0.938240973338692</v>
      </c>
      <c r="I230" s="564">
        <v>87644.0</v>
      </c>
      <c r="J230" s="565">
        <v>141050.0</v>
      </c>
      <c r="K230" s="542"/>
      <c r="L230" s="542"/>
      <c r="M230" s="542"/>
    </row>
    <row r="231">
      <c r="A231" s="570" t="s">
        <v>322</v>
      </c>
      <c r="B231" s="559" t="s">
        <v>169</v>
      </c>
      <c r="C231" s="568">
        <v>1374.0</v>
      </c>
      <c r="D231" s="557">
        <v>0.9308</v>
      </c>
      <c r="E231" s="569">
        <v>402.29</v>
      </c>
      <c r="F231" s="563">
        <v>140626.0</v>
      </c>
      <c r="G231" s="557">
        <v>-1.0</v>
      </c>
      <c r="H231" s="559"/>
      <c r="I231" s="564">
        <v>87381.0</v>
      </c>
      <c r="J231" s="565">
        <v>140626.0</v>
      </c>
      <c r="K231" s="542"/>
      <c r="L231" s="542"/>
      <c r="M231" s="542"/>
    </row>
    <row r="232">
      <c r="A232" s="570" t="s">
        <v>108</v>
      </c>
      <c r="B232" s="557"/>
      <c r="C232" s="557"/>
      <c r="D232" s="557"/>
      <c r="E232" s="557"/>
      <c r="F232" s="563">
        <v>140300.0</v>
      </c>
      <c r="G232" s="557"/>
      <c r="H232" s="557">
        <v>0.9383600571399152</v>
      </c>
      <c r="I232" s="564">
        <v>87178.0</v>
      </c>
      <c r="J232" s="565">
        <v>140300.0</v>
      </c>
      <c r="K232" s="542"/>
      <c r="L232" s="542"/>
      <c r="M232" s="542"/>
    </row>
    <row r="233">
      <c r="A233" s="570" t="s">
        <v>511</v>
      </c>
      <c r="B233" s="559" t="s">
        <v>449</v>
      </c>
      <c r="C233" s="568">
        <v>947.0</v>
      </c>
      <c r="D233" s="557">
        <v>0.9424</v>
      </c>
      <c r="E233" s="569">
        <v>347.99</v>
      </c>
      <c r="F233" s="563">
        <v>140050.0</v>
      </c>
      <c r="G233" s="557"/>
      <c r="H233" s="559"/>
      <c r="I233" s="564">
        <v>87023.0</v>
      </c>
      <c r="J233" s="565">
        <v>140050.0</v>
      </c>
      <c r="K233" s="542"/>
      <c r="L233" s="542"/>
      <c r="M233" s="542"/>
    </row>
    <row r="234">
      <c r="A234" s="570" t="s">
        <v>1789</v>
      </c>
      <c r="B234" s="559" t="s">
        <v>1774</v>
      </c>
      <c r="C234" s="568">
        <v>1325.0</v>
      </c>
      <c r="D234" s="557">
        <v>0.9298</v>
      </c>
      <c r="E234" s="569">
        <v>391.34</v>
      </c>
      <c r="F234" s="563">
        <v>140000.0</v>
      </c>
      <c r="G234" s="557"/>
      <c r="H234" s="559"/>
      <c r="I234" s="564">
        <v>86992.0</v>
      </c>
      <c r="J234" s="565">
        <v>140000.0</v>
      </c>
      <c r="K234" s="542"/>
      <c r="L234" s="542"/>
      <c r="M234" s="542"/>
    </row>
    <row r="235">
      <c r="A235" s="570" t="s">
        <v>1792</v>
      </c>
      <c r="B235" s="557"/>
      <c r="C235" s="557"/>
      <c r="D235" s="557"/>
      <c r="E235" s="557"/>
      <c r="F235" s="563">
        <v>139550.0</v>
      </c>
      <c r="G235" s="557"/>
      <c r="H235" s="557">
        <v>0.9384792074432461</v>
      </c>
      <c r="I235" s="564">
        <v>86712.0</v>
      </c>
      <c r="J235" s="565">
        <v>139550.0</v>
      </c>
      <c r="K235" s="542"/>
      <c r="L235" s="542"/>
      <c r="M235" s="542"/>
    </row>
    <row r="236">
      <c r="A236" s="570" t="s">
        <v>1739</v>
      </c>
      <c r="B236" s="559" t="s">
        <v>449</v>
      </c>
      <c r="C236" s="568">
        <v>940.0</v>
      </c>
      <c r="D236" s="557">
        <v>0.9373</v>
      </c>
      <c r="E236" s="569">
        <v>346.54</v>
      </c>
      <c r="F236" s="563">
        <v>139100.0</v>
      </c>
      <c r="G236" s="557"/>
      <c r="H236" s="559"/>
      <c r="I236" s="564">
        <v>86433.0</v>
      </c>
      <c r="J236" s="565">
        <v>139100.0</v>
      </c>
      <c r="K236" s="542"/>
      <c r="L236" s="542"/>
      <c r="M236" s="542"/>
    </row>
    <row r="237">
      <c r="A237" s="570" t="s">
        <v>1611</v>
      </c>
      <c r="B237" s="559" t="s">
        <v>169</v>
      </c>
      <c r="C237" s="568">
        <v>1355.0</v>
      </c>
      <c r="D237" s="557">
        <v>0.9074</v>
      </c>
      <c r="E237" s="569">
        <v>457.05</v>
      </c>
      <c r="F237" s="563">
        <v>139000.0</v>
      </c>
      <c r="G237" s="557">
        <v>-1.0</v>
      </c>
      <c r="H237" s="559"/>
      <c r="I237" s="564">
        <v>86371.0</v>
      </c>
      <c r="J237" s="565">
        <v>139000.0</v>
      </c>
      <c r="K237" s="542"/>
      <c r="L237" s="542"/>
      <c r="M237" s="542"/>
    </row>
    <row r="238">
      <c r="A238" s="570" t="s">
        <v>384</v>
      </c>
      <c r="B238" s="557"/>
      <c r="C238" s="557"/>
      <c r="D238" s="557"/>
      <c r="E238" s="557"/>
      <c r="F238" s="563">
        <v>138800.0</v>
      </c>
      <c r="G238" s="557"/>
      <c r="H238" s="557">
        <v>0.9385984266434643</v>
      </c>
      <c r="I238" s="564">
        <v>86246.0</v>
      </c>
      <c r="J238" s="565">
        <v>138800.0</v>
      </c>
      <c r="K238" s="542"/>
      <c r="L238" s="542"/>
      <c r="M238" s="542"/>
    </row>
    <row r="239">
      <c r="A239" s="570" t="s">
        <v>418</v>
      </c>
      <c r="B239" s="557"/>
      <c r="C239" s="557"/>
      <c r="D239" s="557"/>
      <c r="E239" s="557"/>
      <c r="F239" s="563">
        <v>138050.0</v>
      </c>
      <c r="G239" s="557"/>
      <c r="H239" s="557">
        <v>0.9387177172215868</v>
      </c>
      <c r="I239" s="564">
        <v>85780.0</v>
      </c>
      <c r="J239" s="565">
        <v>138050.0</v>
      </c>
      <c r="K239" s="542"/>
      <c r="L239" s="542"/>
      <c r="M239" s="542"/>
    </row>
    <row r="240">
      <c r="A240" s="570" t="s">
        <v>582</v>
      </c>
      <c r="B240" s="557"/>
      <c r="C240" s="557"/>
      <c r="D240" s="557"/>
      <c r="E240" s="557"/>
      <c r="F240" s="563">
        <v>137300.0</v>
      </c>
      <c r="G240" s="557"/>
      <c r="H240" s="557">
        <v>0.9388370817479736</v>
      </c>
      <c r="I240" s="564">
        <v>85314.0</v>
      </c>
      <c r="J240" s="565">
        <v>137300.0</v>
      </c>
      <c r="K240" s="542"/>
      <c r="L240" s="542"/>
      <c r="M240" s="542"/>
    </row>
    <row r="241">
      <c r="A241" s="570" t="s">
        <v>1275</v>
      </c>
      <c r="B241" s="559" t="s">
        <v>640</v>
      </c>
      <c r="C241" s="568">
        <v>1056.0</v>
      </c>
      <c r="D241" s="557">
        <v>0.9492</v>
      </c>
      <c r="E241" s="569">
        <v>390.36</v>
      </c>
      <c r="F241" s="563">
        <v>137120.0</v>
      </c>
      <c r="G241" s="557"/>
      <c r="H241" s="559"/>
      <c r="I241" s="564">
        <v>85202.0</v>
      </c>
      <c r="J241" s="565">
        <v>137120.0</v>
      </c>
      <c r="K241" s="542"/>
      <c r="L241" s="542"/>
      <c r="M241" s="542"/>
    </row>
    <row r="242">
      <c r="A242" s="570" t="s">
        <v>308</v>
      </c>
      <c r="B242" s="559" t="s">
        <v>78</v>
      </c>
      <c r="C242" s="568">
        <v>1434.0</v>
      </c>
      <c r="D242" s="557">
        <v>0.9299</v>
      </c>
      <c r="E242" s="569">
        <v>349.26</v>
      </c>
      <c r="F242" s="563">
        <v>136896.0</v>
      </c>
      <c r="G242" s="557">
        <v>-1.0</v>
      </c>
      <c r="H242" s="559"/>
      <c r="I242" s="564">
        <v>85063.0</v>
      </c>
      <c r="J242" s="565">
        <v>136896.0</v>
      </c>
      <c r="K242" s="542"/>
      <c r="L242" s="542"/>
      <c r="M242" s="542"/>
    </row>
    <row r="243">
      <c r="A243" s="570" t="s">
        <v>349</v>
      </c>
      <c r="B243" s="557"/>
      <c r="C243" s="557"/>
      <c r="D243" s="557"/>
      <c r="E243" s="557"/>
      <c r="F243" s="563">
        <v>136550.0</v>
      </c>
      <c r="G243" s="557"/>
      <c r="H243" s="557">
        <v>0.9389565228855449</v>
      </c>
      <c r="I243" s="564">
        <v>84848.0</v>
      </c>
      <c r="J243" s="565">
        <v>136550.0</v>
      </c>
      <c r="K243" s="542"/>
      <c r="L243" s="542"/>
      <c r="M243" s="542"/>
    </row>
    <row r="244">
      <c r="A244" s="570" t="s">
        <v>1795</v>
      </c>
      <c r="B244" s="559" t="s">
        <v>623</v>
      </c>
      <c r="C244" s="568">
        <v>861.0</v>
      </c>
      <c r="D244" s="557">
        <v>0.9524</v>
      </c>
      <c r="E244" s="569">
        <v>327.85</v>
      </c>
      <c r="F244" s="563">
        <v>136267.0</v>
      </c>
      <c r="G244" s="557"/>
      <c r="H244" s="559"/>
      <c r="I244" s="564">
        <v>84672.0</v>
      </c>
      <c r="J244" s="565">
        <v>136267.0</v>
      </c>
      <c r="K244" s="542"/>
      <c r="L244" s="542"/>
      <c r="M244" s="542"/>
    </row>
    <row r="245">
      <c r="A245" s="570" t="s">
        <v>1797</v>
      </c>
      <c r="B245" s="557"/>
      <c r="C245" s="557"/>
      <c r="D245" s="557"/>
      <c r="E245" s="557"/>
      <c r="F245" s="563">
        <v>135800.0</v>
      </c>
      <c r="G245" s="557"/>
      <c r="H245" s="557">
        <v>0.9390760433931138</v>
      </c>
      <c r="I245" s="564">
        <v>84382.0</v>
      </c>
      <c r="J245" s="565">
        <v>135800.0</v>
      </c>
      <c r="K245" s="542"/>
      <c r="L245" s="542"/>
      <c r="M245" s="542"/>
    </row>
    <row r="246">
      <c r="A246" s="570" t="s">
        <v>777</v>
      </c>
      <c r="B246" s="557"/>
      <c r="C246" s="557"/>
      <c r="D246" s="557"/>
      <c r="E246" s="557"/>
      <c r="F246" s="563">
        <v>135050.0</v>
      </c>
      <c r="G246" s="557"/>
      <c r="H246" s="557">
        <v>0.9391956461288402</v>
      </c>
      <c r="I246" s="564">
        <v>83916.0</v>
      </c>
      <c r="J246" s="565">
        <v>135050.0</v>
      </c>
      <c r="K246" s="542"/>
      <c r="L246" s="542"/>
      <c r="M246" s="542"/>
    </row>
    <row r="247">
      <c r="A247" s="570" t="s">
        <v>876</v>
      </c>
      <c r="B247" s="559" t="s">
        <v>231</v>
      </c>
      <c r="C247" s="568">
        <v>1200.0</v>
      </c>
      <c r="D247" s="557">
        <v>0.9223</v>
      </c>
      <c r="E247" s="569">
        <v>436.83</v>
      </c>
      <c r="F247" s="563">
        <v>135000.0</v>
      </c>
      <c r="G247" s="557"/>
      <c r="H247" s="559"/>
      <c r="I247" s="564">
        <v>83885.0</v>
      </c>
      <c r="J247" s="565">
        <v>135000.0</v>
      </c>
      <c r="K247" s="542"/>
      <c r="L247" s="542"/>
      <c r="M247" s="542"/>
    </row>
    <row r="248">
      <c r="A248" s="570" t="s">
        <v>285</v>
      </c>
      <c r="B248" s="559" t="s">
        <v>58</v>
      </c>
      <c r="C248" s="568">
        <v>1373.0</v>
      </c>
      <c r="D248" s="557">
        <v>0.9449</v>
      </c>
      <c r="E248" s="569">
        <v>387.93</v>
      </c>
      <c r="F248" s="563">
        <v>134709.0</v>
      </c>
      <c r="G248" s="557"/>
      <c r="H248" s="559"/>
      <c r="I248" s="564">
        <v>83704.0</v>
      </c>
      <c r="J248" s="565">
        <v>134709.0</v>
      </c>
      <c r="K248" s="542"/>
      <c r="L248" s="542"/>
      <c r="M248" s="542"/>
    </row>
    <row r="249">
      <c r="A249" s="570" t="s">
        <v>1799</v>
      </c>
      <c r="B249" s="557"/>
      <c r="C249" s="557"/>
      <c r="D249" s="557"/>
      <c r="E249" s="557"/>
      <c r="F249" s="563">
        <v>134300.0</v>
      </c>
      <c r="G249" s="557"/>
      <c r="H249" s="557">
        <v>0.9393153340538082</v>
      </c>
      <c r="I249" s="564">
        <v>83450.0</v>
      </c>
      <c r="J249" s="565">
        <v>134300.0</v>
      </c>
      <c r="K249" s="542"/>
      <c r="L249" s="542"/>
      <c r="M249" s="542"/>
    </row>
    <row r="250">
      <c r="A250" s="570" t="s">
        <v>1800</v>
      </c>
      <c r="B250" s="557"/>
      <c r="C250" s="557"/>
      <c r="D250" s="557"/>
      <c r="E250" s="557"/>
      <c r="F250" s="563">
        <v>133550.0</v>
      </c>
      <c r="G250" s="557"/>
      <c r="H250" s="557">
        <v>0.9394351102357318</v>
      </c>
      <c r="I250" s="564">
        <v>82984.0</v>
      </c>
      <c r="J250" s="565">
        <v>133550.0</v>
      </c>
      <c r="K250" s="542"/>
      <c r="L250" s="542"/>
      <c r="M250" s="542"/>
    </row>
    <row r="251">
      <c r="A251" s="570" t="s">
        <v>331</v>
      </c>
      <c r="B251" s="559" t="s">
        <v>623</v>
      </c>
      <c r="C251" s="568">
        <v>847.0</v>
      </c>
      <c r="D251" s="557">
        <v>0.9524</v>
      </c>
      <c r="E251" s="569">
        <v>321.05</v>
      </c>
      <c r="F251" s="563">
        <v>133442.0</v>
      </c>
      <c r="G251" s="557"/>
      <c r="H251" s="559"/>
      <c r="I251" s="564">
        <v>82917.0</v>
      </c>
      <c r="J251" s="565">
        <v>133442.0</v>
      </c>
      <c r="K251" s="542"/>
      <c r="L251" s="542"/>
      <c r="M251" s="542"/>
    </row>
    <row r="252">
      <c r="A252" s="570" t="s">
        <v>1801</v>
      </c>
      <c r="B252" s="559" t="s">
        <v>554</v>
      </c>
      <c r="C252" s="568">
        <v>470.0</v>
      </c>
      <c r="D252" s="557">
        <v>0.9323</v>
      </c>
      <c r="E252" s="569">
        <v>390.65</v>
      </c>
      <c r="F252" s="563">
        <v>132950.0</v>
      </c>
      <c r="G252" s="557"/>
      <c r="H252" s="559"/>
      <c r="I252" s="564">
        <v>82611.0</v>
      </c>
      <c r="J252" s="565">
        <v>132950.0</v>
      </c>
      <c r="K252" s="542"/>
      <c r="L252" s="542"/>
      <c r="M252" s="542"/>
    </row>
    <row r="253">
      <c r="A253" s="570" t="s">
        <v>1796</v>
      </c>
      <c r="B253" s="557"/>
      <c r="C253" s="557"/>
      <c r="D253" s="557"/>
      <c r="E253" s="557"/>
      <c r="F253" s="563">
        <v>132800.0</v>
      </c>
      <c r="G253" s="557"/>
      <c r="H253" s="557">
        <v>0.9395549778527953</v>
      </c>
      <c r="I253" s="564">
        <v>82518.0</v>
      </c>
      <c r="J253" s="565">
        <v>132800.0</v>
      </c>
      <c r="K253" s="542"/>
      <c r="L253" s="542"/>
      <c r="M253" s="542"/>
    </row>
    <row r="254">
      <c r="A254" s="570" t="s">
        <v>1803</v>
      </c>
      <c r="B254" s="557"/>
      <c r="C254" s="557"/>
      <c r="D254" s="557"/>
      <c r="E254" s="557"/>
      <c r="F254" s="563">
        <v>132050.0</v>
      </c>
      <c r="G254" s="557"/>
      <c r="H254" s="557">
        <v>0.9396749401976314</v>
      </c>
      <c r="I254" s="564">
        <v>82052.0</v>
      </c>
      <c r="J254" s="565">
        <v>132050.0</v>
      </c>
      <c r="K254" s="542"/>
      <c r="L254" s="542"/>
      <c r="M254" s="542"/>
    </row>
    <row r="255">
      <c r="A255" s="570" t="s">
        <v>1804</v>
      </c>
      <c r="B255" s="559" t="s">
        <v>169</v>
      </c>
      <c r="C255" s="568">
        <v>1274.0</v>
      </c>
      <c r="D255" s="557">
        <v>0.9355</v>
      </c>
      <c r="E255" s="569">
        <v>378.66</v>
      </c>
      <c r="F255" s="563">
        <v>132000.0</v>
      </c>
      <c r="G255" s="557">
        <v>-1.0</v>
      </c>
      <c r="H255" s="559"/>
      <c r="I255" s="564">
        <v>82021.0</v>
      </c>
      <c r="J255" s="565">
        <v>132000.0</v>
      </c>
      <c r="K255" s="542"/>
      <c r="L255" s="542"/>
      <c r="M255" s="542"/>
    </row>
    <row r="256">
      <c r="A256" s="570" t="s">
        <v>1805</v>
      </c>
      <c r="B256" s="557"/>
      <c r="C256" s="557"/>
      <c r="D256" s="557"/>
      <c r="E256" s="557"/>
      <c r="F256" s="563">
        <v>131300.0</v>
      </c>
      <c r="G256" s="557"/>
      <c r="H256" s="557">
        <v>0.9397950006814424</v>
      </c>
      <c r="I256" s="564">
        <v>81586.0</v>
      </c>
      <c r="J256" s="565">
        <v>131300.0</v>
      </c>
      <c r="K256" s="542"/>
      <c r="L256" s="542"/>
      <c r="M256" s="542"/>
    </row>
    <row r="257">
      <c r="A257" s="570" t="s">
        <v>1682</v>
      </c>
      <c r="B257" s="559" t="s">
        <v>126</v>
      </c>
      <c r="C257" s="568">
        <v>751.0</v>
      </c>
      <c r="D257" s="557">
        <v>0.9289</v>
      </c>
      <c r="E257" s="569">
        <v>376.85</v>
      </c>
      <c r="F257" s="563">
        <v>131000.0</v>
      </c>
      <c r="G257" s="557"/>
      <c r="H257" s="559"/>
      <c r="I257" s="564">
        <v>81400.0</v>
      </c>
      <c r="J257" s="565">
        <v>131000.0</v>
      </c>
      <c r="K257" s="542"/>
      <c r="L257" s="542"/>
      <c r="M257" s="542"/>
    </row>
    <row r="258">
      <c r="A258" s="570" t="s">
        <v>53</v>
      </c>
      <c r="B258" s="559" t="s">
        <v>449</v>
      </c>
      <c r="C258" s="568">
        <v>880.0</v>
      </c>
      <c r="D258" s="557">
        <v>0.9449</v>
      </c>
      <c r="E258" s="569">
        <v>324.64</v>
      </c>
      <c r="F258" s="563">
        <v>130820.0</v>
      </c>
      <c r="G258" s="557"/>
      <c r="H258" s="559"/>
      <c r="I258" s="564">
        <v>81288.0</v>
      </c>
      <c r="J258" s="565">
        <v>130820.0</v>
      </c>
      <c r="K258" s="542"/>
      <c r="L258" s="542"/>
      <c r="M258" s="542"/>
    </row>
    <row r="259">
      <c r="A259" s="570" t="s">
        <v>227</v>
      </c>
      <c r="B259" s="557"/>
      <c r="C259" s="557"/>
      <c r="D259" s="557"/>
      <c r="E259" s="557"/>
      <c r="F259" s="563">
        <v>130550.0</v>
      </c>
      <c r="G259" s="557"/>
      <c r="H259" s="557">
        <v>0.9399151628382699</v>
      </c>
      <c r="I259" s="564">
        <v>81120.0</v>
      </c>
      <c r="J259" s="565">
        <v>130550.0</v>
      </c>
      <c r="K259" s="542"/>
      <c r="L259" s="542"/>
      <c r="M259" s="542"/>
    </row>
    <row r="260">
      <c r="A260" s="570" t="s">
        <v>286</v>
      </c>
      <c r="B260" s="559" t="s">
        <v>143</v>
      </c>
      <c r="C260" s="568">
        <v>829.0</v>
      </c>
      <c r="D260" s="557">
        <v>0.9524</v>
      </c>
      <c r="E260" s="569">
        <v>342.64</v>
      </c>
      <c r="F260" s="563">
        <v>130357.0</v>
      </c>
      <c r="G260" s="557">
        <v>-1.0</v>
      </c>
      <c r="H260" s="559"/>
      <c r="I260" s="564">
        <v>81000.0</v>
      </c>
      <c r="J260" s="565">
        <v>130357.0</v>
      </c>
      <c r="K260" s="542"/>
      <c r="L260" s="542"/>
      <c r="M260" s="542"/>
    </row>
    <row r="261">
      <c r="A261" s="570" t="s">
        <v>657</v>
      </c>
      <c r="B261" s="559" t="s">
        <v>541</v>
      </c>
      <c r="C261" s="568">
        <v>1126.0</v>
      </c>
      <c r="D261" s="557">
        <v>0.9424</v>
      </c>
      <c r="E261" s="569">
        <v>377.15</v>
      </c>
      <c r="F261" s="563">
        <v>130200.0</v>
      </c>
      <c r="G261" s="557"/>
      <c r="H261" s="559"/>
      <c r="I261" s="564">
        <v>80903.0</v>
      </c>
      <c r="J261" s="565">
        <v>130200.0</v>
      </c>
      <c r="K261" s="542"/>
      <c r="L261" s="542"/>
      <c r="M261" s="542"/>
    </row>
    <row r="262">
      <c r="A262" s="570" t="s">
        <v>96</v>
      </c>
      <c r="B262" s="557"/>
      <c r="C262" s="557"/>
      <c r="D262" s="557"/>
      <c r="E262" s="557"/>
      <c r="F262" s="563">
        <v>129800.0</v>
      </c>
      <c r="G262" s="557"/>
      <c r="H262" s="557">
        <v>0.9400354303294186</v>
      </c>
      <c r="I262" s="564">
        <v>80654.0</v>
      </c>
      <c r="J262" s="565">
        <v>129800.0</v>
      </c>
      <c r="K262" s="542"/>
      <c r="L262" s="542"/>
      <c r="M262" s="542"/>
    </row>
    <row r="263">
      <c r="A263" s="570" t="s">
        <v>1807</v>
      </c>
      <c r="B263" s="557"/>
      <c r="C263" s="557"/>
      <c r="D263" s="557"/>
      <c r="E263" s="557"/>
      <c r="F263" s="563">
        <v>129050.0</v>
      </c>
      <c r="G263" s="557"/>
      <c r="H263" s="557">
        <v>0.9401558069480386</v>
      </c>
      <c r="I263" s="564">
        <v>80188.0</v>
      </c>
      <c r="J263" s="565">
        <v>129050.0</v>
      </c>
      <c r="K263" s="542"/>
      <c r="L263" s="542"/>
      <c r="M263" s="542"/>
    </row>
    <row r="264">
      <c r="A264" s="570" t="s">
        <v>1808</v>
      </c>
      <c r="B264" s="559" t="s">
        <v>1795</v>
      </c>
      <c r="C264" s="568">
        <v>788.0</v>
      </c>
      <c r="D264" s="557">
        <v>0.9499</v>
      </c>
      <c r="E264" s="569">
        <v>365.02</v>
      </c>
      <c r="F264" s="563">
        <v>128867.2</v>
      </c>
      <c r="G264" s="557"/>
      <c r="H264" s="559"/>
      <c r="I264" s="564">
        <v>80074.0</v>
      </c>
      <c r="J264" s="565">
        <v>128867.2</v>
      </c>
      <c r="K264" s="542"/>
      <c r="L264" s="542"/>
      <c r="M264" s="542"/>
    </row>
    <row r="265">
      <c r="A265" s="570" t="s">
        <v>682</v>
      </c>
      <c r="B265" s="559" t="s">
        <v>78</v>
      </c>
      <c r="C265" s="568">
        <v>1320.0</v>
      </c>
      <c r="D265" s="557">
        <v>0.9336</v>
      </c>
      <c r="E265" s="569">
        <v>326.66</v>
      </c>
      <c r="F265" s="563">
        <v>128701.0</v>
      </c>
      <c r="G265" s="557">
        <v>-1.0</v>
      </c>
      <c r="H265" s="559"/>
      <c r="I265" s="564">
        <v>79971.0</v>
      </c>
      <c r="J265" s="565">
        <v>128701.0</v>
      </c>
      <c r="K265" s="542"/>
      <c r="L265" s="542"/>
      <c r="M265" s="542"/>
    </row>
    <row r="266">
      <c r="A266" s="570" t="s">
        <v>1810</v>
      </c>
      <c r="B266" s="557"/>
      <c r="C266" s="557"/>
      <c r="D266" s="557"/>
      <c r="E266" s="557"/>
      <c r="F266" s="563">
        <v>128300.0</v>
      </c>
      <c r="G266" s="557"/>
      <c r="H266" s="557">
        <v>0.9402762966238738</v>
      </c>
      <c r="I266" s="564">
        <v>79722.0</v>
      </c>
      <c r="J266" s="565">
        <v>128300.0</v>
      </c>
      <c r="K266" s="542"/>
      <c r="L266" s="542"/>
      <c r="M266" s="542"/>
    </row>
    <row r="267">
      <c r="A267" s="570" t="s">
        <v>1811</v>
      </c>
      <c r="B267" s="559" t="s">
        <v>1710</v>
      </c>
      <c r="C267" s="568">
        <v>1139.0</v>
      </c>
      <c r="D267" s="557">
        <v>0.9298</v>
      </c>
      <c r="E267" s="569">
        <v>362.93</v>
      </c>
      <c r="F267" s="563">
        <v>128000.0</v>
      </c>
      <c r="G267" s="557"/>
      <c r="H267" s="559"/>
      <c r="I267" s="564">
        <v>79536.0</v>
      </c>
      <c r="J267" s="565">
        <v>128000.0</v>
      </c>
      <c r="K267" s="542"/>
      <c r="L267" s="542"/>
      <c r="M267" s="542"/>
    </row>
    <row r="268">
      <c r="A268" s="570" t="s">
        <v>571</v>
      </c>
      <c r="B268" s="559" t="s">
        <v>541</v>
      </c>
      <c r="C268" s="568">
        <v>1105.0</v>
      </c>
      <c r="D268" s="557">
        <v>0.9273</v>
      </c>
      <c r="E268" s="569">
        <v>383.89</v>
      </c>
      <c r="F268" s="563">
        <v>127974.0</v>
      </c>
      <c r="G268" s="557"/>
      <c r="H268" s="559"/>
      <c r="I268" s="564">
        <v>79519.0</v>
      </c>
      <c r="J268" s="565">
        <v>127974.0</v>
      </c>
      <c r="K268" s="542"/>
      <c r="L268" s="542"/>
      <c r="M268" s="542"/>
    </row>
    <row r="269">
      <c r="A269" s="570" t="s">
        <v>1812</v>
      </c>
      <c r="B269" s="557"/>
      <c r="C269" s="557"/>
      <c r="D269" s="557"/>
      <c r="E269" s="557"/>
      <c r="F269" s="563">
        <v>127550.0</v>
      </c>
      <c r="G269" s="557"/>
      <c r="H269" s="557">
        <v>0.9403969034281802</v>
      </c>
      <c r="I269" s="564">
        <v>79256.0</v>
      </c>
      <c r="J269" s="565">
        <v>127550.0</v>
      </c>
      <c r="K269" s="542"/>
      <c r="L269" s="542"/>
      <c r="M269" s="542"/>
    </row>
    <row r="270">
      <c r="A270" s="570" t="s">
        <v>1471</v>
      </c>
      <c r="B270" s="559" t="s">
        <v>361</v>
      </c>
      <c r="C270" s="568">
        <v>1141.0</v>
      </c>
      <c r="D270" s="557">
        <v>0.9492</v>
      </c>
      <c r="E270" s="569">
        <v>375.52</v>
      </c>
      <c r="F270" s="563">
        <v>127174.0</v>
      </c>
      <c r="G270" s="557"/>
      <c r="H270" s="559"/>
      <c r="I270" s="564">
        <v>79022.0</v>
      </c>
      <c r="J270" s="565">
        <v>127174.0</v>
      </c>
      <c r="K270" s="542"/>
      <c r="L270" s="542"/>
      <c r="M270" s="542"/>
    </row>
    <row r="271">
      <c r="A271" s="570" t="s">
        <v>1814</v>
      </c>
      <c r="B271" s="559" t="s">
        <v>499</v>
      </c>
      <c r="C271" s="568">
        <v>1105.0</v>
      </c>
      <c r="D271" s="557">
        <v>0.9442</v>
      </c>
      <c r="E271" s="569">
        <v>337.38</v>
      </c>
      <c r="F271" s="563">
        <v>127019.0</v>
      </c>
      <c r="G271" s="557">
        <v>-1.0</v>
      </c>
      <c r="H271" s="559"/>
      <c r="I271" s="564">
        <v>78926.0</v>
      </c>
      <c r="J271" s="565">
        <v>127019.0</v>
      </c>
      <c r="K271" s="542"/>
      <c r="L271" s="542"/>
      <c r="M271" s="542"/>
    </row>
    <row r="272">
      <c r="A272" s="570" t="s">
        <v>207</v>
      </c>
      <c r="B272" s="559" t="s">
        <v>300</v>
      </c>
      <c r="C272" s="568">
        <v>1069.0</v>
      </c>
      <c r="D272" s="557">
        <v>0.9467</v>
      </c>
      <c r="E272" s="569">
        <v>379.94</v>
      </c>
      <c r="F272" s="563">
        <v>126801.0</v>
      </c>
      <c r="G272" s="557"/>
      <c r="H272" s="559"/>
      <c r="I272" s="564">
        <v>78790.0</v>
      </c>
      <c r="J272" s="565">
        <v>126801.0</v>
      </c>
      <c r="K272" s="542"/>
      <c r="L272" s="542"/>
      <c r="M272" s="542"/>
    </row>
    <row r="273">
      <c r="A273" s="570" t="s">
        <v>1666</v>
      </c>
      <c r="B273" s="557"/>
      <c r="C273" s="557"/>
      <c r="D273" s="557"/>
      <c r="E273" s="557"/>
      <c r="F273" s="563">
        <v>126800.0</v>
      </c>
      <c r="G273" s="557"/>
      <c r="H273" s="557">
        <v>0.9405176315788224</v>
      </c>
      <c r="I273" s="564">
        <v>78790.0</v>
      </c>
      <c r="J273" s="565">
        <v>126800.0</v>
      </c>
      <c r="K273" s="542"/>
      <c r="L273" s="542"/>
      <c r="M273" s="542"/>
    </row>
    <row r="274">
      <c r="A274" s="570" t="s">
        <v>120</v>
      </c>
      <c r="B274" s="559" t="s">
        <v>449</v>
      </c>
      <c r="C274" s="568">
        <v>852.0</v>
      </c>
      <c r="D274" s="557">
        <v>0.9323</v>
      </c>
      <c r="E274" s="569">
        <v>316.71</v>
      </c>
      <c r="F274" s="563">
        <v>126800.0</v>
      </c>
      <c r="G274" s="557"/>
      <c r="H274" s="559"/>
      <c r="I274" s="564">
        <v>78790.0</v>
      </c>
      <c r="J274" s="565">
        <v>126800.0</v>
      </c>
      <c r="K274" s="542"/>
      <c r="L274" s="542"/>
      <c r="M274" s="542"/>
    </row>
    <row r="275">
      <c r="A275" s="570" t="s">
        <v>221</v>
      </c>
      <c r="B275" s="557"/>
      <c r="C275" s="557"/>
      <c r="D275" s="557"/>
      <c r="E275" s="557"/>
      <c r="F275" s="563">
        <v>126050.0</v>
      </c>
      <c r="G275" s="557"/>
      <c r="H275" s="557">
        <v>0.9406384854455526</v>
      </c>
      <c r="I275" s="564">
        <v>78324.0</v>
      </c>
      <c r="J275" s="565">
        <v>126050.0</v>
      </c>
      <c r="K275" s="542"/>
      <c r="L275" s="542"/>
      <c r="M275" s="542"/>
    </row>
    <row r="276">
      <c r="A276" s="570" t="s">
        <v>593</v>
      </c>
      <c r="B276" s="557"/>
      <c r="C276" s="557"/>
      <c r="D276" s="557"/>
      <c r="E276" s="557"/>
      <c r="F276" s="563">
        <v>125300.0</v>
      </c>
      <c r="G276" s="557"/>
      <c r="H276" s="557">
        <v>0.9407594695554805</v>
      </c>
      <c r="I276" s="564">
        <v>77858.0</v>
      </c>
      <c r="J276" s="565">
        <v>125300.0</v>
      </c>
      <c r="K276" s="542"/>
      <c r="L276" s="542"/>
      <c r="M276" s="542"/>
    </row>
    <row r="277">
      <c r="A277" s="570" t="s">
        <v>1818</v>
      </c>
      <c r="B277" s="559" t="s">
        <v>1493</v>
      </c>
      <c r="C277" s="568">
        <v>1398.0</v>
      </c>
      <c r="D277" s="557">
        <v>0.939</v>
      </c>
      <c r="E277" s="569">
        <v>342.77</v>
      </c>
      <c r="F277" s="563">
        <v>125000.0</v>
      </c>
      <c r="G277" s="557"/>
      <c r="H277" s="559"/>
      <c r="I277" s="564">
        <v>77671.0</v>
      </c>
      <c r="J277" s="565">
        <v>125000.0</v>
      </c>
      <c r="K277" s="542"/>
      <c r="L277" s="542"/>
      <c r="M277" s="542"/>
    </row>
    <row r="278">
      <c r="A278" s="570" t="s">
        <v>1819</v>
      </c>
      <c r="B278" s="559" t="s">
        <v>856</v>
      </c>
      <c r="C278" s="568">
        <v>1173.0</v>
      </c>
      <c r="D278" s="557">
        <v>0.921</v>
      </c>
      <c r="E278" s="569">
        <v>376.61</v>
      </c>
      <c r="F278" s="563">
        <v>124724.0</v>
      </c>
      <c r="G278" s="557">
        <v>-1.0</v>
      </c>
      <c r="H278" s="559"/>
      <c r="I278" s="564">
        <v>77500.0</v>
      </c>
      <c r="J278" s="565">
        <v>124724.0</v>
      </c>
      <c r="K278" s="542"/>
      <c r="L278" s="542"/>
      <c r="M278" s="542"/>
    </row>
    <row r="279">
      <c r="A279" s="570" t="s">
        <v>1820</v>
      </c>
      <c r="B279" s="557"/>
      <c r="C279" s="557"/>
      <c r="D279" s="557"/>
      <c r="E279" s="557"/>
      <c r="F279" s="563">
        <v>124550.0</v>
      </c>
      <c r="G279" s="557"/>
      <c r="H279" s="557">
        <v>0.9408805885987392</v>
      </c>
      <c r="I279" s="564">
        <v>77392.0</v>
      </c>
      <c r="J279" s="565">
        <v>124550.0</v>
      </c>
      <c r="K279" s="542"/>
      <c r="L279" s="542"/>
      <c r="M279" s="542"/>
    </row>
    <row r="280">
      <c r="A280" s="570" t="s">
        <v>1821</v>
      </c>
      <c r="B280" s="559" t="s">
        <v>1647</v>
      </c>
      <c r="C280" s="568">
        <v>625.0</v>
      </c>
      <c r="D280" s="557">
        <v>0.9273</v>
      </c>
      <c r="E280" s="569">
        <v>375.28</v>
      </c>
      <c r="F280" s="563">
        <v>124004.0</v>
      </c>
      <c r="G280" s="557"/>
      <c r="H280" s="559"/>
      <c r="I280" s="564">
        <v>77053.0</v>
      </c>
      <c r="J280" s="565">
        <v>124004.0</v>
      </c>
      <c r="K280" s="542"/>
      <c r="L280" s="542"/>
      <c r="M280" s="542"/>
    </row>
    <row r="281">
      <c r="A281" s="570" t="s">
        <v>739</v>
      </c>
      <c r="B281" s="557"/>
      <c r="C281" s="557"/>
      <c r="D281" s="557"/>
      <c r="E281" s="557"/>
      <c r="F281" s="563">
        <v>123800.0</v>
      </c>
      <c r="G281" s="557"/>
      <c r="H281" s="557">
        <v>0.9410018474343568</v>
      </c>
      <c r="I281" s="564">
        <v>76926.0</v>
      </c>
      <c r="J281" s="565">
        <v>123800.0</v>
      </c>
      <c r="K281" s="542"/>
      <c r="L281" s="542"/>
      <c r="M281" s="542"/>
    </row>
    <row r="282">
      <c r="A282" s="570" t="s">
        <v>1485</v>
      </c>
      <c r="B282" s="559" t="s">
        <v>623</v>
      </c>
      <c r="C282" s="568">
        <v>794.0</v>
      </c>
      <c r="D282" s="557">
        <v>0.9424</v>
      </c>
      <c r="E282" s="569">
        <v>298.12</v>
      </c>
      <c r="F282" s="563">
        <v>123275.0</v>
      </c>
      <c r="G282" s="557"/>
      <c r="H282" s="559"/>
      <c r="I282" s="564">
        <v>76600.0</v>
      </c>
      <c r="J282" s="565">
        <v>123275.0</v>
      </c>
      <c r="K282" s="542"/>
      <c r="L282" s="542"/>
      <c r="M282" s="542"/>
    </row>
    <row r="283">
      <c r="A283" s="570" t="s">
        <v>54</v>
      </c>
      <c r="B283" s="557"/>
      <c r="C283" s="557"/>
      <c r="D283" s="557"/>
      <c r="E283" s="557"/>
      <c r="F283" s="563">
        <v>123050.0</v>
      </c>
      <c r="G283" s="557"/>
      <c r="H283" s="557">
        <v>0.9411232510963374</v>
      </c>
      <c r="I283" s="564">
        <v>76460.0</v>
      </c>
      <c r="J283" s="565">
        <v>123050.0</v>
      </c>
      <c r="K283" s="542"/>
      <c r="L283" s="542"/>
      <c r="M283" s="542"/>
    </row>
    <row r="284">
      <c r="A284" s="570" t="s">
        <v>1001</v>
      </c>
      <c r="B284" s="557"/>
      <c r="C284" s="557"/>
      <c r="D284" s="557"/>
      <c r="E284" s="557"/>
      <c r="F284" s="563">
        <v>122300.0</v>
      </c>
      <c r="G284" s="557"/>
      <c r="H284" s="557">
        <v>0.9412448047999629</v>
      </c>
      <c r="I284" s="564">
        <v>75994.0</v>
      </c>
      <c r="J284" s="565">
        <v>122300.0</v>
      </c>
      <c r="K284" s="542"/>
      <c r="L284" s="542"/>
      <c r="M284" s="542"/>
    </row>
    <row r="285">
      <c r="A285" s="570" t="s">
        <v>1823</v>
      </c>
      <c r="B285" s="559" t="s">
        <v>1581</v>
      </c>
      <c r="C285" s="568">
        <v>682.0</v>
      </c>
      <c r="D285" s="557">
        <v>0.9162</v>
      </c>
      <c r="E285" s="569">
        <v>346.99</v>
      </c>
      <c r="F285" s="563">
        <v>122100.0</v>
      </c>
      <c r="G285" s="557"/>
      <c r="H285" s="559"/>
      <c r="I285" s="564">
        <v>75869.0</v>
      </c>
      <c r="J285" s="565">
        <v>122100.0</v>
      </c>
      <c r="K285" s="542"/>
      <c r="L285" s="542"/>
      <c r="M285" s="542"/>
    </row>
    <row r="286">
      <c r="A286" s="570" t="s">
        <v>849</v>
      </c>
      <c r="B286" s="557"/>
      <c r="C286" s="557"/>
      <c r="D286" s="557"/>
      <c r="E286" s="557"/>
      <c r="F286" s="563">
        <v>121550.0</v>
      </c>
      <c r="G286" s="557"/>
      <c r="H286" s="557">
        <v>0.9413665139483199</v>
      </c>
      <c r="I286" s="564">
        <v>75528.0</v>
      </c>
      <c r="J286" s="565">
        <v>121550.0</v>
      </c>
      <c r="K286" s="542"/>
      <c r="L286" s="542"/>
      <c r="M286" s="542"/>
    </row>
    <row r="287">
      <c r="A287" s="570" t="s">
        <v>1825</v>
      </c>
      <c r="B287" s="559" t="s">
        <v>1826</v>
      </c>
      <c r="C287" s="568">
        <v>819.0</v>
      </c>
      <c r="D287" s="557">
        <v>0.9348</v>
      </c>
      <c r="E287" s="569">
        <v>345.76</v>
      </c>
      <c r="F287" s="563">
        <v>121121.0</v>
      </c>
      <c r="G287" s="557"/>
      <c r="H287" s="559"/>
      <c r="I287" s="564">
        <v>75261.0</v>
      </c>
      <c r="J287" s="565">
        <v>121121.0</v>
      </c>
      <c r="K287" s="542"/>
      <c r="L287" s="542"/>
      <c r="M287" s="542"/>
    </row>
    <row r="288">
      <c r="A288" s="570" t="s">
        <v>668</v>
      </c>
      <c r="B288" s="559" t="s">
        <v>548</v>
      </c>
      <c r="C288" s="568">
        <v>1335.0</v>
      </c>
      <c r="D288" s="557">
        <v>0.9373</v>
      </c>
      <c r="E288" s="569">
        <v>356.27</v>
      </c>
      <c r="F288" s="563">
        <v>121000.0</v>
      </c>
      <c r="G288" s="557"/>
      <c r="H288" s="559"/>
      <c r="I288" s="564">
        <v>75186.0</v>
      </c>
      <c r="J288" s="565">
        <v>121000.0</v>
      </c>
      <c r="K288" s="542"/>
      <c r="L288" s="542"/>
      <c r="M288" s="542"/>
    </row>
    <row r="289">
      <c r="A289" s="570" t="s">
        <v>1827</v>
      </c>
      <c r="B289" s="557"/>
      <c r="C289" s="557"/>
      <c r="D289" s="557"/>
      <c r="E289" s="557"/>
      <c r="F289" s="563">
        <v>120800.0</v>
      </c>
      <c r="G289" s="557"/>
      <c r="H289" s="557">
        <v>0.9414883841390642</v>
      </c>
      <c r="I289" s="564">
        <v>75062.0</v>
      </c>
      <c r="J289" s="565">
        <v>120800.0</v>
      </c>
      <c r="K289" s="542"/>
      <c r="L289" s="542"/>
      <c r="M289" s="542"/>
    </row>
    <row r="290">
      <c r="A290" s="570" t="s">
        <v>1829</v>
      </c>
      <c r="B290" s="559" t="s">
        <v>1672</v>
      </c>
      <c r="C290" s="568">
        <v>729.0</v>
      </c>
      <c r="D290" s="557">
        <v>0.9877</v>
      </c>
      <c r="E290" s="569">
        <v>341.58</v>
      </c>
      <c r="F290" s="563">
        <v>120728.0</v>
      </c>
      <c r="G290" s="557"/>
      <c r="H290" s="559"/>
      <c r="I290" s="564">
        <v>75017.0</v>
      </c>
      <c r="J290" s="565">
        <v>120728.0</v>
      </c>
      <c r="K290" s="542"/>
      <c r="L290" s="542"/>
      <c r="M290" s="542"/>
    </row>
    <row r="291">
      <c r="A291" s="570" t="s">
        <v>190</v>
      </c>
      <c r="B291" s="557"/>
      <c r="C291" s="557"/>
      <c r="D291" s="557"/>
      <c r="E291" s="557"/>
      <c r="F291" s="563">
        <v>120050.0</v>
      </c>
      <c r="G291" s="557"/>
      <c r="H291" s="557">
        <v>0.9416104211714256</v>
      </c>
      <c r="I291" s="564">
        <v>74596.0</v>
      </c>
      <c r="J291" s="565">
        <v>120050.0</v>
      </c>
      <c r="K291" s="542"/>
      <c r="L291" s="542"/>
      <c r="M291" s="542"/>
    </row>
    <row r="292">
      <c r="A292" s="570" t="s">
        <v>449</v>
      </c>
      <c r="B292" s="559" t="s">
        <v>126</v>
      </c>
      <c r="C292" s="568">
        <v>688.0</v>
      </c>
      <c r="D292" s="557">
        <v>0.9441</v>
      </c>
      <c r="E292" s="569">
        <v>347.28</v>
      </c>
      <c r="F292" s="563">
        <v>120000.0</v>
      </c>
      <c r="G292" s="557"/>
      <c r="H292" s="559"/>
      <c r="I292" s="564">
        <v>74565.0</v>
      </c>
      <c r="J292" s="565">
        <v>120000.0</v>
      </c>
      <c r="K292" s="542"/>
      <c r="L292" s="542"/>
      <c r="M292" s="542"/>
    </row>
    <row r="293">
      <c r="A293" s="570" t="s">
        <v>1830</v>
      </c>
      <c r="B293" s="559" t="s">
        <v>147</v>
      </c>
      <c r="C293" s="568">
        <v>772.0</v>
      </c>
      <c r="D293" s="557">
        <v>0.9365</v>
      </c>
      <c r="E293" s="569">
        <v>372.64</v>
      </c>
      <c r="F293" s="563">
        <v>120000.0</v>
      </c>
      <c r="G293" s="557"/>
      <c r="H293" s="559"/>
      <c r="I293" s="564">
        <v>74565.0</v>
      </c>
      <c r="J293" s="565">
        <v>120000.0</v>
      </c>
      <c r="K293" s="542"/>
      <c r="L293" s="542"/>
      <c r="M293" s="542"/>
    </row>
    <row r="294">
      <c r="A294" s="570" t="s">
        <v>762</v>
      </c>
      <c r="B294" s="559" t="s">
        <v>210</v>
      </c>
      <c r="C294" s="568">
        <v>1244.0</v>
      </c>
      <c r="D294" s="557">
        <v>0.9425</v>
      </c>
      <c r="E294" s="569">
        <v>342.14</v>
      </c>
      <c r="F294" s="563">
        <v>120000.0</v>
      </c>
      <c r="G294" s="557">
        <v>-1.0</v>
      </c>
      <c r="H294" s="559"/>
      <c r="I294" s="564">
        <v>74565.0</v>
      </c>
      <c r="J294" s="565">
        <v>120000.0</v>
      </c>
      <c r="K294" s="542"/>
      <c r="L294" s="542"/>
      <c r="M294" s="542"/>
    </row>
    <row r="295">
      <c r="A295" s="570" t="s">
        <v>1832</v>
      </c>
      <c r="B295" s="557"/>
      <c r="C295" s="557"/>
      <c r="D295" s="557"/>
      <c r="E295" s="557"/>
      <c r="F295" s="563">
        <v>119300.0</v>
      </c>
      <c r="G295" s="557"/>
      <c r="H295" s="557">
        <v>0.9417326310534682</v>
      </c>
      <c r="I295" s="564">
        <v>74130.0</v>
      </c>
      <c r="J295" s="565">
        <v>119300.0</v>
      </c>
      <c r="K295" s="542"/>
      <c r="L295" s="542"/>
      <c r="M295" s="542"/>
    </row>
    <row r="296">
      <c r="A296" s="570" t="s">
        <v>686</v>
      </c>
      <c r="B296" s="559" t="s">
        <v>300</v>
      </c>
      <c r="C296" s="568">
        <v>992.0</v>
      </c>
      <c r="D296" s="557">
        <v>0.9416</v>
      </c>
      <c r="E296" s="569">
        <v>358.01</v>
      </c>
      <c r="F296" s="563">
        <v>119171.0</v>
      </c>
      <c r="G296" s="557"/>
      <c r="H296" s="559"/>
      <c r="I296" s="564">
        <v>74049.0</v>
      </c>
      <c r="J296" s="565">
        <v>119171.0</v>
      </c>
      <c r="K296" s="542"/>
      <c r="L296" s="542"/>
      <c r="M296" s="542"/>
    </row>
    <row r="297">
      <c r="A297" s="570" t="s">
        <v>171</v>
      </c>
      <c r="B297" s="559" t="s">
        <v>376</v>
      </c>
      <c r="C297" s="568">
        <v>1114.0</v>
      </c>
      <c r="D297" s="557">
        <v>0.9398</v>
      </c>
      <c r="E297" s="569">
        <v>316.67</v>
      </c>
      <c r="F297" s="563">
        <v>119000.0</v>
      </c>
      <c r="G297" s="557"/>
      <c r="H297" s="559"/>
      <c r="I297" s="564">
        <v>73943.0</v>
      </c>
      <c r="J297" s="565">
        <v>119000.0</v>
      </c>
      <c r="K297" s="542"/>
      <c r="L297" s="542"/>
      <c r="M297" s="542"/>
    </row>
    <row r="298">
      <c r="A298" s="570" t="s">
        <v>1833</v>
      </c>
      <c r="B298" s="557"/>
      <c r="C298" s="557"/>
      <c r="D298" s="557"/>
      <c r="E298" s="557"/>
      <c r="F298" s="563">
        <v>118550.0</v>
      </c>
      <c r="G298" s="557"/>
      <c r="H298" s="557">
        <v>0.9418550200096094</v>
      </c>
      <c r="I298" s="564">
        <v>73664.0</v>
      </c>
      <c r="J298" s="565">
        <v>118550.0</v>
      </c>
      <c r="K298" s="542"/>
      <c r="L298" s="542"/>
      <c r="M298" s="542"/>
    </row>
    <row r="299">
      <c r="A299" s="570" t="s">
        <v>237</v>
      </c>
      <c r="B299" s="559" t="s">
        <v>143</v>
      </c>
      <c r="C299" s="568">
        <v>773.0</v>
      </c>
      <c r="D299" s="557">
        <v>0.9405</v>
      </c>
      <c r="E299" s="569">
        <v>323.57</v>
      </c>
      <c r="F299" s="563">
        <v>118287.0</v>
      </c>
      <c r="G299" s="557">
        <v>-1.0</v>
      </c>
      <c r="H299" s="559"/>
      <c r="I299" s="564">
        <v>73500.0</v>
      </c>
      <c r="J299" s="565">
        <v>118287.0</v>
      </c>
      <c r="K299" s="542"/>
      <c r="L299" s="542"/>
      <c r="M299" s="542"/>
    </row>
    <row r="300">
      <c r="A300" s="570" t="s">
        <v>177</v>
      </c>
      <c r="B300" s="557"/>
      <c r="C300" s="557"/>
      <c r="D300" s="557"/>
      <c r="E300" s="557"/>
      <c r="F300" s="563">
        <v>117800.0</v>
      </c>
      <c r="G300" s="557"/>
      <c r="H300" s="557">
        <v>0.9419775944884119</v>
      </c>
      <c r="I300" s="564">
        <v>73198.0</v>
      </c>
      <c r="J300" s="565">
        <v>117800.0</v>
      </c>
      <c r="K300" s="542"/>
      <c r="L300" s="542"/>
      <c r="M300" s="542"/>
    </row>
    <row r="301">
      <c r="A301" s="570" t="s">
        <v>1791</v>
      </c>
      <c r="B301" s="559" t="s">
        <v>361</v>
      </c>
      <c r="C301" s="568">
        <v>1045.0</v>
      </c>
      <c r="D301" s="557">
        <v>0.9518</v>
      </c>
      <c r="E301" s="569">
        <v>346.3</v>
      </c>
      <c r="F301" s="563">
        <v>117434.0</v>
      </c>
      <c r="G301" s="557"/>
      <c r="H301" s="559"/>
      <c r="I301" s="564">
        <v>72970.0</v>
      </c>
      <c r="J301" s="565">
        <v>117434.0</v>
      </c>
      <c r="K301" s="542"/>
      <c r="L301" s="542"/>
      <c r="M301" s="542"/>
    </row>
    <row r="302">
      <c r="A302" s="570" t="s">
        <v>519</v>
      </c>
      <c r="B302" s="559" t="s">
        <v>169</v>
      </c>
      <c r="C302" s="568">
        <v>1135.0</v>
      </c>
      <c r="D302" s="557">
        <v>0.9378</v>
      </c>
      <c r="E302" s="569">
        <v>379.56</v>
      </c>
      <c r="F302" s="563">
        <v>117272.0</v>
      </c>
      <c r="G302" s="557">
        <v>-1.0</v>
      </c>
      <c r="H302" s="559"/>
      <c r="I302" s="564">
        <v>72869.0</v>
      </c>
      <c r="J302" s="565">
        <v>117272.0</v>
      </c>
      <c r="K302" s="542"/>
      <c r="L302" s="542"/>
      <c r="M302" s="542"/>
    </row>
    <row r="303">
      <c r="A303" s="570" t="s">
        <v>439</v>
      </c>
      <c r="B303" s="559" t="s">
        <v>1654</v>
      </c>
      <c r="C303" s="568">
        <v>922.0</v>
      </c>
      <c r="D303" s="557">
        <v>0.9549</v>
      </c>
      <c r="E303" s="569">
        <v>346.44</v>
      </c>
      <c r="F303" s="563">
        <v>117145.0</v>
      </c>
      <c r="G303" s="557"/>
      <c r="H303" s="559"/>
      <c r="I303" s="564">
        <v>72791.0</v>
      </c>
      <c r="J303" s="565">
        <v>117145.0</v>
      </c>
      <c r="K303" s="542"/>
      <c r="L303" s="542"/>
      <c r="M303" s="542"/>
    </row>
    <row r="304">
      <c r="A304" s="570" t="s">
        <v>1836</v>
      </c>
      <c r="B304" s="559" t="s">
        <v>1128</v>
      </c>
      <c r="C304" s="568">
        <v>887.0</v>
      </c>
      <c r="D304" s="557">
        <v>0.9518</v>
      </c>
      <c r="E304" s="569">
        <v>286.36</v>
      </c>
      <c r="F304" s="563">
        <v>117055.0</v>
      </c>
      <c r="G304" s="557"/>
      <c r="H304" s="559"/>
      <c r="I304" s="564">
        <v>72735.0</v>
      </c>
      <c r="J304" s="565">
        <v>117055.0</v>
      </c>
      <c r="K304" s="542"/>
      <c r="L304" s="542"/>
      <c r="M304" s="542"/>
    </row>
    <row r="305">
      <c r="A305" s="570" t="s">
        <v>1837</v>
      </c>
      <c r="B305" s="557"/>
      <c r="C305" s="557"/>
      <c r="D305" s="557"/>
      <c r="E305" s="557"/>
      <c r="F305" s="563">
        <v>117050.0</v>
      </c>
      <c r="G305" s="557"/>
      <c r="H305" s="557">
        <v>0.942100361170655</v>
      </c>
      <c r="I305" s="564">
        <v>72731.0</v>
      </c>
      <c r="J305" s="565">
        <v>117050.0</v>
      </c>
      <c r="K305" s="542"/>
      <c r="L305" s="542"/>
      <c r="M305" s="542"/>
    </row>
    <row r="306">
      <c r="A306" s="570" t="s">
        <v>1839</v>
      </c>
      <c r="B306" s="559" t="s">
        <v>449</v>
      </c>
      <c r="C306" s="568">
        <v>823.0</v>
      </c>
      <c r="D306" s="557">
        <v>0.9223</v>
      </c>
      <c r="E306" s="569">
        <v>292.19</v>
      </c>
      <c r="F306" s="563">
        <v>117000.0</v>
      </c>
      <c r="G306" s="557"/>
      <c r="H306" s="559"/>
      <c r="I306" s="564">
        <v>72700.0</v>
      </c>
      <c r="J306" s="565">
        <v>117000.0</v>
      </c>
      <c r="K306" s="542"/>
      <c r="L306" s="542"/>
      <c r="M306" s="542"/>
    </row>
    <row r="307">
      <c r="A307" s="570" t="s">
        <v>1760</v>
      </c>
      <c r="B307" s="559" t="s">
        <v>1493</v>
      </c>
      <c r="C307" s="568">
        <v>1282.0</v>
      </c>
      <c r="D307" s="557">
        <v>0.9398</v>
      </c>
      <c r="E307" s="569">
        <v>319.33</v>
      </c>
      <c r="F307" s="563">
        <v>116500.0</v>
      </c>
      <c r="G307" s="557"/>
      <c r="H307" s="559"/>
      <c r="I307" s="564">
        <v>72390.0</v>
      </c>
      <c r="J307" s="565">
        <v>116500.0</v>
      </c>
      <c r="K307" s="542"/>
      <c r="L307" s="542"/>
      <c r="M307" s="542"/>
    </row>
    <row r="308">
      <c r="A308" s="570" t="s">
        <v>265</v>
      </c>
      <c r="B308" s="557"/>
      <c r="C308" s="557"/>
      <c r="D308" s="557"/>
      <c r="E308" s="557"/>
      <c r="F308" s="563">
        <v>116300.0</v>
      </c>
      <c r="G308" s="557"/>
      <c r="H308" s="557">
        <v>0.9422233269776963</v>
      </c>
      <c r="I308" s="564">
        <v>72265.0</v>
      </c>
      <c r="J308" s="565">
        <v>116300.0</v>
      </c>
      <c r="K308" s="542"/>
      <c r="L308" s="542"/>
      <c r="M308" s="542"/>
    </row>
    <row r="309">
      <c r="A309" s="570" t="s">
        <v>363</v>
      </c>
      <c r="B309" s="559" t="s">
        <v>541</v>
      </c>
      <c r="C309" s="568">
        <v>1022.0</v>
      </c>
      <c r="D309" s="557">
        <v>0.9499</v>
      </c>
      <c r="E309" s="569">
        <v>344.37</v>
      </c>
      <c r="F309" s="563">
        <v>116148.0</v>
      </c>
      <c r="G309" s="557"/>
      <c r="H309" s="559"/>
      <c r="I309" s="564">
        <v>72171.0</v>
      </c>
      <c r="J309" s="565">
        <v>116148.0</v>
      </c>
      <c r="K309" s="542"/>
      <c r="L309" s="542"/>
      <c r="M309" s="542"/>
    </row>
    <row r="310">
      <c r="A310" s="570" t="s">
        <v>1465</v>
      </c>
      <c r="B310" s="559" t="s">
        <v>78</v>
      </c>
      <c r="C310" s="568">
        <v>1175.0</v>
      </c>
      <c r="D310" s="557">
        <v>0.9374</v>
      </c>
      <c r="E310" s="569">
        <v>303.23</v>
      </c>
      <c r="F310" s="563">
        <v>115919.0</v>
      </c>
      <c r="G310" s="557">
        <v>-1.0</v>
      </c>
      <c r="H310" s="559"/>
      <c r="I310" s="564">
        <v>72029.0</v>
      </c>
      <c r="J310" s="565">
        <v>115919.0</v>
      </c>
      <c r="K310" s="542"/>
      <c r="L310" s="542"/>
      <c r="M310" s="542"/>
    </row>
    <row r="311">
      <c r="A311" s="570" t="s">
        <v>273</v>
      </c>
      <c r="B311" s="559" t="s">
        <v>1723</v>
      </c>
      <c r="C311" s="568">
        <v>830.0</v>
      </c>
      <c r="D311" s="557">
        <v>0.9624</v>
      </c>
      <c r="E311" s="569">
        <v>257.47</v>
      </c>
      <c r="F311" s="563">
        <v>115834.0</v>
      </c>
      <c r="G311" s="557"/>
      <c r="H311" s="559"/>
      <c r="I311" s="564">
        <v>71976.0</v>
      </c>
      <c r="J311" s="565">
        <v>115834.0</v>
      </c>
      <c r="K311" s="542"/>
      <c r="L311" s="542"/>
      <c r="M311" s="542"/>
    </row>
    <row r="312">
      <c r="A312" s="570" t="s">
        <v>1128</v>
      </c>
      <c r="B312" s="559" t="s">
        <v>1841</v>
      </c>
      <c r="C312" s="568">
        <v>763.0</v>
      </c>
      <c r="D312" s="557">
        <v>0.9703</v>
      </c>
      <c r="E312" s="569">
        <v>363.62</v>
      </c>
      <c r="F312" s="563">
        <v>115665.0</v>
      </c>
      <c r="G312" s="557"/>
      <c r="H312" s="559"/>
      <c r="I312" s="564">
        <v>71871.0</v>
      </c>
      <c r="J312" s="565">
        <v>115665.0</v>
      </c>
      <c r="K312" s="542"/>
      <c r="L312" s="542"/>
      <c r="M312" s="542"/>
    </row>
    <row r="313">
      <c r="A313" s="570" t="s">
        <v>314</v>
      </c>
      <c r="B313" s="557"/>
      <c r="C313" s="557"/>
      <c r="D313" s="557"/>
      <c r="E313" s="557"/>
      <c r="F313" s="563">
        <v>115550.0</v>
      </c>
      <c r="G313" s="557"/>
      <c r="H313" s="557">
        <v>0.9423464990801358</v>
      </c>
      <c r="I313" s="564">
        <v>71799.0</v>
      </c>
      <c r="J313" s="565">
        <v>115550.0</v>
      </c>
      <c r="K313" s="542"/>
      <c r="L313" s="542"/>
      <c r="M313" s="542"/>
    </row>
    <row r="314">
      <c r="A314" s="570" t="s">
        <v>1387</v>
      </c>
      <c r="B314" s="559" t="s">
        <v>147</v>
      </c>
      <c r="C314" s="568">
        <v>743.0</v>
      </c>
      <c r="D314" s="557">
        <v>0.9315</v>
      </c>
      <c r="E314" s="569">
        <v>358.04</v>
      </c>
      <c r="F314" s="563">
        <v>115000.0</v>
      </c>
      <c r="G314" s="557"/>
      <c r="H314" s="559"/>
      <c r="I314" s="564">
        <v>71458.0</v>
      </c>
      <c r="J314" s="565">
        <v>115000.0</v>
      </c>
      <c r="K314" s="542"/>
      <c r="L314" s="542"/>
      <c r="M314" s="542"/>
    </row>
    <row r="315">
      <c r="A315" s="570" t="s">
        <v>374</v>
      </c>
      <c r="B315" s="557"/>
      <c r="C315" s="557"/>
      <c r="D315" s="557"/>
      <c r="E315" s="557"/>
      <c r="F315" s="563">
        <v>114800.0</v>
      </c>
      <c r="G315" s="557"/>
      <c r="H315" s="557">
        <v>0.942469884906791</v>
      </c>
      <c r="I315" s="564">
        <v>71333.0</v>
      </c>
      <c r="J315" s="565">
        <v>114800.0</v>
      </c>
      <c r="K315" s="542"/>
      <c r="L315" s="542"/>
      <c r="M315" s="542"/>
    </row>
    <row r="316">
      <c r="A316" s="570" t="s">
        <v>713</v>
      </c>
      <c r="B316" s="559" t="s">
        <v>1475</v>
      </c>
      <c r="C316" s="568">
        <v>667.0</v>
      </c>
      <c r="D316" s="557">
        <v>0.9518</v>
      </c>
      <c r="E316" s="569">
        <v>308.6</v>
      </c>
      <c r="F316" s="563">
        <v>114400.0</v>
      </c>
      <c r="G316" s="557"/>
      <c r="H316" s="559"/>
      <c r="I316" s="564">
        <v>71085.0</v>
      </c>
      <c r="J316" s="565">
        <v>114400.0</v>
      </c>
      <c r="K316" s="542"/>
      <c r="L316" s="542"/>
      <c r="M316" s="542"/>
    </row>
    <row r="317">
      <c r="A317" s="570" t="s">
        <v>140</v>
      </c>
      <c r="B317" s="559" t="s">
        <v>1807</v>
      </c>
      <c r="C317" s="568">
        <v>778.0</v>
      </c>
      <c r="D317" s="557">
        <v>0.9608</v>
      </c>
      <c r="E317" s="569">
        <v>346.09</v>
      </c>
      <c r="F317" s="563">
        <v>114321.0</v>
      </c>
      <c r="G317" s="557"/>
      <c r="H317" s="559"/>
      <c r="I317" s="564">
        <v>71036.0</v>
      </c>
      <c r="J317" s="565">
        <v>114321.0</v>
      </c>
      <c r="K317" s="542"/>
      <c r="L317" s="542"/>
      <c r="M317" s="542"/>
    </row>
    <row r="318">
      <c r="A318" s="570" t="s">
        <v>132</v>
      </c>
      <c r="B318" s="557"/>
      <c r="C318" s="557"/>
      <c r="D318" s="557"/>
      <c r="E318" s="557"/>
      <c r="F318" s="563">
        <v>114050.0</v>
      </c>
      <c r="G318" s="557"/>
      <c r="H318" s="557">
        <v>0.9425934921539952</v>
      </c>
      <c r="I318" s="564">
        <v>70867.0</v>
      </c>
      <c r="J318" s="565">
        <v>114050.0</v>
      </c>
      <c r="K318" s="542"/>
      <c r="L318" s="542"/>
      <c r="M318" s="542"/>
    </row>
    <row r="319">
      <c r="A319" s="570" t="s">
        <v>1844</v>
      </c>
      <c r="B319" s="559" t="s">
        <v>788</v>
      </c>
      <c r="C319" s="568">
        <v>1208.0</v>
      </c>
      <c r="D319" s="557">
        <v>0.9449</v>
      </c>
      <c r="E319" s="569">
        <v>303.42</v>
      </c>
      <c r="F319" s="563">
        <v>113565.0</v>
      </c>
      <c r="G319" s="557">
        <v>-1.0</v>
      </c>
      <c r="H319" s="559"/>
      <c r="I319" s="564">
        <v>70566.0</v>
      </c>
      <c r="J319" s="565">
        <v>113565.0</v>
      </c>
      <c r="K319" s="542"/>
      <c r="L319" s="542"/>
      <c r="M319" s="542"/>
    </row>
    <row r="320">
      <c r="A320" s="570" t="s">
        <v>376</v>
      </c>
      <c r="B320" s="559" t="s">
        <v>1689</v>
      </c>
      <c r="C320" s="568">
        <v>1405.0</v>
      </c>
      <c r="D320" s="557">
        <v>0.9649</v>
      </c>
      <c r="E320" s="569">
        <v>324.79</v>
      </c>
      <c r="F320" s="563">
        <v>113418.0</v>
      </c>
      <c r="G320" s="557"/>
      <c r="H320" s="559"/>
      <c r="I320" s="564">
        <v>70475.0</v>
      </c>
      <c r="J320" s="565">
        <v>113418.0</v>
      </c>
      <c r="K320" s="542"/>
      <c r="L320" s="542"/>
      <c r="M320" s="542"/>
    </row>
    <row r="321">
      <c r="A321" s="570" t="s">
        <v>1845</v>
      </c>
      <c r="B321" s="557"/>
      <c r="C321" s="557"/>
      <c r="D321" s="557"/>
      <c r="E321" s="557"/>
      <c r="F321" s="563">
        <v>113300.0</v>
      </c>
      <c r="G321" s="557"/>
      <c r="H321" s="557">
        <v>0.9427173287952317</v>
      </c>
      <c r="I321" s="564">
        <v>70401.0</v>
      </c>
      <c r="J321" s="565">
        <v>113300.0</v>
      </c>
      <c r="K321" s="542"/>
      <c r="L321" s="542"/>
      <c r="M321" s="542"/>
    </row>
    <row r="322">
      <c r="A322" s="570" t="s">
        <v>1847</v>
      </c>
      <c r="B322" s="559" t="s">
        <v>623</v>
      </c>
      <c r="C322" s="568">
        <v>726.0</v>
      </c>
      <c r="D322" s="557">
        <v>0.9348</v>
      </c>
      <c r="E322" s="569">
        <v>277.77</v>
      </c>
      <c r="F322" s="563">
        <v>113170.0</v>
      </c>
      <c r="G322" s="557"/>
      <c r="H322" s="559"/>
      <c r="I322" s="564">
        <v>70321.0</v>
      </c>
      <c r="J322" s="565">
        <v>113170.0</v>
      </c>
      <c r="K322" s="542"/>
      <c r="L322" s="542"/>
      <c r="M322" s="542"/>
    </row>
    <row r="323">
      <c r="A323" s="570" t="s">
        <v>1817</v>
      </c>
      <c r="B323" s="559" t="s">
        <v>1795</v>
      </c>
      <c r="C323" s="568">
        <v>756.0</v>
      </c>
      <c r="D323" s="557">
        <v>0.9549</v>
      </c>
      <c r="E323" s="569">
        <v>316.27</v>
      </c>
      <c r="F323" s="563">
        <v>113000.0</v>
      </c>
      <c r="G323" s="557"/>
      <c r="H323" s="559"/>
      <c r="I323" s="564">
        <v>70215.0</v>
      </c>
      <c r="J323" s="565">
        <v>113000.0</v>
      </c>
      <c r="K323" s="542"/>
      <c r="L323" s="542"/>
      <c r="M323" s="542"/>
    </row>
    <row r="324">
      <c r="A324" s="570" t="s">
        <v>1848</v>
      </c>
      <c r="B324" s="559" t="s">
        <v>819</v>
      </c>
      <c r="C324" s="568">
        <v>1533.0</v>
      </c>
      <c r="D324" s="557">
        <v>0.9257</v>
      </c>
      <c r="E324" s="569">
        <v>378.7</v>
      </c>
      <c r="F324" s="563">
        <v>112829.0</v>
      </c>
      <c r="G324" s="557">
        <v>-1.0</v>
      </c>
      <c r="H324" s="559"/>
      <c r="I324" s="564">
        <v>70109.0</v>
      </c>
      <c r="J324" s="565">
        <v>112829.0</v>
      </c>
      <c r="K324" s="542"/>
      <c r="L324" s="542"/>
      <c r="M324" s="542"/>
    </row>
    <row r="325">
      <c r="A325" s="570" t="s">
        <v>187</v>
      </c>
      <c r="B325" s="559" t="s">
        <v>623</v>
      </c>
      <c r="C325" s="568">
        <v>724.0</v>
      </c>
      <c r="D325" s="557">
        <v>0.9398</v>
      </c>
      <c r="E325" s="569">
        <v>275.96</v>
      </c>
      <c r="F325" s="563">
        <v>112723.0</v>
      </c>
      <c r="G325" s="557"/>
      <c r="H325" s="559"/>
      <c r="I325" s="564">
        <v>70043.0</v>
      </c>
      <c r="J325" s="565">
        <v>112723.0</v>
      </c>
      <c r="K325" s="542"/>
      <c r="L325" s="542"/>
      <c r="M325" s="542"/>
    </row>
    <row r="326">
      <c r="A326" s="570" t="s">
        <v>1849</v>
      </c>
      <c r="B326" s="557"/>
      <c r="C326" s="557"/>
      <c r="D326" s="557"/>
      <c r="E326" s="557"/>
      <c r="F326" s="563">
        <v>112550.0</v>
      </c>
      <c r="G326" s="557"/>
      <c r="H326" s="557">
        <v>0.942841403091113</v>
      </c>
      <c r="I326" s="564">
        <v>69935.0</v>
      </c>
      <c r="J326" s="565">
        <v>112550.0</v>
      </c>
      <c r="K326" s="542"/>
      <c r="L326" s="542"/>
      <c r="M326" s="542"/>
    </row>
    <row r="327">
      <c r="A327" s="570" t="s">
        <v>1850</v>
      </c>
      <c r="B327" s="559" t="s">
        <v>1637</v>
      </c>
      <c r="C327" s="568">
        <v>780.0</v>
      </c>
      <c r="D327" s="557">
        <v>0.9627</v>
      </c>
      <c r="E327" s="569">
        <v>339.45</v>
      </c>
      <c r="F327" s="563">
        <v>112335.0</v>
      </c>
      <c r="G327" s="557"/>
      <c r="H327" s="559"/>
      <c r="I327" s="564">
        <v>69802.0</v>
      </c>
      <c r="J327" s="565">
        <v>112335.0</v>
      </c>
      <c r="K327" s="542"/>
      <c r="L327" s="542"/>
      <c r="M327" s="542"/>
    </row>
    <row r="328">
      <c r="A328" s="570" t="s">
        <v>101</v>
      </c>
      <c r="B328" s="559" t="s">
        <v>1013</v>
      </c>
      <c r="C328" s="568">
        <v>872.0</v>
      </c>
      <c r="D328" s="557">
        <v>0.9449</v>
      </c>
      <c r="E328" s="569">
        <v>328.47</v>
      </c>
      <c r="F328" s="563">
        <v>112000.0</v>
      </c>
      <c r="G328" s="557"/>
      <c r="H328" s="559"/>
      <c r="I328" s="564">
        <v>69594.0</v>
      </c>
      <c r="J328" s="565">
        <v>112000.0</v>
      </c>
      <c r="K328" s="542"/>
      <c r="L328" s="542"/>
      <c r="M328" s="542"/>
    </row>
    <row r="329">
      <c r="A329" s="570" t="s">
        <v>488</v>
      </c>
      <c r="B329" s="557"/>
      <c r="C329" s="557"/>
      <c r="D329" s="557"/>
      <c r="E329" s="557"/>
      <c r="F329" s="563">
        <v>111800.0</v>
      </c>
      <c r="G329" s="557"/>
      <c r="H329" s="557">
        <v>0.9429657235997212</v>
      </c>
      <c r="I329" s="564">
        <v>69469.0</v>
      </c>
      <c r="J329" s="565">
        <v>111800.0</v>
      </c>
      <c r="K329" s="542"/>
      <c r="L329" s="542"/>
      <c r="M329" s="542"/>
    </row>
    <row r="330">
      <c r="A330" s="570" t="s">
        <v>300</v>
      </c>
      <c r="B330" s="557"/>
      <c r="C330" s="557"/>
      <c r="D330" s="557"/>
      <c r="E330" s="557"/>
      <c r="F330" s="563">
        <v>111050.0</v>
      </c>
      <c r="G330" s="557"/>
      <c r="H330" s="557">
        <v>0.9430902991873201</v>
      </c>
      <c r="I330" s="564">
        <v>69003.0</v>
      </c>
      <c r="J330" s="565">
        <v>111050.0</v>
      </c>
      <c r="K330" s="542"/>
      <c r="L330" s="542"/>
      <c r="M330" s="542"/>
    </row>
    <row r="331">
      <c r="A331" s="570" t="s">
        <v>416</v>
      </c>
      <c r="B331" s="559" t="s">
        <v>210</v>
      </c>
      <c r="C331" s="568">
        <v>1139.0</v>
      </c>
      <c r="D331" s="557">
        <v>0.9308</v>
      </c>
      <c r="E331" s="569">
        <v>314.57</v>
      </c>
      <c r="F331" s="563">
        <v>111001.0</v>
      </c>
      <c r="G331" s="557">
        <v>-1.0</v>
      </c>
      <c r="H331" s="559"/>
      <c r="I331" s="564">
        <v>68973.0</v>
      </c>
      <c r="J331" s="565">
        <v>111001.0</v>
      </c>
      <c r="K331" s="542"/>
      <c r="L331" s="542"/>
      <c r="M331" s="542"/>
    </row>
    <row r="332">
      <c r="A332" s="570" t="s">
        <v>1853</v>
      </c>
      <c r="B332" s="559" t="s">
        <v>126</v>
      </c>
      <c r="C332" s="568">
        <v>658.0</v>
      </c>
      <c r="D332" s="557">
        <v>0.9441</v>
      </c>
      <c r="E332" s="569">
        <v>321.24</v>
      </c>
      <c r="F332" s="563">
        <v>111000.0</v>
      </c>
      <c r="G332" s="557"/>
      <c r="H332" s="559"/>
      <c r="I332" s="564">
        <v>68972.0</v>
      </c>
      <c r="J332" s="565">
        <v>111000.0</v>
      </c>
      <c r="K332" s="542"/>
      <c r="L332" s="542"/>
      <c r="M332" s="542"/>
    </row>
    <row r="333">
      <c r="A333" s="570" t="s">
        <v>1852</v>
      </c>
      <c r="B333" s="559" t="s">
        <v>1784</v>
      </c>
      <c r="C333" s="568">
        <v>1085.0</v>
      </c>
      <c r="D333" s="557">
        <v>0.9568</v>
      </c>
      <c r="E333" s="569">
        <v>296.96</v>
      </c>
      <c r="F333" s="563">
        <v>110360.0</v>
      </c>
      <c r="G333" s="557"/>
      <c r="H333" s="559"/>
      <c r="I333" s="564">
        <v>68575.0</v>
      </c>
      <c r="J333" s="565">
        <v>110360.0</v>
      </c>
      <c r="K333" s="542"/>
      <c r="L333" s="542"/>
      <c r="M333" s="542"/>
    </row>
    <row r="334">
      <c r="A334" s="570" t="s">
        <v>781</v>
      </c>
      <c r="B334" s="557"/>
      <c r="C334" s="557"/>
      <c r="D334" s="557"/>
      <c r="E334" s="557"/>
      <c r="F334" s="563">
        <v>110300.0</v>
      </c>
      <c r="G334" s="557"/>
      <c r="H334" s="557">
        <v>0.9432151390394526</v>
      </c>
      <c r="I334" s="564">
        <v>68537.0</v>
      </c>
      <c r="J334" s="565">
        <v>110300.0</v>
      </c>
      <c r="K334" s="542"/>
      <c r="L334" s="542"/>
      <c r="M334" s="542"/>
    </row>
    <row r="335">
      <c r="A335" s="570" t="s">
        <v>1855</v>
      </c>
      <c r="B335" s="559" t="s">
        <v>1611</v>
      </c>
      <c r="C335" s="568">
        <v>1194.0</v>
      </c>
      <c r="D335" s="557">
        <v>0.9695</v>
      </c>
      <c r="E335" s="569">
        <v>289.76</v>
      </c>
      <c r="F335" s="563">
        <v>110000.0</v>
      </c>
      <c r="G335" s="557"/>
      <c r="H335" s="559"/>
      <c r="I335" s="564">
        <v>68351.0</v>
      </c>
      <c r="J335" s="565">
        <v>110000.0</v>
      </c>
      <c r="K335" s="542"/>
      <c r="L335" s="542"/>
      <c r="M335" s="542"/>
    </row>
    <row r="336">
      <c r="A336" s="570" t="s">
        <v>1856</v>
      </c>
      <c r="B336" s="557"/>
      <c r="C336" s="557"/>
      <c r="D336" s="557"/>
      <c r="E336" s="557"/>
      <c r="F336" s="563">
        <v>109550.0</v>
      </c>
      <c r="G336" s="557"/>
      <c r="H336" s="557">
        <v>0.9433402526724387</v>
      </c>
      <c r="I336" s="564">
        <v>68071.0</v>
      </c>
      <c r="J336" s="565">
        <v>109550.0</v>
      </c>
      <c r="K336" s="542"/>
      <c r="L336" s="542"/>
      <c r="M336" s="542"/>
    </row>
    <row r="337">
      <c r="A337" s="570" t="s">
        <v>147</v>
      </c>
      <c r="B337" s="559" t="s">
        <v>169</v>
      </c>
      <c r="C337" s="568">
        <v>1023.0</v>
      </c>
      <c r="D337" s="557">
        <v>0.9261</v>
      </c>
      <c r="E337" s="569">
        <v>332.62</v>
      </c>
      <c r="F337" s="563">
        <v>109350.0</v>
      </c>
      <c r="G337" s="557">
        <v>-1.0</v>
      </c>
      <c r="H337" s="559"/>
      <c r="I337" s="564">
        <v>67947.0</v>
      </c>
      <c r="J337" s="565">
        <v>109350.0</v>
      </c>
      <c r="K337" s="542"/>
      <c r="L337" s="542"/>
      <c r="M337" s="542"/>
    </row>
    <row r="338">
      <c r="A338" s="570" t="s">
        <v>1858</v>
      </c>
      <c r="B338" s="559" t="s">
        <v>376</v>
      </c>
      <c r="C338" s="568">
        <v>1026.0</v>
      </c>
      <c r="D338" s="557">
        <v>0.9348</v>
      </c>
      <c r="E338" s="569">
        <v>291.47</v>
      </c>
      <c r="F338" s="563">
        <v>109248.0</v>
      </c>
      <c r="G338" s="557"/>
      <c r="H338" s="559"/>
      <c r="I338" s="564">
        <v>67884.0</v>
      </c>
      <c r="J338" s="565">
        <v>109248.0</v>
      </c>
      <c r="K338" s="542"/>
      <c r="L338" s="542"/>
      <c r="M338" s="542"/>
    </row>
    <row r="339">
      <c r="A339" s="570" t="s">
        <v>639</v>
      </c>
      <c r="B339" s="559" t="s">
        <v>1127</v>
      </c>
      <c r="C339" s="568">
        <v>911.0</v>
      </c>
      <c r="D339" s="557">
        <v>0.9656</v>
      </c>
      <c r="E339" s="569">
        <v>308.03</v>
      </c>
      <c r="F339" s="563">
        <v>109111.0</v>
      </c>
      <c r="G339" s="557"/>
      <c r="H339" s="559"/>
      <c r="I339" s="564">
        <v>67798.0</v>
      </c>
      <c r="J339" s="565">
        <v>109111.0</v>
      </c>
      <c r="K339" s="542"/>
      <c r="L339" s="542"/>
      <c r="M339" s="542"/>
    </row>
    <row r="340">
      <c r="A340" s="570" t="s">
        <v>1729</v>
      </c>
      <c r="B340" s="559" t="s">
        <v>465</v>
      </c>
      <c r="C340" s="568">
        <v>1092.0</v>
      </c>
      <c r="D340" s="557">
        <v>0.921</v>
      </c>
      <c r="E340" s="569">
        <v>350.86</v>
      </c>
      <c r="F340" s="563">
        <v>109011.0</v>
      </c>
      <c r="G340" s="557">
        <v>-1.0</v>
      </c>
      <c r="H340" s="559"/>
      <c r="I340" s="564">
        <v>67736.0</v>
      </c>
      <c r="J340" s="565">
        <v>109011.0</v>
      </c>
      <c r="K340" s="542"/>
      <c r="L340" s="542"/>
      <c r="M340" s="542"/>
    </row>
    <row r="341">
      <c r="A341" s="570" t="s">
        <v>358</v>
      </c>
      <c r="B341" s="557"/>
      <c r="C341" s="557"/>
      <c r="D341" s="557"/>
      <c r="E341" s="557"/>
      <c r="F341" s="563">
        <v>108800.0</v>
      </c>
      <c r="G341" s="557"/>
      <c r="H341" s="557">
        <v>0.9434656499452863</v>
      </c>
      <c r="I341" s="564">
        <v>67605.0</v>
      </c>
      <c r="J341" s="565">
        <v>108800.0</v>
      </c>
      <c r="K341" s="542"/>
      <c r="L341" s="542"/>
      <c r="M341" s="542"/>
    </row>
    <row r="342">
      <c r="A342" s="570" t="s">
        <v>114</v>
      </c>
      <c r="B342" s="559" t="s">
        <v>449</v>
      </c>
      <c r="C342" s="568">
        <v>757.0</v>
      </c>
      <c r="D342" s="557">
        <v>0.9449</v>
      </c>
      <c r="E342" s="569">
        <v>268.52</v>
      </c>
      <c r="F342" s="563">
        <v>108788.0</v>
      </c>
      <c r="G342" s="557"/>
      <c r="H342" s="559"/>
      <c r="I342" s="564">
        <v>67598.0</v>
      </c>
      <c r="J342" s="565">
        <v>108788.0</v>
      </c>
      <c r="K342" s="542"/>
      <c r="L342" s="542"/>
      <c r="M342" s="542"/>
    </row>
    <row r="343">
      <c r="A343" s="570" t="s">
        <v>722</v>
      </c>
      <c r="B343" s="559" t="s">
        <v>623</v>
      </c>
      <c r="C343" s="568">
        <v>697.0</v>
      </c>
      <c r="D343" s="557">
        <v>0.9373</v>
      </c>
      <c r="E343" s="569">
        <v>267.77</v>
      </c>
      <c r="F343" s="563">
        <v>108644.0</v>
      </c>
      <c r="G343" s="557"/>
      <c r="H343" s="559"/>
      <c r="I343" s="564">
        <v>67508.0</v>
      </c>
      <c r="J343" s="565">
        <v>108644.0</v>
      </c>
      <c r="K343" s="542"/>
      <c r="L343" s="542"/>
      <c r="M343" s="542"/>
    </row>
    <row r="344">
      <c r="A344" s="570" t="s">
        <v>601</v>
      </c>
      <c r="B344" s="559" t="s">
        <v>147</v>
      </c>
      <c r="C344" s="568">
        <v>710.0</v>
      </c>
      <c r="D344" s="557">
        <v>0.9289</v>
      </c>
      <c r="E344" s="569">
        <v>337.94</v>
      </c>
      <c r="F344" s="563">
        <v>108400.0</v>
      </c>
      <c r="G344" s="557"/>
      <c r="H344" s="559"/>
      <c r="I344" s="564">
        <v>67357.0</v>
      </c>
      <c r="J344" s="565">
        <v>108400.0</v>
      </c>
      <c r="K344" s="542"/>
      <c r="L344" s="542"/>
      <c r="M344" s="542"/>
    </row>
    <row r="345">
      <c r="A345" s="570" t="s">
        <v>94</v>
      </c>
      <c r="B345" s="557"/>
      <c r="C345" s="557"/>
      <c r="D345" s="557"/>
      <c r="E345" s="557"/>
      <c r="F345" s="563">
        <v>108050.0</v>
      </c>
      <c r="G345" s="557"/>
      <c r="H345" s="557">
        <v>0.9435913410720318</v>
      </c>
      <c r="I345" s="564">
        <v>67139.0</v>
      </c>
      <c r="J345" s="565">
        <v>108050.0</v>
      </c>
      <c r="K345" s="542"/>
      <c r="L345" s="542"/>
      <c r="M345" s="542"/>
    </row>
    <row r="346">
      <c r="A346" s="570" t="s">
        <v>1633</v>
      </c>
      <c r="B346" s="557"/>
      <c r="C346" s="557"/>
      <c r="D346" s="557"/>
      <c r="E346" s="557"/>
      <c r="F346" s="563">
        <v>107300.0</v>
      </c>
      <c r="G346" s="557"/>
      <c r="H346" s="557">
        <v>0.9437173366345255</v>
      </c>
      <c r="I346" s="564">
        <v>66673.0</v>
      </c>
      <c r="J346" s="565">
        <v>107300.0</v>
      </c>
      <c r="K346" s="542"/>
      <c r="L346" s="542"/>
      <c r="M346" s="542"/>
    </row>
    <row r="347">
      <c r="A347" s="570" t="s">
        <v>1841</v>
      </c>
      <c r="B347" s="559" t="s">
        <v>78</v>
      </c>
      <c r="C347" s="568">
        <v>1076.0</v>
      </c>
      <c r="D347" s="557">
        <v>0.9374</v>
      </c>
      <c r="E347" s="569">
        <v>284.33</v>
      </c>
      <c r="F347" s="563">
        <v>106669.0</v>
      </c>
      <c r="G347" s="557">
        <v>-1.0</v>
      </c>
      <c r="H347" s="559"/>
      <c r="I347" s="564">
        <v>66281.0</v>
      </c>
      <c r="J347" s="565">
        <v>106669.0</v>
      </c>
      <c r="K347" s="542"/>
      <c r="L347" s="542"/>
      <c r="M347" s="542"/>
    </row>
    <row r="348">
      <c r="A348" s="570" t="s">
        <v>525</v>
      </c>
      <c r="B348" s="559" t="s">
        <v>376</v>
      </c>
      <c r="C348" s="568">
        <v>994.0</v>
      </c>
      <c r="D348" s="557">
        <v>0.9248</v>
      </c>
      <c r="E348" s="569">
        <v>285.79</v>
      </c>
      <c r="F348" s="563">
        <v>106563.0</v>
      </c>
      <c r="G348" s="557"/>
      <c r="H348" s="559"/>
      <c r="I348" s="564">
        <v>66215.0</v>
      </c>
      <c r="J348" s="565">
        <v>106563.0</v>
      </c>
      <c r="K348" s="542"/>
      <c r="L348" s="542"/>
      <c r="M348" s="542"/>
    </row>
    <row r="349">
      <c r="A349" s="570" t="s">
        <v>532</v>
      </c>
      <c r="B349" s="557"/>
      <c r="C349" s="557"/>
      <c r="D349" s="557"/>
      <c r="E349" s="557"/>
      <c r="F349" s="563">
        <v>106550.0</v>
      </c>
      <c r="G349" s="557"/>
      <c r="H349" s="557">
        <v>0.943843647595676</v>
      </c>
      <c r="I349" s="564">
        <v>66207.0</v>
      </c>
      <c r="J349" s="565">
        <v>106550.0</v>
      </c>
      <c r="K349" s="542"/>
      <c r="L349" s="542"/>
      <c r="M349" s="542"/>
    </row>
    <row r="350">
      <c r="A350" s="570" t="s">
        <v>344</v>
      </c>
      <c r="B350" s="559" t="s">
        <v>639</v>
      </c>
      <c r="C350" s="568">
        <v>1566.0</v>
      </c>
      <c r="D350" s="557">
        <v>0.9186</v>
      </c>
      <c r="E350" s="569">
        <v>307.23</v>
      </c>
      <c r="F350" s="563">
        <v>106217.0</v>
      </c>
      <c r="G350" s="557">
        <v>-1.0</v>
      </c>
      <c r="H350" s="559"/>
      <c r="I350" s="564">
        <v>66000.0</v>
      </c>
      <c r="J350" s="565">
        <v>106217.0</v>
      </c>
      <c r="K350" s="542"/>
      <c r="L350" s="542"/>
      <c r="M350" s="542"/>
    </row>
    <row r="351">
      <c r="A351" s="570" t="s">
        <v>615</v>
      </c>
      <c r="B351" s="559" t="s">
        <v>246</v>
      </c>
      <c r="C351" s="568">
        <v>1189.0</v>
      </c>
      <c r="D351" s="557">
        <v>0.9593</v>
      </c>
      <c r="E351" s="569">
        <v>306.38</v>
      </c>
      <c r="F351" s="563">
        <v>106200.0</v>
      </c>
      <c r="G351" s="557"/>
      <c r="H351" s="559"/>
      <c r="I351" s="564">
        <v>65990.0</v>
      </c>
      <c r="J351" s="565">
        <v>106200.0</v>
      </c>
      <c r="K351" s="542"/>
      <c r="L351" s="542"/>
      <c r="M351" s="542"/>
    </row>
    <row r="352">
      <c r="A352" s="570" t="s">
        <v>241</v>
      </c>
      <c r="B352" s="559" t="s">
        <v>212</v>
      </c>
      <c r="C352" s="568">
        <v>823.0</v>
      </c>
      <c r="D352" s="557">
        <v>0.934</v>
      </c>
      <c r="E352" s="569">
        <v>315.52</v>
      </c>
      <c r="F352" s="563">
        <v>106023.0</v>
      </c>
      <c r="G352" s="557"/>
      <c r="H352" s="559"/>
      <c r="I352" s="564">
        <v>65880.0</v>
      </c>
      <c r="J352" s="565">
        <v>106023.0</v>
      </c>
      <c r="K352" s="542"/>
      <c r="L352" s="542"/>
      <c r="M352" s="542"/>
    </row>
    <row r="353">
      <c r="A353" s="570" t="s">
        <v>729</v>
      </c>
      <c r="B353" s="559" t="s">
        <v>1863</v>
      </c>
      <c r="C353" s="568">
        <v>871.0</v>
      </c>
      <c r="D353" s="557">
        <v>0.9365</v>
      </c>
      <c r="E353" s="569">
        <v>353.19</v>
      </c>
      <c r="F353" s="563">
        <v>106000.0</v>
      </c>
      <c r="G353" s="557"/>
      <c r="H353" s="559"/>
      <c r="I353" s="564">
        <v>65865.0</v>
      </c>
      <c r="J353" s="565">
        <v>106000.0</v>
      </c>
      <c r="K353" s="542"/>
      <c r="L353" s="542"/>
      <c r="M353" s="542"/>
    </row>
    <row r="354">
      <c r="A354" s="570" t="s">
        <v>1468</v>
      </c>
      <c r="B354" s="557"/>
      <c r="C354" s="557"/>
      <c r="D354" s="557"/>
      <c r="E354" s="557"/>
      <c r="F354" s="563">
        <v>105800.0</v>
      </c>
      <c r="G354" s="557"/>
      <c r="H354" s="557">
        <v>0.9439702853131724</v>
      </c>
      <c r="I354" s="564">
        <v>65741.0</v>
      </c>
      <c r="J354" s="565">
        <v>105800.0</v>
      </c>
      <c r="K354" s="542"/>
      <c r="L354" s="542"/>
      <c r="M354" s="542"/>
    </row>
    <row r="355">
      <c r="A355" s="570" t="s">
        <v>145</v>
      </c>
      <c r="B355" s="557"/>
      <c r="C355" s="557"/>
      <c r="D355" s="557"/>
      <c r="E355" s="557"/>
      <c r="F355" s="563">
        <v>105050.0</v>
      </c>
      <c r="G355" s="557"/>
      <c r="H355" s="557">
        <v>0.9440972615537012</v>
      </c>
      <c r="I355" s="564">
        <v>65275.0</v>
      </c>
      <c r="J355" s="565">
        <v>105050.0</v>
      </c>
      <c r="K355" s="542"/>
      <c r="L355" s="542"/>
      <c r="M355" s="542"/>
    </row>
    <row r="356">
      <c r="A356" s="570" t="s">
        <v>1127</v>
      </c>
      <c r="B356" s="559" t="s">
        <v>126</v>
      </c>
      <c r="C356" s="568">
        <v>620.0</v>
      </c>
      <c r="D356" s="557">
        <v>0.9543</v>
      </c>
      <c r="E356" s="569">
        <v>302.29</v>
      </c>
      <c r="F356" s="563">
        <v>105000.0</v>
      </c>
      <c r="G356" s="557"/>
      <c r="H356" s="559"/>
      <c r="I356" s="564">
        <v>65244.0</v>
      </c>
      <c r="J356" s="565">
        <v>105000.0</v>
      </c>
      <c r="K356" s="542"/>
      <c r="L356" s="542"/>
      <c r="M356" s="542"/>
    </row>
    <row r="357">
      <c r="A357" s="570" t="s">
        <v>1866</v>
      </c>
      <c r="B357" s="559" t="s">
        <v>640</v>
      </c>
      <c r="C357" s="568">
        <v>825.0</v>
      </c>
      <c r="D357" s="557">
        <v>0.9441</v>
      </c>
      <c r="E357" s="569">
        <v>302.37</v>
      </c>
      <c r="F357" s="563">
        <v>104958.0</v>
      </c>
      <c r="G357" s="557"/>
      <c r="H357" s="559"/>
      <c r="I357" s="564">
        <v>65218.0</v>
      </c>
      <c r="J357" s="565">
        <v>104958.0</v>
      </c>
      <c r="K357" s="542"/>
      <c r="L357" s="542"/>
      <c r="M357" s="542"/>
    </row>
    <row r="358">
      <c r="A358" s="570" t="s">
        <v>1292</v>
      </c>
      <c r="B358" s="557"/>
      <c r="C358" s="557"/>
      <c r="D358" s="557"/>
      <c r="E358" s="557"/>
      <c r="F358" s="563">
        <v>104300.0</v>
      </c>
      <c r="G358" s="557"/>
      <c r="H358" s="557">
        <v>0.9442245885076739</v>
      </c>
      <c r="I358" s="564">
        <v>64809.0</v>
      </c>
      <c r="J358" s="565">
        <v>104300.0</v>
      </c>
      <c r="K358" s="542"/>
      <c r="L358" s="542"/>
      <c r="M358" s="542"/>
    </row>
    <row r="359">
      <c r="A359" s="570" t="s">
        <v>651</v>
      </c>
      <c r="B359" s="559" t="s">
        <v>58</v>
      </c>
      <c r="C359" s="568">
        <v>994.0</v>
      </c>
      <c r="D359" s="557">
        <v>0.9348</v>
      </c>
      <c r="E359" s="569">
        <v>302.44</v>
      </c>
      <c r="F359" s="563">
        <v>104000.0</v>
      </c>
      <c r="G359" s="557"/>
      <c r="H359" s="559"/>
      <c r="I359" s="564">
        <v>64623.0</v>
      </c>
      <c r="J359" s="565">
        <v>104000.0</v>
      </c>
      <c r="K359" s="542"/>
      <c r="L359" s="542"/>
      <c r="M359" s="542"/>
    </row>
    <row r="360">
      <c r="A360" s="570" t="s">
        <v>1868</v>
      </c>
      <c r="B360" s="559" t="s">
        <v>300</v>
      </c>
      <c r="C360" s="568">
        <v>884.0</v>
      </c>
      <c r="D360" s="557">
        <v>0.9416</v>
      </c>
      <c r="E360" s="569">
        <v>311.84</v>
      </c>
      <c r="F360" s="563">
        <v>103802.0</v>
      </c>
      <c r="G360" s="557"/>
      <c r="H360" s="559"/>
      <c r="I360" s="564">
        <v>64500.0</v>
      </c>
      <c r="J360" s="565">
        <v>103802.0</v>
      </c>
      <c r="K360" s="542"/>
      <c r="L360" s="542"/>
      <c r="M360" s="542"/>
    </row>
    <row r="361">
      <c r="A361" s="570" t="s">
        <v>154</v>
      </c>
      <c r="B361" s="557"/>
      <c r="C361" s="557"/>
      <c r="D361" s="557"/>
      <c r="E361" s="557"/>
      <c r="F361" s="563">
        <v>103550.0</v>
      </c>
      <c r="G361" s="557"/>
      <c r="H361" s="557">
        <v>0.9443522788044859</v>
      </c>
      <c r="I361" s="564">
        <v>64343.0</v>
      </c>
      <c r="J361" s="565">
        <v>103550.0</v>
      </c>
      <c r="K361" s="542"/>
      <c r="L361" s="542"/>
      <c r="M361" s="542"/>
    </row>
    <row r="362">
      <c r="A362" s="570" t="s">
        <v>499</v>
      </c>
      <c r="B362" s="557"/>
      <c r="C362" s="557"/>
      <c r="D362" s="557"/>
      <c r="E362" s="557"/>
      <c r="F362" s="563">
        <v>102800.0</v>
      </c>
      <c r="G362" s="557"/>
      <c r="H362" s="557">
        <v>0.9444803455283247</v>
      </c>
      <c r="I362" s="564">
        <v>63877.0</v>
      </c>
      <c r="J362" s="565">
        <v>102800.0</v>
      </c>
      <c r="K362" s="542"/>
      <c r="L362" s="542"/>
      <c r="M362" s="542"/>
    </row>
    <row r="363">
      <c r="A363" s="570" t="s">
        <v>508</v>
      </c>
      <c r="B363" s="559" t="s">
        <v>1719</v>
      </c>
      <c r="C363" s="568">
        <v>797.0</v>
      </c>
      <c r="D363" s="557">
        <v>0.9644</v>
      </c>
      <c r="E363" s="569"/>
      <c r="F363" s="563">
        <v>102748.0</v>
      </c>
      <c r="G363" s="557"/>
      <c r="H363" s="559"/>
      <c r="I363" s="564">
        <v>63845.0</v>
      </c>
      <c r="J363" s="565">
        <v>102748.0</v>
      </c>
      <c r="K363" s="542"/>
      <c r="L363" s="542"/>
      <c r="M363" s="542"/>
    </row>
    <row r="364">
      <c r="A364" s="570" t="s">
        <v>122</v>
      </c>
      <c r="B364" s="557"/>
      <c r="C364" s="557"/>
      <c r="D364" s="557"/>
      <c r="E364" s="557"/>
      <c r="F364" s="563">
        <v>102050.0</v>
      </c>
      <c r="G364" s="557"/>
      <c r="H364" s="557">
        <v>0.9446088022345464</v>
      </c>
      <c r="I364" s="564">
        <v>63411.0</v>
      </c>
      <c r="J364" s="565">
        <v>102050.0</v>
      </c>
      <c r="K364" s="542"/>
      <c r="L364" s="542"/>
      <c r="M364" s="542"/>
    </row>
    <row r="365">
      <c r="A365" s="570" t="s">
        <v>545</v>
      </c>
      <c r="B365" s="559" t="s">
        <v>1661</v>
      </c>
      <c r="C365" s="568">
        <v>606.0</v>
      </c>
      <c r="D365" s="557">
        <v>0.9492</v>
      </c>
      <c r="E365" s="569">
        <v>309.27</v>
      </c>
      <c r="F365" s="563">
        <v>102000.0</v>
      </c>
      <c r="G365" s="557"/>
      <c r="H365" s="559"/>
      <c r="I365" s="564">
        <v>63380.0</v>
      </c>
      <c r="J365" s="565">
        <v>102000.0</v>
      </c>
      <c r="K365" s="542"/>
      <c r="L365" s="542"/>
      <c r="M365" s="542"/>
    </row>
    <row r="366">
      <c r="A366" s="570" t="s">
        <v>623</v>
      </c>
      <c r="B366" s="559" t="s">
        <v>1752</v>
      </c>
      <c r="C366" s="568">
        <v>1222.0</v>
      </c>
      <c r="D366" s="557">
        <v>0.9543</v>
      </c>
      <c r="E366" s="569">
        <v>276.17</v>
      </c>
      <c r="F366" s="563">
        <v>102000.0</v>
      </c>
      <c r="G366" s="557"/>
      <c r="H366" s="559"/>
      <c r="I366" s="564">
        <v>63380.0</v>
      </c>
      <c r="J366" s="565">
        <v>102000.0</v>
      </c>
      <c r="K366" s="542"/>
      <c r="L366" s="542"/>
      <c r="M366" s="542"/>
    </row>
    <row r="367">
      <c r="A367" s="570" t="s">
        <v>1872</v>
      </c>
      <c r="B367" s="557"/>
      <c r="C367" s="557"/>
      <c r="D367" s="557"/>
      <c r="E367" s="557"/>
      <c r="F367" s="563">
        <v>101300.0</v>
      </c>
      <c r="G367" s="557"/>
      <c r="H367" s="557">
        <v>0.9447376629666439</v>
      </c>
      <c r="I367" s="564">
        <v>62945.0</v>
      </c>
      <c r="J367" s="565">
        <v>101300.0</v>
      </c>
      <c r="K367" s="542"/>
      <c r="L367" s="542"/>
      <c r="M367" s="542"/>
    </row>
    <row r="368">
      <c r="A368" s="570" t="s">
        <v>1873</v>
      </c>
      <c r="B368" s="559" t="s">
        <v>186</v>
      </c>
      <c r="C368" s="568">
        <v>426.0</v>
      </c>
      <c r="D368" s="557">
        <v>0.9298</v>
      </c>
      <c r="E368" s="569">
        <v>313.47</v>
      </c>
      <c r="F368" s="563">
        <v>101033.0</v>
      </c>
      <c r="G368" s="557"/>
      <c r="H368" s="559"/>
      <c r="I368" s="564">
        <v>62779.0</v>
      </c>
      <c r="J368" s="565">
        <v>101033.0</v>
      </c>
      <c r="K368" s="542"/>
      <c r="L368" s="542"/>
      <c r="M368" s="542"/>
    </row>
    <row r="369">
      <c r="A369" s="570" t="s">
        <v>1874</v>
      </c>
      <c r="B369" s="559" t="s">
        <v>1762</v>
      </c>
      <c r="C369" s="568">
        <v>1222.0</v>
      </c>
      <c r="D369" s="557">
        <v>0.9593</v>
      </c>
      <c r="E369" s="569">
        <v>289.45</v>
      </c>
      <c r="F369" s="563">
        <v>100790.0</v>
      </c>
      <c r="G369" s="557"/>
      <c r="H369" s="559"/>
      <c r="I369" s="564">
        <v>62628.0</v>
      </c>
      <c r="J369" s="565">
        <v>100790.0</v>
      </c>
      <c r="K369" s="542"/>
      <c r="L369" s="542"/>
      <c r="M369" s="542"/>
    </row>
    <row r="370">
      <c r="A370" s="570" t="s">
        <v>769</v>
      </c>
      <c r="B370" s="557"/>
      <c r="C370" s="557"/>
      <c r="D370" s="557"/>
      <c r="E370" s="557"/>
      <c r="F370" s="563">
        <v>100550.0</v>
      </c>
      <c r="G370" s="557"/>
      <c r="H370" s="557">
        <v>0.9448669422738242</v>
      </c>
      <c r="I370" s="564">
        <v>62479.0</v>
      </c>
      <c r="J370" s="565">
        <v>100550.0</v>
      </c>
      <c r="K370" s="542"/>
      <c r="L370" s="542"/>
      <c r="M370" s="542"/>
    </row>
    <row r="371">
      <c r="A371" s="570" t="s">
        <v>1876</v>
      </c>
      <c r="B371" s="559" t="s">
        <v>1013</v>
      </c>
      <c r="C371" s="568">
        <v>773.0</v>
      </c>
      <c r="D371" s="557">
        <v>0.967</v>
      </c>
      <c r="E371" s="569">
        <v>290.11</v>
      </c>
      <c r="F371" s="563">
        <v>100500.0</v>
      </c>
      <c r="G371" s="557"/>
      <c r="H371" s="559"/>
      <c r="I371" s="564">
        <v>62448.0</v>
      </c>
      <c r="J371" s="565">
        <v>100500.0</v>
      </c>
      <c r="K371" s="542"/>
      <c r="L371" s="542"/>
      <c r="M371" s="542"/>
    </row>
    <row r="372">
      <c r="A372" s="570" t="s">
        <v>1870</v>
      </c>
      <c r="B372" s="559" t="s">
        <v>1637</v>
      </c>
      <c r="C372" s="568">
        <v>702.0</v>
      </c>
      <c r="D372" s="557">
        <v>0.9655</v>
      </c>
      <c r="E372" s="569">
        <v>304.59</v>
      </c>
      <c r="F372" s="563">
        <v>100449.0</v>
      </c>
      <c r="G372" s="557"/>
      <c r="H372" s="559"/>
      <c r="I372" s="564">
        <v>62416.0</v>
      </c>
      <c r="J372" s="565">
        <v>100449.0</v>
      </c>
      <c r="K372" s="542"/>
      <c r="L372" s="542"/>
      <c r="M372" s="542"/>
    </row>
    <row r="373">
      <c r="A373" s="570" t="s">
        <v>253</v>
      </c>
      <c r="B373" s="559" t="s">
        <v>1784</v>
      </c>
      <c r="C373" s="568">
        <v>956.0</v>
      </c>
      <c r="D373" s="557">
        <v>0.9644</v>
      </c>
      <c r="E373" s="569">
        <v>271.52</v>
      </c>
      <c r="F373" s="563">
        <v>100315.0</v>
      </c>
      <c r="G373" s="557"/>
      <c r="H373" s="559"/>
      <c r="I373" s="564">
        <v>62333.0</v>
      </c>
      <c r="J373" s="565">
        <v>100315.0</v>
      </c>
      <c r="K373" s="542"/>
      <c r="L373" s="542"/>
      <c r="M373" s="542"/>
    </row>
    <row r="374">
      <c r="A374" s="570" t="s">
        <v>174</v>
      </c>
      <c r="B374" s="559" t="s">
        <v>171</v>
      </c>
      <c r="C374" s="568">
        <v>1037.0</v>
      </c>
      <c r="D374" s="557">
        <v>0.9398</v>
      </c>
      <c r="E374" s="569">
        <v>270.78</v>
      </c>
      <c r="F374" s="563">
        <v>100250.0</v>
      </c>
      <c r="G374" s="557"/>
      <c r="H374" s="559"/>
      <c r="I374" s="564">
        <v>62292.0</v>
      </c>
      <c r="J374" s="565">
        <v>100250.0</v>
      </c>
      <c r="K374" s="542"/>
      <c r="L374" s="542"/>
      <c r="M374" s="542"/>
    </row>
    <row r="375">
      <c r="A375" s="570" t="s">
        <v>1878</v>
      </c>
      <c r="B375" s="559" t="s">
        <v>126</v>
      </c>
      <c r="C375" s="568">
        <v>582.0</v>
      </c>
      <c r="D375" s="557">
        <v>0.9644</v>
      </c>
      <c r="E375" s="569">
        <v>286.41</v>
      </c>
      <c r="F375" s="563">
        <v>100000.0</v>
      </c>
      <c r="G375" s="557"/>
      <c r="H375" s="559"/>
      <c r="I375" s="564">
        <v>62137.0</v>
      </c>
      <c r="J375" s="565">
        <v>100000.0</v>
      </c>
      <c r="K375" s="542"/>
      <c r="L375" s="542"/>
      <c r="M375" s="542"/>
    </row>
    <row r="376">
      <c r="A376" s="570" t="s">
        <v>607</v>
      </c>
      <c r="B376" s="559" t="s">
        <v>147</v>
      </c>
      <c r="C376" s="568">
        <v>650.0</v>
      </c>
      <c r="D376" s="557">
        <v>0.934</v>
      </c>
      <c r="E376" s="569">
        <v>310.93</v>
      </c>
      <c r="F376" s="563">
        <v>100000.0</v>
      </c>
      <c r="G376" s="557"/>
      <c r="H376" s="559"/>
      <c r="I376" s="564">
        <v>62137.0</v>
      </c>
      <c r="J376" s="565">
        <v>100000.0</v>
      </c>
      <c r="K376" s="542"/>
      <c r="L376" s="542"/>
      <c r="M376" s="542"/>
    </row>
    <row r="377">
      <c r="A377" s="570" t="s">
        <v>1863</v>
      </c>
      <c r="B377" s="559" t="s">
        <v>1611</v>
      </c>
      <c r="C377" s="568">
        <v>1080.0</v>
      </c>
      <c r="D377" s="557">
        <v>0.9543</v>
      </c>
      <c r="E377" s="569">
        <v>266.79</v>
      </c>
      <c r="F377" s="563">
        <v>100000.0</v>
      </c>
      <c r="G377" s="557"/>
      <c r="H377" s="559"/>
      <c r="I377" s="564">
        <v>62137.0</v>
      </c>
      <c r="J377" s="565">
        <v>100000.0</v>
      </c>
      <c r="K377" s="542"/>
      <c r="L377" s="542"/>
      <c r="M377" s="542"/>
    </row>
    <row r="378">
      <c r="A378" s="570" t="s">
        <v>89</v>
      </c>
      <c r="B378" s="559" t="s">
        <v>1692</v>
      </c>
      <c r="C378" s="568">
        <v>1081.0</v>
      </c>
      <c r="D378" s="557">
        <v>0.9111</v>
      </c>
      <c r="E378" s="569">
        <v>283.62</v>
      </c>
      <c r="F378" s="563">
        <v>100000.0</v>
      </c>
      <c r="G378" s="557"/>
      <c r="H378" s="559"/>
      <c r="I378" s="564">
        <v>62137.0</v>
      </c>
      <c r="J378" s="565">
        <v>100000.0</v>
      </c>
      <c r="K378" s="542"/>
      <c r="L378" s="542"/>
      <c r="M378" s="542"/>
    </row>
    <row r="379">
      <c r="A379" s="570" t="s">
        <v>667</v>
      </c>
      <c r="B379" s="559" t="s">
        <v>169</v>
      </c>
      <c r="C379" s="568">
        <v>909.0</v>
      </c>
      <c r="D379" s="557">
        <v>0.9495</v>
      </c>
      <c r="E379" s="569">
        <v>300.53</v>
      </c>
      <c r="F379" s="563">
        <v>100000.0</v>
      </c>
      <c r="G379" s="557">
        <v>-1.0</v>
      </c>
      <c r="H379" s="559"/>
      <c r="I379" s="564">
        <v>62137.0</v>
      </c>
      <c r="J379" s="565">
        <v>100000.0</v>
      </c>
      <c r="K379" s="542"/>
      <c r="L379" s="542"/>
      <c r="M379" s="542"/>
    </row>
    <row r="380">
      <c r="A380" s="570" t="s">
        <v>102</v>
      </c>
      <c r="B380" s="557"/>
      <c r="C380" s="557"/>
      <c r="D380" s="557"/>
      <c r="E380" s="557"/>
      <c r="F380" s="563">
        <v>99800.0</v>
      </c>
      <c r="G380" s="557"/>
      <c r="H380" s="557">
        <v>0.94499665522922</v>
      </c>
      <c r="I380" s="564">
        <v>62013.0</v>
      </c>
      <c r="J380" s="565">
        <v>99800.0</v>
      </c>
      <c r="K380" s="542"/>
      <c r="L380" s="542"/>
      <c r="M380" s="542"/>
    </row>
    <row r="381">
      <c r="A381" s="570" t="s">
        <v>798</v>
      </c>
      <c r="B381" s="559" t="s">
        <v>212</v>
      </c>
      <c r="C381" s="568">
        <v>777.0</v>
      </c>
      <c r="D381" s="557">
        <v>0.9441</v>
      </c>
      <c r="E381" s="569">
        <v>278.66</v>
      </c>
      <c r="F381" s="563">
        <v>99478.0</v>
      </c>
      <c r="G381" s="557"/>
      <c r="H381" s="559"/>
      <c r="I381" s="564">
        <v>61813.0</v>
      </c>
      <c r="J381" s="565">
        <v>99478.0</v>
      </c>
      <c r="K381" s="542"/>
      <c r="L381" s="542"/>
      <c r="M381" s="542"/>
    </row>
    <row r="382">
      <c r="A382" s="570" t="s">
        <v>1503</v>
      </c>
      <c r="B382" s="559" t="s">
        <v>143</v>
      </c>
      <c r="C382" s="568">
        <v>589.0</v>
      </c>
      <c r="D382" s="557">
        <v>0.9411</v>
      </c>
      <c r="E382" s="569">
        <v>262.12</v>
      </c>
      <c r="F382" s="563">
        <v>99457.0</v>
      </c>
      <c r="G382" s="557">
        <v>-1.0</v>
      </c>
      <c r="H382" s="559"/>
      <c r="I382" s="564">
        <v>61800.0</v>
      </c>
      <c r="J382" s="565">
        <v>99457.0</v>
      </c>
      <c r="K382" s="542"/>
      <c r="L382" s="542"/>
      <c r="M382" s="542"/>
    </row>
    <row r="383">
      <c r="A383" s="570" t="s">
        <v>1826</v>
      </c>
      <c r="B383" s="559" t="s">
        <v>1880</v>
      </c>
      <c r="C383" s="568">
        <v>541.0</v>
      </c>
      <c r="D383" s="557">
        <v>0.9963</v>
      </c>
      <c r="E383" s="569">
        <v>267.82</v>
      </c>
      <c r="F383" s="563">
        <v>99390.0</v>
      </c>
      <c r="G383" s="557"/>
      <c r="H383" s="559"/>
      <c r="I383" s="564">
        <v>61758.0</v>
      </c>
      <c r="J383" s="565">
        <v>99390.0</v>
      </c>
      <c r="K383" s="542"/>
      <c r="L383" s="542"/>
      <c r="M383" s="542"/>
    </row>
    <row r="384">
      <c r="A384" s="570" t="s">
        <v>513</v>
      </c>
      <c r="B384" s="559" t="s">
        <v>400</v>
      </c>
      <c r="C384" s="568">
        <v>1109.0</v>
      </c>
      <c r="D384" s="557">
        <v>0.9331</v>
      </c>
      <c r="E384" s="569">
        <v>250.86</v>
      </c>
      <c r="F384" s="563">
        <v>99136.0</v>
      </c>
      <c r="G384" s="557">
        <v>-1.0</v>
      </c>
      <c r="H384" s="559"/>
      <c r="I384" s="564">
        <v>61600.0</v>
      </c>
      <c r="J384" s="565">
        <v>99136.0</v>
      </c>
      <c r="K384" s="542"/>
      <c r="L384" s="542"/>
      <c r="M384" s="542"/>
    </row>
    <row r="385">
      <c r="A385" s="570" t="s">
        <v>1882</v>
      </c>
      <c r="B385" s="559" t="s">
        <v>1784</v>
      </c>
      <c r="C385" s="568">
        <v>930.0</v>
      </c>
      <c r="D385" s="557">
        <v>0.9619</v>
      </c>
      <c r="E385" s="569">
        <v>268.57</v>
      </c>
      <c r="F385" s="563">
        <v>99100.0</v>
      </c>
      <c r="G385" s="557"/>
      <c r="H385" s="559"/>
      <c r="I385" s="564">
        <v>61578.0</v>
      </c>
      <c r="J385" s="565">
        <v>99100.0</v>
      </c>
      <c r="K385" s="542"/>
      <c r="L385" s="542"/>
      <c r="M385" s="542"/>
    </row>
    <row r="386">
      <c r="A386" s="570" t="s">
        <v>1883</v>
      </c>
      <c r="B386" s="557"/>
      <c r="C386" s="557"/>
      <c r="D386" s="557"/>
      <c r="E386" s="557"/>
      <c r="F386" s="563">
        <v>99050.0</v>
      </c>
      <c r="G386" s="557"/>
      <c r="H386" s="557">
        <v>0.945126817448756</v>
      </c>
      <c r="I386" s="564">
        <v>61547.0</v>
      </c>
      <c r="J386" s="565">
        <v>99050.0</v>
      </c>
      <c r="K386" s="542"/>
      <c r="L386" s="542"/>
      <c r="M386" s="542"/>
    </row>
    <row r="387">
      <c r="A387" s="570" t="s">
        <v>1884</v>
      </c>
      <c r="B387" s="559" t="s">
        <v>361</v>
      </c>
      <c r="C387" s="568">
        <v>879.0</v>
      </c>
      <c r="D387" s="557">
        <v>0.9492</v>
      </c>
      <c r="E387" s="569">
        <v>297.45</v>
      </c>
      <c r="F387" s="563">
        <v>98528.0</v>
      </c>
      <c r="G387" s="557"/>
      <c r="H387" s="559"/>
      <c r="I387" s="564">
        <v>61222.0</v>
      </c>
      <c r="J387" s="565">
        <v>98528.0</v>
      </c>
      <c r="K387" s="542"/>
      <c r="L387" s="542"/>
      <c r="M387" s="542"/>
    </row>
    <row r="388">
      <c r="A388" s="570" t="s">
        <v>633</v>
      </c>
      <c r="B388" s="559" t="s">
        <v>328</v>
      </c>
      <c r="C388" s="568">
        <v>1400.0</v>
      </c>
      <c r="D388" s="557">
        <v>0.9298</v>
      </c>
      <c r="E388" s="569">
        <v>275.08</v>
      </c>
      <c r="F388" s="563">
        <v>98400.0</v>
      </c>
      <c r="G388" s="557"/>
      <c r="H388" s="559"/>
      <c r="I388" s="564">
        <v>61143.0</v>
      </c>
      <c r="J388" s="565">
        <v>98400.0</v>
      </c>
      <c r="K388" s="542"/>
      <c r="L388" s="542"/>
      <c r="M388" s="542"/>
    </row>
    <row r="389">
      <c r="A389" s="570" t="s">
        <v>1885</v>
      </c>
      <c r="B389" s="557"/>
      <c r="C389" s="557"/>
      <c r="D389" s="557"/>
      <c r="E389" s="557"/>
      <c r="F389" s="563">
        <v>98300.0</v>
      </c>
      <c r="G389" s="557"/>
      <c r="H389" s="557">
        <v>0.9452574451106958</v>
      </c>
      <c r="I389" s="564">
        <v>61081.0</v>
      </c>
      <c r="J389" s="565">
        <v>98300.0</v>
      </c>
      <c r="K389" s="542"/>
      <c r="L389" s="542"/>
      <c r="M389" s="542"/>
    </row>
    <row r="390">
      <c r="A390" s="570" t="s">
        <v>809</v>
      </c>
      <c r="B390" s="559" t="s">
        <v>548</v>
      </c>
      <c r="C390" s="568">
        <v>1141.0</v>
      </c>
      <c r="D390" s="557">
        <v>0.9492</v>
      </c>
      <c r="E390" s="569">
        <v>275.11</v>
      </c>
      <c r="F390" s="563">
        <v>98000.0</v>
      </c>
      <c r="G390" s="557"/>
      <c r="H390" s="559"/>
      <c r="I390" s="564">
        <v>60894.0</v>
      </c>
      <c r="J390" s="565">
        <v>98000.0</v>
      </c>
      <c r="K390" s="542"/>
      <c r="L390" s="542"/>
      <c r="M390" s="542"/>
    </row>
    <row r="391">
      <c r="A391" s="570" t="s">
        <v>1887</v>
      </c>
      <c r="B391" s="559" t="s">
        <v>1784</v>
      </c>
      <c r="C391" s="568">
        <v>917.0</v>
      </c>
      <c r="D391" s="557">
        <v>0.9606</v>
      </c>
      <c r="E391" s="569">
        <v>262.9</v>
      </c>
      <c r="F391" s="563">
        <v>97893.0</v>
      </c>
      <c r="G391" s="557"/>
      <c r="H391" s="559"/>
      <c r="I391" s="564">
        <v>60828.0</v>
      </c>
      <c r="J391" s="565">
        <v>97893.0</v>
      </c>
      <c r="K391" s="542"/>
      <c r="L391" s="542"/>
      <c r="M391" s="542"/>
    </row>
    <row r="392">
      <c r="A392" s="570" t="s">
        <v>565</v>
      </c>
      <c r="B392" s="559" t="s">
        <v>640</v>
      </c>
      <c r="C392" s="568">
        <v>776.0</v>
      </c>
      <c r="D392" s="557">
        <v>0.9467</v>
      </c>
      <c r="E392" s="569">
        <v>278.21</v>
      </c>
      <c r="F392" s="563">
        <v>97602.0</v>
      </c>
      <c r="G392" s="557"/>
      <c r="H392" s="559"/>
      <c r="I392" s="564">
        <v>60647.0</v>
      </c>
      <c r="J392" s="565">
        <v>97602.0</v>
      </c>
      <c r="K392" s="542"/>
      <c r="L392" s="542"/>
      <c r="M392" s="542"/>
    </row>
    <row r="393">
      <c r="A393" s="570" t="s">
        <v>496</v>
      </c>
      <c r="B393" s="557"/>
      <c r="C393" s="557"/>
      <c r="D393" s="557"/>
      <c r="E393" s="557"/>
      <c r="F393" s="563">
        <v>97550.0</v>
      </c>
      <c r="G393" s="557"/>
      <c r="H393" s="557">
        <v>0.9453885549758911</v>
      </c>
      <c r="I393" s="564">
        <v>60615.0</v>
      </c>
      <c r="J393" s="565">
        <v>97550.0</v>
      </c>
      <c r="K393" s="542"/>
      <c r="L393" s="542"/>
      <c r="M393" s="542"/>
    </row>
    <row r="394">
      <c r="A394" s="570" t="s">
        <v>1166</v>
      </c>
      <c r="B394" s="559" t="s">
        <v>541</v>
      </c>
      <c r="C394" s="568">
        <v>872.0</v>
      </c>
      <c r="D394" s="557">
        <v>0.9424</v>
      </c>
      <c r="E394" s="569">
        <v>294.81</v>
      </c>
      <c r="F394" s="563">
        <v>97310.0</v>
      </c>
      <c r="G394" s="557"/>
      <c r="H394" s="559"/>
      <c r="I394" s="564">
        <v>60466.0</v>
      </c>
      <c r="J394" s="565">
        <v>97310.0</v>
      </c>
      <c r="K394" s="542"/>
      <c r="L394" s="542"/>
      <c r="M394" s="542"/>
    </row>
    <row r="395">
      <c r="A395" s="570" t="s">
        <v>1491</v>
      </c>
      <c r="B395" s="559" t="s">
        <v>161</v>
      </c>
      <c r="C395" s="568">
        <v>1733.0</v>
      </c>
      <c r="D395" s="557">
        <v>0.9368</v>
      </c>
      <c r="E395" s="569">
        <v>238.99</v>
      </c>
      <c r="F395" s="563">
        <v>97161.0</v>
      </c>
      <c r="G395" s="557">
        <v>-1.0</v>
      </c>
      <c r="H395" s="559"/>
      <c r="I395" s="564">
        <v>60373.0</v>
      </c>
      <c r="J395" s="565">
        <v>97161.0</v>
      </c>
      <c r="K395" s="542"/>
      <c r="L395" s="542"/>
      <c r="M395" s="542"/>
    </row>
    <row r="396">
      <c r="A396" s="570" t="s">
        <v>1764</v>
      </c>
      <c r="B396" s="559" t="s">
        <v>94</v>
      </c>
      <c r="C396" s="568">
        <v>791.0</v>
      </c>
      <c r="D396" s="557">
        <v>0.9411</v>
      </c>
      <c r="E396" s="569">
        <v>269.62</v>
      </c>
      <c r="F396" s="563">
        <v>97124.0</v>
      </c>
      <c r="G396" s="557">
        <v>-1.0</v>
      </c>
      <c r="H396" s="559"/>
      <c r="I396" s="564">
        <v>60350.0</v>
      </c>
      <c r="J396" s="565">
        <v>97124.0</v>
      </c>
      <c r="K396" s="542"/>
      <c r="L396" s="542"/>
      <c r="M396" s="542"/>
    </row>
    <row r="397">
      <c r="A397" s="570" t="s">
        <v>1498</v>
      </c>
      <c r="B397" s="557"/>
      <c r="C397" s="557"/>
      <c r="D397" s="557"/>
      <c r="E397" s="557"/>
      <c r="F397" s="563">
        <v>96800.0</v>
      </c>
      <c r="G397" s="557"/>
      <c r="H397" s="557">
        <v>0.9455201644087622</v>
      </c>
      <c r="I397" s="564">
        <v>60149.0</v>
      </c>
      <c r="J397" s="565">
        <v>96800.0</v>
      </c>
      <c r="K397" s="542"/>
      <c r="L397" s="542"/>
      <c r="M397" s="542"/>
    </row>
    <row r="398">
      <c r="A398" s="570" t="s">
        <v>203</v>
      </c>
      <c r="B398" s="559" t="s">
        <v>876</v>
      </c>
      <c r="C398" s="568">
        <v>636.0</v>
      </c>
      <c r="D398" s="557">
        <v>0.939</v>
      </c>
      <c r="E398" s="569">
        <v>277.62</v>
      </c>
      <c r="F398" s="563">
        <v>96560.0</v>
      </c>
      <c r="G398" s="557"/>
      <c r="H398" s="559"/>
      <c r="I398" s="564">
        <v>60000.0</v>
      </c>
      <c r="J398" s="565">
        <v>96560.0</v>
      </c>
      <c r="K398" s="542"/>
      <c r="L398" s="542"/>
      <c r="M398" s="542"/>
    </row>
    <row r="399">
      <c r="A399" s="570" t="s">
        <v>288</v>
      </c>
      <c r="B399" s="557"/>
      <c r="C399" s="557"/>
      <c r="D399" s="557"/>
      <c r="E399" s="557"/>
      <c r="F399" s="563">
        <v>96050.0</v>
      </c>
      <c r="G399" s="557"/>
      <c r="H399" s="557">
        <v>0.945652291399032</v>
      </c>
      <c r="I399" s="564">
        <v>59683.0</v>
      </c>
      <c r="J399" s="565">
        <v>96050.0</v>
      </c>
      <c r="K399" s="542"/>
      <c r="L399" s="542"/>
      <c r="M399" s="542"/>
    </row>
    <row r="400">
      <c r="A400" s="570" t="s">
        <v>1890</v>
      </c>
      <c r="B400" s="559" t="s">
        <v>161</v>
      </c>
      <c r="C400" s="568">
        <v>1683.0</v>
      </c>
      <c r="D400" s="557">
        <v>0.9405</v>
      </c>
      <c r="E400" s="569">
        <v>235.03</v>
      </c>
      <c r="F400" s="563">
        <v>95735.0</v>
      </c>
      <c r="G400" s="557">
        <v>-1.0</v>
      </c>
      <c r="H400" s="559"/>
      <c r="I400" s="564">
        <v>59487.0</v>
      </c>
      <c r="J400" s="565">
        <v>95735.0</v>
      </c>
      <c r="K400" s="542"/>
      <c r="L400" s="542"/>
      <c r="M400" s="542"/>
    </row>
    <row r="401">
      <c r="A401" s="570" t="s">
        <v>587</v>
      </c>
      <c r="B401" s="559" t="s">
        <v>1762</v>
      </c>
      <c r="C401" s="568">
        <v>1160.0</v>
      </c>
      <c r="D401" s="557">
        <v>0.9619</v>
      </c>
      <c r="E401" s="569">
        <v>274.3</v>
      </c>
      <c r="F401" s="563">
        <v>95640.0</v>
      </c>
      <c r="G401" s="557"/>
      <c r="H401" s="559"/>
      <c r="I401" s="564">
        <v>59428.0</v>
      </c>
      <c r="J401" s="565">
        <v>95640.0</v>
      </c>
      <c r="K401" s="542"/>
      <c r="L401" s="542"/>
      <c r="M401" s="542"/>
    </row>
    <row r="402">
      <c r="A402" s="570" t="s">
        <v>569</v>
      </c>
      <c r="B402" s="559" t="s">
        <v>1737</v>
      </c>
      <c r="C402" s="568">
        <v>1426.0</v>
      </c>
      <c r="D402" s="557">
        <v>0.9619</v>
      </c>
      <c r="E402" s="569">
        <v>306.32</v>
      </c>
      <c r="F402" s="563">
        <v>95422.0</v>
      </c>
      <c r="G402" s="557"/>
      <c r="H402" s="559"/>
      <c r="I402" s="564">
        <v>59292.0</v>
      </c>
      <c r="J402" s="565">
        <v>95422.0</v>
      </c>
      <c r="K402" s="542"/>
      <c r="L402" s="542"/>
      <c r="M402" s="542"/>
    </row>
    <row r="403">
      <c r="A403" s="570" t="s">
        <v>112</v>
      </c>
      <c r="B403" s="559" t="s">
        <v>1784</v>
      </c>
      <c r="C403" s="568">
        <v>880.0</v>
      </c>
      <c r="D403" s="557">
        <v>0.9644</v>
      </c>
      <c r="E403" s="569">
        <v>256.94</v>
      </c>
      <c r="F403" s="563">
        <v>95393.0</v>
      </c>
      <c r="G403" s="557"/>
      <c r="H403" s="559"/>
      <c r="I403" s="564">
        <v>59274.0</v>
      </c>
      <c r="J403" s="565">
        <v>95393.0</v>
      </c>
      <c r="K403" s="542"/>
      <c r="L403" s="542"/>
      <c r="M403" s="542"/>
    </row>
    <row r="404">
      <c r="A404" s="570" t="s">
        <v>1880</v>
      </c>
      <c r="B404" s="559" t="s">
        <v>593</v>
      </c>
      <c r="C404" s="568">
        <v>1035.0</v>
      </c>
      <c r="D404" s="557">
        <v>0.9148</v>
      </c>
      <c r="E404" s="569">
        <v>248.37</v>
      </c>
      <c r="F404" s="563">
        <v>95346.0</v>
      </c>
      <c r="G404" s="557">
        <v>-1.0</v>
      </c>
      <c r="H404" s="559"/>
      <c r="I404" s="564">
        <v>59245.0</v>
      </c>
      <c r="J404" s="565">
        <v>95346.0</v>
      </c>
      <c r="K404" s="542"/>
      <c r="L404" s="542"/>
      <c r="M404" s="542"/>
    </row>
    <row r="405">
      <c r="A405" s="570" t="s">
        <v>1322</v>
      </c>
      <c r="B405" s="557"/>
      <c r="C405" s="557"/>
      <c r="D405" s="557"/>
      <c r="E405" s="557"/>
      <c r="F405" s="563">
        <v>95300.0</v>
      </c>
      <c r="G405" s="557"/>
      <c r="H405" s="557">
        <v>0.9457849545842437</v>
      </c>
      <c r="I405" s="564">
        <v>59217.0</v>
      </c>
      <c r="J405" s="565">
        <v>95300.0</v>
      </c>
      <c r="K405" s="542"/>
      <c r="L405" s="542"/>
      <c r="M405" s="542"/>
    </row>
    <row r="406">
      <c r="A406" s="570" t="s">
        <v>267</v>
      </c>
      <c r="B406" s="559" t="s">
        <v>161</v>
      </c>
      <c r="C406" s="568">
        <v>1649.0</v>
      </c>
      <c r="D406" s="557">
        <v>0.9405</v>
      </c>
      <c r="E406" s="569">
        <v>233.04</v>
      </c>
      <c r="F406" s="563">
        <v>94924.0</v>
      </c>
      <c r="G406" s="557">
        <v>-1.0</v>
      </c>
      <c r="H406" s="559"/>
      <c r="I406" s="564">
        <v>58983.0</v>
      </c>
      <c r="J406" s="565">
        <v>94924.0</v>
      </c>
      <c r="K406" s="542"/>
      <c r="L406" s="542"/>
      <c r="M406" s="542"/>
    </row>
    <row r="407">
      <c r="A407" s="570" t="s">
        <v>1893</v>
      </c>
      <c r="B407" s="557"/>
      <c r="C407" s="557"/>
      <c r="D407" s="557"/>
      <c r="E407" s="557"/>
      <c r="F407" s="563">
        <v>94550.0</v>
      </c>
      <c r="G407" s="557"/>
      <c r="H407" s="557">
        <v>0.9459181732730898</v>
      </c>
      <c r="I407" s="564">
        <v>58751.0</v>
      </c>
      <c r="J407" s="565">
        <v>94550.0</v>
      </c>
      <c r="K407" s="542"/>
      <c r="L407" s="542"/>
      <c r="M407" s="542"/>
    </row>
    <row r="408">
      <c r="A408" s="570" t="s">
        <v>1778</v>
      </c>
      <c r="B408" s="559" t="s">
        <v>279</v>
      </c>
      <c r="C408" s="568">
        <v>1112.0</v>
      </c>
      <c r="D408" s="557">
        <v>0.9416</v>
      </c>
      <c r="E408" s="569">
        <v>294.05</v>
      </c>
      <c r="F408" s="563">
        <v>94530.0</v>
      </c>
      <c r="G408" s="557"/>
      <c r="H408" s="559"/>
      <c r="I408" s="564">
        <v>58738.0</v>
      </c>
      <c r="J408" s="565">
        <v>94530.0</v>
      </c>
      <c r="K408" s="542"/>
      <c r="L408" s="542"/>
      <c r="M408" s="542"/>
    </row>
    <row r="409">
      <c r="A409" s="570" t="s">
        <v>839</v>
      </c>
      <c r="B409" s="559" t="s">
        <v>147</v>
      </c>
      <c r="C409" s="568">
        <v>590.0</v>
      </c>
      <c r="D409" s="557">
        <v>0.939</v>
      </c>
      <c r="E409" s="569">
        <v>274.21</v>
      </c>
      <c r="F409" s="563">
        <v>94500.0</v>
      </c>
      <c r="G409" s="557"/>
      <c r="H409" s="559"/>
      <c r="I409" s="564">
        <v>58720.0</v>
      </c>
      <c r="J409" s="565">
        <v>94500.0</v>
      </c>
      <c r="K409" s="542"/>
      <c r="L409" s="542"/>
      <c r="M409" s="542"/>
    </row>
    <row r="410">
      <c r="A410" s="570" t="s">
        <v>1895</v>
      </c>
      <c r="B410" s="559" t="s">
        <v>705</v>
      </c>
      <c r="C410" s="568">
        <v>949.0</v>
      </c>
      <c r="D410" s="557">
        <v>0.9718</v>
      </c>
      <c r="E410" s="569">
        <v>272.46</v>
      </c>
      <c r="F410" s="563">
        <v>94361.0</v>
      </c>
      <c r="G410" s="557">
        <v>-1.0</v>
      </c>
      <c r="H410" s="559"/>
      <c r="I410" s="564">
        <v>58633.0</v>
      </c>
      <c r="J410" s="565">
        <v>94361.0</v>
      </c>
      <c r="K410" s="542"/>
      <c r="L410" s="542"/>
      <c r="M410" s="542"/>
    </row>
    <row r="411">
      <c r="A411" s="570" t="s">
        <v>1593</v>
      </c>
      <c r="B411" s="559" t="s">
        <v>300</v>
      </c>
      <c r="C411" s="568">
        <v>784.0</v>
      </c>
      <c r="D411" s="557">
        <v>0.934</v>
      </c>
      <c r="E411" s="569">
        <v>280.71</v>
      </c>
      <c r="F411" s="563">
        <v>93906.0</v>
      </c>
      <c r="G411" s="557"/>
      <c r="H411" s="559"/>
      <c r="I411" s="564">
        <v>58350.0</v>
      </c>
      <c r="J411" s="565">
        <v>93906.0</v>
      </c>
      <c r="K411" s="542"/>
      <c r="L411" s="542"/>
      <c r="M411" s="542"/>
    </row>
    <row r="412">
      <c r="A412" s="570" t="s">
        <v>1896</v>
      </c>
      <c r="B412" s="559" t="s">
        <v>161</v>
      </c>
      <c r="C412" s="568">
        <v>1628.0</v>
      </c>
      <c r="D412" s="557">
        <v>0.9405</v>
      </c>
      <c r="E412" s="569">
        <v>230.46</v>
      </c>
      <c r="F412" s="563">
        <v>93871.0</v>
      </c>
      <c r="G412" s="557">
        <v>-1.0</v>
      </c>
      <c r="H412" s="559"/>
      <c r="I412" s="564">
        <v>58329.0</v>
      </c>
      <c r="J412" s="565">
        <v>93871.0</v>
      </c>
      <c r="K412" s="542"/>
      <c r="L412" s="542"/>
      <c r="M412" s="542"/>
    </row>
    <row r="413">
      <c r="A413" s="570" t="s">
        <v>872</v>
      </c>
      <c r="B413" s="557"/>
      <c r="C413" s="557"/>
      <c r="D413" s="557"/>
      <c r="E413" s="557"/>
      <c r="F413" s="563">
        <v>93800.0</v>
      </c>
      <c r="G413" s="557"/>
      <c r="H413" s="557">
        <v>0.9460519674695795</v>
      </c>
      <c r="I413" s="564">
        <v>58285.0</v>
      </c>
      <c r="J413" s="565">
        <v>93800.0</v>
      </c>
      <c r="K413" s="542"/>
      <c r="L413" s="542"/>
      <c r="M413" s="542"/>
    </row>
    <row r="414">
      <c r="A414" s="570" t="s">
        <v>1898</v>
      </c>
      <c r="B414" s="559" t="s">
        <v>1784</v>
      </c>
      <c r="C414" s="568">
        <v>867.0</v>
      </c>
      <c r="D414" s="557">
        <v>0.9644</v>
      </c>
      <c r="E414" s="569">
        <v>252.82</v>
      </c>
      <c r="F414" s="563">
        <v>93406.0</v>
      </c>
      <c r="G414" s="557"/>
      <c r="H414" s="559"/>
      <c r="I414" s="564">
        <v>58040.0</v>
      </c>
      <c r="J414" s="565">
        <v>93406.0</v>
      </c>
      <c r="K414" s="542"/>
      <c r="L414" s="542"/>
      <c r="M414" s="542"/>
    </row>
    <row r="415">
      <c r="A415" s="570" t="s">
        <v>212</v>
      </c>
      <c r="B415" s="559" t="s">
        <v>376</v>
      </c>
      <c r="C415" s="568">
        <v>880.0</v>
      </c>
      <c r="D415" s="557">
        <v>0.9248</v>
      </c>
      <c r="E415" s="569">
        <v>252.99</v>
      </c>
      <c r="F415" s="563">
        <v>93400.0</v>
      </c>
      <c r="G415" s="557"/>
      <c r="H415" s="559"/>
      <c r="I415" s="564">
        <v>58036.0</v>
      </c>
      <c r="J415" s="565">
        <v>93400.0</v>
      </c>
      <c r="K415" s="542"/>
      <c r="L415" s="542"/>
      <c r="M415" s="542"/>
    </row>
    <row r="416">
      <c r="A416" s="570" t="s">
        <v>315</v>
      </c>
      <c r="B416" s="559" t="s">
        <v>623</v>
      </c>
      <c r="C416" s="568">
        <v>610.0</v>
      </c>
      <c r="D416" s="557">
        <v>0.9298</v>
      </c>
      <c r="E416" s="569">
        <v>231.49</v>
      </c>
      <c r="F416" s="563">
        <v>93058.0</v>
      </c>
      <c r="G416" s="557"/>
      <c r="H416" s="559"/>
      <c r="I416" s="564">
        <v>57824.0</v>
      </c>
      <c r="J416" s="565">
        <v>93058.0</v>
      </c>
      <c r="K416" s="542"/>
      <c r="L416" s="542"/>
      <c r="M416" s="542"/>
    </row>
    <row r="417">
      <c r="A417" s="570" t="s">
        <v>218</v>
      </c>
      <c r="B417" s="557"/>
      <c r="C417" s="557"/>
      <c r="D417" s="557"/>
      <c r="E417" s="557"/>
      <c r="F417" s="563">
        <v>93050.0</v>
      </c>
      <c r="G417" s="557"/>
      <c r="H417" s="557">
        <v>0.9461863578980785</v>
      </c>
      <c r="I417" s="564">
        <v>57819.0</v>
      </c>
      <c r="J417" s="565">
        <v>93050.0</v>
      </c>
      <c r="K417" s="542"/>
      <c r="L417" s="542"/>
      <c r="M417" s="542"/>
    </row>
    <row r="418">
      <c r="A418" s="570" t="s">
        <v>407</v>
      </c>
      <c r="B418" s="559" t="s">
        <v>1719</v>
      </c>
      <c r="C418" s="568">
        <v>725.0</v>
      </c>
      <c r="D418" s="557">
        <v>0.9616</v>
      </c>
      <c r="E418" s="569">
        <v>245.37</v>
      </c>
      <c r="F418" s="563">
        <v>93005.0</v>
      </c>
      <c r="G418" s="557"/>
      <c r="H418" s="559"/>
      <c r="I418" s="564">
        <v>57791.0</v>
      </c>
      <c r="J418" s="565">
        <v>93005.0</v>
      </c>
      <c r="K418" s="542"/>
      <c r="L418" s="542"/>
      <c r="M418" s="542"/>
    </row>
    <row r="419">
      <c r="A419" s="570" t="s">
        <v>466</v>
      </c>
      <c r="B419" s="559" t="s">
        <v>161</v>
      </c>
      <c r="C419" s="568">
        <v>1596.0</v>
      </c>
      <c r="D419" s="557">
        <v>0.9405</v>
      </c>
      <c r="E419" s="569">
        <v>227.52</v>
      </c>
      <c r="F419" s="563">
        <v>92674.0</v>
      </c>
      <c r="G419" s="557">
        <v>-1.0</v>
      </c>
      <c r="H419" s="559"/>
      <c r="I419" s="564">
        <v>57585.0</v>
      </c>
      <c r="J419" s="565">
        <v>92674.0</v>
      </c>
      <c r="K419" s="542"/>
      <c r="L419" s="542"/>
      <c r="M419" s="542"/>
    </row>
    <row r="420">
      <c r="A420" s="570" t="s">
        <v>574</v>
      </c>
      <c r="B420" s="559" t="s">
        <v>361</v>
      </c>
      <c r="C420" s="568">
        <v>835.0</v>
      </c>
      <c r="D420" s="557">
        <v>0.934</v>
      </c>
      <c r="E420" s="569">
        <v>281.63</v>
      </c>
      <c r="F420" s="563">
        <v>92560.2733704338</v>
      </c>
      <c r="G420" s="557"/>
      <c r="H420" s="559"/>
      <c r="I420" s="564">
        <v>57514.0</v>
      </c>
      <c r="J420" s="565">
        <v>92560.2733704338</v>
      </c>
      <c r="K420" s="542"/>
      <c r="L420" s="542"/>
      <c r="M420" s="542"/>
    </row>
    <row r="421">
      <c r="A421" s="570" t="s">
        <v>155</v>
      </c>
      <c r="B421" s="557"/>
      <c r="C421" s="557"/>
      <c r="D421" s="557"/>
      <c r="E421" s="557"/>
      <c r="F421" s="563">
        <v>92300.0</v>
      </c>
      <c r="G421" s="557"/>
      <c r="H421" s="557">
        <v>0.9463213660292483</v>
      </c>
      <c r="I421" s="564">
        <v>57353.0</v>
      </c>
      <c r="J421" s="565">
        <v>92300.0</v>
      </c>
      <c r="K421" s="542"/>
      <c r="L421" s="542"/>
      <c r="M421" s="542"/>
    </row>
    <row r="422">
      <c r="A422" s="570" t="s">
        <v>1750</v>
      </c>
      <c r="B422" s="559" t="s">
        <v>299</v>
      </c>
      <c r="C422" s="568">
        <v>1300.0</v>
      </c>
      <c r="D422" s="557">
        <v>0.8928</v>
      </c>
      <c r="E422" s="569">
        <v>366.61</v>
      </c>
      <c r="F422" s="563">
        <v>92242.0</v>
      </c>
      <c r="G422" s="557">
        <v>-1.0</v>
      </c>
      <c r="H422" s="559"/>
      <c r="I422" s="564">
        <v>57317.0</v>
      </c>
      <c r="J422" s="565">
        <v>92242.0</v>
      </c>
      <c r="K422" s="542"/>
      <c r="L422" s="542"/>
      <c r="M422" s="542"/>
    </row>
    <row r="423">
      <c r="A423" s="570" t="s">
        <v>1900</v>
      </c>
      <c r="B423" s="559" t="s">
        <v>1485</v>
      </c>
      <c r="C423" s="568">
        <v>722.0</v>
      </c>
      <c r="D423" s="557">
        <v>0.9111</v>
      </c>
      <c r="E423" s="569">
        <v>242.28</v>
      </c>
      <c r="F423" s="563">
        <v>92000.0</v>
      </c>
      <c r="G423" s="557"/>
      <c r="H423" s="559"/>
      <c r="I423" s="564">
        <v>57166.0</v>
      </c>
      <c r="J423" s="565">
        <v>92000.0</v>
      </c>
      <c r="K423" s="542"/>
      <c r="L423" s="542"/>
      <c r="M423" s="542"/>
    </row>
    <row r="424">
      <c r="A424" s="570" t="s">
        <v>1690</v>
      </c>
      <c r="B424" s="559" t="s">
        <v>161</v>
      </c>
      <c r="C424" s="568">
        <v>1578.0</v>
      </c>
      <c r="D424" s="557">
        <v>0.9405</v>
      </c>
      <c r="E424" s="569">
        <v>225.73</v>
      </c>
      <c r="F424" s="563">
        <v>91947.0</v>
      </c>
      <c r="G424" s="557">
        <v>-1.0</v>
      </c>
      <c r="H424" s="559"/>
      <c r="I424" s="564">
        <v>57133.0</v>
      </c>
      <c r="J424" s="565">
        <v>91947.0</v>
      </c>
      <c r="K424" s="542"/>
      <c r="L424" s="542"/>
      <c r="M424" s="542"/>
    </row>
    <row r="425">
      <c r="A425" s="570" t="s">
        <v>1902</v>
      </c>
      <c r="B425" s="559" t="s">
        <v>1719</v>
      </c>
      <c r="C425" s="568">
        <v>717.0</v>
      </c>
      <c r="D425" s="557">
        <v>0.9753</v>
      </c>
      <c r="E425" s="569">
        <v>240.43</v>
      </c>
      <c r="F425" s="563">
        <v>91770.0</v>
      </c>
      <c r="G425" s="557"/>
      <c r="H425" s="559"/>
      <c r="I425" s="564">
        <v>57023.0</v>
      </c>
      <c r="J425" s="565">
        <v>91770.0</v>
      </c>
      <c r="K425" s="542"/>
      <c r="L425" s="542"/>
      <c r="M425" s="542"/>
    </row>
    <row r="426">
      <c r="A426" s="570" t="s">
        <v>819</v>
      </c>
      <c r="B426" s="557"/>
      <c r="C426" s="557"/>
      <c r="D426" s="557"/>
      <c r="E426" s="557"/>
      <c r="F426" s="563">
        <v>91550.0</v>
      </c>
      <c r="G426" s="557"/>
      <c r="H426" s="557">
        <v>0.9464570141069222</v>
      </c>
      <c r="I426" s="564">
        <v>56887.0</v>
      </c>
      <c r="J426" s="565">
        <v>91550.0</v>
      </c>
      <c r="K426" s="542"/>
      <c r="L426" s="542"/>
      <c r="M426" s="542"/>
    </row>
    <row r="427">
      <c r="A427" s="570" t="s">
        <v>856</v>
      </c>
      <c r="B427" s="559" t="s">
        <v>161</v>
      </c>
      <c r="C427" s="568">
        <v>1569.0</v>
      </c>
      <c r="D427" s="557">
        <v>0.9368</v>
      </c>
      <c r="E427" s="569">
        <v>224.97</v>
      </c>
      <c r="F427" s="563">
        <v>91464.0</v>
      </c>
      <c r="G427" s="557">
        <v>-1.0</v>
      </c>
      <c r="H427" s="559"/>
      <c r="I427" s="564">
        <v>56833.0</v>
      </c>
      <c r="J427" s="565">
        <v>91464.0</v>
      </c>
      <c r="K427" s="542"/>
      <c r="L427" s="542"/>
      <c r="M427" s="542"/>
    </row>
    <row r="428">
      <c r="A428" s="570" t="s">
        <v>262</v>
      </c>
      <c r="B428" s="559" t="s">
        <v>1637</v>
      </c>
      <c r="C428" s="568">
        <v>633.0</v>
      </c>
      <c r="D428" s="557">
        <v>0.9683</v>
      </c>
      <c r="E428" s="569">
        <v>279.07</v>
      </c>
      <c r="F428" s="563">
        <v>91273.0</v>
      </c>
      <c r="G428" s="557"/>
      <c r="H428" s="559"/>
      <c r="I428" s="564">
        <v>56714.0</v>
      </c>
      <c r="J428" s="565">
        <v>91273.0</v>
      </c>
      <c r="K428" s="542"/>
      <c r="L428" s="542"/>
      <c r="M428" s="542"/>
    </row>
    <row r="429">
      <c r="A429" s="570" t="s">
        <v>885</v>
      </c>
      <c r="B429" s="559" t="s">
        <v>78</v>
      </c>
      <c r="C429" s="568">
        <v>907.0</v>
      </c>
      <c r="D429" s="557">
        <v>0.9449</v>
      </c>
      <c r="E429" s="569">
        <v>226.62</v>
      </c>
      <c r="F429" s="563">
        <v>90999.0</v>
      </c>
      <c r="G429" s="557">
        <v>-1.0</v>
      </c>
      <c r="H429" s="559"/>
      <c r="I429" s="564">
        <v>56544.0</v>
      </c>
      <c r="J429" s="565">
        <v>90999.0</v>
      </c>
      <c r="K429" s="542"/>
      <c r="L429" s="542"/>
      <c r="M429" s="542"/>
    </row>
    <row r="430">
      <c r="A430" s="570" t="s">
        <v>423</v>
      </c>
      <c r="B430" s="557"/>
      <c r="C430" s="557"/>
      <c r="D430" s="557"/>
      <c r="E430" s="557"/>
      <c r="F430" s="563">
        <v>90800.0</v>
      </c>
      <c r="G430" s="557"/>
      <c r="H430" s="557">
        <v>0.9465933251759463</v>
      </c>
      <c r="I430" s="564">
        <v>56421.0</v>
      </c>
      <c r="J430" s="565">
        <v>90800.0</v>
      </c>
      <c r="K430" s="542"/>
      <c r="L430" s="542"/>
      <c r="M430" s="542"/>
    </row>
    <row r="431">
      <c r="A431" s="570" t="s">
        <v>1715</v>
      </c>
      <c r="B431" s="559" t="s">
        <v>212</v>
      </c>
      <c r="C431" s="568">
        <v>686.0</v>
      </c>
      <c r="D431" s="557">
        <v>0.9474</v>
      </c>
      <c r="E431" s="569">
        <v>262.96</v>
      </c>
      <c r="F431" s="563">
        <v>90600.0</v>
      </c>
      <c r="G431" s="557"/>
      <c r="H431" s="559"/>
      <c r="I431" s="564">
        <v>56296.0</v>
      </c>
      <c r="J431" s="565">
        <v>90600.0</v>
      </c>
      <c r="K431" s="542"/>
      <c r="L431" s="542"/>
      <c r="M431" s="542"/>
    </row>
    <row r="432">
      <c r="A432" s="570" t="s">
        <v>1111</v>
      </c>
      <c r="B432" s="559" t="s">
        <v>1804</v>
      </c>
      <c r="C432" s="568">
        <v>1171.0</v>
      </c>
      <c r="D432" s="557">
        <v>0.9289</v>
      </c>
      <c r="E432" s="569">
        <v>266.05</v>
      </c>
      <c r="F432" s="563">
        <v>90375.0</v>
      </c>
      <c r="G432" s="557"/>
      <c r="H432" s="559"/>
      <c r="I432" s="564">
        <v>56156.0</v>
      </c>
      <c r="J432" s="565">
        <v>90375.0</v>
      </c>
      <c r="K432" s="542"/>
      <c r="L432" s="542"/>
      <c r="M432" s="542"/>
    </row>
    <row r="433">
      <c r="A433" s="570" t="s">
        <v>215</v>
      </c>
      <c r="B433" s="557"/>
      <c r="C433" s="557"/>
      <c r="D433" s="557"/>
      <c r="E433" s="557"/>
      <c r="F433" s="563">
        <v>90050.0</v>
      </c>
      <c r="G433" s="557"/>
      <c r="H433" s="557">
        <v>0.9467303231110253</v>
      </c>
      <c r="I433" s="564">
        <v>55954.0</v>
      </c>
      <c r="J433" s="565">
        <v>90050.0</v>
      </c>
      <c r="K433" s="542"/>
      <c r="L433" s="542"/>
      <c r="M433" s="542"/>
    </row>
    <row r="434">
      <c r="A434" s="570" t="s">
        <v>324</v>
      </c>
      <c r="B434" s="559" t="s">
        <v>126</v>
      </c>
      <c r="C434" s="568">
        <v>522.0</v>
      </c>
      <c r="D434" s="557">
        <v>0.9619</v>
      </c>
      <c r="E434" s="569">
        <v>260.47</v>
      </c>
      <c r="F434" s="563">
        <v>90000.0</v>
      </c>
      <c r="G434" s="557"/>
      <c r="H434" s="559"/>
      <c r="I434" s="564">
        <v>55923.0</v>
      </c>
      <c r="J434" s="565">
        <v>90000.0</v>
      </c>
      <c r="K434" s="542"/>
      <c r="L434" s="542"/>
      <c r="M434" s="542"/>
    </row>
    <row r="435">
      <c r="A435" s="570" t="s">
        <v>324</v>
      </c>
      <c r="B435" s="559" t="s">
        <v>207</v>
      </c>
      <c r="C435" s="568">
        <v>751.0</v>
      </c>
      <c r="D435" s="557">
        <v>0.9771</v>
      </c>
      <c r="E435" s="569">
        <v>260.82</v>
      </c>
      <c r="F435" s="563">
        <v>90000.0</v>
      </c>
      <c r="G435" s="557"/>
      <c r="H435" s="559"/>
      <c r="I435" s="564">
        <v>55923.0</v>
      </c>
      <c r="J435" s="565">
        <v>90000.0</v>
      </c>
      <c r="K435" s="542"/>
      <c r="L435" s="542"/>
      <c r="M435" s="542"/>
    </row>
    <row r="436">
      <c r="A436" s="570"/>
      <c r="B436" s="559" t="s">
        <v>1611</v>
      </c>
      <c r="C436" s="568">
        <v>972.0</v>
      </c>
      <c r="D436" s="557">
        <v>0.9492</v>
      </c>
      <c r="E436" s="569">
        <v>238.35</v>
      </c>
      <c r="F436" s="563">
        <v>90000.0</v>
      </c>
      <c r="G436" s="557"/>
      <c r="H436" s="559"/>
      <c r="I436" s="564">
        <v>55923.0</v>
      </c>
      <c r="J436" s="565">
        <v>90000.0</v>
      </c>
      <c r="K436" s="542"/>
      <c r="L436" s="542"/>
      <c r="M436" s="542"/>
    </row>
    <row r="437">
      <c r="A437" s="570"/>
      <c r="B437" s="559" t="s">
        <v>203</v>
      </c>
      <c r="C437" s="568">
        <v>990.0</v>
      </c>
      <c r="D437" s="557">
        <v>0.9749</v>
      </c>
      <c r="E437" s="569">
        <v>251.72</v>
      </c>
      <c r="F437" s="563">
        <v>90000.0</v>
      </c>
      <c r="G437" s="557">
        <v>-1.0</v>
      </c>
      <c r="H437" s="559"/>
      <c r="I437" s="564">
        <v>55923.0</v>
      </c>
      <c r="J437" s="565">
        <v>90000.0</v>
      </c>
      <c r="K437" s="542"/>
      <c r="L437" s="542"/>
      <c r="M437" s="542"/>
    </row>
    <row r="438">
      <c r="A438" s="570"/>
      <c r="B438" s="559" t="s">
        <v>1013</v>
      </c>
      <c r="C438" s="568">
        <v>678.0</v>
      </c>
      <c r="D438" s="557">
        <v>0.9449</v>
      </c>
      <c r="E438" s="569">
        <v>265.09</v>
      </c>
      <c r="F438" s="563">
        <v>89983.0</v>
      </c>
      <c r="G438" s="557"/>
      <c r="H438" s="559"/>
      <c r="I438" s="564">
        <v>55913.0</v>
      </c>
      <c r="J438" s="565">
        <v>89983.0</v>
      </c>
      <c r="K438" s="542"/>
      <c r="L438" s="542"/>
      <c r="M438" s="542"/>
    </row>
    <row r="439">
      <c r="A439" s="570"/>
      <c r="B439" s="559" t="s">
        <v>1710</v>
      </c>
      <c r="C439" s="568">
        <v>742.0</v>
      </c>
      <c r="D439" s="557">
        <v>0.9373</v>
      </c>
      <c r="E439" s="569">
        <v>265.79</v>
      </c>
      <c r="F439" s="563">
        <v>89867.0</v>
      </c>
      <c r="G439" s="557"/>
      <c r="H439" s="559"/>
      <c r="I439" s="564">
        <v>55841.0</v>
      </c>
      <c r="J439" s="565">
        <v>89867.0</v>
      </c>
      <c r="K439" s="542"/>
      <c r="L439" s="542"/>
      <c r="M439" s="542"/>
    </row>
    <row r="440">
      <c r="A440" s="570"/>
      <c r="B440" s="559" t="s">
        <v>541</v>
      </c>
      <c r="C440" s="568">
        <v>812.0</v>
      </c>
      <c r="D440" s="557">
        <v>0.9543</v>
      </c>
      <c r="E440" s="569">
        <v>266.99</v>
      </c>
      <c r="F440" s="563">
        <v>89850.0</v>
      </c>
      <c r="G440" s="557"/>
      <c r="H440" s="559"/>
      <c r="I440" s="564">
        <v>55830.0</v>
      </c>
      <c r="J440" s="565">
        <v>89850.0</v>
      </c>
      <c r="K440" s="542"/>
      <c r="L440" s="542"/>
      <c r="M440" s="542"/>
    </row>
    <row r="441">
      <c r="A441" s="570"/>
      <c r="B441" s="559" t="s">
        <v>161</v>
      </c>
      <c r="C441" s="568">
        <v>1540.0</v>
      </c>
      <c r="D441" s="557">
        <v>0.9368</v>
      </c>
      <c r="E441" s="569">
        <v>220.76</v>
      </c>
      <c r="F441" s="563">
        <v>89753.0</v>
      </c>
      <c r="G441" s="557">
        <v>-1.0</v>
      </c>
      <c r="H441" s="559"/>
      <c r="I441" s="564">
        <v>55770.0</v>
      </c>
      <c r="J441" s="565">
        <v>89753.0</v>
      </c>
      <c r="K441" s="542"/>
      <c r="L441" s="542"/>
      <c r="M441" s="542"/>
    </row>
    <row r="442">
      <c r="A442" s="570"/>
      <c r="B442" s="559" t="s">
        <v>525</v>
      </c>
      <c r="C442" s="568">
        <v>1203.0</v>
      </c>
      <c r="D442" s="557">
        <v>0.9487</v>
      </c>
      <c r="E442" s="569">
        <v>264.94</v>
      </c>
      <c r="F442" s="563">
        <v>89418.0</v>
      </c>
      <c r="G442" s="557">
        <v>-1.0</v>
      </c>
      <c r="H442" s="559"/>
      <c r="I442" s="564">
        <v>55562.0</v>
      </c>
      <c r="J442" s="565">
        <v>89418.0</v>
      </c>
      <c r="K442" s="542"/>
      <c r="L442" s="542"/>
      <c r="M442" s="542"/>
    </row>
    <row r="443">
      <c r="A443" s="570"/>
      <c r="B443" s="557"/>
      <c r="C443" s="557"/>
      <c r="D443" s="557"/>
      <c r="E443" s="557"/>
      <c r="F443" s="563">
        <v>89300.0</v>
      </c>
      <c r="G443" s="557"/>
      <c r="H443" s="557">
        <v>0.9468680326466061</v>
      </c>
      <c r="I443" s="564">
        <v>55488.0</v>
      </c>
      <c r="J443" s="565">
        <v>89300.0</v>
      </c>
      <c r="K443" s="542"/>
      <c r="L443" s="542"/>
      <c r="M443" s="542"/>
    </row>
    <row r="444">
      <c r="A444" s="570"/>
      <c r="B444" s="559" t="s">
        <v>1493</v>
      </c>
      <c r="C444" s="568">
        <v>991.0</v>
      </c>
      <c r="D444" s="557">
        <v>0.9323</v>
      </c>
      <c r="E444" s="569">
        <v>250.84</v>
      </c>
      <c r="F444" s="563">
        <v>89000.0</v>
      </c>
      <c r="G444" s="557"/>
      <c r="H444" s="559"/>
      <c r="I444" s="564">
        <v>55302.0</v>
      </c>
      <c r="J444" s="565">
        <v>89000.0</v>
      </c>
      <c r="K444" s="542"/>
      <c r="L444" s="542"/>
      <c r="M444" s="542"/>
    </row>
    <row r="445">
      <c r="A445" s="570"/>
      <c r="B445" s="559" t="s">
        <v>743</v>
      </c>
      <c r="C445" s="568">
        <v>1196.0</v>
      </c>
      <c r="D445" s="557">
        <v>0.9788</v>
      </c>
      <c r="E445" s="569">
        <v>237.9</v>
      </c>
      <c r="F445" s="563">
        <v>88944.0</v>
      </c>
      <c r="G445" s="557">
        <v>-1.0</v>
      </c>
      <c r="H445" s="559"/>
      <c r="I445" s="564">
        <v>55267.0</v>
      </c>
      <c r="J445" s="565">
        <v>88944.0</v>
      </c>
      <c r="K445" s="542"/>
      <c r="L445" s="542"/>
      <c r="M445" s="542"/>
    </row>
    <row r="446">
      <c r="A446" s="570"/>
      <c r="B446" s="559" t="s">
        <v>1895</v>
      </c>
      <c r="C446" s="568">
        <v>576.0</v>
      </c>
      <c r="D446" s="557">
        <v>0.9656</v>
      </c>
      <c r="E446" s="569">
        <v>237.05</v>
      </c>
      <c r="F446" s="563">
        <v>88932.0</v>
      </c>
      <c r="G446" s="557"/>
      <c r="H446" s="559"/>
      <c r="I446" s="564">
        <v>55260.0</v>
      </c>
      <c r="J446" s="565">
        <v>88932.0</v>
      </c>
      <c r="K446" s="542"/>
      <c r="L446" s="542"/>
      <c r="M446" s="542"/>
    </row>
    <row r="447">
      <c r="A447" s="570"/>
      <c r="B447" s="559" t="s">
        <v>1645</v>
      </c>
      <c r="C447" s="568">
        <v>859.0</v>
      </c>
      <c r="D447" s="557">
        <v>0.9506</v>
      </c>
      <c r="E447" s="569">
        <v>221.15</v>
      </c>
      <c r="F447" s="563">
        <v>88900.0</v>
      </c>
      <c r="G447" s="557"/>
      <c r="H447" s="559"/>
      <c r="I447" s="564">
        <v>55240.0</v>
      </c>
      <c r="J447" s="565">
        <v>88900.0</v>
      </c>
      <c r="K447" s="542"/>
      <c r="L447" s="542"/>
      <c r="M447" s="542"/>
    </row>
    <row r="448">
      <c r="A448" s="570"/>
      <c r="B448" s="559" t="s">
        <v>541</v>
      </c>
      <c r="C448" s="568">
        <v>812.0</v>
      </c>
      <c r="D448" s="557">
        <v>0.9467</v>
      </c>
      <c r="E448" s="569">
        <v>265.11</v>
      </c>
      <c r="F448" s="563">
        <v>88870.0</v>
      </c>
      <c r="G448" s="557"/>
      <c r="H448" s="559"/>
      <c r="I448" s="564">
        <v>55221.0</v>
      </c>
      <c r="J448" s="565">
        <v>88870.0</v>
      </c>
      <c r="K448" s="542"/>
      <c r="L448" s="542"/>
      <c r="M448" s="542"/>
    </row>
    <row r="449">
      <c r="A449" s="570"/>
      <c r="B449" s="559" t="s">
        <v>161</v>
      </c>
      <c r="C449" s="568">
        <v>1513.0</v>
      </c>
      <c r="D449" s="557">
        <v>0.9368</v>
      </c>
      <c r="E449" s="569">
        <v>218.56</v>
      </c>
      <c r="F449" s="563">
        <v>88857.0</v>
      </c>
      <c r="G449" s="557">
        <v>-1.0</v>
      </c>
      <c r="H449" s="559"/>
      <c r="I449" s="564">
        <v>55213.0</v>
      </c>
      <c r="J449" s="565">
        <v>88857.0</v>
      </c>
      <c r="K449" s="542"/>
      <c r="L449" s="542"/>
      <c r="M449" s="542"/>
    </row>
    <row r="450">
      <c r="A450" s="570"/>
      <c r="B450" s="557"/>
      <c r="C450" s="557"/>
      <c r="D450" s="557"/>
      <c r="E450" s="557"/>
      <c r="F450" s="563">
        <v>88550.0</v>
      </c>
      <c r="G450" s="557"/>
      <c r="H450" s="557">
        <v>0.9470064794078371</v>
      </c>
      <c r="I450" s="564">
        <v>55022.0</v>
      </c>
      <c r="J450" s="565">
        <v>88550.0</v>
      </c>
      <c r="K450" s="542"/>
      <c r="L450" s="542"/>
      <c r="M450" s="542"/>
    </row>
    <row r="451">
      <c r="A451" s="570"/>
      <c r="B451" s="559" t="s">
        <v>449</v>
      </c>
      <c r="C451" s="568">
        <v>639.0</v>
      </c>
      <c r="D451" s="557">
        <v>0.9449</v>
      </c>
      <c r="E451" s="569">
        <v>218.78</v>
      </c>
      <c r="F451" s="563">
        <v>88160.0</v>
      </c>
      <c r="G451" s="557"/>
      <c r="H451" s="559"/>
      <c r="I451" s="564">
        <v>54780.0</v>
      </c>
      <c r="J451" s="565">
        <v>88160.0</v>
      </c>
      <c r="K451" s="542"/>
      <c r="L451" s="542"/>
      <c r="M451" s="542"/>
    </row>
    <row r="452">
      <c r="A452" s="570"/>
      <c r="B452" s="557"/>
      <c r="C452" s="557"/>
      <c r="D452" s="557"/>
      <c r="E452" s="557"/>
      <c r="F452" s="563">
        <v>87800.0</v>
      </c>
      <c r="G452" s="557"/>
      <c r="H452" s="557">
        <v>0.9471456899426433</v>
      </c>
      <c r="I452" s="564">
        <v>54556.0</v>
      </c>
      <c r="J452" s="565">
        <v>87800.0</v>
      </c>
      <c r="K452" s="542"/>
      <c r="L452" s="542"/>
      <c r="M452" s="542"/>
    </row>
    <row r="453">
      <c r="A453" s="570"/>
      <c r="B453" s="559" t="s">
        <v>729</v>
      </c>
      <c r="C453" s="568">
        <v>1558.0</v>
      </c>
      <c r="D453" s="557">
        <v>0.96</v>
      </c>
      <c r="E453" s="569">
        <v>235.98</v>
      </c>
      <c r="F453" s="563">
        <v>87383.0</v>
      </c>
      <c r="G453" s="557">
        <v>-1.0</v>
      </c>
      <c r="H453" s="559"/>
      <c r="I453" s="564">
        <v>54297.0</v>
      </c>
      <c r="J453" s="565">
        <v>87383.0</v>
      </c>
      <c r="K453" s="542"/>
      <c r="L453" s="542"/>
      <c r="M453" s="542"/>
    </row>
    <row r="454">
      <c r="A454" s="570"/>
      <c r="B454" s="557"/>
      <c r="C454" s="557"/>
      <c r="D454" s="557"/>
      <c r="E454" s="557"/>
      <c r="F454" s="563">
        <v>87050.0</v>
      </c>
      <c r="G454" s="557"/>
      <c r="H454" s="557">
        <v>0.947285691754956</v>
      </c>
      <c r="I454" s="564">
        <v>54090.0</v>
      </c>
      <c r="J454" s="565">
        <v>87050.0</v>
      </c>
      <c r="K454" s="542"/>
      <c r="L454" s="542"/>
      <c r="M454" s="542"/>
    </row>
    <row r="455">
      <c r="A455" s="570"/>
      <c r="B455" s="559" t="s">
        <v>623</v>
      </c>
      <c r="C455" s="568">
        <v>570.0</v>
      </c>
      <c r="D455" s="557">
        <v>0.9398</v>
      </c>
      <c r="E455" s="569">
        <v>213.61</v>
      </c>
      <c r="F455" s="563">
        <v>86781.0</v>
      </c>
      <c r="G455" s="557"/>
      <c r="H455" s="559"/>
      <c r="I455" s="564">
        <v>53923.0</v>
      </c>
      <c r="J455" s="565">
        <v>86781.0</v>
      </c>
      <c r="K455" s="542"/>
      <c r="L455" s="542"/>
      <c r="M455" s="542"/>
    </row>
    <row r="456">
      <c r="A456" s="570"/>
      <c r="B456" s="557"/>
      <c r="C456" s="557"/>
      <c r="D456" s="557"/>
      <c r="E456" s="557"/>
      <c r="F456" s="563">
        <v>86300.0</v>
      </c>
      <c r="G456" s="557"/>
      <c r="H456" s="557">
        <v>0.9474265133391392</v>
      </c>
      <c r="I456" s="564">
        <v>53624.0</v>
      </c>
      <c r="J456" s="565">
        <v>86300.0</v>
      </c>
      <c r="K456" s="542"/>
      <c r="L456" s="542"/>
      <c r="M456" s="542"/>
    </row>
    <row r="457">
      <c r="A457" s="570"/>
      <c r="B457" s="559" t="s">
        <v>1784</v>
      </c>
      <c r="C457" s="568">
        <v>815.0</v>
      </c>
      <c r="D457" s="557">
        <v>0.9593</v>
      </c>
      <c r="E457" s="569">
        <v>236.0</v>
      </c>
      <c r="F457" s="563">
        <v>86130.0</v>
      </c>
      <c r="G457" s="557"/>
      <c r="H457" s="559"/>
      <c r="I457" s="564">
        <v>53519.0</v>
      </c>
      <c r="J457" s="565">
        <v>86130.0</v>
      </c>
      <c r="K457" s="542"/>
      <c r="L457" s="542"/>
      <c r="M457" s="542"/>
    </row>
    <row r="458">
      <c r="A458" s="570"/>
      <c r="B458" s="559" t="s">
        <v>114</v>
      </c>
      <c r="C458" s="568">
        <v>527.0</v>
      </c>
      <c r="D458" s="557">
        <v>0.9187</v>
      </c>
      <c r="E458" s="569">
        <v>248.92</v>
      </c>
      <c r="F458" s="563">
        <v>86071.0</v>
      </c>
      <c r="G458" s="557"/>
      <c r="H458" s="559"/>
      <c r="I458" s="564">
        <v>53482.0</v>
      </c>
      <c r="J458" s="565">
        <v>86071.0</v>
      </c>
      <c r="K458" s="542"/>
      <c r="L458" s="542"/>
      <c r="M458" s="542"/>
    </row>
    <row r="459">
      <c r="A459" s="570"/>
      <c r="B459" s="557"/>
      <c r="C459" s="557"/>
      <c r="D459" s="557"/>
      <c r="E459" s="557"/>
      <c r="F459" s="563">
        <v>85550.0</v>
      </c>
      <c r="G459" s="557"/>
      <c r="H459" s="557">
        <v>0.9475681842156553</v>
      </c>
      <c r="I459" s="564">
        <v>53158.0</v>
      </c>
      <c r="J459" s="565">
        <v>85550.0</v>
      </c>
      <c r="K459" s="542"/>
      <c r="L459" s="542"/>
      <c r="M459" s="542"/>
    </row>
    <row r="460">
      <c r="A460" s="570"/>
      <c r="B460" s="559" t="s">
        <v>328</v>
      </c>
      <c r="C460" s="568">
        <v>1260.0</v>
      </c>
      <c r="D460" s="557">
        <v>0.9248</v>
      </c>
      <c r="E460" s="569">
        <v>241.65</v>
      </c>
      <c r="F460" s="563">
        <v>85000.0</v>
      </c>
      <c r="G460" s="557"/>
      <c r="H460" s="559"/>
      <c r="I460" s="564">
        <v>52817.0</v>
      </c>
      <c r="J460" s="565">
        <v>85000.0</v>
      </c>
      <c r="K460" s="542"/>
      <c r="L460" s="542"/>
      <c r="M460" s="542"/>
    </row>
    <row r="461">
      <c r="A461" s="570"/>
      <c r="B461" s="559" t="s">
        <v>1762</v>
      </c>
      <c r="C461" s="568">
        <v>1047.0</v>
      </c>
      <c r="D461" s="557">
        <v>0.9599</v>
      </c>
      <c r="E461" s="569">
        <v>243.68</v>
      </c>
      <c r="F461" s="563">
        <v>84877.0</v>
      </c>
      <c r="G461" s="557"/>
      <c r="H461" s="559"/>
      <c r="I461" s="564">
        <v>52740.0</v>
      </c>
      <c r="J461" s="565">
        <v>84877.0</v>
      </c>
      <c r="K461" s="542"/>
      <c r="L461" s="542"/>
      <c r="M461" s="542"/>
    </row>
    <row r="462">
      <c r="A462" s="570"/>
      <c r="B462" s="557"/>
      <c r="C462" s="557"/>
      <c r="D462" s="557"/>
      <c r="E462" s="557"/>
      <c r="F462" s="563">
        <v>84800.0</v>
      </c>
      <c r="G462" s="557"/>
      <c r="H462" s="557">
        <v>0.9477107349680158</v>
      </c>
      <c r="I462" s="564">
        <v>52692.0</v>
      </c>
      <c r="J462" s="565">
        <v>84800.0</v>
      </c>
      <c r="K462" s="542"/>
      <c r="L462" s="542"/>
      <c r="M462" s="542"/>
    </row>
    <row r="463">
      <c r="A463" s="570"/>
      <c r="B463" s="559" t="s">
        <v>1637</v>
      </c>
      <c r="C463" s="568">
        <v>597.0</v>
      </c>
      <c r="D463" s="557">
        <v>0.971</v>
      </c>
      <c r="E463" s="569">
        <v>258.78</v>
      </c>
      <c r="F463" s="563">
        <v>84753.0</v>
      </c>
      <c r="G463" s="557"/>
      <c r="H463" s="559"/>
      <c r="I463" s="564">
        <v>52663.0</v>
      </c>
      <c r="J463" s="565">
        <v>84753.0</v>
      </c>
      <c r="K463" s="542"/>
      <c r="L463" s="542"/>
      <c r="M463" s="542"/>
    </row>
    <row r="464">
      <c r="A464" s="570"/>
      <c r="B464" s="559" t="s">
        <v>548</v>
      </c>
      <c r="C464" s="568">
        <v>975.0</v>
      </c>
      <c r="D464" s="557">
        <v>0.967</v>
      </c>
      <c r="E464" s="569">
        <v>249.66</v>
      </c>
      <c r="F464" s="563">
        <v>84561.0</v>
      </c>
      <c r="G464" s="557"/>
      <c r="H464" s="559"/>
      <c r="I464" s="564">
        <v>52544.0</v>
      </c>
      <c r="J464" s="565">
        <v>84561.0</v>
      </c>
      <c r="K464" s="542"/>
      <c r="L464" s="542"/>
      <c r="M464" s="542"/>
    </row>
    <row r="465">
      <c r="A465" s="570"/>
      <c r="B465" s="557"/>
      <c r="C465" s="557"/>
      <c r="D465" s="557"/>
      <c r="E465" s="557"/>
      <c r="F465" s="563">
        <v>84050.0</v>
      </c>
      <c r="G465" s="557"/>
      <c r="H465" s="557">
        <v>0.9478541972810625</v>
      </c>
      <c r="I465" s="564">
        <v>52226.0</v>
      </c>
      <c r="J465" s="565">
        <v>84050.0</v>
      </c>
      <c r="K465" s="542"/>
      <c r="L465" s="542"/>
      <c r="M465" s="542"/>
    </row>
    <row r="466">
      <c r="A466" s="570"/>
      <c r="B466" s="559" t="s">
        <v>126</v>
      </c>
      <c r="C466" s="568">
        <v>494.0</v>
      </c>
      <c r="D466" s="557">
        <v>0.9398</v>
      </c>
      <c r="E466" s="569">
        <v>245.87</v>
      </c>
      <c r="F466" s="563">
        <v>84000.0</v>
      </c>
      <c r="G466" s="557"/>
      <c r="H466" s="559"/>
      <c r="I466" s="564">
        <v>52195.0</v>
      </c>
      <c r="J466" s="565">
        <v>84000.0</v>
      </c>
      <c r="K466" s="542"/>
      <c r="L466" s="542"/>
      <c r="M466" s="542"/>
    </row>
    <row r="467">
      <c r="A467" s="570"/>
      <c r="B467" s="559" t="s">
        <v>1607</v>
      </c>
      <c r="C467" s="568">
        <v>977.0</v>
      </c>
      <c r="D467" s="557">
        <v>0.9574</v>
      </c>
      <c r="E467" s="569">
        <v>260.29</v>
      </c>
      <c r="F467" s="563">
        <v>84000.0</v>
      </c>
      <c r="G467" s="557"/>
      <c r="H467" s="559"/>
      <c r="I467" s="564">
        <v>52195.0</v>
      </c>
      <c r="J467" s="565">
        <v>84000.0</v>
      </c>
      <c r="K467" s="542"/>
      <c r="L467" s="542"/>
      <c r="M467" s="542"/>
    </row>
    <row r="468">
      <c r="A468" s="570"/>
      <c r="B468" s="559" t="s">
        <v>1715</v>
      </c>
      <c r="C468" s="568">
        <v>1034.0</v>
      </c>
      <c r="D468" s="557">
        <v>0.9619</v>
      </c>
      <c r="E468" s="569">
        <v>224.34</v>
      </c>
      <c r="F468" s="563">
        <v>84000.0</v>
      </c>
      <c r="G468" s="557"/>
      <c r="H468" s="559"/>
      <c r="I468" s="564">
        <v>52195.0</v>
      </c>
      <c r="J468" s="565">
        <v>84000.0</v>
      </c>
      <c r="K468" s="542"/>
      <c r="L468" s="542"/>
      <c r="M468" s="542"/>
    </row>
    <row r="469">
      <c r="A469" s="570"/>
      <c r="B469" s="557"/>
      <c r="C469" s="557"/>
      <c r="D469" s="557"/>
      <c r="E469" s="557"/>
      <c r="F469" s="563">
        <v>83300.0</v>
      </c>
      <c r="G469" s="557"/>
      <c r="H469" s="557">
        <v>0.9479986039806266</v>
      </c>
      <c r="I469" s="564">
        <v>51760.0</v>
      </c>
      <c r="J469" s="565">
        <v>83300.0</v>
      </c>
      <c r="K469" s="542"/>
      <c r="L469" s="542"/>
      <c r="M469" s="542"/>
    </row>
    <row r="470">
      <c r="A470" s="570"/>
      <c r="B470" s="559" t="s">
        <v>1784</v>
      </c>
      <c r="C470" s="568">
        <v>795.0</v>
      </c>
      <c r="D470" s="557">
        <v>0.9568</v>
      </c>
      <c r="E470" s="569">
        <v>234.34</v>
      </c>
      <c r="F470" s="563">
        <v>83021.0</v>
      </c>
      <c r="G470" s="557"/>
      <c r="H470" s="559"/>
      <c r="I470" s="564">
        <v>51587.0</v>
      </c>
      <c r="J470" s="565">
        <v>83021.0</v>
      </c>
      <c r="K470" s="542"/>
      <c r="L470" s="542"/>
      <c r="M470" s="542"/>
    </row>
    <row r="471">
      <c r="A471" s="570"/>
      <c r="B471" s="559" t="s">
        <v>376</v>
      </c>
      <c r="C471" s="568">
        <v>784.0</v>
      </c>
      <c r="D471" s="557">
        <v>0.9148</v>
      </c>
      <c r="E471" s="569">
        <v>224.88</v>
      </c>
      <c r="F471" s="563">
        <v>83000.0</v>
      </c>
      <c r="G471" s="557"/>
      <c r="H471" s="559"/>
      <c r="I471" s="564">
        <v>51574.0</v>
      </c>
      <c r="J471" s="565">
        <v>83000.0</v>
      </c>
      <c r="K471" s="542"/>
      <c r="L471" s="542"/>
      <c r="M471" s="542"/>
    </row>
    <row r="472">
      <c r="A472" s="570"/>
      <c r="B472" s="559" t="s">
        <v>84</v>
      </c>
      <c r="C472" s="568">
        <v>888.0</v>
      </c>
      <c r="D472" s="557">
        <v>0.9449</v>
      </c>
      <c r="E472" s="569">
        <v>236.82</v>
      </c>
      <c r="F472" s="563">
        <v>83000.0</v>
      </c>
      <c r="G472" s="557"/>
      <c r="H472" s="559"/>
      <c r="I472" s="564">
        <v>51574.0</v>
      </c>
      <c r="J472" s="565">
        <v>83000.0</v>
      </c>
      <c r="K472" s="542"/>
      <c r="L472" s="542"/>
      <c r="M472" s="542"/>
    </row>
    <row r="473">
      <c r="A473" s="570"/>
      <c r="B473" s="557"/>
      <c r="C473" s="557"/>
      <c r="D473" s="557"/>
      <c r="E473" s="557"/>
      <c r="F473" s="563">
        <v>82550.0</v>
      </c>
      <c r="G473" s="557"/>
      <c r="H473" s="557">
        <v>0.9481439890746166</v>
      </c>
      <c r="I473" s="564">
        <v>51294.0</v>
      </c>
      <c r="J473" s="565">
        <v>82550.0</v>
      </c>
      <c r="K473" s="542"/>
      <c r="L473" s="542"/>
      <c r="M473" s="542"/>
    </row>
    <row r="474">
      <c r="A474" s="570"/>
      <c r="B474" s="559" t="s">
        <v>78</v>
      </c>
      <c r="C474" s="568">
        <v>836.0</v>
      </c>
      <c r="D474" s="557">
        <v>0.9411</v>
      </c>
      <c r="E474" s="569">
        <v>206.65</v>
      </c>
      <c r="F474" s="563">
        <v>82274.0</v>
      </c>
      <c r="G474" s="557">
        <v>-1.0</v>
      </c>
      <c r="H474" s="559"/>
      <c r="I474" s="564">
        <v>51123.0</v>
      </c>
      <c r="J474" s="565">
        <v>82274.0</v>
      </c>
      <c r="K474" s="542"/>
      <c r="L474" s="542"/>
      <c r="M474" s="542"/>
    </row>
    <row r="475">
      <c r="A475" s="570"/>
      <c r="B475" s="559" t="s">
        <v>120</v>
      </c>
      <c r="C475" s="568">
        <v>821.0</v>
      </c>
      <c r="D475" s="557">
        <v>0.9097</v>
      </c>
      <c r="E475" s="569">
        <v>234.01</v>
      </c>
      <c r="F475" s="563">
        <v>82059.0</v>
      </c>
      <c r="G475" s="557">
        <v>-1.0</v>
      </c>
      <c r="H475" s="559"/>
      <c r="I475" s="564">
        <v>50989.0</v>
      </c>
      <c r="J475" s="565">
        <v>82059.0</v>
      </c>
      <c r="K475" s="542"/>
      <c r="L475" s="542"/>
      <c r="M475" s="542"/>
    </row>
    <row r="476">
      <c r="A476" s="570"/>
      <c r="B476" s="557"/>
      <c r="C476" s="557"/>
      <c r="D476" s="557"/>
      <c r="E476" s="557"/>
      <c r="F476" s="563">
        <v>81800.0</v>
      </c>
      <c r="G476" s="557"/>
      <c r="H476" s="557">
        <v>0.9482903877955856</v>
      </c>
      <c r="I476" s="564">
        <v>50828.0</v>
      </c>
      <c r="J476" s="565">
        <v>81800.0</v>
      </c>
      <c r="K476" s="542"/>
      <c r="L476" s="542"/>
      <c r="M476" s="542"/>
    </row>
    <row r="477">
      <c r="A477" s="570"/>
      <c r="B477" s="559" t="s">
        <v>541</v>
      </c>
      <c r="C477" s="568">
        <v>756.0</v>
      </c>
      <c r="D477" s="557">
        <v>0.939</v>
      </c>
      <c r="E477" s="569">
        <v>244.45</v>
      </c>
      <c r="F477" s="563">
        <v>81620.0</v>
      </c>
      <c r="G477" s="557"/>
      <c r="H477" s="559"/>
      <c r="I477" s="564">
        <v>50716.0</v>
      </c>
      <c r="J477" s="565">
        <v>81620.0</v>
      </c>
      <c r="K477" s="542"/>
      <c r="L477" s="542"/>
      <c r="M477" s="542"/>
    </row>
    <row r="478">
      <c r="A478" s="570"/>
      <c r="B478" s="559" t="s">
        <v>361</v>
      </c>
      <c r="C478" s="568">
        <v>718.0</v>
      </c>
      <c r="D478" s="557">
        <v>0.9162</v>
      </c>
      <c r="E478" s="569">
        <v>250.63</v>
      </c>
      <c r="F478" s="563">
        <v>81614.0</v>
      </c>
      <c r="G478" s="557"/>
      <c r="H478" s="559"/>
      <c r="I478" s="564">
        <v>50713.0</v>
      </c>
      <c r="J478" s="565">
        <v>81614.0</v>
      </c>
      <c r="K478" s="542"/>
      <c r="L478" s="542"/>
      <c r="M478" s="542"/>
    </row>
    <row r="479">
      <c r="A479" s="570"/>
      <c r="B479" s="559" t="s">
        <v>623</v>
      </c>
      <c r="C479" s="568">
        <v>538.0</v>
      </c>
      <c r="D479" s="557">
        <v>0.9173</v>
      </c>
      <c r="E479" s="569">
        <v>203.09</v>
      </c>
      <c r="F479" s="563">
        <v>81552.0</v>
      </c>
      <c r="G479" s="557"/>
      <c r="H479" s="559"/>
      <c r="I479" s="564">
        <v>50674.0</v>
      </c>
      <c r="J479" s="565">
        <v>81552.0</v>
      </c>
      <c r="K479" s="542"/>
      <c r="L479" s="542"/>
      <c r="M479" s="542"/>
    </row>
    <row r="480">
      <c r="A480" s="570"/>
      <c r="B480" s="559" t="s">
        <v>161</v>
      </c>
      <c r="C480" s="568">
        <v>1340.0</v>
      </c>
      <c r="D480" s="557">
        <v>0.9368</v>
      </c>
      <c r="E480" s="569">
        <v>199.94</v>
      </c>
      <c r="F480" s="563">
        <v>81288.0</v>
      </c>
      <c r="G480" s="557">
        <v>-1.0</v>
      </c>
      <c r="H480" s="559"/>
      <c r="I480" s="564">
        <v>50510.0</v>
      </c>
      <c r="J480" s="565">
        <v>81288.0</v>
      </c>
      <c r="K480" s="542"/>
      <c r="L480" s="542"/>
      <c r="M480" s="542"/>
    </row>
    <row r="481">
      <c r="A481" s="570"/>
      <c r="B481" s="557"/>
      <c r="C481" s="557"/>
      <c r="D481" s="557"/>
      <c r="E481" s="557"/>
      <c r="F481" s="563">
        <v>81050.0</v>
      </c>
      <c r="G481" s="557"/>
      <c r="H481" s="557">
        <v>0.9484378366448315</v>
      </c>
      <c r="I481" s="564">
        <v>50362.0</v>
      </c>
      <c r="J481" s="565">
        <v>81050.0</v>
      </c>
      <c r="K481" s="542"/>
      <c r="L481" s="542"/>
      <c r="M481" s="542"/>
    </row>
    <row r="482">
      <c r="A482" s="570"/>
      <c r="B482" s="559" t="s">
        <v>212</v>
      </c>
      <c r="C482" s="568">
        <v>617.0</v>
      </c>
      <c r="D482" s="557">
        <v>0.9518</v>
      </c>
      <c r="E482" s="569">
        <v>238.85</v>
      </c>
      <c r="F482" s="563">
        <v>81000.0</v>
      </c>
      <c r="G482" s="557"/>
      <c r="H482" s="559"/>
      <c r="I482" s="564">
        <v>50331.0</v>
      </c>
      <c r="J482" s="565">
        <v>81000.0</v>
      </c>
      <c r="K482" s="542"/>
      <c r="L482" s="542"/>
      <c r="M482" s="542"/>
    </row>
    <row r="483">
      <c r="A483" s="570"/>
      <c r="B483" s="559" t="s">
        <v>131</v>
      </c>
      <c r="C483" s="568">
        <v>829.0</v>
      </c>
      <c r="D483" s="557">
        <v>0.9476</v>
      </c>
      <c r="E483" s="569">
        <v>263.17</v>
      </c>
      <c r="F483" s="563">
        <v>80950.0</v>
      </c>
      <c r="G483" s="557">
        <v>-1.0</v>
      </c>
      <c r="H483" s="559"/>
      <c r="I483" s="564">
        <v>50300.0</v>
      </c>
      <c r="J483" s="565">
        <v>80950.0</v>
      </c>
      <c r="K483" s="542"/>
      <c r="L483" s="542"/>
      <c r="M483" s="542"/>
    </row>
    <row r="484">
      <c r="A484" s="570"/>
      <c r="B484" s="559" t="s">
        <v>541</v>
      </c>
      <c r="C484" s="568">
        <v>753.0</v>
      </c>
      <c r="D484" s="557">
        <v>0.9289</v>
      </c>
      <c r="E484" s="569">
        <v>243.68</v>
      </c>
      <c r="F484" s="563">
        <v>80941.0</v>
      </c>
      <c r="G484" s="557"/>
      <c r="H484" s="559"/>
      <c r="I484" s="564">
        <v>50294.0</v>
      </c>
      <c r="J484" s="565">
        <v>80941.0</v>
      </c>
      <c r="K484" s="542"/>
      <c r="L484" s="542"/>
      <c r="M484" s="542"/>
    </row>
    <row r="485">
      <c r="A485" s="570"/>
      <c r="B485" s="559" t="s">
        <v>449</v>
      </c>
      <c r="C485" s="568">
        <v>586.0</v>
      </c>
      <c r="D485" s="557">
        <v>0.9599</v>
      </c>
      <c r="E485" s="569">
        <v>201.2</v>
      </c>
      <c r="F485" s="563">
        <v>80840.0</v>
      </c>
      <c r="G485" s="557"/>
      <c r="H485" s="559"/>
      <c r="I485" s="564">
        <v>50232.0</v>
      </c>
      <c r="J485" s="565">
        <v>80840.0</v>
      </c>
      <c r="K485" s="542"/>
      <c r="L485" s="542"/>
      <c r="M485" s="542"/>
    </row>
    <row r="486">
      <c r="A486" s="570"/>
      <c r="B486" s="559" t="s">
        <v>545</v>
      </c>
      <c r="C486" s="568">
        <v>1281.0</v>
      </c>
      <c r="D486" s="557">
        <v>0.9449</v>
      </c>
      <c r="E486" s="569">
        <v>213.98</v>
      </c>
      <c r="F486" s="563">
        <v>80829.0</v>
      </c>
      <c r="G486" s="557">
        <v>-1.0</v>
      </c>
      <c r="H486" s="559"/>
      <c r="I486" s="564">
        <v>50225.0</v>
      </c>
      <c r="J486" s="565">
        <v>80829.0</v>
      </c>
      <c r="K486" s="542"/>
      <c r="L486" s="542"/>
      <c r="M486" s="542"/>
    </row>
    <row r="487">
      <c r="A487" s="570"/>
      <c r="B487" s="559" t="s">
        <v>541</v>
      </c>
      <c r="C487" s="568">
        <v>752.0</v>
      </c>
      <c r="D487" s="557">
        <v>0.9315</v>
      </c>
      <c r="E487" s="569">
        <v>242.6</v>
      </c>
      <c r="F487" s="563">
        <v>80690.0</v>
      </c>
      <c r="G487" s="557"/>
      <c r="H487" s="559"/>
      <c r="I487" s="564">
        <v>50138.0</v>
      </c>
      <c r="J487" s="565">
        <v>80690.0</v>
      </c>
      <c r="K487" s="542"/>
      <c r="L487" s="542"/>
      <c r="M487" s="542"/>
    </row>
    <row r="488">
      <c r="A488" s="570"/>
      <c r="B488" s="559" t="s">
        <v>221</v>
      </c>
      <c r="C488" s="568">
        <v>557.0</v>
      </c>
      <c r="D488" s="557">
        <v>0.9719</v>
      </c>
      <c r="E488" s="569">
        <v>208.45</v>
      </c>
      <c r="F488" s="563">
        <v>80598.0</v>
      </c>
      <c r="G488" s="557">
        <v>-1.0</v>
      </c>
      <c r="H488" s="559"/>
      <c r="I488" s="564">
        <v>50081.0</v>
      </c>
      <c r="J488" s="565">
        <v>80598.0</v>
      </c>
      <c r="K488" s="542"/>
      <c r="L488" s="542"/>
      <c r="M488" s="542"/>
    </row>
    <row r="489">
      <c r="A489" s="570"/>
      <c r="B489" s="559" t="s">
        <v>1493</v>
      </c>
      <c r="C489" s="568">
        <v>898.0</v>
      </c>
      <c r="D489" s="557">
        <v>0.9298</v>
      </c>
      <c r="E489" s="569">
        <v>233.64</v>
      </c>
      <c r="F489" s="563">
        <v>80500.0</v>
      </c>
      <c r="G489" s="557"/>
      <c r="H489" s="559"/>
      <c r="I489" s="564">
        <v>50020.0</v>
      </c>
      <c r="J489" s="565">
        <v>80500.0</v>
      </c>
      <c r="K489" s="542"/>
      <c r="L489" s="542"/>
      <c r="M489" s="542"/>
    </row>
    <row r="490">
      <c r="A490" s="570"/>
      <c r="B490" s="559" t="s">
        <v>686</v>
      </c>
      <c r="C490" s="568">
        <v>840.0</v>
      </c>
      <c r="D490" s="557">
        <v>0.9637</v>
      </c>
      <c r="E490" s="569">
        <v>211.85</v>
      </c>
      <c r="F490" s="563">
        <v>80306.0</v>
      </c>
      <c r="G490" s="557">
        <v>-1.0</v>
      </c>
      <c r="H490" s="559"/>
      <c r="I490" s="564">
        <v>49900.0</v>
      </c>
      <c r="J490" s="565">
        <v>80306.0</v>
      </c>
      <c r="K490" s="542"/>
      <c r="L490" s="542"/>
      <c r="M490" s="542"/>
    </row>
    <row r="491">
      <c r="A491" s="570"/>
      <c r="B491" s="557"/>
      <c r="C491" s="557"/>
      <c r="D491" s="557"/>
      <c r="E491" s="557"/>
      <c r="F491" s="563">
        <v>80300.0</v>
      </c>
      <c r="G491" s="557"/>
      <c r="H491" s="557">
        <v>0.9485863734380852</v>
      </c>
      <c r="I491" s="564">
        <v>49896.0</v>
      </c>
      <c r="J491" s="565">
        <v>80300.0</v>
      </c>
      <c r="K491" s="542"/>
      <c r="L491" s="542"/>
      <c r="M491" s="542"/>
    </row>
    <row r="492">
      <c r="A492" s="570"/>
      <c r="B492" s="559" t="s">
        <v>1716</v>
      </c>
      <c r="C492" s="568">
        <v>1331.0</v>
      </c>
      <c r="D492" s="557">
        <v>0.967</v>
      </c>
      <c r="E492" s="569">
        <v>234.81</v>
      </c>
      <c r="F492" s="563">
        <v>80240.0</v>
      </c>
      <c r="G492" s="557"/>
      <c r="H492" s="559"/>
      <c r="I492" s="564">
        <v>49859.0</v>
      </c>
      <c r="J492" s="565">
        <v>80240.0</v>
      </c>
      <c r="K492" s="542"/>
      <c r="L492" s="542"/>
      <c r="M492" s="542"/>
    </row>
    <row r="493">
      <c r="A493" s="570"/>
      <c r="B493" s="559" t="s">
        <v>147</v>
      </c>
      <c r="C493" s="568">
        <v>505.0</v>
      </c>
      <c r="D493" s="557">
        <v>0.9365</v>
      </c>
      <c r="E493" s="569">
        <v>244.62</v>
      </c>
      <c r="F493" s="563">
        <v>80150.0</v>
      </c>
      <c r="G493" s="557"/>
      <c r="H493" s="559"/>
      <c r="I493" s="564">
        <v>49803.0</v>
      </c>
      <c r="J493" s="565">
        <v>80150.0</v>
      </c>
      <c r="K493" s="542"/>
      <c r="L493" s="542"/>
      <c r="M493" s="542"/>
    </row>
    <row r="494">
      <c r="A494" s="570"/>
      <c r="B494" s="559" t="s">
        <v>1637</v>
      </c>
      <c r="C494" s="568">
        <v>563.0</v>
      </c>
      <c r="D494" s="557">
        <v>0.971</v>
      </c>
      <c r="E494" s="569">
        <v>244.58</v>
      </c>
      <c r="F494" s="563">
        <v>80104.0</v>
      </c>
      <c r="G494" s="557"/>
      <c r="H494" s="559"/>
      <c r="I494" s="564">
        <v>49774.0</v>
      </c>
      <c r="J494" s="565">
        <v>80104.0</v>
      </c>
      <c r="K494" s="542"/>
      <c r="L494" s="542"/>
      <c r="M494" s="542"/>
    </row>
    <row r="495">
      <c r="A495" s="570"/>
      <c r="B495" s="559" t="s">
        <v>541</v>
      </c>
      <c r="C495" s="568">
        <v>746.0</v>
      </c>
      <c r="D495" s="557">
        <v>0.9048</v>
      </c>
      <c r="E495" s="569">
        <v>242.81</v>
      </c>
      <c r="F495" s="563">
        <v>80000.0</v>
      </c>
      <c r="G495" s="557"/>
      <c r="H495" s="559"/>
      <c r="I495" s="564">
        <v>49710.0</v>
      </c>
      <c r="J495" s="565">
        <v>80000.0</v>
      </c>
      <c r="K495" s="542"/>
      <c r="L495" s="542"/>
      <c r="M495" s="542"/>
    </row>
    <row r="496">
      <c r="A496" s="570"/>
      <c r="B496" s="559" t="s">
        <v>1611</v>
      </c>
      <c r="C496" s="568">
        <v>869.0</v>
      </c>
      <c r="D496" s="557">
        <v>0.9568</v>
      </c>
      <c r="E496" s="569">
        <v>212.1</v>
      </c>
      <c r="F496" s="563">
        <v>80000.0</v>
      </c>
      <c r="G496" s="557"/>
      <c r="H496" s="559"/>
      <c r="I496" s="564">
        <v>49710.0</v>
      </c>
      <c r="J496" s="565">
        <v>80000.0</v>
      </c>
      <c r="K496" s="542"/>
      <c r="L496" s="542"/>
      <c r="M496" s="542"/>
    </row>
    <row r="497">
      <c r="A497" s="570"/>
      <c r="B497" s="559" t="s">
        <v>143</v>
      </c>
      <c r="C497" s="568">
        <v>441.0</v>
      </c>
      <c r="D497" s="557">
        <v>0.9524</v>
      </c>
      <c r="E497" s="569">
        <v>210.89</v>
      </c>
      <c r="F497" s="563">
        <v>79984.0</v>
      </c>
      <c r="G497" s="557">
        <v>-1.0</v>
      </c>
      <c r="H497" s="559"/>
      <c r="I497" s="564">
        <v>49700.0</v>
      </c>
      <c r="J497" s="565">
        <v>79984.0</v>
      </c>
      <c r="K497" s="542"/>
      <c r="L497" s="542"/>
      <c r="M497" s="542"/>
    </row>
    <row r="498">
      <c r="A498" s="570"/>
      <c r="B498" s="559" t="s">
        <v>1693</v>
      </c>
      <c r="C498" s="568">
        <v>1015.0</v>
      </c>
      <c r="D498" s="557">
        <v>0.9749</v>
      </c>
      <c r="E498" s="569">
        <v>227.79</v>
      </c>
      <c r="F498" s="563">
        <v>79950.0</v>
      </c>
      <c r="G498" s="557"/>
      <c r="H498" s="559"/>
      <c r="I498" s="564">
        <v>49679.0</v>
      </c>
      <c r="J498" s="565">
        <v>79950.0</v>
      </c>
      <c r="K498" s="542"/>
      <c r="L498" s="542"/>
      <c r="M498" s="542"/>
    </row>
    <row r="499">
      <c r="A499" s="570"/>
      <c r="B499" s="559" t="s">
        <v>279</v>
      </c>
      <c r="C499" s="568">
        <v>949.0</v>
      </c>
      <c r="D499" s="557">
        <v>0.9619</v>
      </c>
      <c r="E499" s="569">
        <v>246.04</v>
      </c>
      <c r="F499" s="563">
        <v>79921.0</v>
      </c>
      <c r="G499" s="557"/>
      <c r="H499" s="559"/>
      <c r="I499" s="564">
        <v>49661.0</v>
      </c>
      <c r="J499" s="565">
        <v>79921.0</v>
      </c>
      <c r="K499" s="542"/>
      <c r="L499" s="542"/>
      <c r="M499" s="542"/>
    </row>
    <row r="500">
      <c r="A500" s="570"/>
      <c r="B500" s="559" t="s">
        <v>161</v>
      </c>
      <c r="C500" s="568">
        <v>1310.0</v>
      </c>
      <c r="D500" s="557">
        <v>0.9405</v>
      </c>
      <c r="E500" s="569">
        <v>196.12</v>
      </c>
      <c r="F500" s="563">
        <v>79886.0</v>
      </c>
      <c r="G500" s="557">
        <v>-1.0</v>
      </c>
      <c r="H500" s="559"/>
      <c r="I500" s="564">
        <v>49639.0</v>
      </c>
      <c r="J500" s="565">
        <v>79886.0</v>
      </c>
      <c r="K500" s="542"/>
      <c r="L500" s="542"/>
      <c r="M500" s="542"/>
    </row>
    <row r="501">
      <c r="A501" s="570"/>
      <c r="B501" s="559" t="s">
        <v>1784</v>
      </c>
      <c r="C501" s="568">
        <v>769.0</v>
      </c>
      <c r="D501" s="557">
        <v>0.9543</v>
      </c>
      <c r="E501" s="569">
        <v>204.2</v>
      </c>
      <c r="F501" s="563">
        <v>79700.0</v>
      </c>
      <c r="G501" s="557"/>
      <c r="H501" s="559"/>
      <c r="I501" s="564">
        <v>49523.0</v>
      </c>
      <c r="J501" s="565">
        <v>79700.0</v>
      </c>
      <c r="K501" s="542"/>
      <c r="L501" s="542"/>
      <c r="M501" s="542"/>
    </row>
    <row r="502">
      <c r="A502" s="570"/>
      <c r="B502" s="559" t="s">
        <v>601</v>
      </c>
      <c r="C502" s="568">
        <v>1361.0</v>
      </c>
      <c r="D502" s="557">
        <v>0.9788</v>
      </c>
      <c r="E502" s="569">
        <v>206.65</v>
      </c>
      <c r="F502" s="563">
        <v>79667.0</v>
      </c>
      <c r="G502" s="557">
        <v>-1.0</v>
      </c>
      <c r="H502" s="559"/>
      <c r="I502" s="564">
        <v>49503.0</v>
      </c>
      <c r="J502" s="565">
        <v>79667.0</v>
      </c>
      <c r="K502" s="542"/>
      <c r="L502" s="542"/>
      <c r="M502" s="542"/>
    </row>
    <row r="503">
      <c r="A503" s="570"/>
      <c r="B503" s="557"/>
      <c r="C503" s="557"/>
      <c r="D503" s="557"/>
      <c r="E503" s="557"/>
      <c r="F503" s="563">
        <v>79550.0</v>
      </c>
      <c r="G503" s="557"/>
      <c r="H503" s="557">
        <v>0.9487360373528441</v>
      </c>
      <c r="I503" s="564">
        <v>49430.0</v>
      </c>
      <c r="J503" s="565">
        <v>79550.0</v>
      </c>
      <c r="K503" s="542"/>
      <c r="L503" s="542"/>
      <c r="M503" s="542"/>
    </row>
    <row r="504">
      <c r="A504" s="570"/>
      <c r="B504" s="559" t="s">
        <v>300</v>
      </c>
      <c r="C504" s="568">
        <v>654.0</v>
      </c>
      <c r="D504" s="557">
        <v>0.9111</v>
      </c>
      <c r="E504" s="569">
        <v>241.48</v>
      </c>
      <c r="F504" s="563">
        <v>79470.0</v>
      </c>
      <c r="G504" s="557"/>
      <c r="H504" s="559"/>
      <c r="I504" s="564">
        <v>49380.0</v>
      </c>
      <c r="J504" s="565">
        <v>79470.0</v>
      </c>
      <c r="K504" s="542"/>
      <c r="L504" s="542"/>
      <c r="M504" s="542"/>
    </row>
    <row r="505">
      <c r="A505" s="570"/>
      <c r="B505" s="559" t="s">
        <v>681</v>
      </c>
      <c r="C505" s="568">
        <v>476.0</v>
      </c>
      <c r="D505" s="557">
        <v>1.0089</v>
      </c>
      <c r="E505" s="569">
        <v>201.98</v>
      </c>
      <c r="F505" s="563">
        <v>79065.0</v>
      </c>
      <c r="G505" s="557">
        <v>-1.0</v>
      </c>
      <c r="H505" s="559"/>
      <c r="I505" s="564">
        <v>49129.0</v>
      </c>
      <c r="J505" s="565">
        <v>79065.0</v>
      </c>
      <c r="K505" s="542"/>
      <c r="L505" s="542"/>
      <c r="M505" s="542"/>
    </row>
    <row r="506">
      <c r="A506" s="570"/>
      <c r="B506" s="557"/>
      <c r="C506" s="557"/>
      <c r="D506" s="557"/>
      <c r="E506" s="557"/>
      <c r="F506" s="563">
        <v>78800.0</v>
      </c>
      <c r="G506" s="557"/>
      <c r="H506" s="557">
        <v>0.9488868689774099</v>
      </c>
      <c r="I506" s="564">
        <v>48964.0</v>
      </c>
      <c r="J506" s="565">
        <v>78800.0</v>
      </c>
      <c r="K506" s="542"/>
      <c r="L506" s="542"/>
      <c r="M506" s="542"/>
    </row>
    <row r="507">
      <c r="A507" s="570"/>
      <c r="B507" s="559" t="s">
        <v>361</v>
      </c>
      <c r="C507" s="568">
        <v>695.0</v>
      </c>
      <c r="D507" s="557">
        <v>0.9264</v>
      </c>
      <c r="E507" s="569">
        <v>238.22</v>
      </c>
      <c r="F507" s="563">
        <v>78676.0</v>
      </c>
      <c r="G507" s="557"/>
      <c r="H507" s="559"/>
      <c r="I507" s="564">
        <v>48887.0</v>
      </c>
      <c r="J507" s="565">
        <v>78676.0</v>
      </c>
      <c r="K507" s="542"/>
      <c r="L507" s="542"/>
      <c r="M507" s="542"/>
    </row>
    <row r="508">
      <c r="A508" s="570"/>
      <c r="B508" s="559" t="s">
        <v>876</v>
      </c>
      <c r="C508" s="568">
        <v>526.0</v>
      </c>
      <c r="D508" s="557">
        <v>0.9441</v>
      </c>
      <c r="E508" s="569">
        <v>227.26</v>
      </c>
      <c r="F508" s="563">
        <v>78527.0</v>
      </c>
      <c r="G508" s="557"/>
      <c r="H508" s="559"/>
      <c r="I508" s="564">
        <v>48794.0</v>
      </c>
      <c r="J508" s="565">
        <v>78527.0</v>
      </c>
      <c r="K508" s="542"/>
      <c r="L508" s="542"/>
      <c r="M508" s="542"/>
    </row>
    <row r="509">
      <c r="A509" s="570"/>
      <c r="B509" s="559" t="s">
        <v>212</v>
      </c>
      <c r="C509" s="568">
        <v>600.0</v>
      </c>
      <c r="D509" s="557">
        <v>0.9518</v>
      </c>
      <c r="E509" s="569">
        <v>232.52</v>
      </c>
      <c r="F509" s="563">
        <v>78500.0</v>
      </c>
      <c r="G509" s="557"/>
      <c r="H509" s="559"/>
      <c r="I509" s="564">
        <v>48778.0</v>
      </c>
      <c r="J509" s="565">
        <v>78500.0</v>
      </c>
      <c r="K509" s="542"/>
      <c r="L509" s="542"/>
      <c r="M509" s="542"/>
    </row>
    <row r="510">
      <c r="A510" s="570"/>
      <c r="B510" s="559" t="s">
        <v>1127</v>
      </c>
      <c r="C510" s="568">
        <v>637.0</v>
      </c>
      <c r="D510" s="557">
        <v>0.9703</v>
      </c>
      <c r="E510" s="569">
        <v>221.08</v>
      </c>
      <c r="F510" s="563">
        <v>78500.0</v>
      </c>
      <c r="G510" s="557"/>
      <c r="H510" s="559"/>
      <c r="I510" s="564">
        <v>48778.0</v>
      </c>
      <c r="J510" s="565">
        <v>78500.0</v>
      </c>
      <c r="K510" s="542"/>
      <c r="L510" s="542"/>
      <c r="M510" s="542"/>
    </row>
    <row r="511">
      <c r="A511" s="570"/>
      <c r="B511" s="559" t="s">
        <v>1784</v>
      </c>
      <c r="C511" s="568">
        <v>760.0</v>
      </c>
      <c r="D511" s="557">
        <v>0.9543</v>
      </c>
      <c r="E511" s="569">
        <v>201.02</v>
      </c>
      <c r="F511" s="563">
        <v>78456.0</v>
      </c>
      <c r="G511" s="557"/>
      <c r="H511" s="559"/>
      <c r="I511" s="564">
        <v>48750.0</v>
      </c>
      <c r="J511" s="565">
        <v>78456.0</v>
      </c>
      <c r="K511" s="542"/>
      <c r="L511" s="542"/>
      <c r="M511" s="542"/>
    </row>
    <row r="512">
      <c r="A512" s="570"/>
      <c r="B512" s="559" t="s">
        <v>1833</v>
      </c>
      <c r="C512" s="568">
        <v>1217.0</v>
      </c>
      <c r="D512" s="557">
        <v>0.9593</v>
      </c>
      <c r="E512" s="569">
        <v>221.99</v>
      </c>
      <c r="F512" s="563">
        <v>78372.0</v>
      </c>
      <c r="G512" s="557"/>
      <c r="H512" s="559"/>
      <c r="I512" s="564">
        <v>48698.0</v>
      </c>
      <c r="J512" s="565">
        <v>78372.0</v>
      </c>
      <c r="K512" s="542"/>
      <c r="L512" s="542"/>
      <c r="M512" s="542"/>
    </row>
    <row r="513">
      <c r="A513" s="570"/>
      <c r="B513" s="559" t="s">
        <v>1784</v>
      </c>
      <c r="C513" s="568">
        <v>757.0</v>
      </c>
      <c r="D513" s="557">
        <v>0.9543</v>
      </c>
      <c r="E513" s="569">
        <v>200.71</v>
      </c>
      <c r="F513" s="563">
        <v>78334.0</v>
      </c>
      <c r="G513" s="557"/>
      <c r="H513" s="559"/>
      <c r="I513" s="564">
        <v>48674.0</v>
      </c>
      <c r="J513" s="565">
        <v>78334.0</v>
      </c>
      <c r="K513" s="542"/>
      <c r="L513" s="542"/>
      <c r="M513" s="542"/>
    </row>
    <row r="514">
      <c r="A514" s="570"/>
      <c r="B514" s="557"/>
      <c r="C514" s="557"/>
      <c r="D514" s="557"/>
      <c r="E514" s="557"/>
      <c r="F514" s="563">
        <v>78050.0</v>
      </c>
      <c r="G514" s="557"/>
      <c r="H514" s="557">
        <v>0.9490389103616932</v>
      </c>
      <c r="I514" s="564">
        <v>48498.0</v>
      </c>
      <c r="J514" s="565">
        <v>78050.0</v>
      </c>
      <c r="K514" s="542"/>
      <c r="L514" s="542"/>
      <c r="M514" s="542"/>
    </row>
    <row r="515">
      <c r="A515" s="570"/>
      <c r="B515" s="559" t="s">
        <v>423</v>
      </c>
      <c r="C515" s="568">
        <v>1276.0</v>
      </c>
      <c r="D515" s="557">
        <v>0.9411</v>
      </c>
      <c r="E515" s="569">
        <v>232.64</v>
      </c>
      <c r="F515" s="563">
        <v>77562.0</v>
      </c>
      <c r="G515" s="557">
        <v>-1.0</v>
      </c>
      <c r="H515" s="559"/>
      <c r="I515" s="564">
        <v>48195.0</v>
      </c>
      <c r="J515" s="565">
        <v>77562.0</v>
      </c>
      <c r="K515" s="542"/>
      <c r="L515" s="542"/>
      <c r="M515" s="542"/>
    </row>
    <row r="516">
      <c r="A516" s="570"/>
      <c r="B516" s="559" t="s">
        <v>231</v>
      </c>
      <c r="C516" s="568">
        <v>692.0</v>
      </c>
      <c r="D516" s="557">
        <v>0.9574</v>
      </c>
      <c r="E516" s="569">
        <v>243.21</v>
      </c>
      <c r="F516" s="563">
        <v>77500.0</v>
      </c>
      <c r="G516" s="557"/>
      <c r="H516" s="559"/>
      <c r="I516" s="564">
        <v>48156.0</v>
      </c>
      <c r="J516" s="565">
        <v>77500.0</v>
      </c>
      <c r="K516" s="542"/>
      <c r="L516" s="542"/>
      <c r="M516" s="542"/>
    </row>
    <row r="517">
      <c r="A517" s="570"/>
      <c r="B517" s="559" t="s">
        <v>1784</v>
      </c>
      <c r="C517" s="568">
        <v>747.0</v>
      </c>
      <c r="D517" s="557">
        <v>0.9568</v>
      </c>
      <c r="E517" s="569">
        <v>197.11</v>
      </c>
      <c r="F517" s="563">
        <v>77430.0</v>
      </c>
      <c r="G517" s="557"/>
      <c r="H517" s="559"/>
      <c r="I517" s="564">
        <v>48113.0</v>
      </c>
      <c r="J517" s="565">
        <v>77430.0</v>
      </c>
      <c r="K517" s="542"/>
      <c r="L517" s="542"/>
      <c r="M517" s="542"/>
    </row>
    <row r="518">
      <c r="A518" s="570"/>
      <c r="B518" s="559" t="s">
        <v>161</v>
      </c>
      <c r="C518" s="568">
        <v>1250.0</v>
      </c>
      <c r="D518" s="557">
        <v>0.9405</v>
      </c>
      <c r="E518" s="569">
        <v>189.85</v>
      </c>
      <c r="F518" s="563">
        <v>77334.0</v>
      </c>
      <c r="G518" s="557">
        <v>-1.0</v>
      </c>
      <c r="H518" s="559"/>
      <c r="I518" s="564">
        <v>48053.0</v>
      </c>
      <c r="J518" s="565">
        <v>77334.0</v>
      </c>
      <c r="K518" s="542"/>
      <c r="L518" s="542"/>
      <c r="M518" s="542"/>
    </row>
    <row r="519">
      <c r="A519" s="570"/>
      <c r="B519" s="557"/>
      <c r="C519" s="557"/>
      <c r="D519" s="557"/>
      <c r="E519" s="557"/>
      <c r="F519" s="563">
        <v>77300.0</v>
      </c>
      <c r="G519" s="557"/>
      <c r="H519" s="557">
        <v>0.9491922050698457</v>
      </c>
      <c r="I519" s="564">
        <v>48032.0</v>
      </c>
      <c r="J519" s="565">
        <v>77300.0</v>
      </c>
      <c r="K519" s="542"/>
      <c r="L519" s="542"/>
      <c r="M519" s="542"/>
    </row>
    <row r="520">
      <c r="A520" s="570"/>
      <c r="B520" s="559" t="s">
        <v>792</v>
      </c>
      <c r="C520" s="568">
        <v>1728.0</v>
      </c>
      <c r="D520" s="557">
        <v>0.9524</v>
      </c>
      <c r="E520" s="569">
        <v>208.25</v>
      </c>
      <c r="F520" s="563">
        <v>77041.0</v>
      </c>
      <c r="G520" s="557">
        <v>-1.0</v>
      </c>
      <c r="H520" s="559"/>
      <c r="I520" s="564">
        <v>47871.0</v>
      </c>
      <c r="J520" s="565">
        <v>77041.0</v>
      </c>
      <c r="K520" s="542"/>
      <c r="L520" s="542"/>
      <c r="M520" s="542"/>
    </row>
    <row r="521">
      <c r="A521" s="570"/>
      <c r="B521" s="559" t="s">
        <v>1762</v>
      </c>
      <c r="C521" s="568">
        <v>869.0</v>
      </c>
      <c r="D521" s="557">
        <v>0.9543</v>
      </c>
      <c r="E521" s="569">
        <v>223.15</v>
      </c>
      <c r="F521" s="563">
        <v>76800.0</v>
      </c>
      <c r="G521" s="557"/>
      <c r="H521" s="559"/>
      <c r="I521" s="564">
        <v>47721.0</v>
      </c>
      <c r="J521" s="565">
        <v>76800.0</v>
      </c>
      <c r="K521" s="542"/>
      <c r="L521" s="542"/>
      <c r="M521" s="542"/>
    </row>
    <row r="522">
      <c r="A522" s="570"/>
      <c r="B522" s="557"/>
      <c r="C522" s="557"/>
      <c r="D522" s="557"/>
      <c r="E522" s="557"/>
      <c r="F522" s="563">
        <v>76550.0</v>
      </c>
      <c r="G522" s="557"/>
      <c r="H522" s="557">
        <v>0.9493467982347901</v>
      </c>
      <c r="I522" s="564">
        <v>47566.0</v>
      </c>
      <c r="J522" s="565">
        <v>76550.0</v>
      </c>
      <c r="K522" s="542"/>
      <c r="L522" s="542"/>
      <c r="M522" s="542"/>
    </row>
    <row r="523">
      <c r="A523" s="570"/>
      <c r="B523" s="559" t="s">
        <v>449</v>
      </c>
      <c r="C523" s="568">
        <v>567.0</v>
      </c>
      <c r="D523" s="557">
        <v>0.9474</v>
      </c>
      <c r="E523" s="569">
        <v>192.76</v>
      </c>
      <c r="F523" s="563">
        <v>76550.0</v>
      </c>
      <c r="G523" s="557"/>
      <c r="H523" s="559"/>
      <c r="I523" s="564">
        <v>47566.0</v>
      </c>
      <c r="J523" s="565">
        <v>76550.0</v>
      </c>
      <c r="K523" s="542"/>
      <c r="L523" s="542"/>
      <c r="M523" s="542"/>
    </row>
    <row r="524">
      <c r="A524" s="570"/>
      <c r="B524" s="559" t="s">
        <v>1625</v>
      </c>
      <c r="C524" s="568">
        <v>674.0</v>
      </c>
      <c r="D524" s="557">
        <v>0.9441</v>
      </c>
      <c r="E524" s="569">
        <v>226.48</v>
      </c>
      <c r="F524" s="563">
        <v>76500.0</v>
      </c>
      <c r="G524" s="557"/>
      <c r="H524" s="559"/>
      <c r="I524" s="564">
        <v>47535.0</v>
      </c>
      <c r="J524" s="565">
        <v>76500.0</v>
      </c>
      <c r="K524" s="542"/>
      <c r="L524" s="542"/>
      <c r="M524" s="542"/>
    </row>
    <row r="525">
      <c r="A525" s="570"/>
      <c r="B525" s="559" t="s">
        <v>809</v>
      </c>
      <c r="C525" s="568">
        <v>1044.0</v>
      </c>
      <c r="D525" s="557">
        <v>0.9628</v>
      </c>
      <c r="E525" s="569">
        <v>196.54</v>
      </c>
      <c r="F525" s="563">
        <v>76114.0</v>
      </c>
      <c r="G525" s="557">
        <v>-1.0</v>
      </c>
      <c r="H525" s="559"/>
      <c r="I525" s="564">
        <v>47295.0</v>
      </c>
      <c r="J525" s="565">
        <v>76114.0</v>
      </c>
      <c r="K525" s="542"/>
      <c r="L525" s="542"/>
      <c r="M525" s="542"/>
    </row>
    <row r="526">
      <c r="A526" s="570"/>
      <c r="B526" s="557"/>
      <c r="C526" s="557"/>
      <c r="D526" s="557"/>
      <c r="E526" s="557"/>
      <c r="F526" s="563">
        <v>75800.0</v>
      </c>
      <c r="G526" s="557"/>
      <c r="H526" s="557">
        <v>0.9495027366147117</v>
      </c>
      <c r="I526" s="564">
        <v>47100.0</v>
      </c>
      <c r="J526" s="565">
        <v>75800.0</v>
      </c>
      <c r="K526" s="542"/>
      <c r="L526" s="542"/>
      <c r="M526" s="542"/>
    </row>
    <row r="527">
      <c r="A527" s="570"/>
      <c r="B527" s="559" t="s">
        <v>1336</v>
      </c>
      <c r="C527" s="568">
        <v>679.0</v>
      </c>
      <c r="D527" s="557">
        <v>0.9549</v>
      </c>
      <c r="E527" s="569">
        <v>204.19</v>
      </c>
      <c r="F527" s="563">
        <v>75443.0</v>
      </c>
      <c r="G527" s="557"/>
      <c r="H527" s="559"/>
      <c r="I527" s="564">
        <v>46878.0</v>
      </c>
      <c r="J527" s="565">
        <v>75443.0</v>
      </c>
      <c r="K527" s="542"/>
      <c r="L527" s="542"/>
      <c r="M527" s="542"/>
    </row>
    <row r="528">
      <c r="A528" s="570"/>
      <c r="B528" s="557"/>
      <c r="C528" s="557"/>
      <c r="D528" s="557"/>
      <c r="E528" s="557"/>
      <c r="F528" s="563">
        <v>75050.0</v>
      </c>
      <c r="G528" s="557"/>
      <c r="H528" s="557">
        <v>0.9496600686515853</v>
      </c>
      <c r="I528" s="564">
        <v>46634.0</v>
      </c>
      <c r="J528" s="565">
        <v>75050.0</v>
      </c>
      <c r="K528" s="542"/>
      <c r="L528" s="542"/>
      <c r="M528" s="542"/>
    </row>
    <row r="529">
      <c r="A529" s="570"/>
      <c r="B529" s="559" t="s">
        <v>1013</v>
      </c>
      <c r="C529" s="568">
        <v>548.0</v>
      </c>
      <c r="D529" s="557">
        <v>0.9474</v>
      </c>
      <c r="E529" s="569">
        <v>220.66</v>
      </c>
      <c r="F529" s="563">
        <v>75000.0</v>
      </c>
      <c r="G529" s="557"/>
      <c r="H529" s="559"/>
      <c r="I529" s="564">
        <v>46603.0</v>
      </c>
      <c r="J529" s="565">
        <v>75000.0</v>
      </c>
      <c r="K529" s="542"/>
      <c r="L529" s="542"/>
      <c r="M529" s="542"/>
    </row>
    <row r="530">
      <c r="A530" s="570"/>
      <c r="B530" s="559" t="s">
        <v>1741</v>
      </c>
      <c r="C530" s="568">
        <v>567.0</v>
      </c>
      <c r="D530" s="557">
        <v>0.982</v>
      </c>
      <c r="E530" s="569">
        <v>201.12</v>
      </c>
      <c r="F530" s="563">
        <v>74973.0</v>
      </c>
      <c r="G530" s="557"/>
      <c r="H530" s="559"/>
      <c r="I530" s="564">
        <v>46586.0</v>
      </c>
      <c r="J530" s="565">
        <v>74973.0</v>
      </c>
      <c r="K530" s="542"/>
      <c r="L530" s="542"/>
      <c r="M530" s="542"/>
    </row>
    <row r="531">
      <c r="A531" s="570"/>
      <c r="B531" s="559" t="s">
        <v>161</v>
      </c>
      <c r="C531" s="568">
        <v>1215.0</v>
      </c>
      <c r="D531" s="557">
        <v>0.9442</v>
      </c>
      <c r="E531" s="569">
        <v>183.6</v>
      </c>
      <c r="F531" s="563">
        <v>74929.0</v>
      </c>
      <c r="G531" s="557">
        <v>-1.0</v>
      </c>
      <c r="H531" s="559"/>
      <c r="I531" s="564">
        <v>46559.0</v>
      </c>
      <c r="J531" s="565">
        <v>74929.0</v>
      </c>
      <c r="K531" s="542"/>
      <c r="L531" s="542"/>
      <c r="M531" s="542"/>
    </row>
    <row r="532">
      <c r="A532" s="570"/>
      <c r="B532" s="559" t="s">
        <v>378</v>
      </c>
      <c r="C532" s="568">
        <v>976.0</v>
      </c>
      <c r="D532" s="557">
        <v>0.9405</v>
      </c>
      <c r="E532" s="569">
        <v>202.81</v>
      </c>
      <c r="F532" s="563">
        <v>74809.0</v>
      </c>
      <c r="G532" s="557">
        <v>-1.0</v>
      </c>
      <c r="H532" s="559"/>
      <c r="I532" s="564">
        <v>46484.0</v>
      </c>
      <c r="J532" s="565">
        <v>74809.0</v>
      </c>
      <c r="K532" s="542"/>
      <c r="L532" s="542"/>
      <c r="M532" s="542"/>
    </row>
    <row r="533">
      <c r="A533" s="570"/>
      <c r="B533" s="559" t="s">
        <v>623</v>
      </c>
      <c r="C533" s="568">
        <v>502.0</v>
      </c>
      <c r="D533" s="557">
        <v>0.9123</v>
      </c>
      <c r="E533" s="569">
        <v>187.35</v>
      </c>
      <c r="F533" s="563">
        <v>74631.0</v>
      </c>
      <c r="G533" s="557"/>
      <c r="H533" s="559"/>
      <c r="I533" s="564">
        <v>46374.0</v>
      </c>
      <c r="J533" s="565">
        <v>74631.0</v>
      </c>
      <c r="K533" s="542"/>
      <c r="L533" s="542"/>
      <c r="M533" s="542"/>
    </row>
    <row r="534">
      <c r="A534" s="570"/>
      <c r="B534" s="559" t="s">
        <v>1741</v>
      </c>
      <c r="C534" s="568">
        <v>567.0</v>
      </c>
      <c r="D534" s="557">
        <v>0.9726</v>
      </c>
      <c r="E534" s="569">
        <v>201.1</v>
      </c>
      <c r="F534" s="563">
        <v>74611.0</v>
      </c>
      <c r="G534" s="557"/>
      <c r="H534" s="559"/>
      <c r="I534" s="564">
        <v>46361.0</v>
      </c>
      <c r="J534" s="565">
        <v>74611.0</v>
      </c>
      <c r="K534" s="542"/>
      <c r="L534" s="542"/>
      <c r="M534" s="542"/>
    </row>
    <row r="535">
      <c r="A535" s="570"/>
      <c r="B535" s="559" t="s">
        <v>102</v>
      </c>
      <c r="C535" s="568">
        <v>661.0</v>
      </c>
      <c r="D535" s="557">
        <v>0.9487</v>
      </c>
      <c r="E535" s="569">
        <v>195.16</v>
      </c>
      <c r="F535" s="563">
        <v>74569.0</v>
      </c>
      <c r="G535" s="557">
        <v>-1.0</v>
      </c>
      <c r="H535" s="559"/>
      <c r="I535" s="564">
        <v>46335.0</v>
      </c>
      <c r="J535" s="565">
        <v>74569.0</v>
      </c>
      <c r="K535" s="542"/>
      <c r="L535" s="542"/>
      <c r="M535" s="542"/>
    </row>
    <row r="536">
      <c r="A536" s="570"/>
      <c r="B536" s="559" t="s">
        <v>279</v>
      </c>
      <c r="C536" s="568">
        <v>880.0</v>
      </c>
      <c r="D536" s="557">
        <v>0.9721</v>
      </c>
      <c r="E536" s="569">
        <v>229.23</v>
      </c>
      <c r="F536" s="563">
        <v>74532.0</v>
      </c>
      <c r="G536" s="557"/>
      <c r="H536" s="559"/>
      <c r="I536" s="564">
        <v>46312.0</v>
      </c>
      <c r="J536" s="565">
        <v>74532.0</v>
      </c>
      <c r="K536" s="542"/>
      <c r="L536" s="542"/>
      <c r="M536" s="542"/>
    </row>
    <row r="537">
      <c r="A537" s="570"/>
      <c r="B537" s="559" t="s">
        <v>126</v>
      </c>
      <c r="C537" s="568">
        <v>442.0</v>
      </c>
      <c r="D537" s="557">
        <v>0.9524</v>
      </c>
      <c r="E537" s="569">
        <v>216.66</v>
      </c>
      <c r="F537" s="563">
        <v>74500.0</v>
      </c>
      <c r="G537" s="557"/>
      <c r="H537" s="559"/>
      <c r="I537" s="564">
        <v>46292.0</v>
      </c>
      <c r="J537" s="565">
        <v>74500.0</v>
      </c>
      <c r="K537" s="542"/>
      <c r="L537" s="542"/>
      <c r="M537" s="542"/>
    </row>
    <row r="538">
      <c r="A538" s="570"/>
      <c r="B538" s="559" t="s">
        <v>548</v>
      </c>
      <c r="C538" s="568">
        <v>902.0</v>
      </c>
      <c r="D538" s="557">
        <v>0.9619</v>
      </c>
      <c r="E538" s="569">
        <v>221.51</v>
      </c>
      <c r="F538" s="563">
        <v>74500.0</v>
      </c>
      <c r="G538" s="557"/>
      <c r="H538" s="559"/>
      <c r="I538" s="564">
        <v>46292.0</v>
      </c>
      <c r="J538" s="565">
        <v>74500.0</v>
      </c>
      <c r="K538" s="542"/>
      <c r="L538" s="542"/>
      <c r="M538" s="542"/>
    </row>
    <row r="539">
      <c r="A539" s="570"/>
      <c r="B539" s="557"/>
      <c r="C539" s="557"/>
      <c r="D539" s="557"/>
      <c r="E539" s="557"/>
      <c r="F539" s="563">
        <v>74300.0</v>
      </c>
      <c r="G539" s="557"/>
      <c r="H539" s="557">
        <v>0.9498188445318095</v>
      </c>
      <c r="I539" s="564">
        <v>46168.0</v>
      </c>
      <c r="J539" s="565">
        <v>74300.0</v>
      </c>
      <c r="K539" s="542"/>
      <c r="L539" s="542"/>
      <c r="M539" s="542"/>
    </row>
    <row r="540">
      <c r="A540" s="570"/>
      <c r="B540" s="559" t="s">
        <v>1716</v>
      </c>
      <c r="C540" s="568">
        <v>1281.0</v>
      </c>
      <c r="D540" s="557">
        <v>0.9644</v>
      </c>
      <c r="E540" s="569">
        <v>227.12</v>
      </c>
      <c r="F540" s="563">
        <v>74181.0</v>
      </c>
      <c r="G540" s="557"/>
      <c r="H540" s="559"/>
      <c r="I540" s="564">
        <v>46094.0</v>
      </c>
      <c r="J540" s="565">
        <v>74181.0</v>
      </c>
      <c r="K540" s="542"/>
      <c r="L540" s="542"/>
      <c r="M540" s="542"/>
    </row>
    <row r="541">
      <c r="A541" s="570"/>
      <c r="B541" s="559" t="s">
        <v>845</v>
      </c>
      <c r="C541" s="568">
        <v>633.0</v>
      </c>
      <c r="D541" s="557">
        <v>0.922</v>
      </c>
      <c r="E541" s="569">
        <v>214.78</v>
      </c>
      <c r="F541" s="563">
        <v>74030.0</v>
      </c>
      <c r="G541" s="557">
        <v>-1.0</v>
      </c>
      <c r="H541" s="559"/>
      <c r="I541" s="564">
        <v>46000.0</v>
      </c>
      <c r="J541" s="565">
        <v>74030.0</v>
      </c>
      <c r="K541" s="542"/>
      <c r="L541" s="542"/>
      <c r="M541" s="542"/>
    </row>
    <row r="542">
      <c r="A542" s="570"/>
      <c r="B542" s="559" t="s">
        <v>212</v>
      </c>
      <c r="C542" s="568">
        <v>564.0</v>
      </c>
      <c r="D542" s="557">
        <v>0.9518</v>
      </c>
      <c r="E542" s="569">
        <v>220.23</v>
      </c>
      <c r="F542" s="563">
        <v>74020.0</v>
      </c>
      <c r="G542" s="557"/>
      <c r="H542" s="559"/>
      <c r="I542" s="564">
        <v>45994.0</v>
      </c>
      <c r="J542" s="565">
        <v>74020.0</v>
      </c>
      <c r="K542" s="542"/>
      <c r="L542" s="542"/>
      <c r="M542" s="542"/>
    </row>
    <row r="543">
      <c r="A543" s="570"/>
      <c r="B543" s="559" t="s">
        <v>541</v>
      </c>
      <c r="C543" s="568">
        <v>698.0</v>
      </c>
      <c r="D543" s="557">
        <v>0.934</v>
      </c>
      <c r="E543" s="569">
        <v>223.19</v>
      </c>
      <c r="F543" s="563">
        <v>74000.0</v>
      </c>
      <c r="G543" s="557"/>
      <c r="H543" s="559"/>
      <c r="I543" s="564">
        <v>45981.0</v>
      </c>
      <c r="J543" s="565">
        <v>74000.0</v>
      </c>
      <c r="K543" s="542"/>
      <c r="L543" s="542"/>
      <c r="M543" s="542"/>
    </row>
    <row r="544">
      <c r="A544" s="570"/>
      <c r="B544" s="559" t="s">
        <v>328</v>
      </c>
      <c r="C544" s="568">
        <v>1007.0</v>
      </c>
      <c r="D544" s="557">
        <v>0.9549</v>
      </c>
      <c r="E544" s="569">
        <v>205.18</v>
      </c>
      <c r="F544" s="563">
        <v>74000.0</v>
      </c>
      <c r="G544" s="557"/>
      <c r="H544" s="559"/>
      <c r="I544" s="564">
        <v>45981.0</v>
      </c>
      <c r="J544" s="565">
        <v>74000.0</v>
      </c>
      <c r="K544" s="542"/>
      <c r="L544" s="542"/>
      <c r="M544" s="542"/>
    </row>
    <row r="545">
      <c r="A545" s="570"/>
      <c r="B545" s="559" t="s">
        <v>663</v>
      </c>
      <c r="C545" s="568">
        <v>557.0</v>
      </c>
      <c r="D545" s="557">
        <v>0.9432</v>
      </c>
      <c r="E545" s="569">
        <v>231.35</v>
      </c>
      <c r="F545" s="563">
        <v>73964.0</v>
      </c>
      <c r="G545" s="557">
        <v>-1.0</v>
      </c>
      <c r="H545" s="559"/>
      <c r="I545" s="564">
        <v>45959.0</v>
      </c>
      <c r="J545" s="565">
        <v>73964.0</v>
      </c>
      <c r="K545" s="542"/>
      <c r="L545" s="542"/>
      <c r="M545" s="542"/>
    </row>
    <row r="546">
      <c r="A546" s="570"/>
      <c r="B546" s="559" t="s">
        <v>1741</v>
      </c>
      <c r="C546" s="568">
        <v>554.0</v>
      </c>
      <c r="D546" s="557">
        <v>0.9608</v>
      </c>
      <c r="E546" s="569">
        <v>200.03</v>
      </c>
      <c r="F546" s="563">
        <v>73770.0</v>
      </c>
      <c r="G546" s="557"/>
      <c r="H546" s="559"/>
      <c r="I546" s="564">
        <v>45839.0</v>
      </c>
      <c r="J546" s="565">
        <v>73770.0</v>
      </c>
      <c r="K546" s="542"/>
      <c r="L546" s="542"/>
      <c r="M546" s="542"/>
    </row>
    <row r="547">
      <c r="A547" s="570"/>
      <c r="B547" s="559" t="s">
        <v>100</v>
      </c>
      <c r="C547" s="568">
        <v>676.0</v>
      </c>
      <c r="D547" s="557">
        <v>0.9353</v>
      </c>
      <c r="E547" s="569">
        <v>218.96</v>
      </c>
      <c r="F547" s="563">
        <v>73623.0</v>
      </c>
      <c r="G547" s="557">
        <v>-1.0</v>
      </c>
      <c r="H547" s="559"/>
      <c r="I547" s="564">
        <v>45747.0</v>
      </c>
      <c r="J547" s="565">
        <v>73623.0</v>
      </c>
      <c r="K547" s="542"/>
      <c r="L547" s="542"/>
      <c r="M547" s="542"/>
    </row>
    <row r="548">
      <c r="A548" s="570"/>
      <c r="B548" s="557"/>
      <c r="C548" s="557"/>
      <c r="D548" s="557"/>
      <c r="E548" s="557"/>
      <c r="F548" s="563">
        <v>73550.0</v>
      </c>
      <c r="G548" s="557"/>
      <c r="H548" s="557">
        <v>0.9499791162490243</v>
      </c>
      <c r="I548" s="564">
        <v>45702.0</v>
      </c>
      <c r="J548" s="565">
        <v>73550.0</v>
      </c>
      <c r="K548" s="542"/>
      <c r="L548" s="542"/>
      <c r="M548" s="542"/>
    </row>
    <row r="549">
      <c r="A549" s="570"/>
      <c r="B549" s="559" t="s">
        <v>1784</v>
      </c>
      <c r="C549" s="568">
        <v>725.0</v>
      </c>
      <c r="D549" s="557">
        <v>0.9599</v>
      </c>
      <c r="E549" s="569">
        <v>212.66</v>
      </c>
      <c r="F549" s="563">
        <v>73402.0</v>
      </c>
      <c r="G549" s="557"/>
      <c r="H549" s="559"/>
      <c r="I549" s="564">
        <v>45610.0</v>
      </c>
      <c r="J549" s="565">
        <v>73402.0</v>
      </c>
      <c r="K549" s="542"/>
      <c r="L549" s="542"/>
      <c r="M549" s="542"/>
    </row>
    <row r="550">
      <c r="A550" s="570"/>
      <c r="B550" s="559" t="s">
        <v>1787</v>
      </c>
      <c r="C550" s="568">
        <v>1150.0</v>
      </c>
      <c r="D550" s="557">
        <v>0.9499</v>
      </c>
      <c r="E550" s="569">
        <v>199.18</v>
      </c>
      <c r="F550" s="563">
        <v>73397.0</v>
      </c>
      <c r="G550" s="557"/>
      <c r="H550" s="559"/>
      <c r="I550" s="564">
        <v>45607.0</v>
      </c>
      <c r="J550" s="565">
        <v>73397.0</v>
      </c>
      <c r="K550" s="542"/>
      <c r="L550" s="542"/>
      <c r="M550" s="542"/>
    </row>
    <row r="551">
      <c r="A551" s="570"/>
      <c r="B551" s="559" t="s">
        <v>186</v>
      </c>
      <c r="C551" s="568">
        <v>289.0</v>
      </c>
      <c r="D551" s="557">
        <v>0.962</v>
      </c>
      <c r="E551" s="569">
        <v>210.34</v>
      </c>
      <c r="F551" s="563">
        <v>73353.0</v>
      </c>
      <c r="G551" s="557"/>
      <c r="H551" s="559"/>
      <c r="I551" s="564">
        <v>45579.0</v>
      </c>
      <c r="J551" s="565">
        <v>73353.0</v>
      </c>
      <c r="K551" s="542"/>
      <c r="L551" s="542"/>
      <c r="M551" s="542"/>
    </row>
    <row r="552">
      <c r="A552" s="570"/>
      <c r="B552" s="559" t="s">
        <v>615</v>
      </c>
      <c r="C552" s="568">
        <v>1507.0</v>
      </c>
      <c r="D552" s="557">
        <v>0.9692</v>
      </c>
      <c r="E552" s="569">
        <v>252.08</v>
      </c>
      <c r="F552" s="563">
        <v>73225.0</v>
      </c>
      <c r="G552" s="557">
        <v>-1.0</v>
      </c>
      <c r="H552" s="559"/>
      <c r="I552" s="564">
        <v>45500.0</v>
      </c>
      <c r="J552" s="565">
        <v>73225.0</v>
      </c>
      <c r="K552" s="542"/>
      <c r="L552" s="542"/>
      <c r="M552" s="542"/>
    </row>
    <row r="553">
      <c r="A553" s="570"/>
      <c r="B553" s="559" t="s">
        <v>1637</v>
      </c>
      <c r="C553" s="568">
        <v>527.0</v>
      </c>
      <c r="D553" s="557">
        <v>0.9794</v>
      </c>
      <c r="E553" s="569">
        <v>220.12</v>
      </c>
      <c r="F553" s="563">
        <v>73105.0</v>
      </c>
      <c r="G553" s="557"/>
      <c r="H553" s="559"/>
      <c r="I553" s="564">
        <v>45425.0</v>
      </c>
      <c r="J553" s="565">
        <v>73105.0</v>
      </c>
      <c r="K553" s="542"/>
      <c r="L553" s="542"/>
      <c r="M553" s="542"/>
    </row>
    <row r="554">
      <c r="A554" s="570"/>
      <c r="B554" s="559" t="s">
        <v>532</v>
      </c>
      <c r="C554" s="568">
        <v>1168.0</v>
      </c>
      <c r="D554" s="557">
        <v>0.9148</v>
      </c>
      <c r="E554" s="569">
        <v>201.84</v>
      </c>
      <c r="F554" s="563">
        <v>73019.0</v>
      </c>
      <c r="G554" s="557">
        <v>-1.0</v>
      </c>
      <c r="H554" s="559"/>
      <c r="I554" s="564">
        <v>45372.0</v>
      </c>
      <c r="J554" s="565">
        <v>73019.0</v>
      </c>
      <c r="K554" s="542"/>
      <c r="L554" s="542"/>
      <c r="M554" s="542"/>
    </row>
    <row r="555">
      <c r="A555" s="570"/>
      <c r="B555" s="559" t="s">
        <v>126</v>
      </c>
      <c r="C555" s="568">
        <v>427.0</v>
      </c>
      <c r="D555" s="557">
        <v>0.9499</v>
      </c>
      <c r="E555" s="569">
        <v>210.64</v>
      </c>
      <c r="F555" s="563">
        <v>73000.0</v>
      </c>
      <c r="G555" s="557"/>
      <c r="H555" s="559"/>
      <c r="I555" s="564">
        <v>45360.0</v>
      </c>
      <c r="J555" s="565">
        <v>73000.0</v>
      </c>
      <c r="K555" s="542"/>
      <c r="L555" s="542"/>
      <c r="M555" s="542"/>
    </row>
    <row r="556">
      <c r="A556" s="570"/>
      <c r="B556" s="559" t="s">
        <v>1741</v>
      </c>
      <c r="C556" s="568">
        <v>552.0</v>
      </c>
      <c r="D556" s="557">
        <v>0.9656</v>
      </c>
      <c r="E556" s="569">
        <v>197.03</v>
      </c>
      <c r="F556" s="563">
        <v>72843.0</v>
      </c>
      <c r="G556" s="557"/>
      <c r="H556" s="559"/>
      <c r="I556" s="564">
        <v>45263.0</v>
      </c>
      <c r="J556" s="565">
        <v>72843.0</v>
      </c>
      <c r="K556" s="542"/>
      <c r="L556" s="542"/>
      <c r="M556" s="542"/>
    </row>
    <row r="557">
      <c r="A557" s="570"/>
      <c r="B557" s="557"/>
      <c r="C557" s="557"/>
      <c r="D557" s="557"/>
      <c r="E557" s="557"/>
      <c r="F557" s="563">
        <v>72800.0</v>
      </c>
      <c r="G557" s="557"/>
      <c r="H557" s="557">
        <v>0.9501409376691909</v>
      </c>
      <c r="I557" s="564">
        <v>45236.0</v>
      </c>
      <c r="J557" s="565">
        <v>72800.0</v>
      </c>
      <c r="K557" s="542"/>
      <c r="L557" s="542"/>
      <c r="M557" s="542"/>
    </row>
    <row r="558">
      <c r="A558" s="570"/>
      <c r="B558" s="559" t="s">
        <v>554</v>
      </c>
      <c r="C558" s="568">
        <v>470.0</v>
      </c>
      <c r="D558" s="557">
        <v>0.945</v>
      </c>
      <c r="E558" s="569">
        <v>206.66</v>
      </c>
      <c r="F558" s="563">
        <v>72778.0</v>
      </c>
      <c r="G558" s="557"/>
      <c r="H558" s="559"/>
      <c r="I558" s="564">
        <v>45222.0</v>
      </c>
      <c r="J558" s="565">
        <v>72778.0</v>
      </c>
      <c r="K558" s="542"/>
      <c r="L558" s="542"/>
      <c r="M558" s="542"/>
    </row>
    <row r="559">
      <c r="A559" s="570"/>
      <c r="B559" s="559" t="s">
        <v>1783</v>
      </c>
      <c r="C559" s="568">
        <v>647.0</v>
      </c>
      <c r="D559" s="557">
        <v>0.9695</v>
      </c>
      <c r="E559" s="569">
        <v>211.29</v>
      </c>
      <c r="F559" s="563">
        <v>72626.0</v>
      </c>
      <c r="G559" s="557"/>
      <c r="H559" s="559"/>
      <c r="I559" s="564">
        <v>45128.0</v>
      </c>
      <c r="J559" s="565">
        <v>72626.0</v>
      </c>
      <c r="K559" s="542"/>
      <c r="L559" s="542"/>
      <c r="M559" s="542"/>
    </row>
    <row r="560">
      <c r="A560" s="570"/>
      <c r="B560" s="559" t="s">
        <v>161</v>
      </c>
      <c r="C560" s="568">
        <v>1172.0</v>
      </c>
      <c r="D560" s="557">
        <v>0.9442</v>
      </c>
      <c r="E560" s="569">
        <v>176.99</v>
      </c>
      <c r="F560" s="563">
        <v>72232.0</v>
      </c>
      <c r="G560" s="557">
        <v>-1.0</v>
      </c>
      <c r="H560" s="559"/>
      <c r="I560" s="564">
        <v>44883.0</v>
      </c>
      <c r="J560" s="565">
        <v>72232.0</v>
      </c>
      <c r="K560" s="542"/>
      <c r="L560" s="542"/>
      <c r="M560" s="542"/>
    </row>
    <row r="561">
      <c r="A561" s="570"/>
      <c r="B561" s="557"/>
      <c r="C561" s="557"/>
      <c r="D561" s="557"/>
      <c r="E561" s="557"/>
      <c r="F561" s="563">
        <v>72050.0</v>
      </c>
      <c r="G561" s="557"/>
      <c r="H561" s="557">
        <v>0.9503043645980154</v>
      </c>
      <c r="I561" s="564">
        <v>44770.0</v>
      </c>
      <c r="J561" s="565">
        <v>72050.0</v>
      </c>
      <c r="K561" s="542"/>
      <c r="L561" s="542"/>
      <c r="M561" s="542"/>
    </row>
    <row r="562">
      <c r="A562" s="570"/>
      <c r="B562" s="559" t="s">
        <v>449</v>
      </c>
      <c r="C562" s="568">
        <v>544.0</v>
      </c>
      <c r="D562" s="557">
        <v>0.939</v>
      </c>
      <c r="E562" s="569">
        <v>182.59</v>
      </c>
      <c r="F562" s="563">
        <v>71820.0</v>
      </c>
      <c r="G562" s="557"/>
      <c r="H562" s="559"/>
      <c r="I562" s="564">
        <v>44627.0</v>
      </c>
      <c r="J562" s="565">
        <v>71820.0</v>
      </c>
      <c r="K562" s="542"/>
      <c r="L562" s="542"/>
      <c r="M562" s="542"/>
    </row>
    <row r="563">
      <c r="A563" s="570"/>
      <c r="B563" s="559" t="s">
        <v>1741</v>
      </c>
      <c r="C563" s="568">
        <v>538.0</v>
      </c>
      <c r="D563" s="557">
        <v>0.9656</v>
      </c>
      <c r="E563" s="569">
        <v>193.72</v>
      </c>
      <c r="F563" s="563">
        <v>71619.0</v>
      </c>
      <c r="G563" s="557"/>
      <c r="H563" s="559"/>
      <c r="I563" s="564">
        <v>44502.0</v>
      </c>
      <c r="J563" s="565">
        <v>71619.0</v>
      </c>
      <c r="K563" s="542"/>
      <c r="L563" s="542"/>
      <c r="M563" s="542"/>
    </row>
    <row r="564">
      <c r="A564" s="570"/>
      <c r="B564" s="557"/>
      <c r="C564" s="557"/>
      <c r="D564" s="557"/>
      <c r="E564" s="557"/>
      <c r="F564" s="563">
        <v>71300.0</v>
      </c>
      <c r="G564" s="557"/>
      <c r="H564" s="557">
        <v>0.9504694548507993</v>
      </c>
      <c r="I564" s="564">
        <v>44304.0</v>
      </c>
      <c r="J564" s="565">
        <v>71300.0</v>
      </c>
      <c r="K564" s="542"/>
      <c r="L564" s="542"/>
      <c r="M564" s="542"/>
    </row>
    <row r="565">
      <c r="A565" s="570"/>
      <c r="B565" s="559" t="s">
        <v>161</v>
      </c>
      <c r="C565" s="568">
        <v>1150.0</v>
      </c>
      <c r="D565" s="557">
        <v>0.9405</v>
      </c>
      <c r="E565" s="569">
        <v>174.7</v>
      </c>
      <c r="F565" s="563">
        <v>71164.0</v>
      </c>
      <c r="G565" s="557">
        <v>-1.0</v>
      </c>
      <c r="H565" s="559"/>
      <c r="I565" s="564">
        <v>44219.0</v>
      </c>
      <c r="J565" s="565">
        <v>71164.0</v>
      </c>
      <c r="K565" s="542"/>
      <c r="L565" s="542"/>
      <c r="M565" s="542"/>
    </row>
    <row r="566">
      <c r="A566" s="570"/>
      <c r="B566" s="559" t="s">
        <v>147</v>
      </c>
      <c r="C566" s="568">
        <v>432.0</v>
      </c>
      <c r="D566" s="557">
        <v>0.9467</v>
      </c>
      <c r="E566" s="569">
        <v>215.71</v>
      </c>
      <c r="F566" s="563">
        <v>71050.0</v>
      </c>
      <c r="G566" s="557"/>
      <c r="H566" s="559"/>
      <c r="I566" s="564">
        <v>44148.0</v>
      </c>
      <c r="J566" s="565">
        <v>71050.0</v>
      </c>
      <c r="K566" s="542"/>
      <c r="L566" s="542"/>
      <c r="M566" s="542"/>
    </row>
    <row r="567">
      <c r="A567" s="570"/>
      <c r="B567" s="559" t="s">
        <v>548</v>
      </c>
      <c r="C567" s="568">
        <v>827.0</v>
      </c>
      <c r="D567" s="557">
        <v>0.9543</v>
      </c>
      <c r="E567" s="569">
        <v>207.23</v>
      </c>
      <c r="F567" s="563">
        <v>71000.0</v>
      </c>
      <c r="G567" s="557"/>
      <c r="H567" s="559"/>
      <c r="I567" s="564">
        <v>44117.0</v>
      </c>
      <c r="J567" s="565">
        <v>71000.0</v>
      </c>
      <c r="K567" s="542"/>
      <c r="L567" s="542"/>
      <c r="M567" s="542"/>
    </row>
    <row r="568">
      <c r="A568" s="570"/>
      <c r="B568" s="559" t="s">
        <v>1493</v>
      </c>
      <c r="C568" s="568">
        <v>806.0</v>
      </c>
      <c r="D568" s="557">
        <v>0.9248</v>
      </c>
      <c r="E568" s="569">
        <v>208.32</v>
      </c>
      <c r="F568" s="563">
        <v>70614.0</v>
      </c>
      <c r="G568" s="557"/>
      <c r="H568" s="559"/>
      <c r="I568" s="564">
        <v>43878.0</v>
      </c>
      <c r="J568" s="565">
        <v>70614.0</v>
      </c>
      <c r="K568" s="542"/>
      <c r="L568" s="542"/>
      <c r="M568" s="542"/>
    </row>
    <row r="569">
      <c r="A569" s="570"/>
      <c r="B569" s="557"/>
      <c r="C569" s="557"/>
      <c r="D569" s="557"/>
      <c r="E569" s="557"/>
      <c r="F569" s="563">
        <v>70550.0</v>
      </c>
      <c r="G569" s="557"/>
      <c r="H569" s="557">
        <v>0.9506362683248074</v>
      </c>
      <c r="I569" s="564">
        <v>43838.0</v>
      </c>
      <c r="J569" s="565">
        <v>70550.0</v>
      </c>
      <c r="K569" s="542"/>
      <c r="L569" s="542"/>
      <c r="M569" s="542"/>
    </row>
    <row r="570">
      <c r="A570" s="570"/>
      <c r="B570" s="559" t="s">
        <v>1741</v>
      </c>
      <c r="C570" s="568">
        <v>528.0</v>
      </c>
      <c r="D570" s="557">
        <v>0.9773</v>
      </c>
      <c r="E570" s="569">
        <v>189.65</v>
      </c>
      <c r="F570" s="563">
        <v>70532.0</v>
      </c>
      <c r="G570" s="557"/>
      <c r="H570" s="559"/>
      <c r="I570" s="564">
        <v>43827.0</v>
      </c>
      <c r="J570" s="565">
        <v>70532.0</v>
      </c>
      <c r="K570" s="542"/>
      <c r="L570" s="542"/>
      <c r="M570" s="542"/>
    </row>
    <row r="571">
      <c r="A571" s="570"/>
      <c r="B571" s="559" t="s">
        <v>1795</v>
      </c>
      <c r="C571" s="568">
        <v>545.0</v>
      </c>
      <c r="D571" s="557">
        <v>0.9724</v>
      </c>
      <c r="E571" s="569">
        <v>197.47</v>
      </c>
      <c r="F571" s="563">
        <v>70518.0</v>
      </c>
      <c r="G571" s="557"/>
      <c r="H571" s="559"/>
      <c r="I571" s="564">
        <v>43818.0</v>
      </c>
      <c r="J571" s="565">
        <v>70518.0</v>
      </c>
      <c r="K571" s="542"/>
      <c r="L571" s="542"/>
      <c r="M571" s="542"/>
    </row>
    <row r="572">
      <c r="A572" s="570"/>
      <c r="B572" s="559" t="s">
        <v>78</v>
      </c>
      <c r="C572" s="568">
        <v>704.0</v>
      </c>
      <c r="D572" s="557">
        <v>0.9449</v>
      </c>
      <c r="E572" s="569">
        <v>176.36</v>
      </c>
      <c r="F572" s="563">
        <v>70352.0</v>
      </c>
      <c r="G572" s="557">
        <v>-1.0</v>
      </c>
      <c r="H572" s="559"/>
      <c r="I572" s="564">
        <v>43715.0</v>
      </c>
      <c r="J572" s="565">
        <v>70352.0</v>
      </c>
      <c r="K572" s="542"/>
      <c r="L572" s="542"/>
      <c r="M572" s="542"/>
    </row>
    <row r="573">
      <c r="A573" s="570"/>
      <c r="B573" s="559" t="s">
        <v>294</v>
      </c>
      <c r="C573" s="568">
        <v>1124.0</v>
      </c>
      <c r="D573" s="557">
        <v>0.9695</v>
      </c>
      <c r="E573" s="569">
        <v>184.28</v>
      </c>
      <c r="F573" s="563">
        <v>70300.0</v>
      </c>
      <c r="G573" s="557"/>
      <c r="H573" s="559"/>
      <c r="I573" s="564">
        <v>43682.0</v>
      </c>
      <c r="J573" s="565">
        <v>70300.0</v>
      </c>
      <c r="K573" s="542"/>
      <c r="L573" s="542"/>
      <c r="M573" s="542"/>
    </row>
    <row r="574">
      <c r="A574" s="570"/>
      <c r="B574" s="559" t="s">
        <v>161</v>
      </c>
      <c r="C574" s="568">
        <v>1128.0</v>
      </c>
      <c r="D574" s="557">
        <v>0.9405</v>
      </c>
      <c r="E574" s="569">
        <v>172.85</v>
      </c>
      <c r="F574" s="563">
        <v>70172.0</v>
      </c>
      <c r="G574" s="557">
        <v>-1.0</v>
      </c>
      <c r="H574" s="559"/>
      <c r="I574" s="564">
        <v>43603.0</v>
      </c>
      <c r="J574" s="565">
        <v>70172.0</v>
      </c>
      <c r="K574" s="542"/>
      <c r="L574" s="542"/>
      <c r="M574" s="542"/>
    </row>
    <row r="575">
      <c r="A575" s="570"/>
      <c r="B575" s="559" t="s">
        <v>1611</v>
      </c>
      <c r="C575" s="568">
        <v>747.0</v>
      </c>
      <c r="D575" s="557">
        <v>0.9746</v>
      </c>
      <c r="E575" s="569">
        <v>185.74</v>
      </c>
      <c r="F575" s="563">
        <v>70000.0</v>
      </c>
      <c r="G575" s="557"/>
      <c r="H575" s="559"/>
      <c r="I575" s="564">
        <v>43496.0</v>
      </c>
      <c r="J575" s="565">
        <v>70000.0</v>
      </c>
      <c r="K575" s="542"/>
      <c r="L575" s="542"/>
      <c r="M575" s="542"/>
    </row>
    <row r="576">
      <c r="A576" s="570"/>
      <c r="B576" s="559" t="s">
        <v>154</v>
      </c>
      <c r="C576" s="568">
        <v>1013.0</v>
      </c>
      <c r="D576" s="557">
        <v>0.9589</v>
      </c>
      <c r="E576" s="569">
        <v>202.92</v>
      </c>
      <c r="F576" s="563">
        <v>70000.0</v>
      </c>
      <c r="G576" s="557">
        <v>-1.0</v>
      </c>
      <c r="H576" s="559"/>
      <c r="I576" s="564">
        <v>43496.0</v>
      </c>
      <c r="J576" s="565">
        <v>70000.0</v>
      </c>
      <c r="K576" s="542"/>
      <c r="L576" s="542"/>
      <c r="M576" s="542"/>
    </row>
    <row r="577">
      <c r="A577" s="570"/>
      <c r="B577" s="557"/>
      <c r="C577" s="557"/>
      <c r="D577" s="557"/>
      <c r="E577" s="557"/>
      <c r="F577" s="563">
        <v>69800.0</v>
      </c>
      <c r="G577" s="557"/>
      <c r="H577" s="557">
        <v>0.9508048670742396</v>
      </c>
      <c r="I577" s="564">
        <v>43372.0</v>
      </c>
      <c r="J577" s="565">
        <v>69800.0</v>
      </c>
      <c r="K577" s="542"/>
      <c r="L577" s="542"/>
      <c r="M577" s="542"/>
    </row>
    <row r="578">
      <c r="A578" s="570"/>
      <c r="B578" s="559" t="s">
        <v>357</v>
      </c>
      <c r="C578" s="568">
        <v>822.0</v>
      </c>
      <c r="D578" s="557">
        <v>0.9411</v>
      </c>
      <c r="E578" s="569">
        <v>191.32</v>
      </c>
      <c r="F578" s="563">
        <v>69744.0</v>
      </c>
      <c r="G578" s="557">
        <v>-1.0</v>
      </c>
      <c r="H578" s="559"/>
      <c r="I578" s="564">
        <v>43337.0</v>
      </c>
      <c r="J578" s="565">
        <v>69744.0</v>
      </c>
      <c r="K578" s="542"/>
      <c r="L578" s="542"/>
      <c r="M578" s="542"/>
    </row>
    <row r="579">
      <c r="A579" s="570"/>
      <c r="B579" s="559" t="s">
        <v>1458</v>
      </c>
      <c r="C579" s="568">
        <v>694.0</v>
      </c>
      <c r="D579" s="557">
        <v>0.9416</v>
      </c>
      <c r="E579" s="569">
        <v>184.25</v>
      </c>
      <c r="F579" s="563">
        <v>69300.0</v>
      </c>
      <c r="G579" s="557"/>
      <c r="H579" s="559"/>
      <c r="I579" s="564">
        <v>43061.0</v>
      </c>
      <c r="J579" s="565">
        <v>69300.0</v>
      </c>
      <c r="K579" s="542"/>
      <c r="L579" s="542"/>
      <c r="M579" s="542"/>
    </row>
    <row r="580">
      <c r="A580" s="570"/>
      <c r="B580" s="559" t="s">
        <v>1850</v>
      </c>
      <c r="C580" s="568">
        <v>1018.0</v>
      </c>
      <c r="D580" s="557">
        <v>0.9699</v>
      </c>
      <c r="E580" s="569">
        <v>197.83</v>
      </c>
      <c r="F580" s="563">
        <v>69255.0</v>
      </c>
      <c r="G580" s="557"/>
      <c r="H580" s="559"/>
      <c r="I580" s="564">
        <v>43033.0</v>
      </c>
      <c r="J580" s="565">
        <v>69255.0</v>
      </c>
      <c r="K580" s="542"/>
      <c r="L580" s="542"/>
      <c r="M580" s="542"/>
    </row>
    <row r="581">
      <c r="A581" s="570"/>
      <c r="B581" s="559" t="s">
        <v>623</v>
      </c>
      <c r="C581" s="568">
        <v>469.0</v>
      </c>
      <c r="D581" s="557">
        <v>0.9148</v>
      </c>
      <c r="E581" s="569">
        <v>174.52</v>
      </c>
      <c r="F581" s="563">
        <v>69239.0</v>
      </c>
      <c r="G581" s="557"/>
      <c r="H581" s="559"/>
      <c r="I581" s="564">
        <v>43023.0</v>
      </c>
      <c r="J581" s="565">
        <v>69239.0</v>
      </c>
      <c r="K581" s="542"/>
      <c r="L581" s="542"/>
      <c r="M581" s="542"/>
    </row>
    <row r="582">
      <c r="A582" s="570"/>
      <c r="B582" s="559" t="s">
        <v>1896</v>
      </c>
      <c r="C582" s="568">
        <v>1012.0</v>
      </c>
      <c r="D582" s="557">
        <v>0.9847</v>
      </c>
      <c r="E582" s="569">
        <v>183.57</v>
      </c>
      <c r="F582" s="563">
        <v>69189.0</v>
      </c>
      <c r="G582" s="557"/>
      <c r="H582" s="559"/>
      <c r="I582" s="564">
        <v>42992.0</v>
      </c>
      <c r="J582" s="565">
        <v>69189.0</v>
      </c>
      <c r="K582" s="542"/>
      <c r="L582" s="542"/>
      <c r="M582" s="542"/>
    </row>
    <row r="583">
      <c r="A583" s="570"/>
      <c r="B583" s="559" t="s">
        <v>376</v>
      </c>
      <c r="C583" s="568">
        <v>664.0</v>
      </c>
      <c r="D583" s="557">
        <v>0.9173</v>
      </c>
      <c r="E583" s="569">
        <v>188.07</v>
      </c>
      <c r="F583" s="563">
        <v>69161.0</v>
      </c>
      <c r="G583" s="557"/>
      <c r="H583" s="559"/>
      <c r="I583" s="564">
        <v>42975.0</v>
      </c>
      <c r="J583" s="565">
        <v>69161.0</v>
      </c>
      <c r="K583" s="542"/>
      <c r="L583" s="542"/>
      <c r="M583" s="542"/>
    </row>
    <row r="584">
      <c r="A584" s="570"/>
      <c r="B584" s="557"/>
      <c r="C584" s="557"/>
      <c r="D584" s="557"/>
      <c r="E584" s="557"/>
      <c r="F584" s="563">
        <v>69050.0</v>
      </c>
      <c r="G584" s="557"/>
      <c r="H584" s="557">
        <v>0.9509753153879037</v>
      </c>
      <c r="I584" s="564">
        <v>42906.0</v>
      </c>
      <c r="J584" s="565">
        <v>69050.0</v>
      </c>
      <c r="K584" s="542"/>
      <c r="L584" s="542"/>
      <c r="M584" s="542"/>
    </row>
    <row r="585">
      <c r="A585" s="570"/>
      <c r="B585" s="559" t="s">
        <v>342</v>
      </c>
      <c r="C585" s="568">
        <v>845.0</v>
      </c>
      <c r="D585" s="557">
        <v>0.9467</v>
      </c>
      <c r="E585" s="569">
        <v>210.42</v>
      </c>
      <c r="F585" s="563">
        <v>69000.0</v>
      </c>
      <c r="G585" s="557"/>
      <c r="H585" s="559"/>
      <c r="I585" s="564">
        <v>42875.0</v>
      </c>
      <c r="J585" s="565">
        <v>69000.0</v>
      </c>
      <c r="K585" s="542"/>
      <c r="L585" s="542"/>
      <c r="M585" s="542"/>
    </row>
    <row r="586">
      <c r="A586" s="570"/>
      <c r="B586" s="559" t="s">
        <v>1695</v>
      </c>
      <c r="C586" s="568">
        <v>1388.0</v>
      </c>
      <c r="D586" s="557">
        <v>0.9644</v>
      </c>
      <c r="E586" s="569">
        <v>205.53</v>
      </c>
      <c r="F586" s="563">
        <v>68900.0</v>
      </c>
      <c r="G586" s="557"/>
      <c r="H586" s="559"/>
      <c r="I586" s="564">
        <v>42812.0</v>
      </c>
      <c r="J586" s="565">
        <v>68900.0</v>
      </c>
      <c r="K586" s="542"/>
      <c r="L586" s="542"/>
      <c r="M586" s="542"/>
    </row>
    <row r="587">
      <c r="A587" s="570"/>
      <c r="B587" s="559" t="s">
        <v>647</v>
      </c>
      <c r="C587" s="568">
        <v>794.0</v>
      </c>
      <c r="D587" s="557">
        <v>0.9681</v>
      </c>
      <c r="E587" s="569">
        <v>161.09</v>
      </c>
      <c r="F587" s="563">
        <v>68877.0</v>
      </c>
      <c r="G587" s="557">
        <v>-1.0</v>
      </c>
      <c r="H587" s="559"/>
      <c r="I587" s="564">
        <v>42798.0</v>
      </c>
      <c r="J587" s="565">
        <v>68877.0</v>
      </c>
      <c r="K587" s="542"/>
      <c r="L587" s="542"/>
      <c r="M587" s="542"/>
    </row>
    <row r="588">
      <c r="A588" s="570"/>
      <c r="B588" s="559" t="s">
        <v>1741</v>
      </c>
      <c r="C588" s="568">
        <v>506.0</v>
      </c>
      <c r="D588" s="557">
        <v>0.9773</v>
      </c>
      <c r="E588" s="569">
        <v>184.69</v>
      </c>
      <c r="F588" s="563">
        <v>68687.0</v>
      </c>
      <c r="G588" s="557"/>
      <c r="H588" s="559"/>
      <c r="I588" s="564">
        <v>42680.0</v>
      </c>
      <c r="J588" s="565">
        <v>68687.0</v>
      </c>
      <c r="K588" s="542"/>
      <c r="L588" s="542"/>
      <c r="M588" s="542"/>
    </row>
    <row r="589">
      <c r="A589" s="570"/>
      <c r="B589" s="559" t="s">
        <v>1784</v>
      </c>
      <c r="C589" s="568">
        <v>695.0</v>
      </c>
      <c r="D589" s="557">
        <v>0.9624</v>
      </c>
      <c r="E589" s="569">
        <v>198.03</v>
      </c>
      <c r="F589" s="563">
        <v>68439.0</v>
      </c>
      <c r="G589" s="557"/>
      <c r="H589" s="559"/>
      <c r="I589" s="564">
        <v>42526.0</v>
      </c>
      <c r="J589" s="565">
        <v>68439.0</v>
      </c>
      <c r="K589" s="542"/>
      <c r="L589" s="542"/>
      <c r="M589" s="542"/>
    </row>
    <row r="590">
      <c r="A590" s="570"/>
      <c r="B590" s="557"/>
      <c r="C590" s="557"/>
      <c r="D590" s="557"/>
      <c r="E590" s="557"/>
      <c r="F590" s="563">
        <v>68300.0</v>
      </c>
      <c r="G590" s="557"/>
      <c r="H590" s="557">
        <v>0.9511476798696851</v>
      </c>
      <c r="I590" s="564">
        <v>42440.0</v>
      </c>
      <c r="J590" s="565">
        <v>68300.0</v>
      </c>
      <c r="K590" s="542"/>
      <c r="L590" s="542"/>
      <c r="M590" s="542"/>
    </row>
    <row r="591">
      <c r="A591" s="570"/>
      <c r="B591" s="559" t="s">
        <v>1762</v>
      </c>
      <c r="C591" s="568">
        <v>769.0</v>
      </c>
      <c r="D591" s="557">
        <v>0.9543</v>
      </c>
      <c r="E591" s="569">
        <v>197.78</v>
      </c>
      <c r="F591" s="563">
        <v>68068.0</v>
      </c>
      <c r="G591" s="557"/>
      <c r="H591" s="559"/>
      <c r="I591" s="564">
        <v>42295.0</v>
      </c>
      <c r="J591" s="565">
        <v>68068.0</v>
      </c>
      <c r="K591" s="542"/>
      <c r="L591" s="542"/>
      <c r="M591" s="542"/>
    </row>
    <row r="592">
      <c r="A592" s="570"/>
      <c r="B592" s="559" t="s">
        <v>212</v>
      </c>
      <c r="C592" s="568">
        <v>518.0</v>
      </c>
      <c r="D592" s="557">
        <v>0.9467</v>
      </c>
      <c r="E592" s="569">
        <v>203.8</v>
      </c>
      <c r="F592" s="563">
        <v>68018.0</v>
      </c>
      <c r="G592" s="557"/>
      <c r="H592" s="559"/>
      <c r="I592" s="564">
        <v>42264.0</v>
      </c>
      <c r="J592" s="565">
        <v>68018.0</v>
      </c>
      <c r="K592" s="542"/>
      <c r="L592" s="542"/>
      <c r="M592" s="542"/>
    </row>
    <row r="593">
      <c r="A593" s="570"/>
      <c r="B593" s="559" t="s">
        <v>207</v>
      </c>
      <c r="C593" s="568">
        <v>616.0</v>
      </c>
      <c r="D593" s="557">
        <v>0.9746</v>
      </c>
      <c r="E593" s="569">
        <v>206.21</v>
      </c>
      <c r="F593" s="563">
        <v>68000.0</v>
      </c>
      <c r="G593" s="557"/>
      <c r="H593" s="559"/>
      <c r="I593" s="564">
        <v>42253.0</v>
      </c>
      <c r="J593" s="565">
        <v>68000.0</v>
      </c>
      <c r="K593" s="542"/>
      <c r="L593" s="542"/>
      <c r="M593" s="542"/>
    </row>
    <row r="594">
      <c r="A594" s="570"/>
      <c r="B594" s="559" t="s">
        <v>1797</v>
      </c>
      <c r="C594" s="568">
        <v>616.0</v>
      </c>
      <c r="D594" s="557">
        <v>0.9889</v>
      </c>
      <c r="E594" s="569">
        <v>224.2</v>
      </c>
      <c r="F594" s="563">
        <v>67565.0</v>
      </c>
      <c r="G594" s="557"/>
      <c r="H594" s="559"/>
      <c r="I594" s="564">
        <v>41983.0</v>
      </c>
      <c r="J594" s="565">
        <v>67565.0</v>
      </c>
      <c r="K594" s="542"/>
      <c r="L594" s="542"/>
      <c r="M594" s="542"/>
    </row>
    <row r="595">
      <c r="A595" s="570"/>
      <c r="B595" s="557"/>
      <c r="C595" s="557"/>
      <c r="D595" s="557"/>
      <c r="E595" s="557"/>
      <c r="F595" s="563">
        <v>67550.0</v>
      </c>
      <c r="G595" s="557"/>
      <c r="H595" s="557">
        <v>0.9513220295219136</v>
      </c>
      <c r="I595" s="564">
        <v>41974.0</v>
      </c>
      <c r="J595" s="565">
        <v>67550.0</v>
      </c>
      <c r="K595" s="542"/>
      <c r="L595" s="542"/>
      <c r="M595" s="542"/>
    </row>
    <row r="596">
      <c r="A596" s="570"/>
      <c r="B596" s="559" t="s">
        <v>161</v>
      </c>
      <c r="C596" s="568">
        <v>1065.0</v>
      </c>
      <c r="D596" s="557">
        <v>0.9368</v>
      </c>
      <c r="E596" s="569">
        <v>166.02</v>
      </c>
      <c r="F596" s="563">
        <v>67271.0</v>
      </c>
      <c r="G596" s="557">
        <v>-1.0</v>
      </c>
      <c r="H596" s="559"/>
      <c r="I596" s="564">
        <v>41800.0</v>
      </c>
      <c r="J596" s="565">
        <v>67271.0</v>
      </c>
      <c r="K596" s="542"/>
      <c r="L596" s="542"/>
      <c r="M596" s="542"/>
    </row>
    <row r="597">
      <c r="A597" s="570"/>
      <c r="B597" s="559" t="s">
        <v>1741</v>
      </c>
      <c r="C597" s="568">
        <v>504.0</v>
      </c>
      <c r="D597" s="557">
        <v>0.9773</v>
      </c>
      <c r="E597" s="569">
        <v>180.81</v>
      </c>
      <c r="F597" s="563">
        <v>67245.0</v>
      </c>
      <c r="G597" s="557"/>
      <c r="H597" s="559"/>
      <c r="I597" s="564">
        <v>41784.0</v>
      </c>
      <c r="J597" s="565">
        <v>67245.0</v>
      </c>
      <c r="K597" s="542"/>
      <c r="L597" s="542"/>
      <c r="M597" s="542"/>
    </row>
    <row r="598">
      <c r="A598" s="570"/>
      <c r="B598" s="559" t="s">
        <v>1458</v>
      </c>
      <c r="C598" s="568">
        <v>670.0</v>
      </c>
      <c r="D598" s="557">
        <v>0.9492</v>
      </c>
      <c r="E598" s="569">
        <v>177.5</v>
      </c>
      <c r="F598" s="563">
        <v>67023.0</v>
      </c>
      <c r="G598" s="557"/>
      <c r="H598" s="559"/>
      <c r="I598" s="564">
        <v>41646.0</v>
      </c>
      <c r="J598" s="565">
        <v>67023.0</v>
      </c>
      <c r="K598" s="542"/>
      <c r="L598" s="542"/>
      <c r="M598" s="542"/>
    </row>
    <row r="599">
      <c r="A599" s="570"/>
      <c r="B599" s="559" t="s">
        <v>126</v>
      </c>
      <c r="C599" s="568">
        <v>375.0</v>
      </c>
      <c r="D599" s="557">
        <v>0.9649</v>
      </c>
      <c r="E599" s="569">
        <v>193.61</v>
      </c>
      <c r="F599" s="563">
        <v>67000.0</v>
      </c>
      <c r="G599" s="557"/>
      <c r="H599" s="559"/>
      <c r="I599" s="564">
        <v>41632.0</v>
      </c>
      <c r="J599" s="565">
        <v>67000.0</v>
      </c>
      <c r="K599" s="542"/>
      <c r="L599" s="542"/>
      <c r="M599" s="542"/>
    </row>
    <row r="600">
      <c r="A600" s="570"/>
      <c r="B600" s="559" t="s">
        <v>279</v>
      </c>
      <c r="C600" s="568">
        <v>804.0</v>
      </c>
      <c r="D600" s="557">
        <v>0.9695</v>
      </c>
      <c r="E600" s="569">
        <v>206.21</v>
      </c>
      <c r="F600" s="563">
        <v>66956.0</v>
      </c>
      <c r="G600" s="557"/>
      <c r="H600" s="559"/>
      <c r="I600" s="564">
        <v>41605.0</v>
      </c>
      <c r="J600" s="565">
        <v>66956.0</v>
      </c>
      <c r="K600" s="542"/>
      <c r="L600" s="542"/>
      <c r="M600" s="542"/>
    </row>
    <row r="601">
      <c r="A601" s="570"/>
      <c r="B601" s="559" t="s">
        <v>1795</v>
      </c>
      <c r="C601" s="568">
        <v>473.0</v>
      </c>
      <c r="D601" s="557">
        <v>0.9799</v>
      </c>
      <c r="E601" s="569">
        <v>189.97</v>
      </c>
      <c r="F601" s="563">
        <v>66849.0</v>
      </c>
      <c r="G601" s="557"/>
      <c r="H601" s="559"/>
      <c r="I601" s="564">
        <v>41538.0</v>
      </c>
      <c r="J601" s="565">
        <v>66849.0</v>
      </c>
      <c r="K601" s="542"/>
      <c r="L601" s="542"/>
      <c r="M601" s="542"/>
    </row>
    <row r="602">
      <c r="A602" s="570"/>
      <c r="B602" s="557"/>
      <c r="C602" s="557"/>
      <c r="D602" s="557"/>
      <c r="E602" s="557"/>
      <c r="F602" s="563">
        <v>66800.0</v>
      </c>
      <c r="G602" s="557"/>
      <c r="H602" s="557">
        <v>0.9514984358317332</v>
      </c>
      <c r="I602" s="564">
        <v>41508.0</v>
      </c>
      <c r="J602" s="565">
        <v>66800.0</v>
      </c>
      <c r="K602" s="542"/>
      <c r="L602" s="542"/>
      <c r="M602" s="542"/>
    </row>
    <row r="603">
      <c r="A603" s="570"/>
      <c r="B603" s="559" t="s">
        <v>1741</v>
      </c>
      <c r="C603" s="568">
        <v>497.0</v>
      </c>
      <c r="D603" s="557">
        <v>0.982</v>
      </c>
      <c r="E603" s="569">
        <v>178.67</v>
      </c>
      <c r="F603" s="563">
        <v>66604.0</v>
      </c>
      <c r="G603" s="557"/>
      <c r="H603" s="559"/>
      <c r="I603" s="564">
        <v>41386.0</v>
      </c>
      <c r="J603" s="565">
        <v>66604.0</v>
      </c>
      <c r="K603" s="542"/>
      <c r="L603" s="542"/>
      <c r="M603" s="542"/>
    </row>
    <row r="604">
      <c r="A604" s="570"/>
      <c r="B604" s="559" t="s">
        <v>1783</v>
      </c>
      <c r="C604" s="568">
        <v>597.0</v>
      </c>
      <c r="D604" s="557">
        <v>0.9695</v>
      </c>
      <c r="E604" s="569">
        <v>193.14</v>
      </c>
      <c r="F604" s="563">
        <v>66387.0</v>
      </c>
      <c r="G604" s="557"/>
      <c r="H604" s="559"/>
      <c r="I604" s="564">
        <v>41251.0</v>
      </c>
      <c r="J604" s="565">
        <v>66387.0</v>
      </c>
      <c r="K604" s="542"/>
      <c r="L604" s="542"/>
      <c r="M604" s="542"/>
    </row>
    <row r="605">
      <c r="A605" s="570"/>
      <c r="B605" s="557"/>
      <c r="C605" s="557"/>
      <c r="D605" s="557"/>
      <c r="E605" s="557"/>
      <c r="F605" s="563">
        <v>66050.0</v>
      </c>
      <c r="G605" s="557"/>
      <c r="H605" s="557">
        <v>0.9516769728605817</v>
      </c>
      <c r="I605" s="564">
        <v>41042.0</v>
      </c>
      <c r="J605" s="565">
        <v>66050.0</v>
      </c>
      <c r="K605" s="542"/>
      <c r="L605" s="542"/>
      <c r="M605" s="542"/>
    </row>
    <row r="606">
      <c r="A606" s="570"/>
      <c r="B606" s="559" t="s">
        <v>339</v>
      </c>
      <c r="C606" s="568">
        <v>696.0</v>
      </c>
      <c r="D606" s="557">
        <v>0.9467</v>
      </c>
      <c r="E606" s="569">
        <v>220.83</v>
      </c>
      <c r="F606" s="563">
        <v>65833.0</v>
      </c>
      <c r="G606" s="557"/>
      <c r="H606" s="559"/>
      <c r="I606" s="564">
        <v>40907.0</v>
      </c>
      <c r="J606" s="565">
        <v>65833.0</v>
      </c>
      <c r="K606" s="542"/>
      <c r="L606" s="542"/>
      <c r="M606" s="542"/>
    </row>
    <row r="607">
      <c r="A607" s="570"/>
      <c r="B607" s="559" t="s">
        <v>1741</v>
      </c>
      <c r="C607" s="568">
        <v>491.0</v>
      </c>
      <c r="D607" s="557">
        <v>0.975</v>
      </c>
      <c r="E607" s="569">
        <v>176.97</v>
      </c>
      <c r="F607" s="563">
        <v>65739.0</v>
      </c>
      <c r="G607" s="557"/>
      <c r="H607" s="559"/>
      <c r="I607" s="564">
        <v>40848.0</v>
      </c>
      <c r="J607" s="565">
        <v>65739.0</v>
      </c>
      <c r="K607" s="542"/>
      <c r="L607" s="542"/>
      <c r="M607" s="542"/>
    </row>
    <row r="608">
      <c r="A608" s="570"/>
      <c r="B608" s="559" t="s">
        <v>1833</v>
      </c>
      <c r="C608" s="568">
        <v>1038.0</v>
      </c>
      <c r="D608" s="557">
        <v>0.9695</v>
      </c>
      <c r="E608" s="569">
        <v>185.43</v>
      </c>
      <c r="F608" s="563">
        <v>65500.0</v>
      </c>
      <c r="G608" s="557"/>
      <c r="H608" s="559"/>
      <c r="I608" s="564">
        <v>40700.0</v>
      </c>
      <c r="J608" s="565">
        <v>65500.0</v>
      </c>
      <c r="K608" s="542"/>
      <c r="L608" s="542"/>
      <c r="M608" s="542"/>
    </row>
    <row r="609">
      <c r="A609" s="570"/>
      <c r="B609" s="559" t="s">
        <v>1637</v>
      </c>
      <c r="C609" s="568">
        <v>464.0</v>
      </c>
      <c r="D609" s="557">
        <v>0.9738</v>
      </c>
      <c r="E609" s="569">
        <v>195.76</v>
      </c>
      <c r="F609" s="563">
        <v>65470.0</v>
      </c>
      <c r="G609" s="557"/>
      <c r="H609" s="559"/>
      <c r="I609" s="564">
        <v>40681.0</v>
      </c>
      <c r="J609" s="565">
        <v>65470.0</v>
      </c>
      <c r="K609" s="542"/>
      <c r="L609" s="542"/>
      <c r="M609" s="542"/>
    </row>
    <row r="610">
      <c r="A610" s="570"/>
      <c r="B610" s="557"/>
      <c r="C610" s="557"/>
      <c r="D610" s="557"/>
      <c r="E610" s="557"/>
      <c r="F610" s="563">
        <v>65300.0</v>
      </c>
      <c r="G610" s="557"/>
      <c r="H610" s="557">
        <v>0.9518577173368923</v>
      </c>
      <c r="I610" s="564">
        <v>40576.0</v>
      </c>
      <c r="J610" s="565">
        <v>65300.0</v>
      </c>
      <c r="K610" s="542"/>
      <c r="L610" s="542"/>
      <c r="M610" s="542"/>
    </row>
    <row r="611">
      <c r="A611" s="570"/>
      <c r="B611" s="559" t="s">
        <v>1741</v>
      </c>
      <c r="C611" s="568">
        <v>490.0</v>
      </c>
      <c r="D611" s="557">
        <v>0.9797</v>
      </c>
      <c r="E611" s="569">
        <v>174.8</v>
      </c>
      <c r="F611" s="563">
        <v>65086.0</v>
      </c>
      <c r="G611" s="557"/>
      <c r="H611" s="559"/>
      <c r="I611" s="564">
        <v>40443.0</v>
      </c>
      <c r="J611" s="565">
        <v>65086.0</v>
      </c>
      <c r="K611" s="542"/>
      <c r="L611" s="542"/>
      <c r="M611" s="542"/>
    </row>
    <row r="612">
      <c r="A612" s="570"/>
      <c r="B612" s="559" t="s">
        <v>554</v>
      </c>
      <c r="C612" s="568">
        <v>417.0</v>
      </c>
      <c r="D612" s="557">
        <v>0.9443</v>
      </c>
      <c r="E612" s="569">
        <v>183.1</v>
      </c>
      <c r="F612" s="563">
        <v>65065.0</v>
      </c>
      <c r="G612" s="557"/>
      <c r="H612" s="559"/>
      <c r="I612" s="564">
        <v>40430.0</v>
      </c>
      <c r="J612" s="565">
        <v>65065.0</v>
      </c>
      <c r="K612" s="542"/>
      <c r="L612" s="542"/>
      <c r="M612" s="542"/>
    </row>
    <row r="613">
      <c r="A613" s="570"/>
      <c r="B613" s="559" t="s">
        <v>1692</v>
      </c>
      <c r="C613" s="568">
        <v>715.0</v>
      </c>
      <c r="D613" s="557">
        <v>0.9137</v>
      </c>
      <c r="E613" s="569">
        <v>184.98</v>
      </c>
      <c r="F613" s="563">
        <v>65000.0</v>
      </c>
      <c r="G613" s="557"/>
      <c r="H613" s="559"/>
      <c r="I613" s="564">
        <v>40389.0</v>
      </c>
      <c r="J613" s="565">
        <v>65000.0</v>
      </c>
      <c r="K613" s="542"/>
      <c r="L613" s="542"/>
      <c r="M613" s="542"/>
    </row>
    <row r="614">
      <c r="A614" s="570"/>
      <c r="B614" s="559" t="s">
        <v>1554</v>
      </c>
      <c r="C614" s="568">
        <v>775.0</v>
      </c>
      <c r="D614" s="557">
        <v>0.9847</v>
      </c>
      <c r="E614" s="569">
        <v>189.08</v>
      </c>
      <c r="F614" s="563">
        <v>64908.0</v>
      </c>
      <c r="G614" s="557"/>
      <c r="H614" s="559"/>
      <c r="I614" s="564">
        <v>40332.0</v>
      </c>
      <c r="J614" s="565">
        <v>64908.0</v>
      </c>
      <c r="K614" s="542"/>
      <c r="L614" s="542"/>
      <c r="M614" s="542"/>
    </row>
    <row r="615">
      <c r="A615" s="570"/>
      <c r="B615" s="559" t="s">
        <v>1712</v>
      </c>
      <c r="C615" s="568">
        <v>1252.0</v>
      </c>
      <c r="D615" s="557">
        <v>0.9644</v>
      </c>
      <c r="E615" s="569">
        <v>185.01</v>
      </c>
      <c r="F615" s="563">
        <v>64584.0</v>
      </c>
      <c r="G615" s="557"/>
      <c r="H615" s="559"/>
      <c r="I615" s="564">
        <v>40131.0</v>
      </c>
      <c r="J615" s="565">
        <v>64584.0</v>
      </c>
      <c r="K615" s="542"/>
      <c r="L615" s="542"/>
      <c r="M615" s="542"/>
    </row>
    <row r="616">
      <c r="A616" s="570"/>
      <c r="B616" s="557"/>
      <c r="C616" s="557"/>
      <c r="D616" s="557"/>
      <c r="E616" s="557"/>
      <c r="F616" s="563">
        <v>64550.0</v>
      </c>
      <c r="G616" s="557"/>
      <c r="H616" s="557">
        <v>0.9520407487521338</v>
      </c>
      <c r="I616" s="564">
        <v>40110.0</v>
      </c>
      <c r="J616" s="565">
        <v>64550.0</v>
      </c>
      <c r="K616" s="542"/>
      <c r="L616" s="542"/>
      <c r="M616" s="542"/>
    </row>
    <row r="617">
      <c r="A617" s="570"/>
      <c r="B617" s="559" t="s">
        <v>1741</v>
      </c>
      <c r="C617" s="568">
        <v>489.0</v>
      </c>
      <c r="D617" s="557">
        <v>0.9773</v>
      </c>
      <c r="E617" s="569">
        <v>173.35</v>
      </c>
      <c r="F617" s="563">
        <v>64468.0</v>
      </c>
      <c r="G617" s="557"/>
      <c r="H617" s="559"/>
      <c r="I617" s="564">
        <v>40059.0</v>
      </c>
      <c r="J617" s="565">
        <v>64468.0</v>
      </c>
      <c r="K617" s="542"/>
      <c r="L617" s="542"/>
      <c r="M617" s="542"/>
    </row>
    <row r="618">
      <c r="A618" s="570"/>
      <c r="B618" s="559" t="s">
        <v>194</v>
      </c>
      <c r="C618" s="568">
        <v>1152.0</v>
      </c>
      <c r="D618" s="557">
        <v>0.9053</v>
      </c>
      <c r="E618" s="569">
        <v>259.01</v>
      </c>
      <c r="F618" s="563">
        <v>64423.0</v>
      </c>
      <c r="G618" s="557">
        <v>-1.0</v>
      </c>
      <c r="H618" s="559"/>
      <c r="I618" s="564">
        <v>40031.0</v>
      </c>
      <c r="J618" s="565">
        <v>64423.0</v>
      </c>
      <c r="K618" s="542"/>
      <c r="L618" s="542"/>
      <c r="M618" s="542"/>
    </row>
    <row r="619">
      <c r="A619" s="570"/>
      <c r="B619" s="559" t="s">
        <v>607</v>
      </c>
      <c r="C619" s="568">
        <v>1599.0</v>
      </c>
      <c r="D619" s="557">
        <v>0.9562</v>
      </c>
      <c r="E619" s="569">
        <v>174.13</v>
      </c>
      <c r="F619" s="563">
        <v>64345.0</v>
      </c>
      <c r="G619" s="557">
        <v>-1.0</v>
      </c>
      <c r="H619" s="559"/>
      <c r="I619" s="564">
        <v>39982.0</v>
      </c>
      <c r="J619" s="565">
        <v>64345.0</v>
      </c>
      <c r="K619" s="542"/>
      <c r="L619" s="542"/>
      <c r="M619" s="542"/>
    </row>
    <row r="620">
      <c r="A620" s="570"/>
      <c r="B620" s="559" t="s">
        <v>161</v>
      </c>
      <c r="C620" s="568">
        <v>1028.0</v>
      </c>
      <c r="D620" s="557">
        <v>0.9405</v>
      </c>
      <c r="E620" s="569">
        <v>158.33</v>
      </c>
      <c r="F620" s="563">
        <v>64277.0</v>
      </c>
      <c r="G620" s="557">
        <v>-1.0</v>
      </c>
      <c r="H620" s="559"/>
      <c r="I620" s="564">
        <v>39940.0</v>
      </c>
      <c r="J620" s="565">
        <v>64277.0</v>
      </c>
      <c r="K620" s="542"/>
      <c r="L620" s="542"/>
      <c r="M620" s="542"/>
    </row>
    <row r="621">
      <c r="A621" s="570"/>
      <c r="B621" s="559" t="s">
        <v>1801</v>
      </c>
      <c r="C621" s="568">
        <v>508.0</v>
      </c>
      <c r="D621" s="557">
        <v>1.0226</v>
      </c>
      <c r="E621" s="569">
        <v>169.32</v>
      </c>
      <c r="F621" s="563">
        <v>64103.0</v>
      </c>
      <c r="G621" s="557"/>
      <c r="H621" s="559"/>
      <c r="I621" s="564">
        <v>39832.0</v>
      </c>
      <c r="J621" s="565">
        <v>64103.0</v>
      </c>
      <c r="K621" s="542"/>
      <c r="L621" s="542"/>
      <c r="M621" s="542"/>
    </row>
    <row r="622">
      <c r="A622" s="570"/>
      <c r="B622" s="559" t="s">
        <v>746</v>
      </c>
      <c r="C622" s="568">
        <v>527.0</v>
      </c>
      <c r="D622" s="557">
        <v>0.9747</v>
      </c>
      <c r="E622" s="569">
        <v>191.55</v>
      </c>
      <c r="F622" s="563">
        <v>64000.0</v>
      </c>
      <c r="G622" s="557"/>
      <c r="H622" s="559"/>
      <c r="I622" s="564">
        <v>39768.0</v>
      </c>
      <c r="J622" s="565">
        <v>64000.0</v>
      </c>
      <c r="K622" s="542"/>
      <c r="L622" s="542"/>
      <c r="M622" s="542"/>
    </row>
    <row r="623">
      <c r="A623" s="570"/>
      <c r="B623" s="559" t="s">
        <v>1551</v>
      </c>
      <c r="C623" s="568">
        <v>508.0</v>
      </c>
      <c r="D623" s="557">
        <v>0.939</v>
      </c>
      <c r="E623" s="569">
        <v>171.23</v>
      </c>
      <c r="F623" s="563">
        <v>64000.0</v>
      </c>
      <c r="G623" s="557"/>
      <c r="H623" s="559"/>
      <c r="I623" s="564">
        <v>39768.0</v>
      </c>
      <c r="J623" s="565">
        <v>64000.0</v>
      </c>
      <c r="K623" s="542"/>
      <c r="L623" s="542"/>
      <c r="M623" s="542"/>
    </row>
    <row r="624">
      <c r="A624" s="570"/>
      <c r="B624" s="559" t="s">
        <v>548</v>
      </c>
      <c r="C624" s="568">
        <v>733.0</v>
      </c>
      <c r="D624" s="557">
        <v>0.9492</v>
      </c>
      <c r="E624" s="569">
        <v>191.53</v>
      </c>
      <c r="F624" s="563">
        <v>64000.0</v>
      </c>
      <c r="G624" s="557"/>
      <c r="H624" s="559"/>
      <c r="I624" s="564">
        <v>39768.0</v>
      </c>
      <c r="J624" s="565">
        <v>64000.0</v>
      </c>
      <c r="K624" s="542"/>
      <c r="L624" s="542"/>
      <c r="M624" s="542"/>
    </row>
    <row r="625">
      <c r="A625" s="570"/>
      <c r="B625" s="559" t="s">
        <v>1607</v>
      </c>
      <c r="C625" s="568">
        <v>767.0</v>
      </c>
      <c r="D625" s="557">
        <v>0.939</v>
      </c>
      <c r="E625" s="569">
        <v>208.72</v>
      </c>
      <c r="F625" s="563">
        <v>64000.0</v>
      </c>
      <c r="G625" s="557"/>
      <c r="H625" s="559"/>
      <c r="I625" s="564">
        <v>39768.0</v>
      </c>
      <c r="J625" s="565">
        <v>64000.0</v>
      </c>
      <c r="K625" s="542"/>
      <c r="L625" s="542"/>
      <c r="M625" s="542"/>
    </row>
    <row r="626">
      <c r="A626" s="570"/>
      <c r="B626" s="557"/>
      <c r="C626" s="557"/>
      <c r="D626" s="557"/>
      <c r="E626" s="557"/>
      <c r="F626" s="563">
        <v>63800.0</v>
      </c>
      <c r="G626" s="557"/>
      <c r="H626" s="557">
        <v>0.9522261494603093</v>
      </c>
      <c r="I626" s="564">
        <v>39643.0</v>
      </c>
      <c r="J626" s="565">
        <v>63800.0</v>
      </c>
      <c r="K626" s="542"/>
      <c r="L626" s="542"/>
      <c r="M626" s="542"/>
    </row>
    <row r="627">
      <c r="A627" s="570"/>
      <c r="B627" s="559" t="s">
        <v>1726</v>
      </c>
      <c r="C627" s="568">
        <v>725.0</v>
      </c>
      <c r="D627" s="557">
        <v>0.9454</v>
      </c>
      <c r="E627" s="569">
        <v>186.38</v>
      </c>
      <c r="F627" s="563">
        <v>63637.0</v>
      </c>
      <c r="G627" s="557"/>
      <c r="H627" s="559"/>
      <c r="I627" s="564">
        <v>39542.0</v>
      </c>
      <c r="J627" s="565">
        <v>63637.0</v>
      </c>
      <c r="K627" s="542"/>
      <c r="L627" s="542"/>
      <c r="M627" s="542"/>
    </row>
    <row r="628">
      <c r="A628" s="570"/>
      <c r="B628" s="559" t="s">
        <v>376</v>
      </c>
      <c r="C628" s="568">
        <v>593.0</v>
      </c>
      <c r="D628" s="557">
        <v>0.9398</v>
      </c>
      <c r="E628" s="569">
        <v>171.17</v>
      </c>
      <c r="F628" s="563">
        <v>63372.0</v>
      </c>
      <c r="G628" s="557"/>
      <c r="H628" s="559"/>
      <c r="I628" s="564">
        <v>39378.0</v>
      </c>
      <c r="J628" s="565">
        <v>63372.0</v>
      </c>
      <c r="K628" s="542"/>
      <c r="L628" s="542"/>
      <c r="M628" s="542"/>
    </row>
    <row r="629">
      <c r="A629" s="570"/>
      <c r="B629" s="559" t="s">
        <v>623</v>
      </c>
      <c r="C629" s="568">
        <v>436.0</v>
      </c>
      <c r="D629" s="557">
        <v>0.9499</v>
      </c>
      <c r="E629" s="569">
        <v>157.86</v>
      </c>
      <c r="F629" s="563">
        <v>63103.0</v>
      </c>
      <c r="G629" s="557"/>
      <c r="H629" s="559"/>
      <c r="I629" s="564">
        <v>39210.0</v>
      </c>
      <c r="J629" s="565">
        <v>63103.0</v>
      </c>
      <c r="K629" s="542"/>
      <c r="L629" s="542"/>
      <c r="M629" s="542"/>
    </row>
    <row r="630">
      <c r="A630" s="570"/>
      <c r="B630" s="559" t="s">
        <v>1063</v>
      </c>
      <c r="C630" s="568">
        <v>886.0</v>
      </c>
      <c r="D630" s="557">
        <v>0.9619</v>
      </c>
      <c r="E630" s="569">
        <v>165.95</v>
      </c>
      <c r="F630" s="563">
        <v>63067.0</v>
      </c>
      <c r="G630" s="557"/>
      <c r="H630" s="559"/>
      <c r="I630" s="564">
        <v>39188.0</v>
      </c>
      <c r="J630" s="565">
        <v>63067.0</v>
      </c>
      <c r="K630" s="542"/>
      <c r="L630" s="542"/>
      <c r="M630" s="542"/>
    </row>
    <row r="631">
      <c r="A631" s="570"/>
      <c r="B631" s="557"/>
      <c r="C631" s="557"/>
      <c r="D631" s="557"/>
      <c r="E631" s="557"/>
      <c r="F631" s="563">
        <v>63050.0</v>
      </c>
      <c r="G631" s="557"/>
      <c r="H631" s="557">
        <v>0.9524140047810371</v>
      </c>
      <c r="I631" s="564">
        <v>39177.0</v>
      </c>
      <c r="J631" s="565">
        <v>63050.0</v>
      </c>
      <c r="K631" s="542"/>
      <c r="L631" s="542"/>
      <c r="M631" s="542"/>
    </row>
    <row r="632">
      <c r="A632" s="570"/>
      <c r="B632" s="559" t="s">
        <v>1741</v>
      </c>
      <c r="C632" s="568">
        <v>470.0</v>
      </c>
      <c r="D632" s="557">
        <v>0.975</v>
      </c>
      <c r="E632" s="569">
        <v>169.62</v>
      </c>
      <c r="F632" s="563">
        <v>63010.0</v>
      </c>
      <c r="G632" s="557"/>
      <c r="H632" s="559"/>
      <c r="I632" s="564">
        <v>39153.0</v>
      </c>
      <c r="J632" s="565">
        <v>63010.0</v>
      </c>
      <c r="K632" s="542"/>
      <c r="L632" s="542"/>
      <c r="M632" s="542"/>
    </row>
    <row r="633">
      <c r="A633" s="570"/>
      <c r="B633" s="559" t="s">
        <v>212</v>
      </c>
      <c r="C633" s="568">
        <v>487.0</v>
      </c>
      <c r="D633" s="557">
        <v>0.9492</v>
      </c>
      <c r="E633" s="569">
        <v>186.86</v>
      </c>
      <c r="F633" s="563">
        <v>63000.0</v>
      </c>
      <c r="G633" s="557"/>
      <c r="H633" s="559"/>
      <c r="I633" s="564">
        <v>39146.0</v>
      </c>
      <c r="J633" s="565">
        <v>63000.0</v>
      </c>
      <c r="K633" s="542"/>
      <c r="L633" s="542"/>
      <c r="M633" s="542"/>
    </row>
    <row r="634">
      <c r="A634" s="570"/>
      <c r="B634" s="559" t="s">
        <v>1493</v>
      </c>
      <c r="C634" s="568">
        <v>715.0</v>
      </c>
      <c r="D634" s="557">
        <v>0.9148</v>
      </c>
      <c r="E634" s="569">
        <v>180.03</v>
      </c>
      <c r="F634" s="563">
        <v>63000.0</v>
      </c>
      <c r="G634" s="557"/>
      <c r="H634" s="559"/>
      <c r="I634" s="564">
        <v>39146.0</v>
      </c>
      <c r="J634" s="565">
        <v>63000.0</v>
      </c>
      <c r="K634" s="542"/>
      <c r="L634" s="542"/>
      <c r="M634" s="542"/>
    </row>
    <row r="635">
      <c r="A635" s="570"/>
      <c r="B635" s="559" t="s">
        <v>1618</v>
      </c>
      <c r="C635" s="568">
        <v>665.0</v>
      </c>
      <c r="D635" s="557">
        <v>0.9407</v>
      </c>
      <c r="E635" s="569">
        <v>184.33</v>
      </c>
      <c r="F635" s="563">
        <v>63000.0</v>
      </c>
      <c r="G635" s="557"/>
      <c r="H635" s="559"/>
      <c r="I635" s="564">
        <v>39146.0</v>
      </c>
      <c r="J635" s="565">
        <v>63000.0</v>
      </c>
      <c r="K635" s="542"/>
      <c r="L635" s="542"/>
      <c r="M635" s="542"/>
    </row>
    <row r="636">
      <c r="A636" s="570"/>
      <c r="B636" s="559" t="s">
        <v>161</v>
      </c>
      <c r="C636" s="568">
        <v>990.0</v>
      </c>
      <c r="D636" s="557">
        <v>0.9368</v>
      </c>
      <c r="E636" s="569">
        <v>155.45</v>
      </c>
      <c r="F636" s="563">
        <v>62988.0</v>
      </c>
      <c r="G636" s="557">
        <v>-1.0</v>
      </c>
      <c r="H636" s="559"/>
      <c r="I636" s="564">
        <v>39139.0</v>
      </c>
      <c r="J636" s="565">
        <v>62988.0</v>
      </c>
      <c r="K636" s="542"/>
      <c r="L636" s="542"/>
      <c r="M636" s="542"/>
    </row>
    <row r="637">
      <c r="A637" s="570"/>
      <c r="B637" s="559" t="s">
        <v>623</v>
      </c>
      <c r="C637" s="568">
        <v>432.0</v>
      </c>
      <c r="D637" s="557">
        <v>0.9474</v>
      </c>
      <c r="E637" s="569">
        <v>157.22</v>
      </c>
      <c r="F637" s="563">
        <v>62764.0</v>
      </c>
      <c r="G637" s="557"/>
      <c r="H637" s="559"/>
      <c r="I637" s="564">
        <v>39000.0</v>
      </c>
      <c r="J637" s="565">
        <v>62764.0</v>
      </c>
      <c r="K637" s="542"/>
      <c r="L637" s="542"/>
      <c r="M637" s="542"/>
    </row>
    <row r="638">
      <c r="A638" s="570"/>
      <c r="B638" s="559" t="s">
        <v>623</v>
      </c>
      <c r="C638" s="568">
        <v>430.0</v>
      </c>
      <c r="D638" s="557">
        <v>0.9474</v>
      </c>
      <c r="E638" s="569">
        <v>156.98</v>
      </c>
      <c r="F638" s="563">
        <v>62669.0</v>
      </c>
      <c r="G638" s="557"/>
      <c r="H638" s="559"/>
      <c r="I638" s="564">
        <v>38941.0</v>
      </c>
      <c r="J638" s="565">
        <v>62669.0</v>
      </c>
      <c r="K638" s="542"/>
      <c r="L638" s="542"/>
      <c r="M638" s="542"/>
    </row>
    <row r="639">
      <c r="A639" s="570"/>
      <c r="B639" s="559" t="s">
        <v>1624</v>
      </c>
      <c r="C639" s="568">
        <v>708.0</v>
      </c>
      <c r="D639" s="557">
        <v>0.9492</v>
      </c>
      <c r="E639" s="569">
        <v>185.03</v>
      </c>
      <c r="F639" s="563">
        <v>62660.0</v>
      </c>
      <c r="G639" s="557"/>
      <c r="H639" s="559"/>
      <c r="I639" s="564">
        <v>38935.0</v>
      </c>
      <c r="J639" s="565">
        <v>62660.0</v>
      </c>
      <c r="K639" s="542"/>
      <c r="L639" s="542"/>
      <c r="M639" s="542"/>
    </row>
    <row r="640">
      <c r="A640" s="570"/>
      <c r="B640" s="559" t="s">
        <v>623</v>
      </c>
      <c r="C640" s="568">
        <v>428.0</v>
      </c>
      <c r="D640" s="557">
        <v>0.9449</v>
      </c>
      <c r="E640" s="569">
        <v>156.67</v>
      </c>
      <c r="F640" s="563">
        <v>62465.0</v>
      </c>
      <c r="G640" s="557"/>
      <c r="H640" s="559"/>
      <c r="I640" s="564">
        <v>38814.0</v>
      </c>
      <c r="J640" s="565">
        <v>62465.0</v>
      </c>
      <c r="K640" s="542"/>
      <c r="L640" s="542"/>
      <c r="M640" s="542"/>
    </row>
    <row r="641">
      <c r="A641" s="570"/>
      <c r="B641" s="559" t="s">
        <v>623</v>
      </c>
      <c r="C641" s="568">
        <v>427.0</v>
      </c>
      <c r="D641" s="557">
        <v>0.9424</v>
      </c>
      <c r="E641" s="569">
        <v>156.64</v>
      </c>
      <c r="F641" s="563">
        <v>62375.0</v>
      </c>
      <c r="G641" s="557"/>
      <c r="H641" s="559"/>
      <c r="I641" s="564">
        <v>38758.0</v>
      </c>
      <c r="J641" s="565">
        <v>62375.0</v>
      </c>
      <c r="K641" s="542"/>
      <c r="L641" s="542"/>
      <c r="M641" s="542"/>
    </row>
    <row r="642">
      <c r="A642" s="570"/>
      <c r="B642" s="557"/>
      <c r="C642" s="557"/>
      <c r="D642" s="557"/>
      <c r="E642" s="557"/>
      <c r="F642" s="563">
        <v>62300.0</v>
      </c>
      <c r="G642" s="557"/>
      <c r="H642" s="557">
        <v>0.9526044031063448</v>
      </c>
      <c r="I642" s="564">
        <v>38711.0</v>
      </c>
      <c r="J642" s="565">
        <v>62300.0</v>
      </c>
      <c r="K642" s="542"/>
      <c r="L642" s="542"/>
      <c r="M642" s="542"/>
    </row>
    <row r="643">
      <c r="A643" s="570"/>
      <c r="B643" s="559" t="s">
        <v>623</v>
      </c>
      <c r="C643" s="568">
        <v>424.0</v>
      </c>
      <c r="D643" s="557">
        <v>0.9449</v>
      </c>
      <c r="E643" s="569">
        <v>155.76</v>
      </c>
      <c r="F643" s="563">
        <v>62102.0</v>
      </c>
      <c r="G643" s="557"/>
      <c r="H643" s="559"/>
      <c r="I643" s="564">
        <v>38588.0</v>
      </c>
      <c r="J643" s="565">
        <v>62102.0</v>
      </c>
      <c r="K643" s="542"/>
      <c r="L643" s="542"/>
      <c r="M643" s="542"/>
    </row>
    <row r="644">
      <c r="A644" s="570"/>
      <c r="B644" s="559" t="s">
        <v>381</v>
      </c>
      <c r="C644" s="568">
        <v>454.0</v>
      </c>
      <c r="D644" s="557">
        <v>0.9593</v>
      </c>
      <c r="E644" s="569">
        <v>183.24</v>
      </c>
      <c r="F644" s="563">
        <v>62101.0</v>
      </c>
      <c r="G644" s="557"/>
      <c r="H644" s="559"/>
      <c r="I644" s="564">
        <v>38588.0</v>
      </c>
      <c r="J644" s="565">
        <v>62101.0</v>
      </c>
      <c r="K644" s="542"/>
      <c r="L644" s="542"/>
      <c r="M644" s="542"/>
    </row>
    <row r="645">
      <c r="A645" s="570"/>
      <c r="B645" s="559" t="s">
        <v>457</v>
      </c>
      <c r="C645" s="568">
        <v>889.0</v>
      </c>
      <c r="D645" s="557">
        <v>0.9644</v>
      </c>
      <c r="E645" s="569">
        <v>195.52</v>
      </c>
      <c r="F645" s="563">
        <v>62000.0</v>
      </c>
      <c r="G645" s="557"/>
      <c r="H645" s="559"/>
      <c r="I645" s="564">
        <v>38525.0</v>
      </c>
      <c r="J645" s="565">
        <v>62000.0</v>
      </c>
      <c r="K645" s="542"/>
      <c r="L645" s="542"/>
      <c r="M645" s="542"/>
    </row>
    <row r="646">
      <c r="A646" s="570"/>
      <c r="B646" s="559" t="s">
        <v>640</v>
      </c>
      <c r="C646" s="568">
        <v>521.0</v>
      </c>
      <c r="D646" s="557">
        <v>0.9593</v>
      </c>
      <c r="E646" s="569">
        <v>192.74</v>
      </c>
      <c r="F646" s="563">
        <v>61737.0</v>
      </c>
      <c r="G646" s="557"/>
      <c r="H646" s="559"/>
      <c r="I646" s="564">
        <v>38362.0</v>
      </c>
      <c r="J646" s="565">
        <v>61737.0</v>
      </c>
      <c r="K646" s="542"/>
      <c r="L646" s="542"/>
      <c r="M646" s="542"/>
    </row>
    <row r="647">
      <c r="A647" s="570"/>
      <c r="B647" s="557"/>
      <c r="C647" s="557"/>
      <c r="D647" s="557"/>
      <c r="E647" s="557"/>
      <c r="F647" s="563">
        <v>61550.0</v>
      </c>
      <c r="G647" s="557"/>
      <c r="H647" s="557">
        <v>0.9527974360113085</v>
      </c>
      <c r="I647" s="564">
        <v>38245.0</v>
      </c>
      <c r="J647" s="565">
        <v>61550.0</v>
      </c>
      <c r="K647" s="542"/>
      <c r="L647" s="542"/>
      <c r="M647" s="542"/>
    </row>
    <row r="648">
      <c r="A648" s="570"/>
      <c r="B648" s="559" t="s">
        <v>147</v>
      </c>
      <c r="C648" s="568">
        <v>381.0</v>
      </c>
      <c r="D648" s="557">
        <v>0.9467</v>
      </c>
      <c r="E648" s="569">
        <v>181.82</v>
      </c>
      <c r="F648" s="563">
        <v>61500.0</v>
      </c>
      <c r="G648" s="557"/>
      <c r="H648" s="559"/>
      <c r="I648" s="564">
        <v>38214.0</v>
      </c>
      <c r="J648" s="565">
        <v>61500.0</v>
      </c>
      <c r="K648" s="542"/>
      <c r="L648" s="542"/>
      <c r="M648" s="542"/>
    </row>
    <row r="649">
      <c r="A649" s="570"/>
      <c r="B649" s="559" t="s">
        <v>623</v>
      </c>
      <c r="C649" s="568">
        <v>423.0</v>
      </c>
      <c r="D649" s="557">
        <v>0.9424</v>
      </c>
      <c r="E649" s="569">
        <v>153.76</v>
      </c>
      <c r="F649" s="563">
        <v>61228.0</v>
      </c>
      <c r="G649" s="557"/>
      <c r="H649" s="559"/>
      <c r="I649" s="564">
        <v>38045.0</v>
      </c>
      <c r="J649" s="565">
        <v>61228.0</v>
      </c>
      <c r="K649" s="542"/>
      <c r="L649" s="542"/>
      <c r="M649" s="542"/>
    </row>
    <row r="650">
      <c r="A650" s="570"/>
      <c r="B650" s="559" t="s">
        <v>1741</v>
      </c>
      <c r="C650" s="568">
        <v>461.0</v>
      </c>
      <c r="D650" s="557">
        <v>0.9726</v>
      </c>
      <c r="E650" s="569">
        <v>165.02</v>
      </c>
      <c r="F650" s="563">
        <v>61226.0</v>
      </c>
      <c r="G650" s="557"/>
      <c r="H650" s="559"/>
      <c r="I650" s="564">
        <v>38044.0</v>
      </c>
      <c r="J650" s="565">
        <v>61226.0</v>
      </c>
      <c r="K650" s="542"/>
      <c r="L650" s="542"/>
      <c r="M650" s="542"/>
    </row>
    <row r="651">
      <c r="A651" s="570"/>
      <c r="B651" s="559" t="s">
        <v>668</v>
      </c>
      <c r="C651" s="568">
        <v>1599.0</v>
      </c>
      <c r="D651" s="557">
        <v>0.9825</v>
      </c>
      <c r="E651" s="569">
        <v>163.34</v>
      </c>
      <c r="F651" s="563">
        <v>61171.0</v>
      </c>
      <c r="G651" s="557">
        <v>-1.0</v>
      </c>
      <c r="H651" s="559"/>
      <c r="I651" s="564">
        <v>38010.0</v>
      </c>
      <c r="J651" s="565">
        <v>61171.0</v>
      </c>
      <c r="K651" s="542"/>
      <c r="L651" s="542"/>
      <c r="M651" s="542"/>
    </row>
    <row r="652">
      <c r="A652" s="570"/>
      <c r="B652" s="559" t="s">
        <v>418</v>
      </c>
      <c r="C652" s="568">
        <v>1068.0</v>
      </c>
      <c r="D652" s="557">
        <v>0.9713</v>
      </c>
      <c r="E652" s="569">
        <v>165.2</v>
      </c>
      <c r="F652" s="563">
        <v>61155.0</v>
      </c>
      <c r="G652" s="557">
        <v>-1.0</v>
      </c>
      <c r="H652" s="559"/>
      <c r="I652" s="564">
        <v>38000.0</v>
      </c>
      <c r="J652" s="565">
        <v>61155.0</v>
      </c>
      <c r="K652" s="542"/>
      <c r="L652" s="542"/>
      <c r="M652" s="542"/>
    </row>
    <row r="653">
      <c r="A653" s="570"/>
      <c r="B653" s="559" t="s">
        <v>536</v>
      </c>
      <c r="C653" s="568">
        <v>491.0</v>
      </c>
      <c r="D653" s="557">
        <v>0.9681</v>
      </c>
      <c r="E653" s="569">
        <v>169.71</v>
      </c>
      <c r="F653" s="563">
        <v>61076.0</v>
      </c>
      <c r="G653" s="557">
        <v>-1.0</v>
      </c>
      <c r="H653" s="559"/>
      <c r="I653" s="564">
        <v>37951.0</v>
      </c>
      <c r="J653" s="565">
        <v>61076.0</v>
      </c>
      <c r="K653" s="542"/>
      <c r="L653" s="542"/>
      <c r="M653" s="542"/>
    </row>
    <row r="654">
      <c r="A654" s="570"/>
      <c r="B654" s="559" t="s">
        <v>1715</v>
      </c>
      <c r="C654" s="568">
        <v>746.0</v>
      </c>
      <c r="D654" s="557">
        <v>0.9213</v>
      </c>
      <c r="E654" s="569">
        <v>165.54</v>
      </c>
      <c r="F654" s="563">
        <v>61000.0</v>
      </c>
      <c r="G654" s="557"/>
      <c r="H654" s="559"/>
      <c r="I654" s="564">
        <v>37904.0</v>
      </c>
      <c r="J654" s="565">
        <v>61000.0</v>
      </c>
      <c r="K654" s="542"/>
      <c r="L654" s="542"/>
      <c r="M654" s="542"/>
    </row>
    <row r="655">
      <c r="A655" s="570"/>
      <c r="B655" s="559" t="s">
        <v>667</v>
      </c>
      <c r="C655" s="568">
        <v>654.0</v>
      </c>
      <c r="D655" s="557">
        <v>0.9597</v>
      </c>
      <c r="E655" s="569">
        <v>178.68</v>
      </c>
      <c r="F655" s="563">
        <v>60986.0</v>
      </c>
      <c r="G655" s="557">
        <v>-1.0</v>
      </c>
      <c r="H655" s="559"/>
      <c r="I655" s="564">
        <v>37895.0</v>
      </c>
      <c r="J655" s="565">
        <v>60986.0</v>
      </c>
      <c r="K655" s="542"/>
      <c r="L655" s="542"/>
      <c r="M655" s="542"/>
    </row>
    <row r="656">
      <c r="A656" s="570"/>
      <c r="B656" s="559" t="s">
        <v>1336</v>
      </c>
      <c r="C656" s="568">
        <v>566.0</v>
      </c>
      <c r="D656" s="557">
        <v>0.9624</v>
      </c>
      <c r="E656" s="569">
        <v>164.0</v>
      </c>
      <c r="F656" s="563">
        <v>60825.0</v>
      </c>
      <c r="G656" s="557"/>
      <c r="H656" s="559"/>
      <c r="I656" s="564">
        <v>37795.0</v>
      </c>
      <c r="J656" s="565">
        <v>60825.0</v>
      </c>
      <c r="K656" s="542"/>
      <c r="L656" s="542"/>
      <c r="M656" s="542"/>
    </row>
    <row r="657">
      <c r="A657" s="570"/>
      <c r="B657" s="557"/>
      <c r="C657" s="557"/>
      <c r="D657" s="557"/>
      <c r="E657" s="557"/>
      <c r="F657" s="563">
        <v>60800.0</v>
      </c>
      <c r="G657" s="557"/>
      <c r="H657" s="557">
        <v>0.9529931983686761</v>
      </c>
      <c r="I657" s="564">
        <v>37779.0</v>
      </c>
      <c r="J657" s="565">
        <v>60800.0</v>
      </c>
      <c r="K657" s="542"/>
      <c r="L657" s="542"/>
      <c r="M657" s="542"/>
    </row>
    <row r="658">
      <c r="A658" s="570"/>
      <c r="B658" s="559" t="s">
        <v>1128</v>
      </c>
      <c r="C658" s="568">
        <v>459.0</v>
      </c>
      <c r="D658" s="557">
        <v>0.9695</v>
      </c>
      <c r="E658" s="569">
        <v>159.09</v>
      </c>
      <c r="F658" s="563">
        <v>60700.0</v>
      </c>
      <c r="G658" s="557"/>
      <c r="H658" s="559"/>
      <c r="I658" s="564">
        <v>37717.0</v>
      </c>
      <c r="J658" s="565">
        <v>60700.0</v>
      </c>
      <c r="K658" s="542"/>
      <c r="L658" s="542"/>
      <c r="M658" s="542"/>
    </row>
    <row r="659">
      <c r="A659" s="570"/>
      <c r="B659" s="559" t="s">
        <v>623</v>
      </c>
      <c r="C659" s="568">
        <v>416.0</v>
      </c>
      <c r="D659" s="557">
        <v>0.9373</v>
      </c>
      <c r="E659" s="569">
        <v>152.81</v>
      </c>
      <c r="F659" s="563">
        <v>60689.0</v>
      </c>
      <c r="G659" s="557"/>
      <c r="H659" s="559"/>
      <c r="I659" s="564">
        <v>37710.0</v>
      </c>
      <c r="J659" s="565">
        <v>60689.0</v>
      </c>
      <c r="K659" s="542"/>
      <c r="L659" s="542"/>
      <c r="M659" s="542"/>
    </row>
    <row r="660">
      <c r="A660" s="570"/>
      <c r="B660" s="559" t="s">
        <v>96</v>
      </c>
      <c r="C660" s="568">
        <v>517.0</v>
      </c>
      <c r="D660" s="557">
        <v>0.9365</v>
      </c>
      <c r="E660" s="569">
        <v>184.82</v>
      </c>
      <c r="F660" s="563">
        <v>60555.0</v>
      </c>
      <c r="G660" s="557"/>
      <c r="H660" s="559"/>
      <c r="I660" s="564">
        <v>37627.0</v>
      </c>
      <c r="J660" s="565">
        <v>60555.0</v>
      </c>
      <c r="K660" s="542"/>
      <c r="L660" s="542"/>
      <c r="M660" s="542"/>
    </row>
    <row r="661">
      <c r="A661" s="570"/>
      <c r="B661" s="559" t="s">
        <v>292</v>
      </c>
      <c r="C661" s="568">
        <v>1496.0</v>
      </c>
      <c r="D661" s="557">
        <v>0.9654</v>
      </c>
      <c r="E661" s="569">
        <v>138.98</v>
      </c>
      <c r="F661" s="563">
        <v>60113.0</v>
      </c>
      <c r="G661" s="557">
        <v>-1.0</v>
      </c>
      <c r="H661" s="559"/>
      <c r="I661" s="564">
        <v>37352.0</v>
      </c>
      <c r="J661" s="565">
        <v>60113.0</v>
      </c>
      <c r="K661" s="542"/>
      <c r="L661" s="542"/>
      <c r="M661" s="542"/>
    </row>
    <row r="662">
      <c r="A662" s="570"/>
      <c r="B662" s="557"/>
      <c r="C662" s="557"/>
      <c r="D662" s="557"/>
      <c r="E662" s="557"/>
      <c r="F662" s="563">
        <v>60050.0</v>
      </c>
      <c r="G662" s="557"/>
      <c r="H662" s="557">
        <v>0.9531917884676185</v>
      </c>
      <c r="I662" s="564">
        <v>37313.0</v>
      </c>
      <c r="J662" s="565">
        <v>60050.0</v>
      </c>
      <c r="K662" s="542"/>
      <c r="L662" s="542"/>
      <c r="M662" s="542"/>
    </row>
    <row r="663">
      <c r="A663" s="570"/>
      <c r="B663" s="559" t="s">
        <v>58</v>
      </c>
      <c r="C663" s="568">
        <v>571.0</v>
      </c>
      <c r="D663" s="557">
        <v>0.9724</v>
      </c>
      <c r="E663" s="569">
        <v>170.37</v>
      </c>
      <c r="F663" s="563">
        <v>60000.0</v>
      </c>
      <c r="G663" s="557"/>
      <c r="H663" s="612"/>
      <c r="I663" s="564">
        <v>37282.0</v>
      </c>
      <c r="J663" s="565">
        <v>60000.0</v>
      </c>
      <c r="K663" s="542"/>
      <c r="L663" s="542"/>
      <c r="M663" s="542"/>
    </row>
    <row r="664">
      <c r="A664" s="570"/>
      <c r="B664" s="559" t="s">
        <v>1013</v>
      </c>
      <c r="C664" s="568">
        <v>429.0</v>
      </c>
      <c r="D664" s="557">
        <v>0.9624</v>
      </c>
      <c r="E664" s="569">
        <v>175.97</v>
      </c>
      <c r="F664" s="563">
        <v>60000.0</v>
      </c>
      <c r="G664" s="557"/>
      <c r="H664" s="559"/>
      <c r="I664" s="564">
        <v>37282.0</v>
      </c>
      <c r="J664" s="565">
        <v>60000.0</v>
      </c>
      <c r="K664" s="542"/>
      <c r="L664" s="542"/>
      <c r="M664" s="542"/>
    </row>
    <row r="665">
      <c r="A665" s="570"/>
      <c r="B665" s="559" t="s">
        <v>1611</v>
      </c>
      <c r="C665" s="568">
        <v>631.0</v>
      </c>
      <c r="D665" s="557">
        <v>0.9619</v>
      </c>
      <c r="E665" s="569">
        <v>157.08</v>
      </c>
      <c r="F665" s="563">
        <v>60000.0</v>
      </c>
      <c r="G665" s="557"/>
      <c r="H665" s="559"/>
      <c r="I665" s="564">
        <v>37282.0</v>
      </c>
      <c r="J665" s="565">
        <v>60000.0</v>
      </c>
      <c r="K665" s="542"/>
      <c r="L665" s="542"/>
      <c r="M665" s="542"/>
    </row>
    <row r="666">
      <c r="A666" s="570"/>
      <c r="B666" s="559" t="s">
        <v>1695</v>
      </c>
      <c r="C666" s="568">
        <v>1116.0</v>
      </c>
      <c r="D666" s="557">
        <v>0.9644</v>
      </c>
      <c r="E666" s="569">
        <v>176.66</v>
      </c>
      <c r="F666" s="563">
        <v>59750.0</v>
      </c>
      <c r="G666" s="557"/>
      <c r="H666" s="559"/>
      <c r="I666" s="564">
        <v>37127.0</v>
      </c>
      <c r="J666" s="565">
        <v>59750.0</v>
      </c>
      <c r="K666" s="542"/>
      <c r="L666" s="542"/>
      <c r="M666" s="542"/>
    </row>
    <row r="667">
      <c r="A667" s="570"/>
      <c r="B667" s="559" t="s">
        <v>212</v>
      </c>
      <c r="C667" s="568">
        <v>477.0</v>
      </c>
      <c r="D667" s="557">
        <v>0.9468</v>
      </c>
      <c r="E667" s="569">
        <v>179.06</v>
      </c>
      <c r="F667" s="563">
        <v>59500.0</v>
      </c>
      <c r="G667" s="557"/>
      <c r="H667" s="559"/>
      <c r="I667" s="564">
        <v>36972.0</v>
      </c>
      <c r="J667" s="565">
        <v>59500.0</v>
      </c>
      <c r="K667" s="542"/>
      <c r="L667" s="542"/>
      <c r="M667" s="542"/>
    </row>
    <row r="668">
      <c r="A668" s="570"/>
      <c r="B668" s="559" t="s">
        <v>227</v>
      </c>
      <c r="C668" s="568">
        <v>644.0</v>
      </c>
      <c r="D668" s="557">
        <v>0.9637</v>
      </c>
      <c r="E668" s="569">
        <v>151.6</v>
      </c>
      <c r="F668" s="563">
        <v>59493.0</v>
      </c>
      <c r="G668" s="557">
        <v>-1.0</v>
      </c>
      <c r="H668" s="559"/>
      <c r="I668" s="564">
        <v>36967.0</v>
      </c>
      <c r="J668" s="565">
        <v>59493.0</v>
      </c>
      <c r="K668" s="542"/>
      <c r="L668" s="542"/>
      <c r="M668" s="542"/>
    </row>
    <row r="669">
      <c r="A669" s="570"/>
      <c r="B669" s="559" t="s">
        <v>125</v>
      </c>
      <c r="C669" s="568">
        <v>693.0</v>
      </c>
      <c r="D669" s="557">
        <v>0.9682</v>
      </c>
      <c r="E669" s="569">
        <v>181.39</v>
      </c>
      <c r="F669" s="563">
        <v>59365.0</v>
      </c>
      <c r="G669" s="557">
        <v>-1.0</v>
      </c>
      <c r="H669" s="559"/>
      <c r="I669" s="564">
        <v>36888.0</v>
      </c>
      <c r="J669" s="565">
        <v>59365.0</v>
      </c>
      <c r="K669" s="542"/>
      <c r="L669" s="542"/>
      <c r="M669" s="542"/>
    </row>
    <row r="670">
      <c r="A670" s="570"/>
      <c r="B670" s="557"/>
      <c r="C670" s="557"/>
      <c r="D670" s="557"/>
      <c r="E670" s="557"/>
      <c r="F670" s="563">
        <v>59300.0</v>
      </c>
      <c r="G670" s="557"/>
      <c r="H670" s="557">
        <v>0.9533933081367568</v>
      </c>
      <c r="I670" s="564">
        <v>36847.0</v>
      </c>
      <c r="J670" s="565">
        <v>59300.0</v>
      </c>
      <c r="K670" s="542"/>
      <c r="L670" s="542"/>
      <c r="M670" s="542"/>
    </row>
    <row r="671">
      <c r="A671" s="570"/>
      <c r="B671" s="559" t="s">
        <v>136</v>
      </c>
      <c r="C671" s="568">
        <v>435.0</v>
      </c>
      <c r="D671" s="557">
        <v>0.8476</v>
      </c>
      <c r="E671" s="569">
        <v>204.31</v>
      </c>
      <c r="F671" s="563">
        <v>59224.0</v>
      </c>
      <c r="G671" s="557">
        <v>-1.0</v>
      </c>
      <c r="H671" s="559"/>
      <c r="I671" s="564">
        <v>36800.0</v>
      </c>
      <c r="J671" s="565">
        <v>59224.0</v>
      </c>
      <c r="K671" s="542"/>
      <c r="L671" s="542"/>
      <c r="M671" s="542"/>
    </row>
    <row r="672">
      <c r="A672" s="570"/>
      <c r="B672" s="559" t="s">
        <v>161</v>
      </c>
      <c r="C672" s="568">
        <v>949.0</v>
      </c>
      <c r="D672" s="557">
        <v>0.9405</v>
      </c>
      <c r="E672" s="569">
        <v>146.26</v>
      </c>
      <c r="F672" s="563">
        <v>59177.0</v>
      </c>
      <c r="G672" s="557">
        <v>-1.0</v>
      </c>
      <c r="H672" s="559"/>
      <c r="I672" s="564">
        <v>36771.0</v>
      </c>
      <c r="J672" s="565">
        <v>59177.0</v>
      </c>
      <c r="K672" s="542"/>
      <c r="L672" s="542"/>
      <c r="M672" s="542"/>
    </row>
    <row r="673">
      <c r="A673" s="570"/>
      <c r="B673" s="559" t="s">
        <v>1493</v>
      </c>
      <c r="C673" s="568">
        <v>670.0</v>
      </c>
      <c r="D673" s="557">
        <v>0.9323</v>
      </c>
      <c r="E673" s="569">
        <v>178.9</v>
      </c>
      <c r="F673" s="563">
        <v>59000.0</v>
      </c>
      <c r="G673" s="557"/>
      <c r="H673" s="559"/>
      <c r="I673" s="564">
        <v>36661.0</v>
      </c>
      <c r="J673" s="565">
        <v>59000.0</v>
      </c>
      <c r="K673" s="542"/>
      <c r="L673" s="542"/>
      <c r="M673" s="542"/>
    </row>
    <row r="674">
      <c r="A674" s="570"/>
      <c r="B674" s="557"/>
      <c r="C674" s="557"/>
      <c r="D674" s="557"/>
      <c r="E674" s="557"/>
      <c r="F674" s="563">
        <v>58550.0</v>
      </c>
      <c r="G674" s="557"/>
      <c r="H674" s="557">
        <v>0.9535978628716199</v>
      </c>
      <c r="I674" s="564">
        <v>36381.0</v>
      </c>
      <c r="J674" s="565">
        <v>58550.0</v>
      </c>
      <c r="K674" s="542"/>
      <c r="L674" s="542"/>
      <c r="M674" s="542"/>
    </row>
    <row r="675">
      <c r="A675" s="570"/>
      <c r="B675" s="559" t="s">
        <v>161</v>
      </c>
      <c r="C675" s="568">
        <v>935.0</v>
      </c>
      <c r="D675" s="557">
        <v>0.9442</v>
      </c>
      <c r="E675" s="569">
        <v>143.98</v>
      </c>
      <c r="F675" s="563">
        <v>58369.0</v>
      </c>
      <c r="G675" s="557">
        <v>-1.0</v>
      </c>
      <c r="H675" s="559"/>
      <c r="I675" s="564">
        <v>36269.0</v>
      </c>
      <c r="J675" s="565">
        <v>58369.0</v>
      </c>
      <c r="K675" s="542"/>
      <c r="L675" s="542"/>
      <c r="M675" s="542"/>
    </row>
    <row r="676">
      <c r="A676" s="570"/>
      <c r="B676" s="559" t="s">
        <v>1637</v>
      </c>
      <c r="C676" s="568">
        <v>416.0</v>
      </c>
      <c r="D676" s="557">
        <v>0.9738</v>
      </c>
      <c r="E676" s="569">
        <v>174.43</v>
      </c>
      <c r="F676" s="563">
        <v>58335.0</v>
      </c>
      <c r="G676" s="557"/>
      <c r="H676" s="559"/>
      <c r="I676" s="564">
        <v>36248.0</v>
      </c>
      <c r="J676" s="565">
        <v>58335.0</v>
      </c>
      <c r="K676" s="542"/>
      <c r="L676" s="542"/>
      <c r="M676" s="542"/>
    </row>
    <row r="677">
      <c r="A677" s="570"/>
      <c r="B677" s="559" t="s">
        <v>244</v>
      </c>
      <c r="C677" s="568">
        <v>548.0</v>
      </c>
      <c r="D677" s="557">
        <v>0.8667</v>
      </c>
      <c r="E677" s="569">
        <v>171.75</v>
      </c>
      <c r="F677" s="563">
        <v>58258.0</v>
      </c>
      <c r="G677" s="557">
        <v>-1.0</v>
      </c>
      <c r="H677" s="559"/>
      <c r="I677" s="564">
        <v>36200.0</v>
      </c>
      <c r="J677" s="565">
        <v>58258.0</v>
      </c>
      <c r="K677" s="542"/>
      <c r="L677" s="542"/>
      <c r="M677" s="542"/>
    </row>
    <row r="678">
      <c r="A678" s="570"/>
      <c r="B678" s="559" t="s">
        <v>1714</v>
      </c>
      <c r="C678" s="568">
        <v>1172.0</v>
      </c>
      <c r="D678" s="557">
        <v>0.9644</v>
      </c>
      <c r="E678" s="569">
        <v>166.7</v>
      </c>
      <c r="F678" s="563">
        <v>58191.0</v>
      </c>
      <c r="G678" s="557"/>
      <c r="H678" s="559"/>
      <c r="I678" s="564">
        <v>36158.0</v>
      </c>
      <c r="J678" s="565">
        <v>58191.0</v>
      </c>
      <c r="K678" s="542"/>
      <c r="L678" s="542"/>
      <c r="M678" s="542"/>
    </row>
    <row r="679">
      <c r="A679" s="570"/>
      <c r="B679" s="559" t="s">
        <v>1783</v>
      </c>
      <c r="C679" s="568">
        <v>519.0</v>
      </c>
      <c r="D679" s="557">
        <v>0.9593</v>
      </c>
      <c r="E679" s="569">
        <v>173.16</v>
      </c>
      <c r="F679" s="563">
        <v>58163.0</v>
      </c>
      <c r="G679" s="557"/>
      <c r="H679" s="559"/>
      <c r="I679" s="564">
        <v>36141.0</v>
      </c>
      <c r="J679" s="565">
        <v>58163.0</v>
      </c>
      <c r="K679" s="542"/>
      <c r="L679" s="542"/>
      <c r="M679" s="542"/>
    </row>
    <row r="680">
      <c r="A680" s="570"/>
      <c r="B680" s="559" t="s">
        <v>361</v>
      </c>
      <c r="C680" s="568">
        <v>527.0</v>
      </c>
      <c r="D680" s="557">
        <v>0.939</v>
      </c>
      <c r="E680" s="569">
        <v>172.42</v>
      </c>
      <c r="F680" s="563">
        <v>58088.0</v>
      </c>
      <c r="G680" s="557"/>
      <c r="H680" s="559"/>
      <c r="I680" s="564">
        <v>36094.0</v>
      </c>
      <c r="J680" s="565">
        <v>58088.0</v>
      </c>
      <c r="K680" s="542"/>
      <c r="L680" s="542"/>
      <c r="M680" s="542"/>
    </row>
    <row r="681">
      <c r="A681" s="570"/>
      <c r="B681" s="559" t="s">
        <v>1607</v>
      </c>
      <c r="C681" s="568">
        <v>721.0</v>
      </c>
      <c r="D681" s="557">
        <v>0.9441</v>
      </c>
      <c r="E681" s="569">
        <v>188.66</v>
      </c>
      <c r="F681" s="563">
        <v>58000.0</v>
      </c>
      <c r="G681" s="557"/>
      <c r="H681" s="559"/>
      <c r="I681" s="564">
        <v>36040.0</v>
      </c>
      <c r="J681" s="565">
        <v>58000.0</v>
      </c>
      <c r="K681" s="542"/>
      <c r="L681" s="542"/>
      <c r="M681" s="542"/>
    </row>
    <row r="682">
      <c r="A682" s="570"/>
      <c r="B682" s="559" t="s">
        <v>605</v>
      </c>
      <c r="C682" s="568">
        <v>719.0</v>
      </c>
      <c r="D682" s="557">
        <v>0.9248</v>
      </c>
      <c r="E682" s="569">
        <v>154.0</v>
      </c>
      <c r="F682" s="563">
        <v>58000.0</v>
      </c>
      <c r="G682" s="557"/>
      <c r="H682" s="559"/>
      <c r="I682" s="564">
        <v>36040.0</v>
      </c>
      <c r="J682" s="565">
        <v>58000.0</v>
      </c>
      <c r="K682" s="542"/>
      <c r="L682" s="542"/>
      <c r="M682" s="542"/>
    </row>
    <row r="683">
      <c r="A683" s="570"/>
      <c r="B683" s="559" t="s">
        <v>328</v>
      </c>
      <c r="C683" s="568">
        <v>805.0</v>
      </c>
      <c r="D683" s="557">
        <v>0.9492</v>
      </c>
      <c r="E683" s="569">
        <v>162.06</v>
      </c>
      <c r="F683" s="563">
        <v>58000.0</v>
      </c>
      <c r="G683" s="557"/>
      <c r="H683" s="559"/>
      <c r="I683" s="564">
        <v>36040.0</v>
      </c>
      <c r="J683" s="565">
        <v>58000.0</v>
      </c>
      <c r="K683" s="542"/>
      <c r="L683" s="542"/>
      <c r="M683" s="542"/>
    </row>
    <row r="684">
      <c r="A684" s="570"/>
      <c r="B684" s="559" t="s">
        <v>620</v>
      </c>
      <c r="C684" s="568">
        <v>808.0</v>
      </c>
      <c r="D684" s="557">
        <v>0.9416</v>
      </c>
      <c r="E684" s="569">
        <v>168.09</v>
      </c>
      <c r="F684" s="563">
        <v>58000.0</v>
      </c>
      <c r="G684" s="557"/>
      <c r="H684" s="559"/>
      <c r="I684" s="564">
        <v>36040.0</v>
      </c>
      <c r="J684" s="565">
        <v>58000.0</v>
      </c>
      <c r="K684" s="542"/>
      <c r="L684" s="542"/>
      <c r="M684" s="542"/>
    </row>
    <row r="685">
      <c r="A685" s="570"/>
      <c r="B685" s="557"/>
      <c r="C685" s="557"/>
      <c r="D685" s="557"/>
      <c r="E685" s="557"/>
      <c r="F685" s="563">
        <v>57800.0</v>
      </c>
      <c r="G685" s="557"/>
      <c r="H685" s="557">
        <v>0.9538055619666922</v>
      </c>
      <c r="I685" s="564">
        <v>35915.0</v>
      </c>
      <c r="J685" s="565">
        <v>57800.0</v>
      </c>
      <c r="K685" s="542"/>
      <c r="L685" s="542"/>
      <c r="M685" s="542"/>
    </row>
    <row r="686">
      <c r="A686" s="570"/>
      <c r="B686" s="559" t="s">
        <v>1127</v>
      </c>
      <c r="C686" s="568">
        <v>445.0</v>
      </c>
      <c r="D686" s="557">
        <v>0.9726</v>
      </c>
      <c r="E686" s="569">
        <v>158.97</v>
      </c>
      <c r="F686" s="563">
        <v>57583.0</v>
      </c>
      <c r="G686" s="557"/>
      <c r="H686" s="559"/>
      <c r="I686" s="564">
        <v>35780.0</v>
      </c>
      <c r="J686" s="565">
        <v>57583.0</v>
      </c>
      <c r="K686" s="542"/>
      <c r="L686" s="542"/>
      <c r="M686" s="542"/>
    </row>
    <row r="687">
      <c r="A687" s="570"/>
      <c r="B687" s="559" t="s">
        <v>872</v>
      </c>
      <c r="C687" s="568">
        <v>415.0</v>
      </c>
      <c r="D687" s="557">
        <v>0.9518</v>
      </c>
      <c r="E687" s="569">
        <v>193.12</v>
      </c>
      <c r="F687" s="563">
        <v>57500.0</v>
      </c>
      <c r="G687" s="557"/>
      <c r="H687" s="559"/>
      <c r="I687" s="564">
        <v>35729.0</v>
      </c>
      <c r="J687" s="565">
        <v>57500.0</v>
      </c>
      <c r="K687" s="542"/>
      <c r="L687" s="542"/>
      <c r="M687" s="542"/>
    </row>
    <row r="688">
      <c r="A688" s="570"/>
      <c r="B688" s="559" t="s">
        <v>348</v>
      </c>
      <c r="C688" s="568">
        <v>794.0</v>
      </c>
      <c r="D688" s="557">
        <v>0.9467</v>
      </c>
      <c r="E688" s="569">
        <v>202.76</v>
      </c>
      <c r="F688" s="563">
        <v>57492.0</v>
      </c>
      <c r="G688" s="557"/>
      <c r="H688" s="559"/>
      <c r="I688" s="564">
        <v>35724.0</v>
      </c>
      <c r="J688" s="565">
        <v>57492.0</v>
      </c>
      <c r="K688" s="542"/>
      <c r="L688" s="542"/>
      <c r="M688" s="542"/>
    </row>
    <row r="689">
      <c r="A689" s="570"/>
      <c r="B689" s="559" t="s">
        <v>306</v>
      </c>
      <c r="C689" s="568">
        <v>988.0</v>
      </c>
      <c r="D689" s="557">
        <v>0.9637</v>
      </c>
      <c r="E689" s="569">
        <v>156.74</v>
      </c>
      <c r="F689" s="563">
        <v>57454.0</v>
      </c>
      <c r="G689" s="557">
        <v>-1.0</v>
      </c>
      <c r="H689" s="559"/>
      <c r="I689" s="564">
        <v>35700.0</v>
      </c>
      <c r="J689" s="565">
        <v>57454.0</v>
      </c>
      <c r="K689" s="542"/>
      <c r="L689" s="542"/>
      <c r="M689" s="542"/>
    </row>
    <row r="690">
      <c r="A690" s="570"/>
      <c r="B690" s="559" t="s">
        <v>1714</v>
      </c>
      <c r="C690" s="568">
        <v>1156.0</v>
      </c>
      <c r="D690" s="557">
        <v>0.9619</v>
      </c>
      <c r="E690" s="569">
        <v>164.15</v>
      </c>
      <c r="F690" s="563">
        <v>57228.0</v>
      </c>
      <c r="G690" s="557"/>
      <c r="H690" s="559"/>
      <c r="I690" s="564">
        <v>35560.0</v>
      </c>
      <c r="J690" s="565">
        <v>57228.0</v>
      </c>
      <c r="K690" s="542"/>
      <c r="L690" s="542"/>
      <c r="M690" s="542"/>
    </row>
    <row r="691">
      <c r="A691" s="570"/>
      <c r="B691" s="557"/>
      <c r="C691" s="557"/>
      <c r="D691" s="557"/>
      <c r="E691" s="557"/>
      <c r="F691" s="563">
        <v>57050.0</v>
      </c>
      <c r="G691" s="557"/>
      <c r="H691" s="557">
        <v>0.9540165186522165</v>
      </c>
      <c r="I691" s="564">
        <v>35449.0</v>
      </c>
      <c r="J691" s="565">
        <v>57050.0</v>
      </c>
      <c r="K691" s="542"/>
      <c r="L691" s="542"/>
      <c r="M691" s="542"/>
    </row>
    <row r="692">
      <c r="A692" s="570"/>
      <c r="B692" s="559" t="s">
        <v>1558</v>
      </c>
      <c r="C692" s="568">
        <v>652.0</v>
      </c>
      <c r="D692" s="557">
        <v>0.9499</v>
      </c>
      <c r="E692" s="569">
        <v>148.64</v>
      </c>
      <c r="F692" s="563">
        <v>57000.0</v>
      </c>
      <c r="G692" s="557"/>
      <c r="H692" s="559"/>
      <c r="I692" s="564">
        <v>35418.0</v>
      </c>
      <c r="J692" s="565">
        <v>57000.0</v>
      </c>
      <c r="K692" s="542"/>
      <c r="L692" s="542"/>
      <c r="M692" s="542"/>
    </row>
    <row r="693">
      <c r="A693" s="570"/>
      <c r="B693" s="559" t="s">
        <v>1611</v>
      </c>
      <c r="C693" s="568">
        <v>605.0</v>
      </c>
      <c r="D693" s="557">
        <v>0.9695</v>
      </c>
      <c r="E693" s="569">
        <v>147.91</v>
      </c>
      <c r="F693" s="563">
        <v>57000.0</v>
      </c>
      <c r="G693" s="557"/>
      <c r="H693" s="559"/>
      <c r="I693" s="564">
        <v>35418.0</v>
      </c>
      <c r="J693" s="565">
        <v>57000.0</v>
      </c>
      <c r="K693" s="542"/>
      <c r="L693" s="542"/>
      <c r="M693" s="542"/>
    </row>
    <row r="694">
      <c r="A694" s="570"/>
      <c r="B694" s="559" t="s">
        <v>1275</v>
      </c>
      <c r="C694" s="568">
        <v>430.0</v>
      </c>
      <c r="D694" s="557">
        <v>0.9136</v>
      </c>
      <c r="E694" s="569"/>
      <c r="F694" s="563">
        <v>56417.0</v>
      </c>
      <c r="G694" s="557"/>
      <c r="H694" s="559"/>
      <c r="I694" s="564">
        <v>35056.0</v>
      </c>
      <c r="J694" s="565">
        <v>56417.0</v>
      </c>
      <c r="K694" s="542"/>
      <c r="L694" s="542"/>
      <c r="M694" s="542"/>
    </row>
    <row r="695">
      <c r="A695" s="570"/>
      <c r="B695" s="559" t="s">
        <v>290</v>
      </c>
      <c r="C695" s="568">
        <v>866.0</v>
      </c>
      <c r="D695" s="557">
        <v>0.9429</v>
      </c>
      <c r="E695" s="569">
        <v>190.35</v>
      </c>
      <c r="F695" s="563">
        <v>56327.0</v>
      </c>
      <c r="G695" s="557">
        <v>-1.0</v>
      </c>
      <c r="H695" s="559"/>
      <c r="I695" s="564">
        <v>35000.0</v>
      </c>
      <c r="J695" s="565">
        <v>56327.0</v>
      </c>
      <c r="K695" s="542"/>
      <c r="L695" s="542"/>
      <c r="M695" s="542"/>
    </row>
    <row r="696">
      <c r="A696" s="570"/>
      <c r="B696" s="559" t="s">
        <v>1741</v>
      </c>
      <c r="C696" s="568">
        <v>432.0</v>
      </c>
      <c r="D696" s="557">
        <v>0.9679</v>
      </c>
      <c r="E696" s="569">
        <v>152.16</v>
      </c>
      <c r="F696" s="563">
        <v>56320.0</v>
      </c>
      <c r="G696" s="557"/>
      <c r="H696" s="559"/>
      <c r="I696" s="564">
        <v>34996.0</v>
      </c>
      <c r="J696" s="565">
        <v>56320.0</v>
      </c>
      <c r="K696" s="542"/>
      <c r="L696" s="542"/>
      <c r="M696" s="542"/>
    </row>
    <row r="697">
      <c r="A697" s="570"/>
      <c r="B697" s="557"/>
      <c r="C697" s="557"/>
      <c r="D697" s="557"/>
      <c r="E697" s="557"/>
      <c r="F697" s="563">
        <v>56300.0</v>
      </c>
      <c r="G697" s="557"/>
      <c r="H697" s="557">
        <v>0.954230850235922</v>
      </c>
      <c r="I697" s="564">
        <v>34983.0</v>
      </c>
      <c r="J697" s="565">
        <v>56300.0</v>
      </c>
      <c r="K697" s="542"/>
      <c r="L697" s="542"/>
      <c r="M697" s="542"/>
    </row>
    <row r="698">
      <c r="A698" s="570"/>
      <c r="B698" s="559" t="s">
        <v>496</v>
      </c>
      <c r="C698" s="568">
        <v>582.0</v>
      </c>
      <c r="D698" s="557">
        <v>0.9703</v>
      </c>
      <c r="E698" s="569">
        <v>134.23</v>
      </c>
      <c r="F698" s="563">
        <v>56279.0</v>
      </c>
      <c r="G698" s="557">
        <v>-1.0</v>
      </c>
      <c r="H698" s="559"/>
      <c r="I698" s="564">
        <v>34970.0</v>
      </c>
      <c r="J698" s="565">
        <v>56279.0</v>
      </c>
      <c r="K698" s="542"/>
      <c r="L698" s="542"/>
      <c r="M698" s="542"/>
    </row>
    <row r="699">
      <c r="A699" s="570"/>
      <c r="B699" s="559" t="s">
        <v>1644</v>
      </c>
      <c r="C699" s="568">
        <v>996.0</v>
      </c>
      <c r="D699" s="557">
        <v>0.9568</v>
      </c>
      <c r="E699" s="569">
        <v>162.97</v>
      </c>
      <c r="F699" s="563">
        <v>56157.0</v>
      </c>
      <c r="G699" s="557"/>
      <c r="H699" s="559"/>
      <c r="I699" s="564">
        <v>34894.0</v>
      </c>
      <c r="J699" s="565">
        <v>56157.0</v>
      </c>
      <c r="K699" s="542"/>
      <c r="L699" s="542"/>
      <c r="M699" s="542"/>
    </row>
    <row r="700">
      <c r="A700" s="570"/>
      <c r="B700" s="559" t="s">
        <v>548</v>
      </c>
      <c r="C700" s="568">
        <v>648.0</v>
      </c>
      <c r="D700" s="557">
        <v>0.9492</v>
      </c>
      <c r="E700" s="569">
        <v>169.07</v>
      </c>
      <c r="F700" s="563">
        <v>56000.0</v>
      </c>
      <c r="G700" s="557"/>
      <c r="H700" s="559"/>
      <c r="I700" s="564">
        <v>34797.0</v>
      </c>
      <c r="J700" s="565">
        <v>56000.0</v>
      </c>
      <c r="K700" s="542"/>
      <c r="L700" s="542"/>
      <c r="M700" s="542"/>
    </row>
    <row r="701">
      <c r="A701" s="570"/>
      <c r="B701" s="559" t="s">
        <v>1760</v>
      </c>
      <c r="C701" s="568">
        <v>495.0</v>
      </c>
      <c r="D701" s="557">
        <v>0.9381</v>
      </c>
      <c r="E701" s="569">
        <v>150.39</v>
      </c>
      <c r="F701" s="563">
        <v>55961.0</v>
      </c>
      <c r="G701" s="557"/>
      <c r="H701" s="559"/>
      <c r="I701" s="564">
        <v>34773.0</v>
      </c>
      <c r="J701" s="565">
        <v>55961.0</v>
      </c>
      <c r="K701" s="542"/>
      <c r="L701" s="542"/>
      <c r="M701" s="542"/>
    </row>
    <row r="702">
      <c r="A702" s="570"/>
      <c r="B702" s="559" t="s">
        <v>657</v>
      </c>
      <c r="C702" s="568">
        <v>388.0</v>
      </c>
      <c r="D702" s="557">
        <v>0.9709</v>
      </c>
      <c r="E702" s="569">
        <v>156.56</v>
      </c>
      <c r="F702" s="563">
        <v>55769.0</v>
      </c>
      <c r="G702" s="557">
        <v>-1.0</v>
      </c>
      <c r="H702" s="559"/>
      <c r="I702" s="564">
        <v>34653.0</v>
      </c>
      <c r="J702" s="565">
        <v>55769.0</v>
      </c>
      <c r="K702" s="542"/>
      <c r="L702" s="542"/>
      <c r="M702" s="542"/>
    </row>
    <row r="703">
      <c r="A703" s="570"/>
      <c r="B703" s="559" t="s">
        <v>161</v>
      </c>
      <c r="C703" s="568">
        <v>893.0</v>
      </c>
      <c r="D703" s="557">
        <v>0.9442</v>
      </c>
      <c r="E703" s="569">
        <v>137.45</v>
      </c>
      <c r="F703" s="563">
        <v>55719.0</v>
      </c>
      <c r="G703" s="557">
        <v>-1.0</v>
      </c>
      <c r="H703" s="559"/>
      <c r="I703" s="564">
        <v>34622.0</v>
      </c>
      <c r="J703" s="565">
        <v>55719.0</v>
      </c>
      <c r="K703" s="542"/>
      <c r="L703" s="542"/>
      <c r="M703" s="542"/>
    </row>
    <row r="704">
      <c r="A704" s="570"/>
      <c r="B704" s="557"/>
      <c r="C704" s="557"/>
      <c r="D704" s="557"/>
      <c r="E704" s="557"/>
      <c r="F704" s="563">
        <v>55550.0</v>
      </c>
      <c r="G704" s="557"/>
      <c r="H704" s="557">
        <v>0.9544486782498581</v>
      </c>
      <c r="I704" s="564">
        <v>34517.0</v>
      </c>
      <c r="J704" s="565">
        <v>55550.0</v>
      </c>
      <c r="K704" s="542"/>
      <c r="L704" s="542"/>
      <c r="M704" s="542"/>
    </row>
    <row r="705">
      <c r="A705" s="570"/>
      <c r="B705" s="559" t="s">
        <v>286</v>
      </c>
      <c r="C705" s="568">
        <v>305.0</v>
      </c>
      <c r="D705" s="557">
        <v>0.9665</v>
      </c>
      <c r="E705" s="569">
        <v>160.74</v>
      </c>
      <c r="F705" s="563">
        <v>55522.0</v>
      </c>
      <c r="G705" s="557">
        <v>-1.0</v>
      </c>
      <c r="H705" s="559"/>
      <c r="I705" s="564">
        <v>34500.0</v>
      </c>
      <c r="J705" s="565">
        <v>55522.0</v>
      </c>
      <c r="K705" s="542"/>
      <c r="L705" s="542"/>
      <c r="M705" s="542"/>
    </row>
    <row r="706">
      <c r="A706" s="570"/>
      <c r="B706" s="559" t="s">
        <v>339</v>
      </c>
      <c r="C706" s="568">
        <v>589.0</v>
      </c>
      <c r="D706" s="557">
        <v>0.9315</v>
      </c>
      <c r="E706" s="569">
        <v>191.07</v>
      </c>
      <c r="F706" s="563">
        <v>55421.0</v>
      </c>
      <c r="G706" s="557"/>
      <c r="H706" s="559"/>
      <c r="I706" s="564">
        <v>34437.0</v>
      </c>
      <c r="J706" s="565">
        <v>55421.0</v>
      </c>
      <c r="K706" s="542"/>
      <c r="L706" s="542"/>
      <c r="M706" s="542"/>
    </row>
    <row r="707">
      <c r="A707" s="570"/>
      <c r="B707" s="559" t="s">
        <v>587</v>
      </c>
      <c r="C707" s="568">
        <v>1092.0</v>
      </c>
      <c r="D707" s="557">
        <v>0.9675</v>
      </c>
      <c r="E707" s="569">
        <v>142.29</v>
      </c>
      <c r="F707" s="563">
        <v>55406.0</v>
      </c>
      <c r="G707" s="557">
        <v>-1.0</v>
      </c>
      <c r="H707" s="559"/>
      <c r="I707" s="564">
        <v>34428.0</v>
      </c>
      <c r="J707" s="565">
        <v>55406.0</v>
      </c>
      <c r="K707" s="542"/>
      <c r="L707" s="542"/>
      <c r="M707" s="542"/>
    </row>
    <row r="708">
      <c r="A708" s="570"/>
      <c r="B708" s="559" t="s">
        <v>1757</v>
      </c>
      <c r="C708" s="568">
        <v>441.0</v>
      </c>
      <c r="D708" s="557">
        <v>0.9433</v>
      </c>
      <c r="E708" s="569">
        <v>169.77</v>
      </c>
      <c r="F708" s="563">
        <v>55355.0</v>
      </c>
      <c r="G708" s="557"/>
      <c r="H708" s="559"/>
      <c r="I708" s="564">
        <v>34396.0</v>
      </c>
      <c r="J708" s="565">
        <v>55355.0</v>
      </c>
      <c r="K708" s="542"/>
      <c r="L708" s="542"/>
      <c r="M708" s="542"/>
    </row>
    <row r="709">
      <c r="A709" s="570"/>
      <c r="B709" s="559" t="s">
        <v>1712</v>
      </c>
      <c r="C709" s="568">
        <v>1125.0</v>
      </c>
      <c r="D709" s="557">
        <v>0.967</v>
      </c>
      <c r="E709" s="569">
        <v>158.21</v>
      </c>
      <c r="F709" s="563">
        <v>55300.0</v>
      </c>
      <c r="G709" s="557"/>
      <c r="H709" s="559"/>
      <c r="I709" s="564">
        <v>34362.0</v>
      </c>
      <c r="J709" s="565">
        <v>55300.0</v>
      </c>
      <c r="K709" s="542"/>
      <c r="L709" s="542"/>
      <c r="M709" s="542"/>
    </row>
    <row r="710">
      <c r="A710" s="570"/>
      <c r="B710" s="559" t="s">
        <v>1726</v>
      </c>
      <c r="C710" s="568">
        <v>654.0</v>
      </c>
      <c r="D710" s="557">
        <v>0.9522</v>
      </c>
      <c r="E710" s="569">
        <v>161.11</v>
      </c>
      <c r="F710" s="563">
        <v>55201.0</v>
      </c>
      <c r="G710" s="557"/>
      <c r="H710" s="559"/>
      <c r="I710" s="564">
        <v>34300.0</v>
      </c>
      <c r="J710" s="565">
        <v>55201.0</v>
      </c>
      <c r="K710" s="542"/>
      <c r="L710" s="542"/>
      <c r="M710" s="542"/>
    </row>
    <row r="711">
      <c r="A711" s="570"/>
      <c r="B711" s="559" t="s">
        <v>1387</v>
      </c>
      <c r="C711" s="568">
        <v>568.0</v>
      </c>
      <c r="D711" s="557">
        <v>0.9148</v>
      </c>
      <c r="E711" s="569">
        <v>177.59</v>
      </c>
      <c r="F711" s="563">
        <v>55125.0</v>
      </c>
      <c r="G711" s="557"/>
      <c r="H711" s="559"/>
      <c r="I711" s="564">
        <v>34253.0</v>
      </c>
      <c r="J711" s="565">
        <v>55125.0</v>
      </c>
      <c r="K711" s="542"/>
      <c r="L711" s="542"/>
      <c r="M711" s="542"/>
    </row>
    <row r="712">
      <c r="A712" s="570"/>
      <c r="B712" s="559" t="s">
        <v>1712</v>
      </c>
      <c r="C712" s="568">
        <v>1124.0</v>
      </c>
      <c r="D712" s="557">
        <v>0.967</v>
      </c>
      <c r="E712" s="569">
        <v>157.56</v>
      </c>
      <c r="F712" s="563">
        <v>55071.0</v>
      </c>
      <c r="G712" s="557"/>
      <c r="H712" s="559"/>
      <c r="I712" s="564">
        <v>34220.0</v>
      </c>
      <c r="J712" s="565">
        <v>55071.0</v>
      </c>
      <c r="K712" s="542"/>
      <c r="L712" s="542"/>
      <c r="M712" s="542"/>
    </row>
    <row r="713">
      <c r="A713" s="570"/>
      <c r="B713" s="557"/>
      <c r="C713" s="557"/>
      <c r="D713" s="557"/>
      <c r="E713" s="557"/>
      <c r="F713" s="563">
        <v>54800.0</v>
      </c>
      <c r="G713" s="557"/>
      <c r="H713" s="557">
        <v>0.9546701286025138</v>
      </c>
      <c r="I713" s="564">
        <v>34051.0</v>
      </c>
      <c r="J713" s="565">
        <v>54800.0</v>
      </c>
      <c r="K713" s="542"/>
      <c r="L713" s="542"/>
      <c r="M713" s="542"/>
    </row>
    <row r="714">
      <c r="A714" s="570"/>
      <c r="B714" s="559" t="s">
        <v>513</v>
      </c>
      <c r="C714" s="568">
        <v>558.0</v>
      </c>
      <c r="D714" s="557">
        <v>0.9746</v>
      </c>
      <c r="E714" s="569">
        <v>161.06</v>
      </c>
      <c r="F714" s="563">
        <v>54765.0</v>
      </c>
      <c r="G714" s="557"/>
      <c r="H714" s="559"/>
      <c r="I714" s="564">
        <v>34029.0</v>
      </c>
      <c r="J714" s="565">
        <v>54765.0</v>
      </c>
      <c r="K714" s="542"/>
      <c r="L714" s="542"/>
      <c r="M714" s="542"/>
    </row>
    <row r="715">
      <c r="A715" s="570"/>
      <c r="B715" s="559" t="s">
        <v>1714</v>
      </c>
      <c r="C715" s="568">
        <v>1135.0</v>
      </c>
      <c r="D715" s="557">
        <v>0.9568</v>
      </c>
      <c r="E715" s="569">
        <v>157.47</v>
      </c>
      <c r="F715" s="563">
        <v>54757.0</v>
      </c>
      <c r="G715" s="557"/>
      <c r="H715" s="559"/>
      <c r="I715" s="564">
        <v>34024.0</v>
      </c>
      <c r="J715" s="565">
        <v>54757.0</v>
      </c>
      <c r="K715" s="542"/>
      <c r="L715" s="542"/>
      <c r="M715" s="542"/>
    </row>
    <row r="716">
      <c r="A716" s="570"/>
      <c r="B716" s="559" t="s">
        <v>201</v>
      </c>
      <c r="C716" s="568">
        <v>738.0</v>
      </c>
      <c r="D716" s="557">
        <v>0.9624</v>
      </c>
      <c r="E716" s="569">
        <v>123.04</v>
      </c>
      <c r="F716" s="563">
        <v>54700.0</v>
      </c>
      <c r="G716" s="557"/>
      <c r="H716" s="559"/>
      <c r="I716" s="564">
        <v>33989.0</v>
      </c>
      <c r="J716" s="565">
        <v>54700.0</v>
      </c>
      <c r="K716" s="542"/>
      <c r="L716" s="542"/>
      <c r="M716" s="542"/>
    </row>
    <row r="717">
      <c r="A717" s="570"/>
      <c r="B717" s="559" t="s">
        <v>1714</v>
      </c>
      <c r="C717" s="568">
        <v>1131.0</v>
      </c>
      <c r="D717" s="557">
        <v>0.9593</v>
      </c>
      <c r="E717" s="569">
        <v>156.46</v>
      </c>
      <c r="F717" s="563">
        <v>54475.0</v>
      </c>
      <c r="G717" s="557"/>
      <c r="H717" s="559"/>
      <c r="I717" s="564">
        <v>33849.0</v>
      </c>
      <c r="J717" s="565">
        <v>54475.0</v>
      </c>
      <c r="K717" s="542"/>
      <c r="L717" s="542"/>
      <c r="M717" s="542"/>
    </row>
    <row r="718">
      <c r="A718" s="570"/>
      <c r="B718" s="559" t="s">
        <v>96</v>
      </c>
      <c r="C718" s="568">
        <v>460.0</v>
      </c>
      <c r="D718" s="557">
        <v>0.9424</v>
      </c>
      <c r="E718" s="569">
        <v>164.9</v>
      </c>
      <c r="F718" s="563">
        <v>54432.0</v>
      </c>
      <c r="G718" s="557"/>
      <c r="H718" s="559"/>
      <c r="I718" s="564">
        <v>33822.0</v>
      </c>
      <c r="J718" s="565">
        <v>54432.0</v>
      </c>
      <c r="K718" s="542"/>
      <c r="L718" s="542"/>
      <c r="M718" s="542"/>
    </row>
    <row r="719">
      <c r="A719" s="570"/>
      <c r="B719" s="559" t="s">
        <v>194</v>
      </c>
      <c r="C719" s="568">
        <v>896.0</v>
      </c>
      <c r="D719" s="557">
        <v>0.9083</v>
      </c>
      <c r="E719" s="569">
        <v>185.23</v>
      </c>
      <c r="F719" s="563">
        <v>54401.0</v>
      </c>
      <c r="G719" s="557">
        <v>-1.0</v>
      </c>
      <c r="H719" s="559"/>
      <c r="I719" s="564">
        <v>33803.0</v>
      </c>
      <c r="J719" s="565">
        <v>54401.0</v>
      </c>
      <c r="K719" s="542"/>
      <c r="L719" s="542"/>
      <c r="M719" s="542"/>
    </row>
    <row r="720">
      <c r="A720" s="570"/>
      <c r="B720" s="559" t="s">
        <v>696</v>
      </c>
      <c r="C720" s="568">
        <v>980.0</v>
      </c>
      <c r="D720" s="557">
        <v>0.9675</v>
      </c>
      <c r="E720" s="569">
        <v>151.94</v>
      </c>
      <c r="F720" s="563">
        <v>54180.0</v>
      </c>
      <c r="G720" s="557">
        <v>-1.0</v>
      </c>
      <c r="H720" s="559"/>
      <c r="I720" s="564">
        <v>33666.0</v>
      </c>
      <c r="J720" s="565">
        <v>54180.0</v>
      </c>
      <c r="K720" s="542"/>
      <c r="L720" s="542"/>
      <c r="M720" s="542"/>
    </row>
    <row r="721">
      <c r="A721" s="570"/>
      <c r="B721" s="559" t="s">
        <v>1873</v>
      </c>
      <c r="C721" s="568">
        <v>1058.0</v>
      </c>
      <c r="D721" s="557">
        <v>0.8824</v>
      </c>
      <c r="E721" s="569">
        <v>195.59</v>
      </c>
      <c r="F721" s="563">
        <v>54100.0</v>
      </c>
      <c r="G721" s="557"/>
      <c r="H721" s="559"/>
      <c r="I721" s="564">
        <v>33616.0</v>
      </c>
      <c r="J721" s="565">
        <v>54100.0</v>
      </c>
      <c r="K721" s="542"/>
      <c r="L721" s="542"/>
      <c r="M721" s="542"/>
    </row>
    <row r="722">
      <c r="A722" s="570"/>
      <c r="B722" s="557"/>
      <c r="C722" s="557"/>
      <c r="D722" s="557"/>
      <c r="E722" s="557"/>
      <c r="F722" s="563">
        <v>54050.0</v>
      </c>
      <c r="G722" s="557"/>
      <c r="H722" s="557">
        <v>0.954895331736416</v>
      </c>
      <c r="I722" s="564">
        <v>33585.0</v>
      </c>
      <c r="J722" s="565">
        <v>54050.0</v>
      </c>
      <c r="K722" s="542"/>
      <c r="L722" s="542"/>
      <c r="M722" s="542"/>
    </row>
    <row r="723">
      <c r="A723" s="570"/>
      <c r="B723" s="559" t="s">
        <v>192</v>
      </c>
      <c r="C723" s="568">
        <v>705.0</v>
      </c>
      <c r="D723" s="557">
        <v>0.9449</v>
      </c>
      <c r="E723" s="569">
        <v>176.42</v>
      </c>
      <c r="F723" s="563">
        <v>54038.0</v>
      </c>
      <c r="G723" s="557"/>
      <c r="H723" s="559"/>
      <c r="I723" s="564">
        <v>33578.0</v>
      </c>
      <c r="J723" s="565">
        <v>54038.0</v>
      </c>
      <c r="K723" s="542"/>
      <c r="L723" s="542"/>
      <c r="M723" s="542"/>
    </row>
    <row r="724">
      <c r="A724" s="570"/>
      <c r="B724" s="559" t="s">
        <v>212</v>
      </c>
      <c r="C724" s="568">
        <v>408.0</v>
      </c>
      <c r="D724" s="557">
        <v>0.9544</v>
      </c>
      <c r="E724" s="569">
        <v>157.6</v>
      </c>
      <c r="F724" s="563">
        <v>54000.0</v>
      </c>
      <c r="G724" s="557"/>
      <c r="H724" s="559"/>
      <c r="I724" s="564">
        <v>33554.0</v>
      </c>
      <c r="J724" s="565">
        <v>54000.0</v>
      </c>
      <c r="K724" s="542"/>
      <c r="L724" s="542"/>
      <c r="M724" s="542"/>
    </row>
    <row r="725">
      <c r="A725" s="570"/>
      <c r="B725" s="559" t="s">
        <v>541</v>
      </c>
      <c r="C725" s="568">
        <v>565.0</v>
      </c>
      <c r="D725" s="557">
        <v>0.9746</v>
      </c>
      <c r="E725" s="569">
        <v>155.29</v>
      </c>
      <c r="F725" s="563">
        <v>54000.0</v>
      </c>
      <c r="G725" s="557"/>
      <c r="H725" s="559"/>
      <c r="I725" s="564">
        <v>33554.0</v>
      </c>
      <c r="J725" s="565">
        <v>54000.0</v>
      </c>
      <c r="K725" s="542"/>
      <c r="L725" s="542"/>
      <c r="M725" s="542"/>
    </row>
    <row r="726">
      <c r="A726" s="570"/>
      <c r="B726" s="559" t="s">
        <v>1693</v>
      </c>
      <c r="C726" s="568">
        <v>696.0</v>
      </c>
      <c r="D726" s="557">
        <v>0.9441</v>
      </c>
      <c r="E726" s="569">
        <v>159.16</v>
      </c>
      <c r="F726" s="563">
        <v>54000.0</v>
      </c>
      <c r="G726" s="557"/>
      <c r="H726" s="559"/>
      <c r="I726" s="564">
        <v>33554.0</v>
      </c>
      <c r="J726" s="565">
        <v>54000.0</v>
      </c>
      <c r="K726" s="542"/>
      <c r="L726" s="542"/>
      <c r="M726" s="542"/>
    </row>
    <row r="727">
      <c r="A727" s="570"/>
      <c r="B727" s="559" t="s">
        <v>513</v>
      </c>
      <c r="C727" s="568">
        <v>543.0</v>
      </c>
      <c r="D727" s="557">
        <v>0.9797</v>
      </c>
      <c r="E727" s="569">
        <v>159.11</v>
      </c>
      <c r="F727" s="563">
        <v>54000.0</v>
      </c>
      <c r="G727" s="557"/>
      <c r="H727" s="559"/>
      <c r="I727" s="564">
        <v>33554.0</v>
      </c>
      <c r="J727" s="565">
        <v>54000.0</v>
      </c>
      <c r="K727" s="542"/>
      <c r="L727" s="542"/>
      <c r="M727" s="542"/>
    </row>
    <row r="728">
      <c r="A728" s="570"/>
      <c r="B728" s="559" t="s">
        <v>566</v>
      </c>
      <c r="C728" s="568">
        <v>566.0</v>
      </c>
      <c r="D728" s="557">
        <v>0.9721</v>
      </c>
      <c r="E728" s="569">
        <v>155.48</v>
      </c>
      <c r="F728" s="563">
        <v>54000.0</v>
      </c>
      <c r="G728" s="557"/>
      <c r="H728" s="559"/>
      <c r="I728" s="564">
        <v>33554.0</v>
      </c>
      <c r="J728" s="565">
        <v>54000.0</v>
      </c>
      <c r="K728" s="542"/>
      <c r="L728" s="542"/>
      <c r="M728" s="542"/>
    </row>
    <row r="729">
      <c r="A729" s="570"/>
      <c r="B729" s="559" t="s">
        <v>449</v>
      </c>
      <c r="C729" s="568">
        <v>444.0</v>
      </c>
      <c r="D729" s="557">
        <v>0.9474</v>
      </c>
      <c r="E729" s="569">
        <v>136.99</v>
      </c>
      <c r="F729" s="563">
        <v>53833.0</v>
      </c>
      <c r="G729" s="557"/>
      <c r="H729" s="559"/>
      <c r="I729" s="564">
        <v>33450.0</v>
      </c>
      <c r="J729" s="565">
        <v>53833.0</v>
      </c>
      <c r="K729" s="542"/>
      <c r="L729" s="542"/>
      <c r="M729" s="542"/>
    </row>
    <row r="730">
      <c r="A730" s="570"/>
      <c r="B730" s="559" t="s">
        <v>1823</v>
      </c>
      <c r="C730" s="568">
        <v>1023.0</v>
      </c>
      <c r="D730" s="557">
        <v>0.9549</v>
      </c>
      <c r="E730" s="569">
        <v>138.42</v>
      </c>
      <c r="F730" s="563">
        <v>53756.1</v>
      </c>
      <c r="G730" s="557"/>
      <c r="H730" s="559"/>
      <c r="I730" s="564">
        <v>33402.0</v>
      </c>
      <c r="J730" s="565">
        <v>53756.1</v>
      </c>
      <c r="K730" s="542"/>
      <c r="L730" s="542"/>
      <c r="M730" s="542"/>
    </row>
    <row r="731">
      <c r="A731" s="570"/>
      <c r="B731" s="559" t="s">
        <v>1741</v>
      </c>
      <c r="C731" s="568">
        <v>418.0</v>
      </c>
      <c r="D731" s="557">
        <v>0.9679</v>
      </c>
      <c r="E731" s="569">
        <v>145.14</v>
      </c>
      <c r="F731" s="563">
        <v>53720.0</v>
      </c>
      <c r="G731" s="557"/>
      <c r="H731" s="559"/>
      <c r="I731" s="564">
        <v>33380.0</v>
      </c>
      <c r="J731" s="565">
        <v>53720.0</v>
      </c>
      <c r="K731" s="542"/>
      <c r="L731" s="542"/>
      <c r="M731" s="542"/>
    </row>
    <row r="732">
      <c r="A732" s="570"/>
      <c r="B732" s="559" t="s">
        <v>784</v>
      </c>
      <c r="C732" s="568">
        <v>582.0</v>
      </c>
      <c r="D732" s="557">
        <v>0.9424</v>
      </c>
      <c r="E732" s="569">
        <v>149.57</v>
      </c>
      <c r="F732" s="563">
        <v>53600.0</v>
      </c>
      <c r="G732" s="557"/>
      <c r="H732" s="559"/>
      <c r="I732" s="564">
        <v>33305.0</v>
      </c>
      <c r="J732" s="565">
        <v>53600.0</v>
      </c>
      <c r="K732" s="542"/>
      <c r="L732" s="542"/>
      <c r="M732" s="542"/>
    </row>
    <row r="733">
      <c r="A733" s="570"/>
      <c r="B733" s="559" t="s">
        <v>1726</v>
      </c>
      <c r="C733" s="568">
        <v>632.0</v>
      </c>
      <c r="D733" s="557">
        <v>0.9567</v>
      </c>
      <c r="E733" s="569">
        <v>155.95</v>
      </c>
      <c r="F733" s="563">
        <v>53328.0</v>
      </c>
      <c r="G733" s="557"/>
      <c r="H733" s="559"/>
      <c r="I733" s="564">
        <v>33136.0</v>
      </c>
      <c r="J733" s="565">
        <v>53328.0</v>
      </c>
      <c r="K733" s="542"/>
      <c r="L733" s="542"/>
      <c r="M733" s="542"/>
    </row>
    <row r="734">
      <c r="A734" s="570"/>
      <c r="B734" s="557"/>
      <c r="C734" s="557"/>
      <c r="D734" s="557"/>
      <c r="E734" s="557"/>
      <c r="F734" s="563">
        <v>53300.0</v>
      </c>
      <c r="G734" s="557"/>
      <c r="H734" s="557">
        <v>0.9551244227914034</v>
      </c>
      <c r="I734" s="564">
        <v>33119.0</v>
      </c>
      <c r="J734" s="565">
        <v>53300.0</v>
      </c>
      <c r="K734" s="542"/>
      <c r="L734" s="542"/>
      <c r="M734" s="542"/>
    </row>
    <row r="735">
      <c r="A735" s="570"/>
      <c r="B735" s="559" t="s">
        <v>241</v>
      </c>
      <c r="C735" s="568">
        <v>648.0</v>
      </c>
      <c r="D735" s="557">
        <v>0.9238</v>
      </c>
      <c r="E735" s="569">
        <v>157.82</v>
      </c>
      <c r="F735" s="563">
        <v>53226.0</v>
      </c>
      <c r="G735" s="557"/>
      <c r="H735" s="559"/>
      <c r="I735" s="564">
        <v>33073.0</v>
      </c>
      <c r="J735" s="565">
        <v>53226.0</v>
      </c>
      <c r="K735" s="542"/>
      <c r="L735" s="542"/>
      <c r="M735" s="542"/>
    </row>
    <row r="736">
      <c r="A736" s="570"/>
      <c r="B736" s="559" t="s">
        <v>1637</v>
      </c>
      <c r="C736" s="568">
        <v>375.0</v>
      </c>
      <c r="D736" s="557">
        <v>0.9766</v>
      </c>
      <c r="E736" s="569">
        <v>161.12</v>
      </c>
      <c r="F736" s="563">
        <v>53176.0</v>
      </c>
      <c r="G736" s="557"/>
      <c r="H736" s="559"/>
      <c r="I736" s="564">
        <v>33042.0</v>
      </c>
      <c r="J736" s="565">
        <v>53176.0</v>
      </c>
      <c r="K736" s="542"/>
      <c r="L736" s="542"/>
      <c r="M736" s="542"/>
    </row>
    <row r="737">
      <c r="A737" s="570"/>
      <c r="B737" s="559" t="s">
        <v>1478</v>
      </c>
      <c r="C737" s="568">
        <v>719.0</v>
      </c>
      <c r="D737" s="557">
        <v>0.9289</v>
      </c>
      <c r="E737" s="569">
        <v>149.65</v>
      </c>
      <c r="F737" s="563">
        <v>53000.0</v>
      </c>
      <c r="G737" s="557"/>
      <c r="H737" s="559"/>
      <c r="I737" s="564">
        <v>32933.0</v>
      </c>
      <c r="J737" s="565">
        <v>53000.0</v>
      </c>
      <c r="K737" s="542"/>
      <c r="L737" s="542"/>
      <c r="M737" s="542"/>
    </row>
    <row r="738">
      <c r="A738" s="570"/>
      <c r="B738" s="559" t="s">
        <v>1847</v>
      </c>
      <c r="C738" s="568">
        <v>426.0</v>
      </c>
      <c r="D738" s="557">
        <v>0.9308</v>
      </c>
      <c r="E738" s="569">
        <v>155.86</v>
      </c>
      <c r="F738" s="563">
        <v>53000.0</v>
      </c>
      <c r="G738" s="557"/>
      <c r="H738" s="559"/>
      <c r="I738" s="564">
        <v>32933.0</v>
      </c>
      <c r="J738" s="565">
        <v>53000.0</v>
      </c>
      <c r="K738" s="542"/>
      <c r="L738" s="542"/>
      <c r="M738" s="542"/>
    </row>
    <row r="739">
      <c r="A739" s="570"/>
      <c r="B739" s="559" t="s">
        <v>192</v>
      </c>
      <c r="C739" s="568">
        <v>687.0</v>
      </c>
      <c r="D739" s="557">
        <v>0.939</v>
      </c>
      <c r="E739" s="569">
        <v>171.72</v>
      </c>
      <c r="F739" s="563">
        <v>52871.0</v>
      </c>
      <c r="G739" s="557"/>
      <c r="H739" s="559"/>
      <c r="I739" s="564">
        <v>32853.0</v>
      </c>
      <c r="J739" s="565">
        <v>52871.0</v>
      </c>
      <c r="K739" s="542"/>
      <c r="L739" s="542"/>
      <c r="M739" s="542"/>
    </row>
    <row r="740">
      <c r="A740" s="570"/>
      <c r="B740" s="559" t="s">
        <v>328</v>
      </c>
      <c r="C740" s="568">
        <v>817.0</v>
      </c>
      <c r="D740" s="557">
        <v>0.9289</v>
      </c>
      <c r="E740" s="569">
        <v>148.52</v>
      </c>
      <c r="F740" s="563">
        <v>52850.0</v>
      </c>
      <c r="G740" s="557"/>
      <c r="H740" s="559"/>
      <c r="I740" s="564">
        <v>32839.0</v>
      </c>
      <c r="J740" s="565">
        <v>52850.0</v>
      </c>
      <c r="K740" s="542"/>
      <c r="L740" s="542"/>
      <c r="M740" s="542"/>
    </row>
    <row r="741">
      <c r="A741" s="570"/>
      <c r="B741" s="559" t="s">
        <v>1275</v>
      </c>
      <c r="C741" s="568">
        <v>400.0</v>
      </c>
      <c r="D741" s="557">
        <v>0.9185</v>
      </c>
      <c r="E741" s="569">
        <v>194.42</v>
      </c>
      <c r="F741" s="563">
        <v>52783.0</v>
      </c>
      <c r="G741" s="557"/>
      <c r="H741" s="559"/>
      <c r="I741" s="564">
        <v>32798.0</v>
      </c>
      <c r="J741" s="565">
        <v>52783.0</v>
      </c>
      <c r="K741" s="542"/>
      <c r="L741" s="542"/>
      <c r="M741" s="542"/>
    </row>
    <row r="742">
      <c r="A742" s="570"/>
      <c r="B742" s="559" t="s">
        <v>439</v>
      </c>
      <c r="C742" s="568">
        <v>956.0</v>
      </c>
      <c r="D742" s="557">
        <v>0.948</v>
      </c>
      <c r="E742" s="569">
        <v>139.74</v>
      </c>
      <c r="F742" s="563">
        <v>52706.0</v>
      </c>
      <c r="G742" s="557">
        <v>-1.0</v>
      </c>
      <c r="H742" s="559"/>
      <c r="I742" s="564">
        <v>32750.0</v>
      </c>
      <c r="J742" s="565">
        <v>52706.0</v>
      </c>
      <c r="K742" s="542"/>
      <c r="L742" s="542"/>
      <c r="M742" s="542"/>
    </row>
    <row r="743">
      <c r="A743" s="570"/>
      <c r="B743" s="559" t="s">
        <v>381</v>
      </c>
      <c r="C743" s="568">
        <v>373.0</v>
      </c>
      <c r="D743" s="557">
        <v>0.9569</v>
      </c>
      <c r="E743" s="569">
        <v>152.83</v>
      </c>
      <c r="F743" s="563">
        <v>52671.0</v>
      </c>
      <c r="G743" s="557"/>
      <c r="H743" s="559"/>
      <c r="I743" s="564">
        <v>32728.0</v>
      </c>
      <c r="J743" s="565">
        <v>52671.0</v>
      </c>
      <c r="K743" s="542"/>
      <c r="L743" s="542"/>
      <c r="M743" s="542"/>
    </row>
    <row r="744">
      <c r="A744" s="570"/>
      <c r="B744" s="559" t="s">
        <v>1127</v>
      </c>
      <c r="C744" s="568">
        <v>408.0</v>
      </c>
      <c r="D744" s="557">
        <v>0.9744</v>
      </c>
      <c r="E744" s="569">
        <v>145.08</v>
      </c>
      <c r="F744" s="563">
        <v>52600.0</v>
      </c>
      <c r="G744" s="557"/>
      <c r="H744" s="559"/>
      <c r="I744" s="564">
        <v>32684.0</v>
      </c>
      <c r="J744" s="565">
        <v>52600.0</v>
      </c>
      <c r="K744" s="542"/>
      <c r="L744" s="542"/>
      <c r="M744" s="542"/>
    </row>
    <row r="745">
      <c r="A745" s="570"/>
      <c r="B745" s="559" t="s">
        <v>161</v>
      </c>
      <c r="C745" s="568">
        <v>865.0</v>
      </c>
      <c r="D745" s="557">
        <v>0.9442</v>
      </c>
      <c r="E745" s="569">
        <v>129.66</v>
      </c>
      <c r="F745" s="563">
        <v>52561.0</v>
      </c>
      <c r="G745" s="557">
        <v>-1.0</v>
      </c>
      <c r="H745" s="559"/>
      <c r="I745" s="564">
        <v>32660.0</v>
      </c>
      <c r="J745" s="565">
        <v>52561.0</v>
      </c>
      <c r="K745" s="542"/>
      <c r="L745" s="542"/>
      <c r="M745" s="542"/>
    </row>
    <row r="746">
      <c r="A746" s="570"/>
      <c r="B746" s="557"/>
      <c r="C746" s="557"/>
      <c r="D746" s="557"/>
      <c r="E746" s="557"/>
      <c r="F746" s="563">
        <v>52550.0</v>
      </c>
      <c r="G746" s="557"/>
      <c r="H746" s="557">
        <v>0.9553575417737787</v>
      </c>
      <c r="I746" s="564">
        <v>32653.0</v>
      </c>
      <c r="J746" s="565">
        <v>52550.0</v>
      </c>
      <c r="K746" s="542"/>
      <c r="L746" s="542"/>
      <c r="M746" s="542"/>
    </row>
    <row r="747">
      <c r="A747" s="570"/>
      <c r="B747" s="559" t="s">
        <v>548</v>
      </c>
      <c r="C747" s="568">
        <v>595.0</v>
      </c>
      <c r="D747" s="557">
        <v>0.9467</v>
      </c>
      <c r="E747" s="569">
        <v>162.19</v>
      </c>
      <c r="F747" s="563">
        <v>52500.0</v>
      </c>
      <c r="G747" s="557"/>
      <c r="H747" s="559"/>
      <c r="I747" s="564">
        <v>32622.0</v>
      </c>
      <c r="J747" s="565">
        <v>52500.0</v>
      </c>
      <c r="K747" s="542"/>
      <c r="L747" s="542"/>
      <c r="M747" s="542"/>
    </row>
    <row r="748">
      <c r="A748" s="570"/>
      <c r="B748" s="559" t="s">
        <v>1695</v>
      </c>
      <c r="C748" s="568">
        <v>991.0</v>
      </c>
      <c r="D748" s="557">
        <v>0.9644</v>
      </c>
      <c r="E748" s="569">
        <v>155.22</v>
      </c>
      <c r="F748" s="563">
        <v>52500.0</v>
      </c>
      <c r="G748" s="557"/>
      <c r="H748" s="559"/>
      <c r="I748" s="564">
        <v>32622.0</v>
      </c>
      <c r="J748" s="565">
        <v>52500.0</v>
      </c>
      <c r="K748" s="542"/>
      <c r="L748" s="542"/>
      <c r="M748" s="542"/>
    </row>
    <row r="749">
      <c r="A749" s="570"/>
      <c r="B749" s="559" t="s">
        <v>640</v>
      </c>
      <c r="C749" s="568">
        <v>472.0</v>
      </c>
      <c r="D749" s="557">
        <v>0.9441</v>
      </c>
      <c r="E749" s="569">
        <v>151.89</v>
      </c>
      <c r="F749" s="563">
        <v>52483.0</v>
      </c>
      <c r="G749" s="557"/>
      <c r="H749" s="559"/>
      <c r="I749" s="564">
        <v>32611.0</v>
      </c>
      <c r="J749" s="565">
        <v>52483.0</v>
      </c>
      <c r="K749" s="542"/>
      <c r="L749" s="542"/>
      <c r="M749" s="542"/>
    </row>
    <row r="750">
      <c r="A750" s="570"/>
      <c r="B750" s="559" t="s">
        <v>1013</v>
      </c>
      <c r="C750" s="568">
        <v>391.0</v>
      </c>
      <c r="D750" s="557">
        <v>0.9574</v>
      </c>
      <c r="E750" s="569">
        <v>154.93</v>
      </c>
      <c r="F750" s="563">
        <v>52221.0</v>
      </c>
      <c r="G750" s="557"/>
      <c r="H750" s="559"/>
      <c r="I750" s="564">
        <v>32449.0</v>
      </c>
      <c r="J750" s="565">
        <v>52221.0</v>
      </c>
      <c r="K750" s="542"/>
      <c r="L750" s="542"/>
      <c r="M750" s="542"/>
    </row>
    <row r="751">
      <c r="A751" s="570"/>
      <c r="B751" s="559" t="s">
        <v>579</v>
      </c>
      <c r="C751" s="568">
        <v>1106.0</v>
      </c>
      <c r="D751" s="557">
        <v>0.948</v>
      </c>
      <c r="E751" s="569">
        <v>140.05</v>
      </c>
      <c r="F751" s="563">
        <v>52172.0</v>
      </c>
      <c r="G751" s="557">
        <v>-1.0</v>
      </c>
      <c r="H751" s="559"/>
      <c r="I751" s="564">
        <v>32418.0</v>
      </c>
      <c r="J751" s="565">
        <v>52172.0</v>
      </c>
      <c r="K751" s="542"/>
      <c r="L751" s="542"/>
      <c r="M751" s="542"/>
    </row>
    <row r="752">
      <c r="A752" s="570"/>
      <c r="B752" s="559" t="s">
        <v>1712</v>
      </c>
      <c r="C752" s="568">
        <v>1089.0</v>
      </c>
      <c r="D752" s="557">
        <v>0.967</v>
      </c>
      <c r="E752" s="569">
        <v>149.23</v>
      </c>
      <c r="F752" s="563">
        <v>52159.0</v>
      </c>
      <c r="G752" s="557"/>
      <c r="H752" s="559"/>
      <c r="I752" s="564">
        <v>32410.0</v>
      </c>
      <c r="J752" s="565">
        <v>52159.0</v>
      </c>
      <c r="K752" s="542"/>
      <c r="L752" s="542"/>
      <c r="M752" s="542"/>
    </row>
    <row r="753">
      <c r="A753" s="570"/>
      <c r="B753" s="559" t="s">
        <v>1640</v>
      </c>
      <c r="C753" s="568">
        <v>538.0</v>
      </c>
      <c r="D753" s="557">
        <v>1.0028</v>
      </c>
      <c r="E753" s="569">
        <v>158.52</v>
      </c>
      <c r="F753" s="563">
        <v>52000.0</v>
      </c>
      <c r="G753" s="557"/>
      <c r="H753" s="559"/>
      <c r="I753" s="564">
        <v>32311.0</v>
      </c>
      <c r="J753" s="565">
        <v>52000.0</v>
      </c>
      <c r="K753" s="542"/>
      <c r="L753" s="542"/>
      <c r="M753" s="542"/>
    </row>
    <row r="754">
      <c r="A754" s="570"/>
      <c r="B754" s="559" t="s">
        <v>1808</v>
      </c>
      <c r="C754" s="568">
        <v>686.0</v>
      </c>
      <c r="D754" s="557">
        <v>0.982</v>
      </c>
      <c r="E754" s="569">
        <v>150.34</v>
      </c>
      <c r="F754" s="563">
        <v>52000.0</v>
      </c>
      <c r="G754" s="557"/>
      <c r="H754" s="559"/>
      <c r="I754" s="564">
        <v>32311.0</v>
      </c>
      <c r="J754" s="565">
        <v>52000.0</v>
      </c>
      <c r="K754" s="542"/>
      <c r="L754" s="542"/>
      <c r="M754" s="542"/>
    </row>
    <row r="755">
      <c r="A755" s="570"/>
      <c r="B755" s="559" t="s">
        <v>605</v>
      </c>
      <c r="C755" s="568">
        <v>639.0</v>
      </c>
      <c r="D755" s="557">
        <v>0.9398</v>
      </c>
      <c r="E755" s="569">
        <v>136.51</v>
      </c>
      <c r="F755" s="563">
        <v>51815.0</v>
      </c>
      <c r="G755" s="557"/>
      <c r="H755" s="559"/>
      <c r="I755" s="564">
        <v>32196.0</v>
      </c>
      <c r="J755" s="565">
        <v>51815.0</v>
      </c>
      <c r="K755" s="542"/>
      <c r="L755" s="542"/>
      <c r="M755" s="542"/>
    </row>
    <row r="756">
      <c r="A756" s="570"/>
      <c r="B756" s="557"/>
      <c r="C756" s="557"/>
      <c r="D756" s="557"/>
      <c r="E756" s="557"/>
      <c r="F756" s="563">
        <v>51800.0</v>
      </c>
      <c r="G756" s="557"/>
      <c r="H756" s="557">
        <v>0.955594833731553</v>
      </c>
      <c r="I756" s="564">
        <v>32187.0</v>
      </c>
      <c r="J756" s="565">
        <v>51800.0</v>
      </c>
      <c r="K756" s="542"/>
      <c r="L756" s="542"/>
      <c r="M756" s="542"/>
    </row>
    <row r="757">
      <c r="A757" s="570"/>
      <c r="B757" s="559" t="s">
        <v>713</v>
      </c>
      <c r="C757" s="568">
        <v>794.0</v>
      </c>
      <c r="D757" s="557">
        <v>0.983</v>
      </c>
      <c r="E757" s="569">
        <v>132.97</v>
      </c>
      <c r="F757" s="563">
        <v>51697.0</v>
      </c>
      <c r="G757" s="557">
        <v>-1.0</v>
      </c>
      <c r="H757" s="559"/>
      <c r="I757" s="564">
        <v>32123.0</v>
      </c>
      <c r="J757" s="565">
        <v>51697.0</v>
      </c>
      <c r="K757" s="542"/>
      <c r="L757" s="542"/>
      <c r="M757" s="542"/>
    </row>
    <row r="758">
      <c r="A758" s="570"/>
      <c r="B758" s="559" t="s">
        <v>1832</v>
      </c>
      <c r="C758" s="568">
        <v>687.0</v>
      </c>
      <c r="D758" s="557">
        <v>0.951</v>
      </c>
      <c r="E758" s="569">
        <v>144.74</v>
      </c>
      <c r="F758" s="563">
        <v>51605.0</v>
      </c>
      <c r="G758" s="557"/>
      <c r="H758" s="559"/>
      <c r="I758" s="564">
        <v>32066.0</v>
      </c>
      <c r="J758" s="565">
        <v>51605.0</v>
      </c>
      <c r="K758" s="542"/>
      <c r="L758" s="542"/>
      <c r="M758" s="542"/>
    </row>
    <row r="759">
      <c r="A759" s="570"/>
      <c r="B759" s="559" t="s">
        <v>122</v>
      </c>
      <c r="C759" s="568">
        <v>462.0</v>
      </c>
      <c r="D759" s="557">
        <v>0.9863</v>
      </c>
      <c r="E759" s="569">
        <v>136.87</v>
      </c>
      <c r="F759" s="563">
        <v>51525.0</v>
      </c>
      <c r="G759" s="557">
        <v>-1.0</v>
      </c>
      <c r="H759" s="559"/>
      <c r="I759" s="564">
        <v>32016.0</v>
      </c>
      <c r="J759" s="565">
        <v>51525.0</v>
      </c>
      <c r="K759" s="542"/>
      <c r="L759" s="542"/>
      <c r="M759" s="542"/>
    </row>
    <row r="760">
      <c r="A760" s="570"/>
      <c r="B760" s="559" t="s">
        <v>296</v>
      </c>
      <c r="C760" s="568">
        <v>537.0</v>
      </c>
      <c r="D760" s="557">
        <v>0.9814</v>
      </c>
      <c r="E760" s="569">
        <v>139.23</v>
      </c>
      <c r="F760" s="563">
        <v>51499.0</v>
      </c>
      <c r="G760" s="557">
        <v>-1.0</v>
      </c>
      <c r="H760" s="559"/>
      <c r="I760" s="564">
        <v>32000.0</v>
      </c>
      <c r="J760" s="565">
        <v>51499.0</v>
      </c>
      <c r="K760" s="542"/>
      <c r="L760" s="542"/>
      <c r="M760" s="542"/>
    </row>
    <row r="761">
      <c r="A761" s="570"/>
      <c r="B761" s="559" t="s">
        <v>1628</v>
      </c>
      <c r="C761" s="568">
        <v>630.0</v>
      </c>
      <c r="D761" s="557">
        <v>0.9656</v>
      </c>
      <c r="E761" s="569">
        <v>136.11</v>
      </c>
      <c r="F761" s="563">
        <v>51364.0</v>
      </c>
      <c r="G761" s="557"/>
      <c r="H761" s="559"/>
      <c r="I761" s="564">
        <v>31916.0</v>
      </c>
      <c r="J761" s="565">
        <v>51364.0</v>
      </c>
      <c r="K761" s="542"/>
      <c r="L761" s="542"/>
      <c r="M761" s="542"/>
    </row>
    <row r="762">
      <c r="A762" s="570"/>
      <c r="B762" s="559" t="s">
        <v>1740</v>
      </c>
      <c r="C762" s="568">
        <v>520.0</v>
      </c>
      <c r="D762" s="557">
        <v>0.9656</v>
      </c>
      <c r="E762" s="569">
        <v>139.24</v>
      </c>
      <c r="F762" s="563">
        <v>51342.0</v>
      </c>
      <c r="G762" s="557"/>
      <c r="H762" s="559"/>
      <c r="I762" s="564">
        <v>31902.0</v>
      </c>
      <c r="J762" s="565">
        <v>51342.0</v>
      </c>
      <c r="K762" s="542"/>
      <c r="L762" s="542"/>
      <c r="M762" s="542"/>
    </row>
    <row r="763">
      <c r="A763" s="570"/>
      <c r="B763" s="559" t="s">
        <v>308</v>
      </c>
      <c r="C763" s="568">
        <v>498.0</v>
      </c>
      <c r="D763" s="557">
        <v>0.9494</v>
      </c>
      <c r="E763" s="569">
        <v>173.04</v>
      </c>
      <c r="F763" s="563">
        <v>51255.0</v>
      </c>
      <c r="G763" s="557"/>
      <c r="H763" s="559"/>
      <c r="I763" s="564">
        <v>31848.0</v>
      </c>
      <c r="J763" s="565">
        <v>51255.0</v>
      </c>
      <c r="K763" s="542"/>
      <c r="L763" s="542"/>
      <c r="M763" s="542"/>
    </row>
    <row r="764">
      <c r="A764" s="570"/>
      <c r="B764" s="559" t="s">
        <v>1726</v>
      </c>
      <c r="C764" s="568">
        <v>583.0</v>
      </c>
      <c r="D764" s="557">
        <v>0.9589</v>
      </c>
      <c r="E764" s="569">
        <v>149.63</v>
      </c>
      <c r="F764" s="563">
        <v>51222.0</v>
      </c>
      <c r="G764" s="557"/>
      <c r="H764" s="559"/>
      <c r="I764" s="564">
        <v>31828.0</v>
      </c>
      <c r="J764" s="565">
        <v>51222.0</v>
      </c>
      <c r="K764" s="542"/>
      <c r="L764" s="542"/>
      <c r="M764" s="542"/>
    </row>
    <row r="765">
      <c r="A765" s="570"/>
      <c r="B765" s="557"/>
      <c r="C765" s="557"/>
      <c r="D765" s="557"/>
      <c r="E765" s="557"/>
      <c r="F765" s="563">
        <v>51050.0</v>
      </c>
      <c r="G765" s="557"/>
      <c r="H765" s="557">
        <v>0.9558364489360008</v>
      </c>
      <c r="I765" s="564">
        <v>31721.0</v>
      </c>
      <c r="J765" s="565">
        <v>51050.0</v>
      </c>
      <c r="K765" s="542"/>
      <c r="L765" s="542"/>
      <c r="M765" s="542"/>
    </row>
    <row r="766">
      <c r="A766" s="570"/>
      <c r="B766" s="559" t="s">
        <v>84</v>
      </c>
      <c r="C766" s="568">
        <v>577.0</v>
      </c>
      <c r="D766" s="557">
        <v>0.9524</v>
      </c>
      <c r="E766" s="569">
        <v>155.07</v>
      </c>
      <c r="F766" s="563">
        <v>51000.0</v>
      </c>
      <c r="G766" s="557"/>
      <c r="H766" s="559"/>
      <c r="I766" s="564">
        <v>31690.0</v>
      </c>
      <c r="J766" s="565">
        <v>51000.0</v>
      </c>
      <c r="K766" s="542"/>
      <c r="L766" s="542"/>
      <c r="M766" s="542"/>
    </row>
    <row r="767">
      <c r="A767" s="570"/>
      <c r="B767" s="559" t="s">
        <v>1786</v>
      </c>
      <c r="C767" s="568">
        <v>827.0</v>
      </c>
      <c r="D767" s="557">
        <v>0.9365</v>
      </c>
      <c r="E767" s="569">
        <v>150.92</v>
      </c>
      <c r="F767" s="563">
        <v>51000.0</v>
      </c>
      <c r="G767" s="557"/>
      <c r="H767" s="559"/>
      <c r="I767" s="564">
        <v>31690.0</v>
      </c>
      <c r="J767" s="565">
        <v>51000.0</v>
      </c>
      <c r="K767" s="542"/>
      <c r="L767" s="542"/>
      <c r="M767" s="542"/>
    </row>
    <row r="768">
      <c r="A768" s="570"/>
      <c r="B768" s="559" t="s">
        <v>192</v>
      </c>
      <c r="C768" s="568">
        <v>645.0</v>
      </c>
      <c r="D768" s="557">
        <v>0.9499</v>
      </c>
      <c r="E768" s="569">
        <v>147.03</v>
      </c>
      <c r="F768" s="563">
        <v>50950.0</v>
      </c>
      <c r="G768" s="557"/>
      <c r="H768" s="559"/>
      <c r="I768" s="564">
        <v>31659.0</v>
      </c>
      <c r="J768" s="565">
        <v>50950.0</v>
      </c>
      <c r="K768" s="542"/>
      <c r="L768" s="542"/>
      <c r="M768" s="542"/>
    </row>
    <row r="769">
      <c r="A769" s="570"/>
      <c r="B769" s="559" t="s">
        <v>1336</v>
      </c>
      <c r="C769" s="568">
        <v>496.0</v>
      </c>
      <c r="D769" s="557">
        <v>0.9649</v>
      </c>
      <c r="E769" s="569">
        <v>137.01</v>
      </c>
      <c r="F769" s="563">
        <v>50878.0</v>
      </c>
      <c r="G769" s="557"/>
      <c r="H769" s="559"/>
      <c r="I769" s="564">
        <v>31614.0</v>
      </c>
      <c r="J769" s="565">
        <v>50878.0</v>
      </c>
      <c r="K769" s="542"/>
      <c r="L769" s="542"/>
      <c r="M769" s="542"/>
    </row>
    <row r="770">
      <c r="A770" s="570"/>
      <c r="B770" s="559" t="s">
        <v>1741</v>
      </c>
      <c r="C770" s="568">
        <v>385.0</v>
      </c>
      <c r="D770" s="557">
        <v>0.9632</v>
      </c>
      <c r="E770" s="569">
        <v>137.04</v>
      </c>
      <c r="F770" s="563">
        <v>50600.0</v>
      </c>
      <c r="G770" s="557"/>
      <c r="H770" s="559"/>
      <c r="I770" s="564">
        <v>31441.0</v>
      </c>
      <c r="J770" s="565">
        <v>50600.0</v>
      </c>
      <c r="K770" s="542"/>
      <c r="L770" s="542"/>
      <c r="M770" s="542"/>
    </row>
    <row r="771">
      <c r="A771" s="570"/>
      <c r="B771" s="557"/>
      <c r="C771" s="557"/>
      <c r="D771" s="557"/>
      <c r="E771" s="557"/>
      <c r="F771" s="563">
        <v>50300.0</v>
      </c>
      <c r="G771" s="557"/>
      <c r="H771" s="557">
        <v>0.956082543069753</v>
      </c>
      <c r="I771" s="564">
        <v>31255.0</v>
      </c>
      <c r="J771" s="565">
        <v>50300.0</v>
      </c>
      <c r="K771" s="542"/>
      <c r="L771" s="542"/>
      <c r="M771" s="542"/>
    </row>
    <row r="772">
      <c r="A772" s="570"/>
      <c r="B772" s="559" t="s">
        <v>1731</v>
      </c>
      <c r="C772" s="568">
        <v>589.0</v>
      </c>
      <c r="D772" s="557">
        <v>0.9605</v>
      </c>
      <c r="E772" s="569">
        <v>122.04</v>
      </c>
      <c r="F772" s="563">
        <v>50105.0</v>
      </c>
      <c r="G772" s="557"/>
      <c r="H772" s="559"/>
      <c r="I772" s="564">
        <v>31134.0</v>
      </c>
      <c r="J772" s="565">
        <v>50105.0</v>
      </c>
      <c r="K772" s="542"/>
      <c r="L772" s="542"/>
      <c r="M772" s="542"/>
    </row>
    <row r="773">
      <c r="A773" s="570"/>
      <c r="B773" s="559" t="s">
        <v>761</v>
      </c>
      <c r="C773" s="568">
        <v>912.0</v>
      </c>
      <c r="D773" s="557">
        <v>0.9556</v>
      </c>
      <c r="E773" s="569">
        <v>153.32</v>
      </c>
      <c r="F773" s="563">
        <v>50068.0</v>
      </c>
      <c r="G773" s="557"/>
      <c r="H773" s="559"/>
      <c r="I773" s="564">
        <v>31111.0</v>
      </c>
      <c r="J773" s="565">
        <v>50068.0</v>
      </c>
      <c r="K773" s="542"/>
      <c r="L773" s="542"/>
      <c r="M773" s="542"/>
    </row>
    <row r="774">
      <c r="A774" s="570"/>
      <c r="B774" s="559" t="s">
        <v>1650</v>
      </c>
      <c r="C774" s="568">
        <v>448.0</v>
      </c>
      <c r="D774" s="557">
        <v>0.9703</v>
      </c>
      <c r="E774" s="569">
        <v>134.96</v>
      </c>
      <c r="F774" s="563">
        <v>50011.0</v>
      </c>
      <c r="G774" s="557"/>
      <c r="H774" s="559"/>
      <c r="I774" s="564">
        <v>31075.0</v>
      </c>
      <c r="J774" s="565">
        <v>50011.0</v>
      </c>
      <c r="K774" s="542"/>
      <c r="L774" s="542"/>
      <c r="M774" s="542"/>
    </row>
    <row r="775">
      <c r="A775" s="570"/>
      <c r="B775" s="559" t="s">
        <v>571</v>
      </c>
      <c r="C775" s="568">
        <v>429.0</v>
      </c>
      <c r="D775" s="557">
        <v>0.9748</v>
      </c>
      <c r="E775" s="569">
        <v>142.46</v>
      </c>
      <c r="F775" s="563">
        <v>50000.0</v>
      </c>
      <c r="G775" s="557"/>
      <c r="H775" s="559"/>
      <c r="I775" s="564">
        <v>31069.0</v>
      </c>
      <c r="J775" s="565">
        <v>50000.0</v>
      </c>
      <c r="K775" s="542"/>
      <c r="L775" s="542"/>
      <c r="M775" s="542"/>
    </row>
    <row r="776">
      <c r="A776" s="570"/>
      <c r="B776" s="559" t="s">
        <v>367</v>
      </c>
      <c r="C776" s="568">
        <v>470.0</v>
      </c>
      <c r="D776" s="557">
        <v>0.9599</v>
      </c>
      <c r="E776" s="569">
        <v>156.05</v>
      </c>
      <c r="F776" s="563">
        <v>50000.0</v>
      </c>
      <c r="G776" s="557"/>
      <c r="H776" s="559"/>
      <c r="I776" s="564">
        <v>31069.0</v>
      </c>
      <c r="J776" s="565">
        <v>50000.0</v>
      </c>
      <c r="K776" s="542"/>
      <c r="L776" s="542"/>
      <c r="M776" s="542"/>
    </row>
    <row r="777">
      <c r="A777" s="570"/>
      <c r="B777" s="559" t="s">
        <v>1825</v>
      </c>
      <c r="C777" s="568">
        <v>551.0</v>
      </c>
      <c r="D777" s="557">
        <v>0.9915</v>
      </c>
      <c r="E777" s="569">
        <v>134.79</v>
      </c>
      <c r="F777" s="563">
        <v>50000.0</v>
      </c>
      <c r="G777" s="557"/>
      <c r="H777" s="559"/>
      <c r="I777" s="564">
        <v>31069.0</v>
      </c>
      <c r="J777" s="565">
        <v>50000.0</v>
      </c>
      <c r="K777" s="542"/>
      <c r="L777" s="542"/>
      <c r="M777" s="542"/>
    </row>
    <row r="778">
      <c r="A778" s="570"/>
      <c r="B778" s="559" t="s">
        <v>1805</v>
      </c>
      <c r="C778" s="568">
        <v>304.0</v>
      </c>
      <c r="D778" s="557">
        <v>0.9808</v>
      </c>
      <c r="E778" s="569">
        <v>151.87</v>
      </c>
      <c r="F778" s="563">
        <v>49987.0</v>
      </c>
      <c r="G778" s="557"/>
      <c r="H778" s="559"/>
      <c r="I778" s="564">
        <v>31060.0</v>
      </c>
      <c r="J778" s="565">
        <v>49987.0</v>
      </c>
      <c r="K778" s="542"/>
      <c r="L778" s="542"/>
      <c r="M778" s="542"/>
    </row>
    <row r="779">
      <c r="A779" s="570"/>
      <c r="B779" s="559" t="s">
        <v>1812</v>
      </c>
      <c r="C779" s="568">
        <v>981.0</v>
      </c>
      <c r="D779" s="557">
        <v>0.8997</v>
      </c>
      <c r="E779" s="569">
        <v>199.92</v>
      </c>
      <c r="F779" s="563">
        <v>49800.0</v>
      </c>
      <c r="G779" s="557"/>
      <c r="H779" s="559"/>
      <c r="I779" s="564">
        <v>30944.0</v>
      </c>
      <c r="J779" s="565">
        <v>49800.0</v>
      </c>
      <c r="K779" s="542"/>
      <c r="L779" s="542"/>
      <c r="M779" s="542"/>
    </row>
    <row r="780">
      <c r="A780" s="570"/>
      <c r="B780" s="559" t="s">
        <v>623</v>
      </c>
      <c r="C780" s="568">
        <v>355.0</v>
      </c>
      <c r="D780" s="557">
        <v>0.9474</v>
      </c>
      <c r="E780" s="569">
        <v>126.45</v>
      </c>
      <c r="F780" s="563">
        <v>49693.0</v>
      </c>
      <c r="G780" s="557"/>
      <c r="H780" s="559"/>
      <c r="I780" s="564">
        <v>30878.0</v>
      </c>
      <c r="J780" s="565">
        <v>49693.0</v>
      </c>
      <c r="K780" s="542"/>
      <c r="L780" s="542"/>
      <c r="M780" s="542"/>
    </row>
    <row r="781">
      <c r="A781" s="570"/>
      <c r="B781" s="559" t="s">
        <v>212</v>
      </c>
      <c r="C781" s="568">
        <v>364.0</v>
      </c>
      <c r="D781" s="557">
        <v>0.9772</v>
      </c>
      <c r="E781" s="569">
        <v>143.09</v>
      </c>
      <c r="F781" s="563">
        <v>49600.0</v>
      </c>
      <c r="G781" s="557"/>
      <c r="H781" s="559"/>
      <c r="I781" s="564">
        <v>30820.0</v>
      </c>
      <c r="J781" s="565">
        <v>49600.0</v>
      </c>
      <c r="K781" s="542"/>
      <c r="L781" s="542"/>
      <c r="M781" s="542"/>
    </row>
    <row r="782">
      <c r="A782" s="570"/>
      <c r="B782" s="557"/>
      <c r="C782" s="557"/>
      <c r="D782" s="557"/>
      <c r="E782" s="557"/>
      <c r="F782" s="563">
        <v>49550.0</v>
      </c>
      <c r="G782" s="557"/>
      <c r="H782" s="557">
        <v>0.9563332774216626</v>
      </c>
      <c r="I782" s="564">
        <v>30789.0</v>
      </c>
      <c r="J782" s="565">
        <v>49550.0</v>
      </c>
      <c r="K782" s="542"/>
      <c r="L782" s="542"/>
      <c r="M782" s="542"/>
    </row>
    <row r="783">
      <c r="A783" s="570"/>
      <c r="B783" s="559" t="s">
        <v>605</v>
      </c>
      <c r="C783" s="568">
        <v>610.0</v>
      </c>
      <c r="D783" s="557">
        <v>0.9474</v>
      </c>
      <c r="E783" s="569">
        <v>131.22</v>
      </c>
      <c r="F783" s="563">
        <v>49500.0</v>
      </c>
      <c r="G783" s="557"/>
      <c r="H783" s="559"/>
      <c r="I783" s="564">
        <v>30758.0</v>
      </c>
      <c r="J783" s="565">
        <v>49500.0</v>
      </c>
      <c r="K783" s="542"/>
      <c r="L783" s="542"/>
      <c r="M783" s="542"/>
    </row>
    <row r="784">
      <c r="A784" s="570"/>
      <c r="B784" s="559" t="s">
        <v>1741</v>
      </c>
      <c r="C784" s="568">
        <v>378.0</v>
      </c>
      <c r="D784" s="557">
        <v>0.9608</v>
      </c>
      <c r="E784" s="569">
        <v>134.19</v>
      </c>
      <c r="F784" s="563">
        <v>49489.0</v>
      </c>
      <c r="G784" s="557"/>
      <c r="H784" s="559"/>
      <c r="I784" s="564">
        <v>30751.0</v>
      </c>
      <c r="J784" s="565">
        <v>49489.0</v>
      </c>
      <c r="K784" s="542"/>
      <c r="L784" s="542"/>
      <c r="M784" s="542"/>
    </row>
    <row r="785">
      <c r="A785" s="570"/>
      <c r="B785" s="559" t="s">
        <v>640</v>
      </c>
      <c r="C785" s="568">
        <v>439.0</v>
      </c>
      <c r="D785" s="557">
        <v>0.9543</v>
      </c>
      <c r="E785" s="569">
        <v>141.89</v>
      </c>
      <c r="F785" s="563">
        <v>49285.0</v>
      </c>
      <c r="G785" s="557"/>
      <c r="H785" s="559"/>
      <c r="I785" s="564">
        <v>30624.0</v>
      </c>
      <c r="J785" s="565">
        <v>49285.0</v>
      </c>
      <c r="K785" s="542"/>
      <c r="L785" s="542"/>
      <c r="M785" s="542"/>
    </row>
    <row r="786">
      <c r="A786" s="570"/>
      <c r="B786" s="559" t="s">
        <v>513</v>
      </c>
      <c r="C786" s="568">
        <v>486.0</v>
      </c>
      <c r="D786" s="557">
        <v>0.9797</v>
      </c>
      <c r="E786" s="569">
        <v>145.61</v>
      </c>
      <c r="F786" s="563">
        <v>49200.0</v>
      </c>
      <c r="G786" s="557"/>
      <c r="H786" s="559"/>
      <c r="I786" s="564">
        <v>30571.0</v>
      </c>
      <c r="J786" s="565">
        <v>49200.0</v>
      </c>
      <c r="K786" s="542"/>
      <c r="L786" s="542"/>
      <c r="M786" s="542"/>
    </row>
    <row r="787">
      <c r="A787" s="570"/>
      <c r="B787" s="559" t="s">
        <v>769</v>
      </c>
      <c r="C787" s="568">
        <v>793.0</v>
      </c>
      <c r="D787" s="557">
        <v>0.985</v>
      </c>
      <c r="E787" s="569">
        <v>120.33</v>
      </c>
      <c r="F787" s="563">
        <v>49146.0</v>
      </c>
      <c r="G787" s="557">
        <v>-1.0</v>
      </c>
      <c r="H787" s="559"/>
      <c r="I787" s="564">
        <v>30538.0</v>
      </c>
      <c r="J787" s="565">
        <v>49146.0</v>
      </c>
      <c r="K787" s="542"/>
      <c r="L787" s="542"/>
      <c r="M787" s="542"/>
    </row>
    <row r="788">
      <c r="A788" s="570"/>
      <c r="B788" s="559" t="s">
        <v>1637</v>
      </c>
      <c r="C788" s="568">
        <v>345.0</v>
      </c>
      <c r="D788" s="557">
        <v>0.9766</v>
      </c>
      <c r="E788" s="569">
        <v>150.96</v>
      </c>
      <c r="F788" s="563">
        <v>49107.0</v>
      </c>
      <c r="G788" s="557"/>
      <c r="H788" s="559"/>
      <c r="I788" s="564">
        <v>30514.0</v>
      </c>
      <c r="J788" s="565">
        <v>49107.0</v>
      </c>
      <c r="K788" s="542"/>
      <c r="L788" s="542"/>
      <c r="M788" s="542"/>
    </row>
    <row r="789">
      <c r="A789" s="570"/>
      <c r="B789" s="559" t="s">
        <v>1870</v>
      </c>
      <c r="C789" s="568">
        <v>494.0</v>
      </c>
      <c r="D789" s="557">
        <v>0.9348</v>
      </c>
      <c r="E789" s="569">
        <v>136.62</v>
      </c>
      <c r="F789" s="563">
        <v>49000.0</v>
      </c>
      <c r="G789" s="557"/>
      <c r="H789" s="559"/>
      <c r="I789" s="564">
        <v>30447.0</v>
      </c>
      <c r="J789" s="565">
        <v>49000.0</v>
      </c>
      <c r="K789" s="542"/>
      <c r="L789" s="542"/>
      <c r="M789" s="542"/>
    </row>
    <row r="790">
      <c r="A790" s="570"/>
      <c r="B790" s="559" t="s">
        <v>439</v>
      </c>
      <c r="C790" s="568">
        <v>845.0</v>
      </c>
      <c r="D790" s="557">
        <v>0.9257</v>
      </c>
      <c r="E790" s="569">
        <v>129.95</v>
      </c>
      <c r="F790" s="563">
        <v>48906.0</v>
      </c>
      <c r="G790" s="557">
        <v>-1.0</v>
      </c>
      <c r="H790" s="559"/>
      <c r="I790" s="564">
        <v>30389.0</v>
      </c>
      <c r="J790" s="565">
        <v>48906.0</v>
      </c>
      <c r="K790" s="542"/>
      <c r="L790" s="542"/>
      <c r="M790" s="542"/>
    </row>
    <row r="791">
      <c r="A791" s="570"/>
      <c r="B791" s="557"/>
      <c r="C791" s="557"/>
      <c r="D791" s="557"/>
      <c r="E791" s="557"/>
      <c r="F791" s="563">
        <v>48800.0</v>
      </c>
      <c r="G791" s="557"/>
      <c r="H791" s="557">
        <v>0.956588819088688</v>
      </c>
      <c r="I791" s="564">
        <v>30323.0</v>
      </c>
      <c r="J791" s="565">
        <v>48800.0</v>
      </c>
      <c r="K791" s="542"/>
      <c r="L791" s="542"/>
      <c r="M791" s="542"/>
    </row>
    <row r="792">
      <c r="A792" s="570"/>
      <c r="B792" s="559" t="s">
        <v>1803</v>
      </c>
      <c r="C792" s="568">
        <v>775.0</v>
      </c>
      <c r="D792" s="557">
        <v>0.9644</v>
      </c>
      <c r="E792" s="569">
        <v>153.34</v>
      </c>
      <c r="F792" s="563">
        <v>48623.0</v>
      </c>
      <c r="G792" s="557"/>
      <c r="H792" s="559"/>
      <c r="I792" s="564">
        <v>30213.0</v>
      </c>
      <c r="J792" s="565">
        <v>48623.0</v>
      </c>
      <c r="K792" s="542"/>
      <c r="L792" s="542"/>
      <c r="M792" s="542"/>
    </row>
    <row r="793">
      <c r="A793" s="570"/>
      <c r="B793" s="559" t="s">
        <v>339</v>
      </c>
      <c r="C793" s="568">
        <v>517.0</v>
      </c>
      <c r="D793" s="557">
        <v>0.9315</v>
      </c>
      <c r="E793" s="569">
        <v>167.28</v>
      </c>
      <c r="F793" s="563">
        <v>48521.0</v>
      </c>
      <c r="G793" s="557"/>
      <c r="H793" s="559"/>
      <c r="I793" s="564">
        <v>30150.0</v>
      </c>
      <c r="J793" s="565">
        <v>48521.0</v>
      </c>
      <c r="K793" s="542"/>
      <c r="L793" s="542"/>
      <c r="M793" s="542"/>
    </row>
    <row r="794">
      <c r="A794" s="570"/>
      <c r="B794" s="559" t="s">
        <v>1001</v>
      </c>
      <c r="C794" s="568">
        <v>213.0</v>
      </c>
      <c r="D794" s="557">
        <v>0.9649</v>
      </c>
      <c r="E794" s="569">
        <v>143.33</v>
      </c>
      <c r="F794" s="563">
        <v>48500.0</v>
      </c>
      <c r="G794" s="557"/>
      <c r="H794" s="559"/>
      <c r="I794" s="564">
        <v>30137.0</v>
      </c>
      <c r="J794" s="565">
        <v>48500.0</v>
      </c>
      <c r="K794" s="542"/>
      <c r="L794" s="542"/>
      <c r="M794" s="542"/>
    </row>
    <row r="795">
      <c r="A795" s="570"/>
      <c r="B795" s="559" t="s">
        <v>623</v>
      </c>
      <c r="C795" s="568">
        <v>351.0</v>
      </c>
      <c r="D795" s="557">
        <v>0.9449</v>
      </c>
      <c r="E795" s="569">
        <v>123.34</v>
      </c>
      <c r="F795" s="563">
        <v>48407.0</v>
      </c>
      <c r="G795" s="557"/>
      <c r="H795" s="559"/>
      <c r="I795" s="564">
        <v>30079.0</v>
      </c>
      <c r="J795" s="565">
        <v>48407.0</v>
      </c>
      <c r="K795" s="542"/>
      <c r="L795" s="542"/>
      <c r="M795" s="542"/>
    </row>
    <row r="796">
      <c r="A796" s="570"/>
      <c r="B796" s="559" t="s">
        <v>1762</v>
      </c>
      <c r="C796" s="568">
        <v>479.0</v>
      </c>
      <c r="D796" s="557">
        <v>0.9467</v>
      </c>
      <c r="E796" s="569">
        <v>140.93</v>
      </c>
      <c r="F796" s="563">
        <v>48316.0</v>
      </c>
      <c r="G796" s="557"/>
      <c r="H796" s="559"/>
      <c r="I796" s="564">
        <v>30022.0</v>
      </c>
      <c r="J796" s="565">
        <v>48316.0</v>
      </c>
      <c r="K796" s="542"/>
      <c r="L796" s="542"/>
      <c r="M796" s="542"/>
    </row>
    <row r="797">
      <c r="A797" s="570"/>
      <c r="B797" s="559" t="s">
        <v>339</v>
      </c>
      <c r="C797" s="568">
        <v>516.0</v>
      </c>
      <c r="D797" s="557">
        <v>0.9289</v>
      </c>
      <c r="E797" s="569">
        <v>166.66</v>
      </c>
      <c r="F797" s="563">
        <v>48277.0</v>
      </c>
      <c r="G797" s="557"/>
      <c r="H797" s="559"/>
      <c r="I797" s="564">
        <v>29998.0</v>
      </c>
      <c r="J797" s="565">
        <v>48277.0</v>
      </c>
      <c r="K797" s="542"/>
      <c r="L797" s="542"/>
      <c r="M797" s="542"/>
    </row>
    <row r="798">
      <c r="A798" s="570"/>
      <c r="B798" s="559" t="s">
        <v>423</v>
      </c>
      <c r="C798" s="568">
        <v>758.0</v>
      </c>
      <c r="D798" s="557">
        <v>0.9554</v>
      </c>
      <c r="E798" s="569">
        <v>143.6</v>
      </c>
      <c r="F798" s="563">
        <v>48227.0</v>
      </c>
      <c r="G798" s="557">
        <v>-1.0</v>
      </c>
      <c r="H798" s="559"/>
      <c r="I798" s="564">
        <v>29967.0</v>
      </c>
      <c r="J798" s="565">
        <v>48227.0</v>
      </c>
      <c r="K798" s="542"/>
      <c r="L798" s="542"/>
      <c r="M798" s="542"/>
    </row>
    <row r="799">
      <c r="A799" s="570"/>
      <c r="B799" s="559" t="s">
        <v>761</v>
      </c>
      <c r="C799" s="568">
        <v>878.0</v>
      </c>
      <c r="D799" s="557">
        <v>0.9534</v>
      </c>
      <c r="E799" s="569">
        <v>147.78</v>
      </c>
      <c r="F799" s="563">
        <v>48204.0</v>
      </c>
      <c r="G799" s="557"/>
      <c r="H799" s="559"/>
      <c r="I799" s="564">
        <v>29953.0</v>
      </c>
      <c r="J799" s="565">
        <v>48204.0</v>
      </c>
      <c r="K799" s="542"/>
      <c r="L799" s="542"/>
      <c r="M799" s="542"/>
    </row>
    <row r="800">
      <c r="A800" s="570"/>
      <c r="B800" s="557"/>
      <c r="C800" s="557"/>
      <c r="D800" s="557"/>
      <c r="E800" s="557"/>
      <c r="F800" s="563">
        <v>48050.0</v>
      </c>
      <c r="G800" s="557"/>
      <c r="H800" s="557">
        <v>0.9568493411850464</v>
      </c>
      <c r="I800" s="564">
        <v>29857.0</v>
      </c>
      <c r="J800" s="565">
        <v>48050.0</v>
      </c>
      <c r="K800" s="542"/>
      <c r="L800" s="542"/>
      <c r="M800" s="542"/>
    </row>
    <row r="801">
      <c r="A801" s="570"/>
      <c r="B801" s="559" t="s">
        <v>1690</v>
      </c>
      <c r="C801" s="568">
        <v>415.0</v>
      </c>
      <c r="D801" s="557">
        <v>0.9492</v>
      </c>
      <c r="E801" s="569">
        <v>141.73</v>
      </c>
      <c r="F801" s="563">
        <v>48000.0</v>
      </c>
      <c r="G801" s="557"/>
      <c r="H801" s="559"/>
      <c r="I801" s="564">
        <v>29826.0</v>
      </c>
      <c r="J801" s="565">
        <v>48000.0</v>
      </c>
      <c r="K801" s="542"/>
      <c r="L801" s="542"/>
      <c r="M801" s="542"/>
    </row>
    <row r="802">
      <c r="A802" s="570"/>
      <c r="B802" s="559" t="s">
        <v>513</v>
      </c>
      <c r="C802" s="568">
        <v>454.0</v>
      </c>
      <c r="D802" s="557">
        <v>0.9746</v>
      </c>
      <c r="E802" s="569">
        <v>142.42</v>
      </c>
      <c r="F802" s="563">
        <v>48000.0</v>
      </c>
      <c r="G802" s="557"/>
      <c r="H802" s="559"/>
      <c r="I802" s="564">
        <v>29826.0</v>
      </c>
      <c r="J802" s="565">
        <v>48000.0</v>
      </c>
      <c r="K802" s="542"/>
      <c r="L802" s="542"/>
      <c r="M802" s="542"/>
    </row>
    <row r="803">
      <c r="A803" s="570"/>
      <c r="B803" s="559" t="s">
        <v>1830</v>
      </c>
      <c r="C803" s="568">
        <v>273.0</v>
      </c>
      <c r="D803" s="557">
        <v>0.9858</v>
      </c>
      <c r="E803" s="569">
        <v>128.85</v>
      </c>
      <c r="F803" s="563">
        <v>48000.0</v>
      </c>
      <c r="G803" s="557"/>
      <c r="H803" s="559"/>
      <c r="I803" s="564">
        <v>29826.0</v>
      </c>
      <c r="J803" s="565">
        <v>48000.0</v>
      </c>
      <c r="K803" s="542"/>
      <c r="L803" s="542"/>
      <c r="M803" s="542"/>
    </row>
    <row r="804">
      <c r="A804" s="570"/>
      <c r="B804" s="559" t="s">
        <v>719</v>
      </c>
      <c r="C804" s="568">
        <v>1212.0</v>
      </c>
      <c r="D804" s="557">
        <v>0.8476</v>
      </c>
      <c r="E804" s="569">
        <v>175.51</v>
      </c>
      <c r="F804" s="563">
        <v>47981.0</v>
      </c>
      <c r="G804" s="557">
        <v>-1.0</v>
      </c>
      <c r="H804" s="559"/>
      <c r="I804" s="564">
        <v>29814.0</v>
      </c>
      <c r="J804" s="565">
        <v>47981.0</v>
      </c>
      <c r="K804" s="542"/>
      <c r="L804" s="542"/>
      <c r="M804" s="542"/>
    </row>
    <row r="805">
      <c r="A805" s="570"/>
      <c r="B805" s="559" t="s">
        <v>1726</v>
      </c>
      <c r="C805" s="568">
        <v>563.0</v>
      </c>
      <c r="D805" s="557">
        <v>0.9522</v>
      </c>
      <c r="E805" s="569">
        <v>140.28</v>
      </c>
      <c r="F805" s="563">
        <v>47860.0</v>
      </c>
      <c r="G805" s="557"/>
      <c r="H805" s="559"/>
      <c r="I805" s="564">
        <v>29739.0</v>
      </c>
      <c r="J805" s="565">
        <v>47860.0</v>
      </c>
      <c r="K805" s="542"/>
      <c r="L805" s="542"/>
      <c r="M805" s="542"/>
    </row>
    <row r="806">
      <c r="A806" s="570"/>
      <c r="B806" s="559" t="s">
        <v>1742</v>
      </c>
      <c r="C806" s="568">
        <v>576.0</v>
      </c>
      <c r="D806" s="557">
        <v>0.9891</v>
      </c>
      <c r="E806" s="569">
        <v>135.31</v>
      </c>
      <c r="F806" s="563">
        <v>47834.0</v>
      </c>
      <c r="G806" s="557"/>
      <c r="H806" s="559"/>
      <c r="I806" s="564">
        <v>29723.0</v>
      </c>
      <c r="J806" s="565">
        <v>47834.0</v>
      </c>
      <c r="K806" s="542"/>
      <c r="L806" s="542"/>
      <c r="M806" s="542"/>
    </row>
    <row r="807">
      <c r="A807" s="570"/>
      <c r="B807" s="559" t="s">
        <v>1454</v>
      </c>
      <c r="C807" s="568">
        <v>807.0</v>
      </c>
      <c r="D807" s="557">
        <v>0.971</v>
      </c>
      <c r="E807" s="569">
        <v>153.83</v>
      </c>
      <c r="F807" s="563">
        <v>47832.0</v>
      </c>
      <c r="G807" s="557"/>
      <c r="H807" s="559"/>
      <c r="I807" s="564">
        <v>29721.0</v>
      </c>
      <c r="J807" s="565">
        <v>47832.0</v>
      </c>
      <c r="K807" s="542"/>
      <c r="L807" s="542"/>
      <c r="M807" s="542"/>
    </row>
    <row r="808">
      <c r="A808" s="570"/>
      <c r="B808" s="559" t="s">
        <v>1471</v>
      </c>
      <c r="C808" s="568">
        <v>558.0</v>
      </c>
      <c r="D808" s="557">
        <v>0.9721</v>
      </c>
      <c r="E808" s="569">
        <v>127.45</v>
      </c>
      <c r="F808" s="563">
        <v>47500.0</v>
      </c>
      <c r="G808" s="557"/>
      <c r="H808" s="559"/>
      <c r="I808" s="564">
        <v>29515.0</v>
      </c>
      <c r="J808" s="565">
        <v>47500.0</v>
      </c>
      <c r="K808" s="542"/>
      <c r="L808" s="542"/>
      <c r="M808" s="542"/>
    </row>
    <row r="809">
      <c r="A809" s="570"/>
      <c r="B809" s="559" t="s">
        <v>114</v>
      </c>
      <c r="C809" s="568">
        <v>297.0</v>
      </c>
      <c r="D809" s="557">
        <v>0.9568</v>
      </c>
      <c r="E809" s="569">
        <v>136.15</v>
      </c>
      <c r="F809" s="563">
        <v>47352.0</v>
      </c>
      <c r="G809" s="557"/>
      <c r="H809" s="559"/>
      <c r="I809" s="564">
        <v>29423.0</v>
      </c>
      <c r="J809" s="565">
        <v>47352.0</v>
      </c>
      <c r="K809" s="542"/>
      <c r="L809" s="542"/>
      <c r="M809" s="542"/>
    </row>
    <row r="810">
      <c r="A810" s="570"/>
      <c r="B810" s="557"/>
      <c r="C810" s="557"/>
      <c r="D810" s="557"/>
      <c r="E810" s="557"/>
      <c r="F810" s="563">
        <v>47300.0</v>
      </c>
      <c r="G810" s="557"/>
      <c r="H810" s="557">
        <v>0.9571150230588988</v>
      </c>
      <c r="I810" s="564">
        <v>29391.0</v>
      </c>
      <c r="J810" s="565">
        <v>47300.0</v>
      </c>
      <c r="K810" s="542"/>
      <c r="L810" s="542"/>
      <c r="M810" s="542"/>
    </row>
    <row r="811">
      <c r="A811" s="570"/>
      <c r="B811" s="559" t="s">
        <v>1127</v>
      </c>
      <c r="C811" s="568">
        <v>367.0</v>
      </c>
      <c r="D811" s="557">
        <v>0.9744</v>
      </c>
      <c r="E811" s="569">
        <v>130.6</v>
      </c>
      <c r="F811" s="563">
        <v>47128.0</v>
      </c>
      <c r="G811" s="557"/>
      <c r="H811" s="559"/>
      <c r="I811" s="564">
        <v>29284.0</v>
      </c>
      <c r="J811" s="565">
        <v>47128.0</v>
      </c>
      <c r="K811" s="542"/>
      <c r="L811" s="542"/>
      <c r="M811" s="542"/>
    </row>
    <row r="812">
      <c r="A812" s="570"/>
      <c r="B812" s="559" t="s">
        <v>279</v>
      </c>
      <c r="C812" s="568">
        <v>565.0</v>
      </c>
      <c r="D812" s="557">
        <v>0.9644</v>
      </c>
      <c r="E812" s="569">
        <v>145.93</v>
      </c>
      <c r="F812" s="563">
        <v>47060.0</v>
      </c>
      <c r="G812" s="557"/>
      <c r="H812" s="559"/>
      <c r="I812" s="564">
        <v>29242.0</v>
      </c>
      <c r="J812" s="565">
        <v>47060.0</v>
      </c>
      <c r="K812" s="542"/>
      <c r="L812" s="542"/>
      <c r="M812" s="542"/>
    </row>
    <row r="813">
      <c r="A813" s="570"/>
      <c r="B813" s="559" t="s">
        <v>1791</v>
      </c>
      <c r="C813" s="568">
        <v>863.0</v>
      </c>
      <c r="D813" s="557">
        <v>0.9298</v>
      </c>
      <c r="E813" s="569">
        <v>132.65</v>
      </c>
      <c r="F813" s="563">
        <v>47000.0</v>
      </c>
      <c r="G813" s="557"/>
      <c r="H813" s="559"/>
      <c r="I813" s="564">
        <v>29204.0</v>
      </c>
      <c r="J813" s="565">
        <v>47000.0</v>
      </c>
      <c r="K813" s="542"/>
      <c r="L813" s="542"/>
      <c r="M813" s="542"/>
    </row>
    <row r="814">
      <c r="A814" s="570"/>
      <c r="B814" s="559" t="s">
        <v>761</v>
      </c>
      <c r="C814" s="568">
        <v>859.0</v>
      </c>
      <c r="D814" s="557">
        <v>0.9534</v>
      </c>
      <c r="E814" s="569">
        <v>144.01</v>
      </c>
      <c r="F814" s="563">
        <v>46975.0</v>
      </c>
      <c r="G814" s="557"/>
      <c r="H814" s="559"/>
      <c r="I814" s="564">
        <v>29189.0</v>
      </c>
      <c r="J814" s="565">
        <v>46975.0</v>
      </c>
      <c r="K814" s="542"/>
      <c r="L814" s="542"/>
      <c r="M814" s="542"/>
    </row>
    <row r="815">
      <c r="A815" s="570"/>
      <c r="B815" s="559" t="s">
        <v>761</v>
      </c>
      <c r="C815" s="568">
        <v>855.0</v>
      </c>
      <c r="D815" s="557">
        <v>0.9559</v>
      </c>
      <c r="E815" s="569">
        <v>143.54</v>
      </c>
      <c r="F815" s="563">
        <v>46881.0</v>
      </c>
      <c r="G815" s="557"/>
      <c r="H815" s="559"/>
      <c r="I815" s="564">
        <v>29131.0</v>
      </c>
      <c r="J815" s="565">
        <v>46881.0</v>
      </c>
      <c r="K815" s="542"/>
      <c r="L815" s="542"/>
      <c r="M815" s="542"/>
    </row>
    <row r="816">
      <c r="A816" s="570"/>
      <c r="B816" s="559" t="s">
        <v>92</v>
      </c>
      <c r="C816" s="568">
        <v>830.0</v>
      </c>
      <c r="D816" s="557">
        <v>0.97</v>
      </c>
      <c r="E816" s="569">
        <v>129.39</v>
      </c>
      <c r="F816" s="563">
        <v>46800.0</v>
      </c>
      <c r="G816" s="557">
        <v>-1.0</v>
      </c>
      <c r="H816" s="559"/>
      <c r="I816" s="564">
        <v>29080.0</v>
      </c>
      <c r="J816" s="565">
        <v>46800.0</v>
      </c>
      <c r="K816" s="542"/>
      <c r="L816" s="542"/>
      <c r="M816" s="542"/>
    </row>
    <row r="817">
      <c r="A817" s="570"/>
      <c r="B817" s="557"/>
      <c r="C817" s="557"/>
      <c r="D817" s="557"/>
      <c r="E817" s="557"/>
      <c r="F817" s="563">
        <v>46550.0</v>
      </c>
      <c r="G817" s="557"/>
      <c r="H817" s="557">
        <v>0.9573860505168383</v>
      </c>
      <c r="I817" s="564">
        <v>28925.0</v>
      </c>
      <c r="J817" s="565">
        <v>46550.0</v>
      </c>
      <c r="K817" s="542"/>
      <c r="L817" s="542"/>
      <c r="M817" s="542"/>
    </row>
    <row r="818">
      <c r="A818" s="570"/>
      <c r="B818" s="559" t="s">
        <v>241</v>
      </c>
      <c r="C818" s="568">
        <v>546.0</v>
      </c>
      <c r="D818" s="557">
        <v>0.9162</v>
      </c>
      <c r="E818" s="569">
        <v>138.52</v>
      </c>
      <c r="F818" s="563">
        <v>46534.0</v>
      </c>
      <c r="G818" s="557"/>
      <c r="H818" s="559"/>
      <c r="I818" s="564">
        <v>28915.0</v>
      </c>
      <c r="J818" s="565">
        <v>46534.0</v>
      </c>
      <c r="K818" s="542"/>
      <c r="L818" s="542"/>
      <c r="M818" s="542"/>
    </row>
    <row r="819">
      <c r="A819" s="570"/>
      <c r="B819" s="559" t="s">
        <v>246</v>
      </c>
      <c r="C819" s="568">
        <v>553.0</v>
      </c>
      <c r="D819" s="557">
        <v>0.9492</v>
      </c>
      <c r="E819" s="569">
        <v>136.69</v>
      </c>
      <c r="F819" s="563">
        <v>46500.0</v>
      </c>
      <c r="G819" s="557"/>
      <c r="H819" s="559"/>
      <c r="I819" s="564">
        <v>28894.0</v>
      </c>
      <c r="J819" s="565">
        <v>46500.0</v>
      </c>
      <c r="K819" s="542"/>
      <c r="L819" s="542"/>
      <c r="M819" s="542"/>
    </row>
    <row r="820">
      <c r="A820" s="570"/>
      <c r="B820" s="559" t="s">
        <v>1757</v>
      </c>
      <c r="C820" s="568">
        <v>359.0</v>
      </c>
      <c r="D820" s="557">
        <v>0.9572</v>
      </c>
      <c r="E820" s="569">
        <v>139.36</v>
      </c>
      <c r="F820" s="563">
        <v>46445.0</v>
      </c>
      <c r="G820" s="557"/>
      <c r="H820" s="559"/>
      <c r="I820" s="564">
        <v>28860.0</v>
      </c>
      <c r="J820" s="565">
        <v>46445.0</v>
      </c>
      <c r="K820" s="542"/>
      <c r="L820" s="542"/>
      <c r="M820" s="542"/>
    </row>
    <row r="821">
      <c r="A821" s="570"/>
      <c r="B821" s="559" t="s">
        <v>300</v>
      </c>
      <c r="C821" s="568">
        <v>388.0</v>
      </c>
      <c r="D821" s="557">
        <v>0.9593</v>
      </c>
      <c r="E821" s="569">
        <v>143.36</v>
      </c>
      <c r="F821" s="563">
        <v>46312.0</v>
      </c>
      <c r="G821" s="557"/>
      <c r="H821" s="559"/>
      <c r="I821" s="564">
        <v>28777.0</v>
      </c>
      <c r="J821" s="565">
        <v>46312.0</v>
      </c>
      <c r="K821" s="542"/>
      <c r="L821" s="542"/>
      <c r="M821" s="542"/>
    </row>
    <row r="822">
      <c r="A822" s="570"/>
      <c r="B822" s="559" t="s">
        <v>322</v>
      </c>
      <c r="C822" s="568">
        <v>355.0</v>
      </c>
      <c r="D822" s="557">
        <v>0.9573</v>
      </c>
      <c r="E822" s="569">
        <v>143.66</v>
      </c>
      <c r="F822" s="563">
        <v>46264.0</v>
      </c>
      <c r="G822" s="557">
        <v>-1.0</v>
      </c>
      <c r="H822" s="559"/>
      <c r="I822" s="564">
        <v>28747.0</v>
      </c>
      <c r="J822" s="565">
        <v>46264.0</v>
      </c>
      <c r="K822" s="542"/>
      <c r="L822" s="542"/>
      <c r="M822" s="542"/>
    </row>
    <row r="823">
      <c r="A823" s="570"/>
      <c r="B823" s="559" t="s">
        <v>147</v>
      </c>
      <c r="C823" s="568">
        <v>265.0</v>
      </c>
      <c r="D823" s="557">
        <v>0.9645</v>
      </c>
      <c r="E823" s="569">
        <v>137.18</v>
      </c>
      <c r="F823" s="563">
        <v>46000.0</v>
      </c>
      <c r="G823" s="557"/>
      <c r="H823" s="559"/>
      <c r="I823" s="564">
        <v>28583.0</v>
      </c>
      <c r="J823" s="565">
        <v>46000.0</v>
      </c>
      <c r="K823" s="542"/>
      <c r="L823" s="542"/>
      <c r="M823" s="542"/>
    </row>
    <row r="824">
      <c r="A824" s="570"/>
      <c r="B824" s="559" t="s">
        <v>751</v>
      </c>
      <c r="C824" s="568">
        <v>385.0</v>
      </c>
      <c r="D824" s="557">
        <v>0.9672</v>
      </c>
      <c r="E824" s="569">
        <v>130.36</v>
      </c>
      <c r="F824" s="563">
        <v>46000.0</v>
      </c>
      <c r="G824" s="557"/>
      <c r="H824" s="559"/>
      <c r="I824" s="564">
        <v>28583.0</v>
      </c>
      <c r="J824" s="565">
        <v>46000.0</v>
      </c>
      <c r="K824" s="542"/>
      <c r="L824" s="542"/>
      <c r="M824" s="542"/>
    </row>
    <row r="825">
      <c r="A825" s="570"/>
      <c r="B825" s="559" t="s">
        <v>361</v>
      </c>
      <c r="C825" s="568">
        <v>432.0</v>
      </c>
      <c r="D825" s="557">
        <v>0.9924</v>
      </c>
      <c r="E825" s="569">
        <v>137.19</v>
      </c>
      <c r="F825" s="563">
        <v>45845.0</v>
      </c>
      <c r="G825" s="557"/>
      <c r="H825" s="559"/>
      <c r="I825" s="564">
        <v>28487.0</v>
      </c>
      <c r="J825" s="565">
        <v>45845.0</v>
      </c>
      <c r="K825" s="542"/>
      <c r="L825" s="542"/>
      <c r="M825" s="542"/>
    </row>
    <row r="826">
      <c r="A826" s="570"/>
      <c r="B826" s="557"/>
      <c r="C826" s="557"/>
      <c r="D826" s="557"/>
      <c r="E826" s="557"/>
      <c r="F826" s="563">
        <v>45800.0</v>
      </c>
      <c r="G826" s="557"/>
      <c r="H826" s="557">
        <v>0.9576626160564611</v>
      </c>
      <c r="I826" s="564">
        <v>28459.0</v>
      </c>
      <c r="J826" s="565">
        <v>45800.0</v>
      </c>
      <c r="K826" s="542"/>
      <c r="L826" s="542"/>
      <c r="M826" s="542"/>
    </row>
    <row r="827">
      <c r="A827" s="570"/>
      <c r="B827" s="559" t="s">
        <v>541</v>
      </c>
      <c r="C827" s="568">
        <v>511.0</v>
      </c>
      <c r="D827" s="557">
        <v>0.9492</v>
      </c>
      <c r="E827" s="569">
        <v>139.49</v>
      </c>
      <c r="F827" s="563">
        <v>45800.0</v>
      </c>
      <c r="G827" s="557"/>
      <c r="H827" s="559"/>
      <c r="I827" s="564">
        <v>28459.0</v>
      </c>
      <c r="J827" s="565">
        <v>45800.0</v>
      </c>
      <c r="K827" s="542"/>
      <c r="L827" s="542"/>
      <c r="M827" s="542"/>
    </row>
    <row r="828">
      <c r="A828" s="570"/>
      <c r="B828" s="559" t="s">
        <v>1868</v>
      </c>
      <c r="C828" s="568">
        <v>715.0</v>
      </c>
      <c r="D828" s="557">
        <v>0.9148</v>
      </c>
      <c r="E828" s="569">
        <v>135.76</v>
      </c>
      <c r="F828" s="563">
        <v>45777.0</v>
      </c>
      <c r="G828" s="557"/>
      <c r="H828" s="559"/>
      <c r="I828" s="564">
        <v>28445.0</v>
      </c>
      <c r="J828" s="565">
        <v>45777.0</v>
      </c>
      <c r="K828" s="542"/>
      <c r="L828" s="542"/>
      <c r="M828" s="542"/>
    </row>
    <row r="829">
      <c r="A829" s="570"/>
      <c r="B829" s="559" t="s">
        <v>112</v>
      </c>
      <c r="C829" s="568">
        <v>536.0</v>
      </c>
      <c r="D829" s="557">
        <v>0.9446</v>
      </c>
      <c r="E829" s="569">
        <v>127.54</v>
      </c>
      <c r="F829" s="563">
        <v>45756.0</v>
      </c>
      <c r="G829" s="557">
        <v>-1.0</v>
      </c>
      <c r="H829" s="559"/>
      <c r="I829" s="564">
        <v>28431.0</v>
      </c>
      <c r="J829" s="565">
        <v>45756.0</v>
      </c>
      <c r="K829" s="542"/>
      <c r="L829" s="542"/>
      <c r="M829" s="542"/>
    </row>
    <row r="830">
      <c r="A830" s="570"/>
      <c r="B830" s="559" t="s">
        <v>1454</v>
      </c>
      <c r="C830" s="568">
        <v>771.0</v>
      </c>
      <c r="D830" s="557">
        <v>0.9655</v>
      </c>
      <c r="E830" s="569">
        <v>147.56</v>
      </c>
      <c r="F830" s="563">
        <v>45754.0</v>
      </c>
      <c r="G830" s="557"/>
      <c r="H830" s="559"/>
      <c r="I830" s="564">
        <v>28430.0</v>
      </c>
      <c r="J830" s="565">
        <v>45754.0</v>
      </c>
      <c r="K830" s="542"/>
      <c r="L830" s="542"/>
      <c r="M830" s="542"/>
    </row>
    <row r="831">
      <c r="A831" s="570"/>
      <c r="B831" s="559" t="s">
        <v>76</v>
      </c>
      <c r="C831" s="568">
        <v>339.0</v>
      </c>
      <c r="D831" s="557">
        <v>0.9649</v>
      </c>
      <c r="E831" s="569">
        <v>130.72</v>
      </c>
      <c r="F831" s="563">
        <v>45650.0</v>
      </c>
      <c r="G831" s="557"/>
      <c r="H831" s="559"/>
      <c r="I831" s="564">
        <v>28366.0</v>
      </c>
      <c r="J831" s="565">
        <v>45650.0</v>
      </c>
      <c r="K831" s="542"/>
      <c r="L831" s="542"/>
      <c r="M831" s="542"/>
    </row>
    <row r="832">
      <c r="A832" s="570"/>
      <c r="B832" s="559" t="s">
        <v>1336</v>
      </c>
      <c r="C832" s="568">
        <v>456.0</v>
      </c>
      <c r="D832" s="557">
        <v>0.9649</v>
      </c>
      <c r="E832" s="569">
        <v>123.81</v>
      </c>
      <c r="F832" s="563">
        <v>45533.0</v>
      </c>
      <c r="G832" s="557"/>
      <c r="H832" s="559"/>
      <c r="I832" s="564">
        <v>28293.0</v>
      </c>
      <c r="J832" s="565">
        <v>45533.0</v>
      </c>
      <c r="K832" s="542"/>
      <c r="L832" s="542"/>
      <c r="M832" s="542"/>
    </row>
    <row r="833">
      <c r="A833" s="570"/>
      <c r="B833" s="559" t="s">
        <v>710</v>
      </c>
      <c r="C833" s="568">
        <v>128.0</v>
      </c>
      <c r="D833" s="557">
        <v>0.9971</v>
      </c>
      <c r="E833" s="569">
        <v>123.98</v>
      </c>
      <c r="F833" s="563">
        <v>45524.0</v>
      </c>
      <c r="G833" s="557">
        <v>-1.0</v>
      </c>
      <c r="H833" s="559"/>
      <c r="I833" s="564">
        <v>28287.0</v>
      </c>
      <c r="J833" s="565">
        <v>45524.0</v>
      </c>
      <c r="K833" s="542"/>
      <c r="L833" s="542"/>
      <c r="M833" s="542"/>
    </row>
    <row r="834">
      <c r="A834" s="570"/>
      <c r="B834" s="559" t="s">
        <v>1873</v>
      </c>
      <c r="C834" s="568">
        <v>867.0</v>
      </c>
      <c r="D834" s="557">
        <v>0.9273</v>
      </c>
      <c r="E834" s="569">
        <v>157.44</v>
      </c>
      <c r="F834" s="563">
        <v>45500.0</v>
      </c>
      <c r="G834" s="557"/>
      <c r="H834" s="559"/>
      <c r="I834" s="564">
        <v>28272.0</v>
      </c>
      <c r="J834" s="565">
        <v>45500.0</v>
      </c>
      <c r="K834" s="542"/>
      <c r="L834" s="542"/>
      <c r="M834" s="542"/>
    </row>
    <row r="835">
      <c r="A835" s="570"/>
      <c r="B835" s="559" t="s">
        <v>1844</v>
      </c>
      <c r="C835" s="568">
        <v>628.0</v>
      </c>
      <c r="D835" s="557">
        <v>0.9701</v>
      </c>
      <c r="E835" s="569">
        <v>120.87</v>
      </c>
      <c r="F835" s="563">
        <v>45500.0</v>
      </c>
      <c r="G835" s="557"/>
      <c r="H835" s="559"/>
      <c r="I835" s="564">
        <v>28272.0</v>
      </c>
      <c r="J835" s="565">
        <v>45500.0</v>
      </c>
      <c r="K835" s="542"/>
      <c r="L835" s="542"/>
      <c r="M835" s="542"/>
    </row>
    <row r="836">
      <c r="A836" s="570"/>
      <c r="B836" s="559" t="s">
        <v>1741</v>
      </c>
      <c r="C836" s="568">
        <v>346.0</v>
      </c>
      <c r="D836" s="557">
        <v>0.9585</v>
      </c>
      <c r="E836" s="569">
        <v>123.49</v>
      </c>
      <c r="F836" s="563">
        <v>45490.0</v>
      </c>
      <c r="G836" s="557"/>
      <c r="H836" s="559"/>
      <c r="I836" s="564">
        <v>28266.0</v>
      </c>
      <c r="J836" s="565">
        <v>45490.0</v>
      </c>
      <c r="K836" s="542"/>
      <c r="L836" s="542"/>
      <c r="M836" s="542"/>
    </row>
    <row r="837">
      <c r="A837" s="570"/>
      <c r="B837" s="559" t="s">
        <v>237</v>
      </c>
      <c r="C837" s="568">
        <v>789.0</v>
      </c>
      <c r="D837" s="557">
        <v>0.9549</v>
      </c>
      <c r="E837" s="569">
        <v>134.28</v>
      </c>
      <c r="F837" s="563">
        <v>45400.0</v>
      </c>
      <c r="G837" s="557"/>
      <c r="H837" s="559"/>
      <c r="I837" s="564">
        <v>28210.0</v>
      </c>
      <c r="J837" s="565">
        <v>45400.0</v>
      </c>
      <c r="K837" s="542"/>
      <c r="L837" s="542"/>
      <c r="M837" s="542"/>
    </row>
    <row r="838">
      <c r="A838" s="570"/>
      <c r="B838" s="559" t="s">
        <v>1839</v>
      </c>
      <c r="C838" s="568">
        <v>418.0</v>
      </c>
      <c r="D838" s="557">
        <v>0.9522</v>
      </c>
      <c r="E838" s="569">
        <v>122.8</v>
      </c>
      <c r="F838" s="563">
        <v>45389.0</v>
      </c>
      <c r="G838" s="557"/>
      <c r="H838" s="559"/>
      <c r="I838" s="564">
        <v>28203.0</v>
      </c>
      <c r="J838" s="565">
        <v>45389.0</v>
      </c>
      <c r="K838" s="542"/>
      <c r="L838" s="542"/>
      <c r="M838" s="542"/>
    </row>
    <row r="839">
      <c r="A839" s="570"/>
      <c r="B839" s="559" t="s">
        <v>423</v>
      </c>
      <c r="C839" s="568">
        <v>699.0</v>
      </c>
      <c r="D839" s="557">
        <v>0.9554</v>
      </c>
      <c r="E839" s="569">
        <v>135.04</v>
      </c>
      <c r="F839" s="563">
        <v>45107.0</v>
      </c>
      <c r="G839" s="557">
        <v>-1.0</v>
      </c>
      <c r="H839" s="559"/>
      <c r="I839" s="564">
        <v>28028.0</v>
      </c>
      <c r="J839" s="565">
        <v>45107.0</v>
      </c>
      <c r="K839" s="542"/>
      <c r="L839" s="542"/>
      <c r="M839" s="542"/>
    </row>
    <row r="840">
      <c r="A840" s="570"/>
      <c r="B840" s="559" t="s">
        <v>262</v>
      </c>
      <c r="C840" s="568">
        <v>871.0</v>
      </c>
      <c r="D840" s="557">
        <v>0.9381</v>
      </c>
      <c r="E840" s="569">
        <v>135.88</v>
      </c>
      <c r="F840" s="563">
        <v>45062.0</v>
      </c>
      <c r="G840" s="557">
        <v>-1.0</v>
      </c>
      <c r="H840" s="559"/>
      <c r="I840" s="564">
        <v>28000.0</v>
      </c>
      <c r="J840" s="565">
        <v>45062.0</v>
      </c>
      <c r="K840" s="542"/>
      <c r="L840" s="542"/>
      <c r="M840" s="542"/>
    </row>
    <row r="841">
      <c r="A841" s="570"/>
      <c r="B841" s="557"/>
      <c r="C841" s="557"/>
      <c r="D841" s="557"/>
      <c r="E841" s="557"/>
      <c r="F841" s="563">
        <v>45050.0</v>
      </c>
      <c r="G841" s="557"/>
      <c r="H841" s="557">
        <v>0.9579449191073142</v>
      </c>
      <c r="I841" s="564">
        <v>27993.0</v>
      </c>
      <c r="J841" s="565">
        <v>45050.0</v>
      </c>
      <c r="K841" s="542"/>
      <c r="L841" s="542"/>
      <c r="M841" s="542"/>
    </row>
    <row r="842">
      <c r="A842" s="570"/>
      <c r="B842" s="559" t="s">
        <v>449</v>
      </c>
      <c r="C842" s="568">
        <v>391.0</v>
      </c>
      <c r="D842" s="557">
        <v>0.9474</v>
      </c>
      <c r="E842" s="569">
        <v>113.44</v>
      </c>
      <c r="F842" s="563">
        <v>45050.0</v>
      </c>
      <c r="G842" s="557"/>
      <c r="H842" s="559"/>
      <c r="I842" s="564">
        <v>27993.0</v>
      </c>
      <c r="J842" s="565">
        <v>45050.0</v>
      </c>
      <c r="K842" s="542"/>
      <c r="L842" s="542"/>
      <c r="M842" s="542"/>
    </row>
    <row r="843">
      <c r="A843" s="570"/>
      <c r="B843" s="559" t="s">
        <v>324</v>
      </c>
      <c r="C843" s="568">
        <v>512.0</v>
      </c>
      <c r="D843" s="557">
        <v>0.9593</v>
      </c>
      <c r="E843" s="569">
        <v>122.78</v>
      </c>
      <c r="F843" s="563">
        <v>45025.0</v>
      </c>
      <c r="G843" s="557"/>
      <c r="H843" s="559"/>
      <c r="I843" s="564">
        <v>27977.0</v>
      </c>
      <c r="J843" s="565">
        <v>45025.0</v>
      </c>
      <c r="K843" s="542"/>
      <c r="L843" s="542"/>
      <c r="M843" s="542"/>
    </row>
    <row r="844">
      <c r="A844" s="570"/>
      <c r="B844" s="559" t="s">
        <v>96</v>
      </c>
      <c r="C844" s="568">
        <v>394.0</v>
      </c>
      <c r="D844" s="557">
        <v>0.9474</v>
      </c>
      <c r="E844" s="569">
        <v>134.19</v>
      </c>
      <c r="F844" s="563">
        <v>45000.0</v>
      </c>
      <c r="G844" s="557"/>
      <c r="H844" s="559"/>
      <c r="I844" s="564">
        <v>27962.0</v>
      </c>
      <c r="J844" s="565">
        <v>45000.0</v>
      </c>
      <c r="K844" s="542"/>
      <c r="L844" s="542"/>
      <c r="M844" s="542"/>
    </row>
    <row r="845">
      <c r="A845" s="570"/>
      <c r="B845" s="559" t="s">
        <v>1491</v>
      </c>
      <c r="C845" s="568">
        <v>576.0</v>
      </c>
      <c r="D845" s="557">
        <v>0.8858</v>
      </c>
      <c r="E845" s="569">
        <v>162.4</v>
      </c>
      <c r="F845" s="563">
        <v>44780.0</v>
      </c>
      <c r="G845" s="557"/>
      <c r="H845" s="559"/>
      <c r="I845" s="564">
        <v>27825.0</v>
      </c>
      <c r="J845" s="565">
        <v>44780.0</v>
      </c>
      <c r="K845" s="542"/>
      <c r="L845" s="542"/>
      <c r="M845" s="542"/>
    </row>
    <row r="846">
      <c r="A846" s="570"/>
      <c r="B846" s="559" t="s">
        <v>122</v>
      </c>
      <c r="C846" s="568">
        <v>431.0</v>
      </c>
      <c r="D846" s="557">
        <v>0.9825</v>
      </c>
      <c r="E846" s="569">
        <v>118.84</v>
      </c>
      <c r="F846" s="563">
        <v>44650.0</v>
      </c>
      <c r="G846" s="557">
        <v>-1.0</v>
      </c>
      <c r="H846" s="559"/>
      <c r="I846" s="564">
        <v>27744.0</v>
      </c>
      <c r="J846" s="565">
        <v>44650.0</v>
      </c>
      <c r="K846" s="542"/>
      <c r="L846" s="542"/>
      <c r="M846" s="542"/>
    </row>
    <row r="847">
      <c r="A847" s="570"/>
      <c r="B847" s="559" t="s">
        <v>1634</v>
      </c>
      <c r="C847" s="568">
        <v>972.0</v>
      </c>
      <c r="D847" s="557">
        <v>0.9771</v>
      </c>
      <c r="E847" s="569">
        <v>128.32</v>
      </c>
      <c r="F847" s="563">
        <v>44471.0</v>
      </c>
      <c r="G847" s="557"/>
      <c r="H847" s="559"/>
      <c r="I847" s="564">
        <v>27633.0</v>
      </c>
      <c r="J847" s="565">
        <v>44471.0</v>
      </c>
      <c r="K847" s="542"/>
      <c r="L847" s="542"/>
      <c r="M847" s="542"/>
    </row>
    <row r="848">
      <c r="A848" s="570"/>
      <c r="B848" s="557"/>
      <c r="C848" s="557"/>
      <c r="D848" s="557"/>
      <c r="E848" s="557"/>
      <c r="F848" s="563">
        <v>44300.0</v>
      </c>
      <c r="G848" s="557"/>
      <c r="H848" s="557">
        <v>0.9582331662805187</v>
      </c>
      <c r="I848" s="564">
        <v>27527.0</v>
      </c>
      <c r="J848" s="565">
        <v>44300.0</v>
      </c>
      <c r="K848" s="542"/>
      <c r="L848" s="542"/>
      <c r="M848" s="542"/>
    </row>
    <row r="849">
      <c r="A849" s="570"/>
      <c r="B849" s="559" t="s">
        <v>1741</v>
      </c>
      <c r="C849" s="568">
        <v>338.0</v>
      </c>
      <c r="D849" s="557">
        <v>0.9608</v>
      </c>
      <c r="E849" s="569">
        <v>118.87</v>
      </c>
      <c r="F849" s="563">
        <v>44051.0</v>
      </c>
      <c r="G849" s="557"/>
      <c r="H849" s="559"/>
      <c r="I849" s="564">
        <v>27372.0</v>
      </c>
      <c r="J849" s="565">
        <v>44051.0</v>
      </c>
      <c r="K849" s="542"/>
      <c r="L849" s="542"/>
      <c r="M849" s="542"/>
    </row>
    <row r="850">
      <c r="A850" s="570"/>
      <c r="B850" s="559" t="s">
        <v>1800</v>
      </c>
      <c r="C850" s="568">
        <v>612.0</v>
      </c>
      <c r="D850" s="557">
        <v>0.986</v>
      </c>
      <c r="E850" s="569">
        <v>117.23</v>
      </c>
      <c r="F850" s="563">
        <v>44000.0</v>
      </c>
      <c r="G850" s="557"/>
      <c r="H850" s="559"/>
      <c r="I850" s="564">
        <v>27340.0</v>
      </c>
      <c r="J850" s="565">
        <v>44000.0</v>
      </c>
      <c r="K850" s="542"/>
      <c r="L850" s="542"/>
      <c r="M850" s="542"/>
    </row>
    <row r="851">
      <c r="A851" s="570"/>
      <c r="B851" s="559" t="s">
        <v>168</v>
      </c>
      <c r="C851" s="568">
        <v>709.0</v>
      </c>
      <c r="D851" s="557">
        <v>0.9591</v>
      </c>
      <c r="E851" s="569">
        <v>105.83</v>
      </c>
      <c r="F851" s="563">
        <v>43966.0</v>
      </c>
      <c r="G851" s="557">
        <v>-1.0</v>
      </c>
      <c r="H851" s="559"/>
      <c r="I851" s="564">
        <v>27319.0</v>
      </c>
      <c r="J851" s="565">
        <v>43966.0</v>
      </c>
      <c r="K851" s="542"/>
      <c r="L851" s="542"/>
      <c r="M851" s="542"/>
    </row>
    <row r="852">
      <c r="A852" s="570"/>
      <c r="B852" s="559" t="s">
        <v>1128</v>
      </c>
      <c r="C852" s="568">
        <v>390.0</v>
      </c>
      <c r="D852" s="557">
        <v>0.9599</v>
      </c>
      <c r="E852" s="569">
        <v>109.61</v>
      </c>
      <c r="F852" s="563">
        <v>43806.0</v>
      </c>
      <c r="G852" s="557"/>
      <c r="H852" s="559"/>
      <c r="I852" s="564">
        <v>27220.0</v>
      </c>
      <c r="J852" s="565">
        <v>43806.0</v>
      </c>
      <c r="K852" s="542"/>
      <c r="L852" s="542"/>
      <c r="M852" s="542"/>
    </row>
    <row r="853">
      <c r="A853" s="570"/>
      <c r="B853" s="559" t="s">
        <v>1505</v>
      </c>
      <c r="C853" s="568">
        <v>571.0</v>
      </c>
      <c r="D853" s="557">
        <v>0.9619</v>
      </c>
      <c r="E853" s="569">
        <v>129.65</v>
      </c>
      <c r="F853" s="563">
        <v>43800.0</v>
      </c>
      <c r="G853" s="557"/>
      <c r="H853" s="559"/>
      <c r="I853" s="564">
        <v>27216.0</v>
      </c>
      <c r="J853" s="565">
        <v>43800.0</v>
      </c>
      <c r="K853" s="542"/>
      <c r="L853" s="542"/>
      <c r="M853" s="542"/>
    </row>
    <row r="854">
      <c r="A854" s="570"/>
      <c r="B854" s="559" t="s">
        <v>1637</v>
      </c>
      <c r="C854" s="568">
        <v>311.0</v>
      </c>
      <c r="D854" s="557">
        <v>0.9794</v>
      </c>
      <c r="E854" s="569">
        <v>136.99</v>
      </c>
      <c r="F854" s="563">
        <v>43787.0</v>
      </c>
      <c r="G854" s="557"/>
      <c r="H854" s="559"/>
      <c r="I854" s="564">
        <v>27208.0</v>
      </c>
      <c r="J854" s="565">
        <v>43787.0</v>
      </c>
      <c r="K854" s="542"/>
      <c r="L854" s="542"/>
      <c r="M854" s="542"/>
    </row>
    <row r="855">
      <c r="A855" s="570"/>
      <c r="B855" s="557"/>
      <c r="C855" s="557"/>
      <c r="D855" s="557"/>
      <c r="E855" s="557"/>
      <c r="F855" s="563">
        <v>43550.0</v>
      </c>
      <c r="G855" s="557"/>
      <c r="H855" s="557">
        <v>0.9585275716273827</v>
      </c>
      <c r="I855" s="564">
        <v>27061.0</v>
      </c>
      <c r="J855" s="565">
        <v>43550.0</v>
      </c>
      <c r="K855" s="542"/>
      <c r="L855" s="542"/>
      <c r="M855" s="542"/>
    </row>
    <row r="856">
      <c r="A856" s="570"/>
      <c r="B856" s="559" t="s">
        <v>392</v>
      </c>
      <c r="C856" s="568">
        <v>718.0</v>
      </c>
      <c r="D856" s="557">
        <v>0.9492</v>
      </c>
      <c r="E856" s="569">
        <v>125.58</v>
      </c>
      <c r="F856" s="563">
        <v>43500.0</v>
      </c>
      <c r="G856" s="557"/>
      <c r="H856" s="559"/>
      <c r="I856" s="564">
        <v>27030.0</v>
      </c>
      <c r="J856" s="565">
        <v>43500.0</v>
      </c>
      <c r="K856" s="542"/>
      <c r="L856" s="542"/>
      <c r="M856" s="542"/>
    </row>
    <row r="857">
      <c r="A857" s="570"/>
      <c r="B857" s="559" t="s">
        <v>1817</v>
      </c>
      <c r="C857" s="568">
        <v>700.0</v>
      </c>
      <c r="D857" s="557">
        <v>0.9746</v>
      </c>
      <c r="E857" s="569">
        <v>119.42</v>
      </c>
      <c r="F857" s="563">
        <v>43500.0</v>
      </c>
      <c r="G857" s="557"/>
      <c r="H857" s="559"/>
      <c r="I857" s="564">
        <v>27030.0</v>
      </c>
      <c r="J857" s="565">
        <v>43500.0</v>
      </c>
      <c r="K857" s="542"/>
      <c r="L857" s="542"/>
      <c r="M857" s="542"/>
    </row>
    <row r="858">
      <c r="A858" s="570"/>
      <c r="B858" s="559" t="s">
        <v>761</v>
      </c>
      <c r="C858" s="568">
        <v>778.0</v>
      </c>
      <c r="D858" s="557">
        <v>0.9534</v>
      </c>
      <c r="E858" s="569">
        <v>133.27</v>
      </c>
      <c r="F858" s="563">
        <v>43470.0</v>
      </c>
      <c r="G858" s="557"/>
      <c r="H858" s="559"/>
      <c r="I858" s="564">
        <v>27011.0</v>
      </c>
      <c r="J858" s="565">
        <v>43470.0</v>
      </c>
      <c r="K858" s="542"/>
      <c r="L858" s="542"/>
      <c r="M858" s="542"/>
    </row>
    <row r="859">
      <c r="A859" s="570"/>
      <c r="B859" s="559" t="s">
        <v>1127</v>
      </c>
      <c r="C859" s="568">
        <v>318.0</v>
      </c>
      <c r="D859" s="557">
        <v>0.9656</v>
      </c>
      <c r="E859" s="569">
        <v>119.15</v>
      </c>
      <c r="F859" s="563">
        <v>43210.0</v>
      </c>
      <c r="G859" s="557"/>
      <c r="H859" s="559"/>
      <c r="I859" s="564">
        <v>26849.0</v>
      </c>
      <c r="J859" s="565">
        <v>43210.0</v>
      </c>
      <c r="K859" s="542"/>
      <c r="L859" s="542"/>
      <c r="M859" s="542"/>
    </row>
    <row r="860">
      <c r="A860" s="570"/>
      <c r="B860" s="559" t="s">
        <v>246</v>
      </c>
      <c r="C860" s="568">
        <v>526.0</v>
      </c>
      <c r="D860" s="557">
        <v>0.901</v>
      </c>
      <c r="E860" s="569">
        <v>130.57</v>
      </c>
      <c r="F860" s="563">
        <v>43123.0</v>
      </c>
      <c r="G860" s="557"/>
      <c r="H860" s="559"/>
      <c r="I860" s="564">
        <v>26795.0</v>
      </c>
      <c r="J860" s="565">
        <v>43123.0</v>
      </c>
      <c r="K860" s="542"/>
      <c r="L860" s="542"/>
      <c r="M860" s="542"/>
    </row>
    <row r="861">
      <c r="A861" s="570"/>
      <c r="B861" s="559" t="s">
        <v>1726</v>
      </c>
      <c r="C861" s="568">
        <v>494.0</v>
      </c>
      <c r="D861" s="557">
        <v>0.9567</v>
      </c>
      <c r="E861" s="569">
        <v>125.47</v>
      </c>
      <c r="F861" s="563">
        <v>43090.0</v>
      </c>
      <c r="G861" s="557"/>
      <c r="H861" s="559"/>
      <c r="I861" s="564">
        <v>26775.0</v>
      </c>
      <c r="J861" s="565">
        <v>43090.0</v>
      </c>
      <c r="K861" s="542"/>
      <c r="L861" s="542"/>
      <c r="M861" s="542"/>
    </row>
    <row r="862">
      <c r="A862" s="570"/>
      <c r="B862" s="559" t="s">
        <v>1874</v>
      </c>
      <c r="C862" s="568">
        <v>395.0</v>
      </c>
      <c r="D862" s="557">
        <v>1.0</v>
      </c>
      <c r="E862" s="569">
        <v>130.89</v>
      </c>
      <c r="F862" s="563">
        <v>43082.0</v>
      </c>
      <c r="G862" s="557"/>
      <c r="H862" s="559"/>
      <c r="I862" s="564">
        <v>26770.0</v>
      </c>
      <c r="J862" s="565">
        <v>43082.0</v>
      </c>
      <c r="K862" s="542"/>
      <c r="L862" s="542"/>
      <c r="M862" s="542"/>
    </row>
    <row r="863">
      <c r="A863" s="570"/>
      <c r="B863" s="559" t="s">
        <v>1876</v>
      </c>
      <c r="C863" s="568">
        <v>732.0</v>
      </c>
      <c r="D863" s="557">
        <v>0.9424</v>
      </c>
      <c r="E863" s="569">
        <v>126.56</v>
      </c>
      <c r="F863" s="563">
        <v>42900.0</v>
      </c>
      <c r="G863" s="557"/>
      <c r="H863" s="559"/>
      <c r="I863" s="564">
        <v>26657.0</v>
      </c>
      <c r="J863" s="565">
        <v>42900.0</v>
      </c>
      <c r="K863" s="542"/>
      <c r="L863" s="542"/>
      <c r="M863" s="542"/>
    </row>
    <row r="864">
      <c r="A864" s="570"/>
      <c r="B864" s="559" t="s">
        <v>192</v>
      </c>
      <c r="C864" s="568">
        <v>547.0</v>
      </c>
      <c r="D864" s="557">
        <v>0.9593</v>
      </c>
      <c r="E864" s="569">
        <v>141.12</v>
      </c>
      <c r="F864" s="563">
        <v>42850.0</v>
      </c>
      <c r="G864" s="557"/>
      <c r="H864" s="559"/>
      <c r="I864" s="564">
        <v>26626.0</v>
      </c>
      <c r="J864" s="565">
        <v>42850.0</v>
      </c>
      <c r="K864" s="542"/>
      <c r="L864" s="542"/>
      <c r="M864" s="542"/>
    </row>
    <row r="865">
      <c r="A865" s="570"/>
      <c r="B865" s="559" t="s">
        <v>1454</v>
      </c>
      <c r="C865" s="568">
        <v>721.0</v>
      </c>
      <c r="D865" s="557">
        <v>0.9655</v>
      </c>
      <c r="E865" s="569">
        <v>119.74</v>
      </c>
      <c r="F865" s="563">
        <v>42825.0</v>
      </c>
      <c r="G865" s="557"/>
      <c r="H865" s="559"/>
      <c r="I865" s="564">
        <v>26610.0</v>
      </c>
      <c r="J865" s="565">
        <v>42825.0</v>
      </c>
      <c r="K865" s="542"/>
      <c r="L865" s="542"/>
      <c r="M865" s="542"/>
    </row>
    <row r="866">
      <c r="A866" s="570"/>
      <c r="B866" s="557"/>
      <c r="C866" s="557"/>
      <c r="D866" s="557"/>
      <c r="E866" s="557"/>
      <c r="F866" s="563">
        <v>42800.0</v>
      </c>
      <c r="G866" s="557"/>
      <c r="H866" s="557">
        <v>0.9588283569073263</v>
      </c>
      <c r="I866" s="564">
        <v>26595.0</v>
      </c>
      <c r="J866" s="565">
        <v>42800.0</v>
      </c>
      <c r="K866" s="542"/>
      <c r="L866" s="542"/>
      <c r="M866" s="542"/>
    </row>
    <row r="867">
      <c r="A867" s="570"/>
      <c r="B867" s="559" t="s">
        <v>1628</v>
      </c>
      <c r="C867" s="568">
        <v>540.0</v>
      </c>
      <c r="D867" s="557">
        <v>0.9611</v>
      </c>
      <c r="E867" s="569">
        <v>114.59</v>
      </c>
      <c r="F867" s="563">
        <v>42743.0</v>
      </c>
      <c r="G867" s="557"/>
      <c r="H867" s="559"/>
      <c r="I867" s="564">
        <v>26559.0</v>
      </c>
      <c r="J867" s="565">
        <v>42743.0</v>
      </c>
      <c r="K867" s="542"/>
      <c r="L867" s="542"/>
      <c r="M867" s="542"/>
    </row>
    <row r="868">
      <c r="A868" s="570"/>
      <c r="B868" s="559" t="s">
        <v>339</v>
      </c>
      <c r="C868" s="568">
        <v>446.0</v>
      </c>
      <c r="D868" s="557">
        <v>0.9543</v>
      </c>
      <c r="E868" s="569">
        <v>145.49</v>
      </c>
      <c r="F868" s="563">
        <v>42700.0</v>
      </c>
      <c r="G868" s="557"/>
      <c r="H868" s="559"/>
      <c r="I868" s="564">
        <v>26533.0</v>
      </c>
      <c r="J868" s="565">
        <v>42700.0</v>
      </c>
      <c r="K868" s="542"/>
      <c r="L868" s="542"/>
      <c r="M868" s="542"/>
    </row>
    <row r="869">
      <c r="A869" s="570"/>
      <c r="B869" s="559" t="s">
        <v>1741</v>
      </c>
      <c r="C869" s="568">
        <v>324.0</v>
      </c>
      <c r="D869" s="557">
        <v>0.9514</v>
      </c>
      <c r="E869" s="569">
        <v>115.62</v>
      </c>
      <c r="F869" s="563">
        <v>42641.0</v>
      </c>
      <c r="G869" s="557"/>
      <c r="H869" s="559"/>
      <c r="I869" s="564">
        <v>26496.0</v>
      </c>
      <c r="J869" s="565">
        <v>42641.0</v>
      </c>
      <c r="K869" s="542"/>
      <c r="L869" s="542"/>
      <c r="M869" s="542"/>
    </row>
    <row r="870">
      <c r="A870" s="570"/>
      <c r="B870" s="559" t="s">
        <v>1887</v>
      </c>
      <c r="C870" s="568">
        <v>545.0</v>
      </c>
      <c r="D870" s="557">
        <v>0.9947</v>
      </c>
      <c r="E870" s="569">
        <v>109.42</v>
      </c>
      <c r="F870" s="563">
        <v>42500.0</v>
      </c>
      <c r="G870" s="557"/>
      <c r="H870" s="559"/>
      <c r="I870" s="564">
        <v>26408.0</v>
      </c>
      <c r="J870" s="565">
        <v>42500.0</v>
      </c>
      <c r="K870" s="542"/>
      <c r="L870" s="542"/>
      <c r="M870" s="542"/>
    </row>
    <row r="871">
      <c r="A871" s="570"/>
      <c r="B871" s="559" t="s">
        <v>623</v>
      </c>
      <c r="C871" s="568">
        <v>313.0</v>
      </c>
      <c r="D871" s="557">
        <v>0.9499</v>
      </c>
      <c r="E871" s="569">
        <v>108.82</v>
      </c>
      <c r="F871" s="563">
        <v>42379.0</v>
      </c>
      <c r="G871" s="557"/>
      <c r="H871" s="559"/>
      <c r="I871" s="564">
        <v>26333.0</v>
      </c>
      <c r="J871" s="565">
        <v>42379.0</v>
      </c>
      <c r="K871" s="542"/>
      <c r="L871" s="542"/>
      <c r="M871" s="542"/>
    </row>
    <row r="872">
      <c r="A872" s="570"/>
      <c r="B872" s="559" t="s">
        <v>1336</v>
      </c>
      <c r="C872" s="568">
        <v>440.0</v>
      </c>
      <c r="D872" s="557">
        <v>0.967</v>
      </c>
      <c r="E872" s="569">
        <v>114.72</v>
      </c>
      <c r="F872" s="563">
        <v>42234.0</v>
      </c>
      <c r="G872" s="557"/>
      <c r="H872" s="559"/>
      <c r="I872" s="564">
        <v>26243.0</v>
      </c>
      <c r="J872" s="565">
        <v>42234.0</v>
      </c>
      <c r="K872" s="542"/>
      <c r="L872" s="542"/>
      <c r="M872" s="542"/>
    </row>
    <row r="873">
      <c r="A873" s="570"/>
      <c r="B873" s="559" t="s">
        <v>1876</v>
      </c>
      <c r="C873" s="568">
        <v>711.0</v>
      </c>
      <c r="D873" s="557">
        <v>0.9264</v>
      </c>
      <c r="E873" s="569">
        <v>125.53</v>
      </c>
      <c r="F873" s="563">
        <v>42200.0</v>
      </c>
      <c r="G873" s="557"/>
      <c r="H873" s="559"/>
      <c r="I873" s="564">
        <v>26222.0</v>
      </c>
      <c r="J873" s="565">
        <v>42200.0</v>
      </c>
      <c r="K873" s="542"/>
      <c r="L873" s="542"/>
      <c r="M873" s="542"/>
    </row>
    <row r="874">
      <c r="A874" s="570"/>
      <c r="B874" s="559" t="s">
        <v>1757</v>
      </c>
      <c r="C874" s="568">
        <v>330.0</v>
      </c>
      <c r="D874" s="557">
        <v>0.949</v>
      </c>
      <c r="E874" s="569">
        <v>129.03</v>
      </c>
      <c r="F874" s="563">
        <v>42193.0</v>
      </c>
      <c r="G874" s="557"/>
      <c r="H874" s="559"/>
      <c r="I874" s="564">
        <v>26218.0</v>
      </c>
      <c r="J874" s="565">
        <v>42193.0</v>
      </c>
      <c r="K874" s="542"/>
      <c r="L874" s="542"/>
      <c r="M874" s="542"/>
    </row>
    <row r="875">
      <c r="A875" s="570"/>
      <c r="B875" s="557"/>
      <c r="C875" s="557"/>
      <c r="D875" s="557"/>
      <c r="E875" s="557"/>
      <c r="F875" s="563">
        <v>42050.0</v>
      </c>
      <c r="G875" s="557"/>
      <c r="H875" s="557">
        <v>0.9591357518654555</v>
      </c>
      <c r="I875" s="564">
        <v>26129.0</v>
      </c>
      <c r="J875" s="565">
        <v>42050.0</v>
      </c>
      <c r="K875" s="542"/>
      <c r="L875" s="542"/>
      <c r="M875" s="542"/>
    </row>
    <row r="876">
      <c r="A876" s="570"/>
      <c r="B876" s="559" t="s">
        <v>96</v>
      </c>
      <c r="C876" s="568">
        <v>364.0</v>
      </c>
      <c r="D876" s="557">
        <v>0.9524</v>
      </c>
      <c r="E876" s="569">
        <v>123.81</v>
      </c>
      <c r="F876" s="563">
        <v>42000.0</v>
      </c>
      <c r="G876" s="557"/>
      <c r="H876" s="559"/>
      <c r="I876" s="564">
        <v>26098.0</v>
      </c>
      <c r="J876" s="565">
        <v>42000.0</v>
      </c>
      <c r="K876" s="542"/>
      <c r="L876" s="542"/>
      <c r="M876" s="542"/>
    </row>
    <row r="877">
      <c r="A877" s="570"/>
      <c r="B877" s="559" t="s">
        <v>201</v>
      </c>
      <c r="C877" s="568">
        <v>494.0</v>
      </c>
      <c r="D877" s="557">
        <v>0.9624</v>
      </c>
      <c r="E877" s="569">
        <v>94.3</v>
      </c>
      <c r="F877" s="563">
        <v>41924.0</v>
      </c>
      <c r="G877" s="557"/>
      <c r="H877" s="559"/>
      <c r="I877" s="564">
        <v>26050.0</v>
      </c>
      <c r="J877" s="565">
        <v>41924.0</v>
      </c>
      <c r="K877" s="542"/>
      <c r="L877" s="542"/>
      <c r="M877" s="542"/>
    </row>
    <row r="878">
      <c r="A878" s="570"/>
      <c r="B878" s="559" t="s">
        <v>348</v>
      </c>
      <c r="C878" s="568">
        <v>482.0</v>
      </c>
      <c r="D878" s="557">
        <v>0.9416</v>
      </c>
      <c r="E878" s="569">
        <v>147.63</v>
      </c>
      <c r="F878" s="563">
        <v>41909.0</v>
      </c>
      <c r="G878" s="557"/>
      <c r="H878" s="559"/>
      <c r="I878" s="564">
        <v>26041.0</v>
      </c>
      <c r="J878" s="565">
        <v>41909.0</v>
      </c>
      <c r="K878" s="542"/>
      <c r="L878" s="542"/>
      <c r="M878" s="542"/>
    </row>
    <row r="879">
      <c r="A879" s="570"/>
      <c r="B879" s="559" t="s">
        <v>1695</v>
      </c>
      <c r="C879" s="568">
        <v>790.0</v>
      </c>
      <c r="D879" s="557">
        <v>0.9061</v>
      </c>
      <c r="E879" s="569">
        <v>127.57</v>
      </c>
      <c r="F879" s="563">
        <v>41868.0</v>
      </c>
      <c r="G879" s="557"/>
      <c r="H879" s="559"/>
      <c r="I879" s="564">
        <v>26016.0</v>
      </c>
      <c r="J879" s="565">
        <v>41868.0</v>
      </c>
      <c r="K879" s="542"/>
      <c r="L879" s="542"/>
      <c r="M879" s="542"/>
    </row>
    <row r="880">
      <c r="A880" s="570"/>
      <c r="B880" s="559" t="s">
        <v>1726</v>
      </c>
      <c r="C880" s="568">
        <v>466.0</v>
      </c>
      <c r="D880" s="557">
        <v>0.9634</v>
      </c>
      <c r="E880" s="569">
        <v>120.39</v>
      </c>
      <c r="F880" s="563">
        <v>41845.0</v>
      </c>
      <c r="G880" s="557"/>
      <c r="H880" s="559"/>
      <c r="I880" s="564">
        <v>26001.0</v>
      </c>
      <c r="J880" s="565">
        <v>41845.0</v>
      </c>
      <c r="K880" s="542"/>
      <c r="L880" s="542"/>
      <c r="M880" s="542"/>
    </row>
    <row r="881">
      <c r="A881" s="570"/>
      <c r="B881" s="559" t="s">
        <v>640</v>
      </c>
      <c r="C881" s="568">
        <v>393.0</v>
      </c>
      <c r="D881" s="557">
        <v>0.9543</v>
      </c>
      <c r="E881" s="569">
        <v>119.85</v>
      </c>
      <c r="F881" s="563">
        <v>41628.0</v>
      </c>
      <c r="G881" s="557"/>
      <c r="H881" s="559"/>
      <c r="I881" s="564">
        <v>25866.0</v>
      </c>
      <c r="J881" s="565">
        <v>41628.0</v>
      </c>
      <c r="K881" s="542"/>
      <c r="L881" s="542"/>
      <c r="M881" s="542"/>
    </row>
    <row r="882">
      <c r="A882" s="570"/>
      <c r="B882" s="559" t="s">
        <v>513</v>
      </c>
      <c r="C882" s="568">
        <v>404.0</v>
      </c>
      <c r="D882" s="557">
        <v>0.9771</v>
      </c>
      <c r="E882" s="569">
        <v>122.44</v>
      </c>
      <c r="F882" s="563">
        <v>41500.0</v>
      </c>
      <c r="G882" s="557"/>
      <c r="H882" s="559"/>
      <c r="I882" s="564">
        <v>25787.0</v>
      </c>
      <c r="J882" s="565">
        <v>41500.0</v>
      </c>
      <c r="K882" s="542"/>
      <c r="L882" s="542"/>
      <c r="M882" s="542"/>
    </row>
    <row r="883">
      <c r="A883" s="570"/>
      <c r="B883" s="559" t="s">
        <v>633</v>
      </c>
      <c r="C883" s="568">
        <v>795.0</v>
      </c>
      <c r="D883" s="557">
        <v>0.9851</v>
      </c>
      <c r="E883" s="569">
        <v>93.51</v>
      </c>
      <c r="F883" s="563">
        <v>41476.0</v>
      </c>
      <c r="G883" s="557">
        <v>-1.0</v>
      </c>
      <c r="H883" s="559"/>
      <c r="I883" s="564">
        <v>25772.0</v>
      </c>
      <c r="J883" s="565">
        <v>41476.0</v>
      </c>
      <c r="K883" s="542"/>
      <c r="L883" s="542"/>
      <c r="M883" s="542"/>
    </row>
    <row r="884">
      <c r="A884" s="570"/>
      <c r="B884" s="559" t="s">
        <v>174</v>
      </c>
      <c r="C884" s="568">
        <v>252.0</v>
      </c>
      <c r="D884" s="557">
        <v>0.948</v>
      </c>
      <c r="E884" s="569">
        <v>94.71</v>
      </c>
      <c r="F884" s="563">
        <v>41383.0</v>
      </c>
      <c r="G884" s="557">
        <v>-1.0</v>
      </c>
      <c r="H884" s="559"/>
      <c r="I884" s="564">
        <v>25714.0</v>
      </c>
      <c r="J884" s="565">
        <v>41383.0</v>
      </c>
      <c r="K884" s="542"/>
      <c r="L884" s="542"/>
      <c r="M884" s="542"/>
    </row>
    <row r="885">
      <c r="A885" s="570"/>
      <c r="B885" s="557"/>
      <c r="C885" s="557"/>
      <c r="D885" s="557"/>
      <c r="E885" s="557"/>
      <c r="F885" s="563">
        <v>41300.0</v>
      </c>
      <c r="G885" s="557"/>
      <c r="H885" s="557">
        <v>0.9594499945201316</v>
      </c>
      <c r="I885" s="564">
        <v>25663.0</v>
      </c>
      <c r="J885" s="565">
        <v>41300.0</v>
      </c>
      <c r="K885" s="542"/>
      <c r="L885" s="542"/>
      <c r="M885" s="542"/>
    </row>
    <row r="886">
      <c r="A886" s="570"/>
      <c r="B886" s="559" t="s">
        <v>1322</v>
      </c>
      <c r="C886" s="568">
        <v>350.0</v>
      </c>
      <c r="D886" s="557">
        <v>0.9395</v>
      </c>
      <c r="E886" s="569">
        <v>140.31</v>
      </c>
      <c r="F886" s="563">
        <v>41187.0</v>
      </c>
      <c r="G886" s="557"/>
      <c r="H886" s="559"/>
      <c r="I886" s="564">
        <v>25592.0</v>
      </c>
      <c r="J886" s="565">
        <v>41187.0</v>
      </c>
      <c r="K886" s="542"/>
      <c r="L886" s="542"/>
      <c r="M886" s="542"/>
    </row>
    <row r="887">
      <c r="A887" s="570"/>
      <c r="B887" s="559" t="s">
        <v>244</v>
      </c>
      <c r="C887" s="568">
        <v>447.0</v>
      </c>
      <c r="D887" s="557">
        <v>0.8857</v>
      </c>
      <c r="E887" s="569">
        <v>123.0</v>
      </c>
      <c r="F887" s="563">
        <v>41038.0</v>
      </c>
      <c r="G887" s="557">
        <v>-1.0</v>
      </c>
      <c r="H887" s="559"/>
      <c r="I887" s="564">
        <v>25500.0</v>
      </c>
      <c r="J887" s="565">
        <v>41038.0</v>
      </c>
      <c r="K887" s="542"/>
      <c r="L887" s="542"/>
      <c r="M887" s="542"/>
    </row>
    <row r="888">
      <c r="A888" s="570"/>
      <c r="B888" s="559" t="s">
        <v>541</v>
      </c>
      <c r="C888" s="568">
        <v>481.0</v>
      </c>
      <c r="D888" s="557">
        <v>0.9492</v>
      </c>
      <c r="E888" s="569">
        <v>123.78</v>
      </c>
      <c r="F888" s="563">
        <v>41000.0</v>
      </c>
      <c r="G888" s="557"/>
      <c r="H888" s="559"/>
      <c r="I888" s="564">
        <v>25476.0</v>
      </c>
      <c r="J888" s="565">
        <v>41000.0</v>
      </c>
      <c r="K888" s="542"/>
      <c r="L888" s="542"/>
      <c r="M888" s="542"/>
    </row>
    <row r="889">
      <c r="A889" s="570"/>
      <c r="B889" s="559" t="s">
        <v>605</v>
      </c>
      <c r="C889" s="568">
        <v>479.0</v>
      </c>
      <c r="D889" s="557">
        <v>0.9624</v>
      </c>
      <c r="E889" s="569">
        <v>108.93</v>
      </c>
      <c r="F889" s="563">
        <v>41000.0</v>
      </c>
      <c r="G889" s="557"/>
      <c r="H889" s="559"/>
      <c r="I889" s="564">
        <v>25476.0</v>
      </c>
      <c r="J889" s="565">
        <v>41000.0</v>
      </c>
      <c r="K889" s="542"/>
      <c r="L889" s="542"/>
      <c r="M889" s="542"/>
    </row>
    <row r="890">
      <c r="A890" s="570"/>
      <c r="B890" s="559" t="s">
        <v>155</v>
      </c>
      <c r="C890" s="568">
        <v>720.0</v>
      </c>
      <c r="D890" s="557">
        <v>1.0208</v>
      </c>
      <c r="E890" s="569">
        <v>143.44</v>
      </c>
      <c r="F890" s="563">
        <v>40750.0</v>
      </c>
      <c r="G890" s="557"/>
      <c r="H890" s="559"/>
      <c r="I890" s="564">
        <v>25321.0</v>
      </c>
      <c r="J890" s="565">
        <v>40750.0</v>
      </c>
      <c r="K890" s="542"/>
      <c r="L890" s="542"/>
      <c r="M890" s="542"/>
    </row>
    <row r="891">
      <c r="A891" s="570"/>
      <c r="B891" s="559" t="s">
        <v>227</v>
      </c>
      <c r="C891" s="568">
        <v>441.0</v>
      </c>
      <c r="D891" s="557">
        <v>0.9554</v>
      </c>
      <c r="E891" s="569">
        <v>103.46</v>
      </c>
      <c r="F891" s="563">
        <v>40689.0</v>
      </c>
      <c r="G891" s="557">
        <v>-1.0</v>
      </c>
      <c r="H891" s="559"/>
      <c r="I891" s="564">
        <v>25283.0</v>
      </c>
      <c r="J891" s="565">
        <v>40689.0</v>
      </c>
      <c r="K891" s="542"/>
      <c r="L891" s="542"/>
      <c r="M891" s="542"/>
    </row>
    <row r="892">
      <c r="A892" s="570"/>
      <c r="B892" s="559" t="s">
        <v>76</v>
      </c>
      <c r="C892" s="568">
        <v>297.0</v>
      </c>
      <c r="D892" s="557">
        <v>0.9649</v>
      </c>
      <c r="E892" s="569">
        <v>116.46</v>
      </c>
      <c r="F892" s="563">
        <v>40670.0</v>
      </c>
      <c r="G892" s="557"/>
      <c r="H892" s="559"/>
      <c r="I892" s="564">
        <v>25271.0</v>
      </c>
      <c r="J892" s="565">
        <v>40670.0</v>
      </c>
      <c r="K892" s="542"/>
      <c r="L892" s="542"/>
      <c r="M892" s="542"/>
    </row>
    <row r="893">
      <c r="A893" s="570"/>
      <c r="B893" s="559" t="s">
        <v>279</v>
      </c>
      <c r="C893" s="568">
        <v>494.0</v>
      </c>
      <c r="D893" s="557">
        <v>0.967</v>
      </c>
      <c r="E893" s="569">
        <v>126.85</v>
      </c>
      <c r="F893" s="563">
        <v>40619.0</v>
      </c>
      <c r="G893" s="557"/>
      <c r="H893" s="559"/>
      <c r="I893" s="564">
        <v>25239.0</v>
      </c>
      <c r="J893" s="565">
        <v>40619.0</v>
      </c>
      <c r="K893" s="542"/>
      <c r="L893" s="542"/>
      <c r="M893" s="542"/>
    </row>
    <row r="894">
      <c r="A894" s="570"/>
      <c r="B894" s="559" t="s">
        <v>339</v>
      </c>
      <c r="C894" s="568">
        <v>427.0</v>
      </c>
      <c r="D894" s="557">
        <v>0.9441</v>
      </c>
      <c r="E894" s="569">
        <v>139.04</v>
      </c>
      <c r="F894" s="563">
        <v>40592.0</v>
      </c>
      <c r="G894" s="557"/>
      <c r="H894" s="559"/>
      <c r="I894" s="564">
        <v>25223.0</v>
      </c>
      <c r="J894" s="565">
        <v>40592.0</v>
      </c>
      <c r="K894" s="542"/>
      <c r="L894" s="542"/>
      <c r="M894" s="542"/>
    </row>
    <row r="895">
      <c r="A895" s="570"/>
      <c r="B895" s="557"/>
      <c r="C895" s="557"/>
      <c r="D895" s="557"/>
      <c r="E895" s="557"/>
      <c r="F895" s="563">
        <v>40550.0</v>
      </c>
      <c r="G895" s="557"/>
      <c r="H895" s="557">
        <v>0.9597713314608955</v>
      </c>
      <c r="I895" s="564">
        <v>25197.0</v>
      </c>
      <c r="J895" s="565">
        <v>40550.0</v>
      </c>
      <c r="K895" s="542"/>
      <c r="L895" s="542"/>
      <c r="M895" s="542"/>
    </row>
    <row r="896">
      <c r="A896" s="570"/>
      <c r="B896" s="559" t="s">
        <v>1498</v>
      </c>
      <c r="C896" s="568">
        <v>746.0</v>
      </c>
      <c r="D896" s="557">
        <v>0.9198</v>
      </c>
      <c r="E896" s="569">
        <v>121.53</v>
      </c>
      <c r="F896" s="563">
        <v>40532.0</v>
      </c>
      <c r="G896" s="557"/>
      <c r="H896" s="559"/>
      <c r="I896" s="564">
        <v>25185.0</v>
      </c>
      <c r="J896" s="565">
        <v>40532.0</v>
      </c>
      <c r="K896" s="542"/>
      <c r="L896" s="542"/>
      <c r="M896" s="542"/>
    </row>
    <row r="897">
      <c r="A897" s="570"/>
      <c r="B897" s="559" t="s">
        <v>361</v>
      </c>
      <c r="C897" s="568">
        <v>361.0</v>
      </c>
      <c r="D897" s="557">
        <v>0.9746</v>
      </c>
      <c r="E897" s="569">
        <v>121.77</v>
      </c>
      <c r="F897" s="563">
        <v>40504.0</v>
      </c>
      <c r="G897" s="557"/>
      <c r="H897" s="559"/>
      <c r="I897" s="564">
        <v>25168.0</v>
      </c>
      <c r="J897" s="565">
        <v>40504.0</v>
      </c>
      <c r="K897" s="542"/>
      <c r="L897" s="542"/>
      <c r="M897" s="542"/>
    </row>
    <row r="898">
      <c r="A898" s="570"/>
      <c r="B898" s="559" t="s">
        <v>566</v>
      </c>
      <c r="C898" s="568">
        <v>453.0</v>
      </c>
      <c r="D898" s="557">
        <v>0.9568</v>
      </c>
      <c r="E898" s="569">
        <v>116.46</v>
      </c>
      <c r="F898" s="563">
        <v>40501.0</v>
      </c>
      <c r="G898" s="557"/>
      <c r="H898" s="559"/>
      <c r="I898" s="564">
        <v>25166.0</v>
      </c>
      <c r="J898" s="565">
        <v>40501.0</v>
      </c>
      <c r="K898" s="542"/>
      <c r="L898" s="542"/>
      <c r="M898" s="542"/>
    </row>
    <row r="899">
      <c r="A899" s="570"/>
      <c r="B899" s="559" t="s">
        <v>548</v>
      </c>
      <c r="C899" s="568">
        <v>483.0</v>
      </c>
      <c r="D899" s="557">
        <v>0.9467</v>
      </c>
      <c r="E899" s="569">
        <v>125.12</v>
      </c>
      <c r="F899" s="563">
        <v>40500.0</v>
      </c>
      <c r="G899" s="557"/>
      <c r="H899" s="559"/>
      <c r="I899" s="564">
        <v>25166.0</v>
      </c>
      <c r="J899" s="565">
        <v>40500.0</v>
      </c>
      <c r="K899" s="542"/>
      <c r="L899" s="542"/>
      <c r="M899" s="542"/>
    </row>
    <row r="900">
      <c r="A900" s="570"/>
      <c r="B900" s="559" t="s">
        <v>1095</v>
      </c>
      <c r="C900" s="568">
        <v>650.0</v>
      </c>
      <c r="D900" s="557">
        <v>0.9749</v>
      </c>
      <c r="E900" s="569">
        <v>101.41</v>
      </c>
      <c r="F900" s="563">
        <v>40200.0</v>
      </c>
      <c r="G900" s="557"/>
      <c r="H900" s="559"/>
      <c r="I900" s="564">
        <v>24979.0</v>
      </c>
      <c r="J900" s="565">
        <v>40200.0</v>
      </c>
      <c r="K900" s="542"/>
      <c r="L900" s="542"/>
      <c r="M900" s="542"/>
    </row>
    <row r="901">
      <c r="A901" s="570"/>
      <c r="B901" s="559" t="s">
        <v>1593</v>
      </c>
      <c r="C901" s="568">
        <v>771.0</v>
      </c>
      <c r="D901" s="557">
        <v>0.9797</v>
      </c>
      <c r="E901" s="569">
        <v>120.28</v>
      </c>
      <c r="F901" s="563">
        <v>40108.0</v>
      </c>
      <c r="G901" s="557"/>
      <c r="H901" s="559"/>
      <c r="I901" s="564">
        <v>24922.0</v>
      </c>
      <c r="J901" s="565">
        <v>40108.0</v>
      </c>
      <c r="K901" s="542"/>
      <c r="L901" s="542"/>
      <c r="M901" s="542"/>
    </row>
    <row r="902">
      <c r="A902" s="570"/>
      <c r="B902" s="559" t="s">
        <v>108</v>
      </c>
      <c r="C902" s="568">
        <v>366.0</v>
      </c>
      <c r="D902" s="557">
        <v>0.9048</v>
      </c>
      <c r="E902" s="569">
        <v>141.26</v>
      </c>
      <c r="F902" s="563">
        <v>40077.0</v>
      </c>
      <c r="G902" s="557">
        <v>-1.0</v>
      </c>
      <c r="H902" s="559"/>
      <c r="I902" s="564">
        <v>24903.0</v>
      </c>
      <c r="J902" s="565">
        <v>40077.0</v>
      </c>
      <c r="K902" s="542"/>
      <c r="L902" s="542"/>
      <c r="M902" s="542"/>
    </row>
    <row r="903">
      <c r="A903" s="570"/>
      <c r="B903" s="559" t="s">
        <v>761</v>
      </c>
      <c r="C903" s="568">
        <v>709.0</v>
      </c>
      <c r="D903" s="557">
        <v>0.951</v>
      </c>
      <c r="E903" s="569">
        <v>122.82</v>
      </c>
      <c r="F903" s="563">
        <v>40014.0</v>
      </c>
      <c r="G903" s="557"/>
      <c r="H903" s="559"/>
      <c r="I903" s="564">
        <v>24864.0</v>
      </c>
      <c r="J903" s="565">
        <v>40014.0</v>
      </c>
      <c r="K903" s="542"/>
      <c r="L903" s="542"/>
      <c r="M903" s="542"/>
    </row>
    <row r="904">
      <c r="A904" s="570"/>
      <c r="B904" s="559" t="s">
        <v>181</v>
      </c>
      <c r="C904" s="568">
        <v>629.0</v>
      </c>
      <c r="D904" s="557">
        <v>0.9721</v>
      </c>
      <c r="E904" s="569">
        <v>117.29</v>
      </c>
      <c r="F904" s="563">
        <v>40005.0</v>
      </c>
      <c r="G904" s="557"/>
      <c r="H904" s="559"/>
      <c r="I904" s="564">
        <v>24858.0</v>
      </c>
      <c r="J904" s="565">
        <v>40005.0</v>
      </c>
      <c r="K904" s="542"/>
      <c r="L904" s="542"/>
      <c r="M904" s="542"/>
    </row>
    <row r="905">
      <c r="A905" s="570"/>
      <c r="B905" s="559" t="s">
        <v>513</v>
      </c>
      <c r="C905" s="568">
        <v>384.0</v>
      </c>
      <c r="D905" s="557">
        <v>0.9746</v>
      </c>
      <c r="E905" s="569">
        <v>117.64</v>
      </c>
      <c r="F905" s="563">
        <v>40000.0</v>
      </c>
      <c r="G905" s="557"/>
      <c r="H905" s="559"/>
      <c r="I905" s="564">
        <v>24855.0</v>
      </c>
      <c r="J905" s="565">
        <v>40000.0</v>
      </c>
      <c r="K905" s="542"/>
      <c r="L905" s="542"/>
      <c r="M905" s="542"/>
    </row>
    <row r="906">
      <c r="A906" s="570"/>
      <c r="B906" s="559" t="s">
        <v>1615</v>
      </c>
      <c r="C906" s="568">
        <v>458.0</v>
      </c>
      <c r="D906" s="557">
        <v>0.9585</v>
      </c>
      <c r="E906" s="569">
        <v>104.11</v>
      </c>
      <c r="F906" s="563">
        <v>40000.0</v>
      </c>
      <c r="G906" s="557"/>
      <c r="H906" s="559"/>
      <c r="I906" s="564">
        <v>24855.0</v>
      </c>
      <c r="J906" s="565">
        <v>40000.0</v>
      </c>
      <c r="K906" s="542"/>
      <c r="L906" s="542"/>
      <c r="M906" s="542"/>
    </row>
    <row r="907">
      <c r="A907" s="570"/>
      <c r="B907" s="559" t="s">
        <v>628</v>
      </c>
      <c r="C907" s="568">
        <v>299.0</v>
      </c>
      <c r="D907" s="557">
        <v>0.9476</v>
      </c>
      <c r="E907" s="569">
        <v>106.15</v>
      </c>
      <c r="F907" s="563">
        <v>39986.0</v>
      </c>
      <c r="G907" s="557">
        <v>-1.0</v>
      </c>
      <c r="H907" s="559"/>
      <c r="I907" s="564">
        <v>24846.0</v>
      </c>
      <c r="J907" s="565">
        <v>39986.0</v>
      </c>
      <c r="K907" s="542"/>
      <c r="L907" s="542"/>
      <c r="M907" s="542"/>
    </row>
    <row r="908">
      <c r="A908" s="570"/>
      <c r="B908" s="559" t="s">
        <v>1741</v>
      </c>
      <c r="C908" s="568">
        <v>308.0</v>
      </c>
      <c r="D908" s="557">
        <v>0.9538</v>
      </c>
      <c r="E908" s="569">
        <v>108.23</v>
      </c>
      <c r="F908" s="563">
        <v>39966.0</v>
      </c>
      <c r="G908" s="557"/>
      <c r="H908" s="559"/>
      <c r="I908" s="564">
        <v>24834.0</v>
      </c>
      <c r="J908" s="565">
        <v>39966.0</v>
      </c>
      <c r="K908" s="542"/>
      <c r="L908" s="542"/>
      <c r="M908" s="542"/>
    </row>
    <row r="909">
      <c r="A909" s="570"/>
      <c r="B909" s="559" t="s">
        <v>1734</v>
      </c>
      <c r="C909" s="568">
        <v>982.0</v>
      </c>
      <c r="D909" s="557">
        <v>0.9746</v>
      </c>
      <c r="E909" s="569"/>
      <c r="F909" s="563">
        <v>39951.0</v>
      </c>
      <c r="G909" s="557"/>
      <c r="H909" s="559"/>
      <c r="I909" s="564">
        <v>24824.0</v>
      </c>
      <c r="J909" s="565">
        <v>39951.0</v>
      </c>
      <c r="K909" s="542"/>
      <c r="L909" s="542"/>
      <c r="M909" s="542"/>
    </row>
    <row r="910">
      <c r="A910" s="570"/>
      <c r="B910" s="559" t="s">
        <v>1810</v>
      </c>
      <c r="C910" s="568">
        <v>566.0</v>
      </c>
      <c r="D910" s="557">
        <v>1.0103</v>
      </c>
      <c r="E910" s="569">
        <v>105.72</v>
      </c>
      <c r="F910" s="563">
        <v>39929.0</v>
      </c>
      <c r="G910" s="557"/>
      <c r="H910" s="559"/>
      <c r="I910" s="564">
        <v>24811.0</v>
      </c>
      <c r="J910" s="565">
        <v>39929.0</v>
      </c>
      <c r="K910" s="542"/>
      <c r="L910" s="542"/>
      <c r="M910" s="542"/>
    </row>
    <row r="911">
      <c r="A911" s="570"/>
      <c r="B911" s="559" t="s">
        <v>1762</v>
      </c>
      <c r="C911" s="568">
        <v>386.0</v>
      </c>
      <c r="D911" s="557">
        <v>0.967</v>
      </c>
      <c r="E911" s="569">
        <v>114.95</v>
      </c>
      <c r="F911" s="563">
        <v>39821.0</v>
      </c>
      <c r="G911" s="557"/>
      <c r="H911" s="559"/>
      <c r="I911" s="564">
        <v>24744.0</v>
      </c>
      <c r="J911" s="565">
        <v>39821.0</v>
      </c>
      <c r="K911" s="542"/>
      <c r="L911" s="542"/>
      <c r="M911" s="542"/>
    </row>
    <row r="912">
      <c r="A912" s="570"/>
      <c r="B912" s="559" t="s">
        <v>1726</v>
      </c>
      <c r="C912" s="568">
        <v>431.0</v>
      </c>
      <c r="D912" s="557">
        <v>0.9701</v>
      </c>
      <c r="E912" s="569">
        <v>113.68</v>
      </c>
      <c r="F912" s="563">
        <v>39821.0</v>
      </c>
      <c r="G912" s="557"/>
      <c r="H912" s="559"/>
      <c r="I912" s="564">
        <v>24744.0</v>
      </c>
      <c r="J912" s="565">
        <v>39821.0</v>
      </c>
      <c r="K912" s="542"/>
      <c r="L912" s="542"/>
      <c r="M912" s="542"/>
    </row>
    <row r="913">
      <c r="A913" s="570"/>
      <c r="B913" s="557"/>
      <c r="C913" s="557"/>
      <c r="D913" s="557"/>
      <c r="E913" s="557"/>
      <c r="F913" s="563">
        <v>39800.0</v>
      </c>
      <c r="G913" s="557"/>
      <c r="H913" s="557">
        <v>0.9601000181571213</v>
      </c>
      <c r="I913" s="564">
        <v>24731.0</v>
      </c>
      <c r="J913" s="565">
        <v>39800.0</v>
      </c>
      <c r="K913" s="542"/>
      <c r="L913" s="542"/>
      <c r="M913" s="542"/>
    </row>
    <row r="914">
      <c r="A914" s="570"/>
      <c r="B914" s="559" t="s">
        <v>1873</v>
      </c>
      <c r="C914" s="568">
        <v>735.0</v>
      </c>
      <c r="D914" s="557">
        <v>0.9481</v>
      </c>
      <c r="E914" s="569">
        <v>139.04</v>
      </c>
      <c r="F914" s="563">
        <v>39800.0</v>
      </c>
      <c r="G914" s="557"/>
      <c r="H914" s="559"/>
      <c r="I914" s="564">
        <v>24731.0</v>
      </c>
      <c r="J914" s="565">
        <v>39800.0</v>
      </c>
      <c r="K914" s="542"/>
      <c r="L914" s="542"/>
      <c r="M914" s="542"/>
    </row>
    <row r="915">
      <c r="A915" s="570"/>
      <c r="B915" s="559" t="s">
        <v>1873</v>
      </c>
      <c r="C915" s="568">
        <v>718.0</v>
      </c>
      <c r="D915" s="557">
        <v>0.9654</v>
      </c>
      <c r="E915" s="569">
        <v>136.77</v>
      </c>
      <c r="F915" s="563">
        <v>39500.0</v>
      </c>
      <c r="G915" s="557"/>
      <c r="H915" s="559"/>
      <c r="I915" s="564">
        <v>24544.0</v>
      </c>
      <c r="J915" s="565">
        <v>39500.0</v>
      </c>
      <c r="K915" s="542"/>
      <c r="L915" s="542"/>
      <c r="M915" s="542"/>
    </row>
    <row r="916">
      <c r="A916" s="570"/>
      <c r="B916" s="559" t="s">
        <v>1637</v>
      </c>
      <c r="C916" s="568">
        <v>276.0</v>
      </c>
      <c r="D916" s="557">
        <v>0.9766</v>
      </c>
      <c r="E916" s="569">
        <v>125.19</v>
      </c>
      <c r="F916" s="563">
        <v>39404.0</v>
      </c>
      <c r="G916" s="557"/>
      <c r="H916" s="559"/>
      <c r="I916" s="564">
        <v>24485.0</v>
      </c>
      <c r="J916" s="565">
        <v>39404.0</v>
      </c>
      <c r="K916" s="542"/>
      <c r="L916" s="542"/>
      <c r="M916" s="542"/>
    </row>
    <row r="917">
      <c r="A917" s="570"/>
      <c r="B917" s="559" t="s">
        <v>155</v>
      </c>
      <c r="C917" s="568">
        <v>701.0</v>
      </c>
      <c r="D917" s="557">
        <v>0.9516</v>
      </c>
      <c r="E917" s="569">
        <v>143.93</v>
      </c>
      <c r="F917" s="563">
        <v>39300.0</v>
      </c>
      <c r="G917" s="557"/>
      <c r="H917" s="559"/>
      <c r="I917" s="564">
        <v>24420.0</v>
      </c>
      <c r="J917" s="565">
        <v>39300.0</v>
      </c>
      <c r="K917" s="542"/>
      <c r="L917" s="542"/>
      <c r="M917" s="542"/>
    </row>
    <row r="918">
      <c r="A918" s="570"/>
      <c r="B918" s="559" t="s">
        <v>231</v>
      </c>
      <c r="C918" s="568">
        <v>372.0</v>
      </c>
      <c r="D918" s="557">
        <v>0.9649</v>
      </c>
      <c r="E918" s="569">
        <v>105.04</v>
      </c>
      <c r="F918" s="563">
        <v>39200.0</v>
      </c>
      <c r="G918" s="557"/>
      <c r="H918" s="559"/>
      <c r="I918" s="564">
        <v>24358.0</v>
      </c>
      <c r="J918" s="565">
        <v>39200.0</v>
      </c>
      <c r="K918" s="542"/>
      <c r="L918" s="542"/>
      <c r="M918" s="542"/>
    </row>
    <row r="919">
      <c r="A919" s="570"/>
      <c r="B919" s="559" t="s">
        <v>1726</v>
      </c>
      <c r="C919" s="568">
        <v>417.0</v>
      </c>
      <c r="D919" s="557">
        <v>0.9701</v>
      </c>
      <c r="E919" s="569">
        <v>111.4</v>
      </c>
      <c r="F919" s="563">
        <v>39193.0</v>
      </c>
      <c r="G919" s="557"/>
      <c r="H919" s="559"/>
      <c r="I919" s="564">
        <v>24353.0</v>
      </c>
      <c r="J919" s="565">
        <v>39193.0</v>
      </c>
      <c r="K919" s="542"/>
      <c r="L919" s="542"/>
      <c r="M919" s="542"/>
    </row>
    <row r="920">
      <c r="A920" s="570"/>
      <c r="B920" s="559" t="s">
        <v>1127</v>
      </c>
      <c r="C920" s="568">
        <v>253.0</v>
      </c>
      <c r="D920" s="557">
        <v>0.9632</v>
      </c>
      <c r="E920" s="569">
        <v>108.46</v>
      </c>
      <c r="F920" s="563">
        <v>39100.0</v>
      </c>
      <c r="G920" s="557"/>
      <c r="H920" s="559"/>
      <c r="I920" s="564">
        <v>24296.0</v>
      </c>
      <c r="J920" s="565">
        <v>39100.0</v>
      </c>
      <c r="K920" s="542"/>
      <c r="L920" s="542"/>
      <c r="M920" s="542"/>
    </row>
    <row r="921">
      <c r="A921" s="570"/>
      <c r="B921" s="559" t="s">
        <v>761</v>
      </c>
      <c r="C921" s="568">
        <v>688.0</v>
      </c>
      <c r="D921" s="557">
        <v>0.9485</v>
      </c>
      <c r="E921" s="569">
        <v>120.05</v>
      </c>
      <c r="F921" s="563">
        <v>39061.0</v>
      </c>
      <c r="G921" s="557"/>
      <c r="H921" s="559"/>
      <c r="I921" s="564">
        <v>24271.0</v>
      </c>
      <c r="J921" s="565">
        <v>39061.0</v>
      </c>
      <c r="K921" s="542"/>
      <c r="L921" s="542"/>
      <c r="M921" s="542"/>
    </row>
    <row r="922">
      <c r="A922" s="570"/>
      <c r="B922" s="557"/>
      <c r="C922" s="557"/>
      <c r="D922" s="557"/>
      <c r="E922" s="557"/>
      <c r="F922" s="563">
        <v>39050.0</v>
      </c>
      <c r="G922" s="557"/>
      <c r="H922" s="557">
        <v>0.9604363192777838</v>
      </c>
      <c r="I922" s="564">
        <v>24265.0</v>
      </c>
      <c r="J922" s="565">
        <v>39050.0</v>
      </c>
      <c r="K922" s="542"/>
      <c r="L922" s="542"/>
      <c r="M922" s="542"/>
    </row>
    <row r="923">
      <c r="A923" s="570"/>
      <c r="B923" s="559" t="s">
        <v>642</v>
      </c>
      <c r="C923" s="568">
        <v>839.0</v>
      </c>
      <c r="D923" s="557">
        <v>0.9691</v>
      </c>
      <c r="E923" s="569">
        <v>105.24</v>
      </c>
      <c r="F923" s="563">
        <v>39030.0</v>
      </c>
      <c r="G923" s="557">
        <v>-1.0</v>
      </c>
      <c r="H923" s="559"/>
      <c r="I923" s="564">
        <v>24252.0</v>
      </c>
      <c r="J923" s="565">
        <v>39030.0</v>
      </c>
      <c r="K923" s="542"/>
      <c r="L923" s="542"/>
      <c r="M923" s="542"/>
    </row>
    <row r="924">
      <c r="A924" s="570"/>
      <c r="B924" s="559" t="s">
        <v>587</v>
      </c>
      <c r="C924" s="568">
        <v>783.0</v>
      </c>
      <c r="D924" s="557">
        <v>0.975</v>
      </c>
      <c r="E924" s="569">
        <v>99.17</v>
      </c>
      <c r="F924" s="563">
        <v>39009.0</v>
      </c>
      <c r="G924" s="557">
        <v>-1.0</v>
      </c>
      <c r="H924" s="559"/>
      <c r="I924" s="564">
        <v>24239.0</v>
      </c>
      <c r="J924" s="565">
        <v>39009.0</v>
      </c>
      <c r="K924" s="542"/>
      <c r="L924" s="542"/>
      <c r="M924" s="542"/>
    </row>
    <row r="925">
      <c r="A925" s="570"/>
      <c r="B925" s="559" t="s">
        <v>376</v>
      </c>
      <c r="C925" s="568">
        <v>345.0</v>
      </c>
      <c r="D925" s="557">
        <v>0.9544</v>
      </c>
      <c r="E925" s="569">
        <v>104.04</v>
      </c>
      <c r="F925" s="563">
        <v>39000.0</v>
      </c>
      <c r="G925" s="557"/>
      <c r="H925" s="559"/>
      <c r="I925" s="564">
        <v>24233.0</v>
      </c>
      <c r="J925" s="565">
        <v>39000.0</v>
      </c>
      <c r="K925" s="542"/>
      <c r="L925" s="542"/>
      <c r="M925" s="542"/>
    </row>
    <row r="926">
      <c r="A926" s="570"/>
      <c r="B926" s="559" t="s">
        <v>650</v>
      </c>
      <c r="C926" s="568">
        <v>479.0</v>
      </c>
      <c r="D926" s="557">
        <v>0.957</v>
      </c>
      <c r="E926" s="569">
        <v>114.19</v>
      </c>
      <c r="F926" s="563">
        <v>39000.0</v>
      </c>
      <c r="G926" s="557"/>
      <c r="H926" s="559"/>
      <c r="I926" s="564">
        <v>24233.0</v>
      </c>
      <c r="J926" s="565">
        <v>39000.0</v>
      </c>
      <c r="K926" s="542"/>
      <c r="L926" s="542"/>
      <c r="M926" s="542"/>
    </row>
    <row r="927">
      <c r="A927" s="570"/>
      <c r="B927" s="559" t="s">
        <v>1644</v>
      </c>
      <c r="C927" s="568">
        <v>681.0</v>
      </c>
      <c r="D927" s="557">
        <v>0.9518</v>
      </c>
      <c r="E927" s="569">
        <v>112.02</v>
      </c>
      <c r="F927" s="563">
        <v>38500.0</v>
      </c>
      <c r="G927" s="557"/>
      <c r="H927" s="559"/>
      <c r="I927" s="564">
        <v>23923.0</v>
      </c>
      <c r="J927" s="565">
        <v>38500.0</v>
      </c>
      <c r="K927" s="542"/>
      <c r="L927" s="542"/>
      <c r="M927" s="542"/>
    </row>
    <row r="928">
      <c r="A928" s="570"/>
      <c r="B928" s="559" t="s">
        <v>381</v>
      </c>
      <c r="C928" s="568">
        <v>304.0</v>
      </c>
      <c r="D928" s="557">
        <v>0.9645</v>
      </c>
      <c r="E928" s="569">
        <v>111.06</v>
      </c>
      <c r="F928" s="563">
        <v>38423.0</v>
      </c>
      <c r="G928" s="557"/>
      <c r="H928" s="559"/>
      <c r="I928" s="564">
        <v>23875.0</v>
      </c>
      <c r="J928" s="565">
        <v>38423.0</v>
      </c>
      <c r="K928" s="542"/>
      <c r="L928" s="542"/>
      <c r="M928" s="542"/>
    </row>
    <row r="929">
      <c r="A929" s="570"/>
      <c r="B929" s="557"/>
      <c r="C929" s="557"/>
      <c r="D929" s="557"/>
      <c r="E929" s="557"/>
      <c r="F929" s="563">
        <v>38300.0</v>
      </c>
      <c r="G929" s="557"/>
      <c r="H929" s="557">
        <v>0.960780509022742</v>
      </c>
      <c r="I929" s="564">
        <v>23799.0</v>
      </c>
      <c r="J929" s="565">
        <v>38300.0</v>
      </c>
      <c r="K929" s="542"/>
      <c r="L929" s="542"/>
      <c r="M929" s="542"/>
    </row>
    <row r="930">
      <c r="A930" s="570"/>
      <c r="B930" s="559" t="s">
        <v>1872</v>
      </c>
      <c r="C930" s="568">
        <v>321.0</v>
      </c>
      <c r="D930" s="557">
        <v>0.9497</v>
      </c>
      <c r="E930" s="569">
        <v>111.46</v>
      </c>
      <c r="F930" s="563">
        <v>38288.0</v>
      </c>
      <c r="G930" s="557"/>
      <c r="H930" s="559"/>
      <c r="I930" s="564">
        <v>23791.0</v>
      </c>
      <c r="J930" s="565">
        <v>38288.0</v>
      </c>
      <c r="K930" s="542"/>
      <c r="L930" s="542"/>
      <c r="M930" s="542"/>
    </row>
    <row r="931">
      <c r="A931" s="570"/>
      <c r="B931" s="559" t="s">
        <v>201</v>
      </c>
      <c r="C931" s="568">
        <v>445.0</v>
      </c>
      <c r="D931" s="557">
        <v>0.9624</v>
      </c>
      <c r="E931" s="569">
        <v>86.76</v>
      </c>
      <c r="F931" s="563">
        <v>38128.0</v>
      </c>
      <c r="G931" s="557"/>
      <c r="H931" s="559"/>
      <c r="I931" s="564">
        <v>23692.0</v>
      </c>
      <c r="J931" s="565">
        <v>38128.0</v>
      </c>
      <c r="K931" s="542"/>
      <c r="L931" s="542"/>
      <c r="M931" s="542"/>
    </row>
    <row r="932">
      <c r="A932" s="570"/>
      <c r="B932" s="559" t="s">
        <v>1668</v>
      </c>
      <c r="C932" s="568">
        <v>457.0</v>
      </c>
      <c r="D932" s="557">
        <v>1.0098</v>
      </c>
      <c r="E932" s="569">
        <v>115.5</v>
      </c>
      <c r="F932" s="563">
        <v>38020.0</v>
      </c>
      <c r="G932" s="557"/>
      <c r="H932" s="559"/>
      <c r="I932" s="564">
        <v>23625.0</v>
      </c>
      <c r="J932" s="565">
        <v>38020.0</v>
      </c>
      <c r="K932" s="542"/>
      <c r="L932" s="542"/>
      <c r="M932" s="542"/>
    </row>
    <row r="933">
      <c r="A933" s="570"/>
      <c r="B933" s="559" t="s">
        <v>1757</v>
      </c>
      <c r="C933" s="568">
        <v>287.0</v>
      </c>
      <c r="D933" s="557">
        <v>0.9516</v>
      </c>
      <c r="E933" s="569">
        <v>118.88</v>
      </c>
      <c r="F933" s="563">
        <v>38000.0</v>
      </c>
      <c r="G933" s="557"/>
      <c r="H933" s="559"/>
      <c r="I933" s="564">
        <v>23612.0</v>
      </c>
      <c r="J933" s="565">
        <v>38000.0</v>
      </c>
      <c r="K933" s="542"/>
      <c r="L933" s="542"/>
      <c r="M933" s="542"/>
    </row>
    <row r="934">
      <c r="A934" s="570"/>
      <c r="B934" s="559" t="s">
        <v>1734</v>
      </c>
      <c r="C934" s="568">
        <v>969.0</v>
      </c>
      <c r="D934" s="557">
        <v>0.9797</v>
      </c>
      <c r="E934" s="569">
        <v>107.94</v>
      </c>
      <c r="F934" s="563">
        <v>37970.0</v>
      </c>
      <c r="G934" s="557"/>
      <c r="H934" s="559"/>
      <c r="I934" s="564">
        <v>23593.0</v>
      </c>
      <c r="J934" s="565">
        <v>37970.0</v>
      </c>
      <c r="K934" s="542"/>
      <c r="L934" s="542"/>
      <c r="M934" s="542"/>
    </row>
    <row r="935">
      <c r="A935" s="570"/>
      <c r="B935" s="559" t="s">
        <v>237</v>
      </c>
      <c r="C935" s="568">
        <v>639.0</v>
      </c>
      <c r="D935" s="557">
        <v>0.9574</v>
      </c>
      <c r="E935" s="569">
        <v>112.95</v>
      </c>
      <c r="F935" s="563">
        <v>37900.0</v>
      </c>
      <c r="G935" s="557"/>
      <c r="H935" s="559"/>
      <c r="I935" s="564">
        <v>23550.0</v>
      </c>
      <c r="J935" s="565">
        <v>37900.0</v>
      </c>
      <c r="K935" s="542"/>
      <c r="L935" s="542"/>
      <c r="M935" s="542"/>
    </row>
    <row r="936">
      <c r="A936" s="570"/>
      <c r="B936" s="559" t="s">
        <v>1726</v>
      </c>
      <c r="C936" s="568">
        <v>401.0</v>
      </c>
      <c r="D936" s="557">
        <v>0.9701</v>
      </c>
      <c r="E936" s="569">
        <v>107.73</v>
      </c>
      <c r="F936" s="563">
        <v>37900.0</v>
      </c>
      <c r="G936" s="557"/>
      <c r="H936" s="559"/>
      <c r="I936" s="564">
        <v>23550.0</v>
      </c>
      <c r="J936" s="565">
        <v>37900.0</v>
      </c>
      <c r="K936" s="542"/>
      <c r="L936" s="542"/>
      <c r="M936" s="542"/>
    </row>
    <row r="937">
      <c r="A937" s="570"/>
      <c r="B937" s="559" t="s">
        <v>640</v>
      </c>
      <c r="C937" s="568">
        <v>372.0</v>
      </c>
      <c r="D937" s="557">
        <v>0.9518</v>
      </c>
      <c r="E937" s="569">
        <v>109.25</v>
      </c>
      <c r="F937" s="563">
        <v>37896.0</v>
      </c>
      <c r="G937" s="557"/>
      <c r="H937" s="559"/>
      <c r="I937" s="564">
        <v>23547.0</v>
      </c>
      <c r="J937" s="565">
        <v>37896.0</v>
      </c>
      <c r="K937" s="542"/>
      <c r="L937" s="542"/>
      <c r="M937" s="542"/>
    </row>
    <row r="938">
      <c r="A938" s="570"/>
      <c r="B938" s="559" t="s">
        <v>1454</v>
      </c>
      <c r="C938" s="568">
        <v>652.0</v>
      </c>
      <c r="D938" s="557">
        <v>0.9849</v>
      </c>
      <c r="E938" s="569">
        <v>112.68</v>
      </c>
      <c r="F938" s="563">
        <v>37891.0</v>
      </c>
      <c r="G938" s="557"/>
      <c r="H938" s="559"/>
      <c r="I938" s="564">
        <v>23544.0</v>
      </c>
      <c r="J938" s="565">
        <v>37891.0</v>
      </c>
      <c r="K938" s="542"/>
      <c r="L938" s="542"/>
      <c r="M938" s="542"/>
    </row>
    <row r="939">
      <c r="A939" s="570"/>
      <c r="B939" s="559" t="s">
        <v>1615</v>
      </c>
      <c r="C939" s="568">
        <v>443.0</v>
      </c>
      <c r="D939" s="557">
        <v>0.9611</v>
      </c>
      <c r="E939" s="569">
        <v>98.91</v>
      </c>
      <c r="F939" s="563">
        <v>37850.0</v>
      </c>
      <c r="G939" s="557"/>
      <c r="H939" s="559"/>
      <c r="I939" s="564">
        <v>23519.0</v>
      </c>
      <c r="J939" s="565">
        <v>37850.0</v>
      </c>
      <c r="K939" s="542"/>
      <c r="L939" s="542"/>
      <c r="M939" s="542"/>
    </row>
    <row r="940">
      <c r="A940" s="570"/>
      <c r="B940" s="557"/>
      <c r="C940" s="557"/>
      <c r="D940" s="557"/>
      <c r="E940" s="557"/>
      <c r="F940" s="563">
        <v>37550.0</v>
      </c>
      <c r="G940" s="557"/>
      <c r="H940" s="557">
        <v>0.9611328714659514</v>
      </c>
      <c r="I940" s="564">
        <v>23332.0</v>
      </c>
      <c r="J940" s="565">
        <v>37550.0</v>
      </c>
      <c r="K940" s="542"/>
      <c r="L940" s="542"/>
      <c r="M940" s="542"/>
    </row>
    <row r="941">
      <c r="A941" s="570"/>
      <c r="B941" s="559" t="s">
        <v>1727</v>
      </c>
      <c r="C941" s="568">
        <v>458.0</v>
      </c>
      <c r="D941" s="557">
        <v>0.9447</v>
      </c>
      <c r="E941" s="569">
        <v>96.2</v>
      </c>
      <c r="F941" s="563">
        <v>37500.0</v>
      </c>
      <c r="G941" s="557"/>
      <c r="H941" s="559"/>
      <c r="I941" s="564">
        <v>23301.0</v>
      </c>
      <c r="J941" s="565">
        <v>37500.0</v>
      </c>
      <c r="K941" s="542"/>
      <c r="L941" s="542"/>
      <c r="M941" s="542"/>
    </row>
    <row r="942">
      <c r="A942" s="570"/>
      <c r="B942" s="559" t="s">
        <v>436</v>
      </c>
      <c r="C942" s="568">
        <v>732.0</v>
      </c>
      <c r="D942" s="557">
        <v>0.9851</v>
      </c>
      <c r="E942" s="569">
        <v>97.25</v>
      </c>
      <c r="F942" s="563">
        <v>37494.0</v>
      </c>
      <c r="G942" s="557">
        <v>-1.0</v>
      </c>
      <c r="H942" s="559"/>
      <c r="I942" s="564">
        <v>23298.0</v>
      </c>
      <c r="J942" s="565">
        <v>37494.0</v>
      </c>
      <c r="K942" s="542"/>
      <c r="L942" s="542"/>
      <c r="M942" s="542"/>
    </row>
    <row r="943">
      <c r="A943" s="570"/>
      <c r="B943" s="559" t="s">
        <v>1792</v>
      </c>
      <c r="C943" s="568">
        <v>598.0</v>
      </c>
      <c r="D943" s="557">
        <v>0.9768</v>
      </c>
      <c r="E943" s="569"/>
      <c r="F943" s="563">
        <v>37425.0</v>
      </c>
      <c r="G943" s="557"/>
      <c r="H943" s="559"/>
      <c r="I943" s="564">
        <v>23255.0</v>
      </c>
      <c r="J943" s="565">
        <v>37425.0</v>
      </c>
      <c r="K943" s="542"/>
      <c r="L943" s="542"/>
      <c r="M943" s="542"/>
    </row>
    <row r="944">
      <c r="A944" s="570"/>
      <c r="B944" s="559" t="s">
        <v>749</v>
      </c>
      <c r="C944" s="568">
        <v>398.0</v>
      </c>
      <c r="D944" s="557">
        <v>0.972</v>
      </c>
      <c r="E944" s="569">
        <v>88.81</v>
      </c>
      <c r="F944" s="563">
        <v>37179.0</v>
      </c>
      <c r="G944" s="557">
        <v>-1.0</v>
      </c>
      <c r="H944" s="559"/>
      <c r="I944" s="564">
        <v>23102.0</v>
      </c>
      <c r="J944" s="565">
        <v>37179.0</v>
      </c>
      <c r="K944" s="542"/>
      <c r="L944" s="542"/>
      <c r="M944" s="542"/>
    </row>
    <row r="945">
      <c r="A945" s="570"/>
      <c r="B945" s="559" t="s">
        <v>1874</v>
      </c>
      <c r="C945" s="568">
        <v>336.0</v>
      </c>
      <c r="D945" s="557">
        <v>0.9973</v>
      </c>
      <c r="E945" s="569">
        <v>111.86</v>
      </c>
      <c r="F945" s="563">
        <v>37124.0</v>
      </c>
      <c r="G945" s="557"/>
      <c r="H945" s="559"/>
      <c r="I945" s="564">
        <v>23068.0</v>
      </c>
      <c r="J945" s="565">
        <v>37124.0</v>
      </c>
      <c r="K945" s="542"/>
      <c r="L945" s="542"/>
      <c r="M945" s="542"/>
    </row>
    <row r="946">
      <c r="A946" s="570"/>
      <c r="B946" s="559" t="s">
        <v>942</v>
      </c>
      <c r="C946" s="568">
        <v>583.0</v>
      </c>
      <c r="D946" s="557">
        <v>0.9636</v>
      </c>
      <c r="E946" s="569">
        <v>137.5</v>
      </c>
      <c r="F946" s="563">
        <v>37069.0</v>
      </c>
      <c r="G946" s="557"/>
      <c r="H946" s="559"/>
      <c r="I946" s="564">
        <v>23034.0</v>
      </c>
      <c r="J946" s="565">
        <v>37069.0</v>
      </c>
      <c r="K946" s="542"/>
      <c r="L946" s="542"/>
      <c r="M946" s="542"/>
    </row>
    <row r="947">
      <c r="A947" s="570"/>
      <c r="B947" s="559" t="s">
        <v>1454</v>
      </c>
      <c r="C947" s="568">
        <v>644.0</v>
      </c>
      <c r="D947" s="557">
        <v>0.9849</v>
      </c>
      <c r="E947" s="569">
        <v>108.55</v>
      </c>
      <c r="F947" s="563">
        <v>37050.0</v>
      </c>
      <c r="G947" s="557"/>
      <c r="H947" s="559"/>
      <c r="I947" s="564">
        <v>23022.0</v>
      </c>
      <c r="J947" s="565">
        <v>37050.0</v>
      </c>
      <c r="K947" s="542"/>
      <c r="L947" s="542"/>
      <c r="M947" s="542"/>
    </row>
    <row r="948">
      <c r="A948" s="570"/>
      <c r="B948" s="559" t="s">
        <v>623</v>
      </c>
      <c r="C948" s="568">
        <v>270.0</v>
      </c>
      <c r="D948" s="557">
        <v>0.9524</v>
      </c>
      <c r="E948" s="569">
        <v>95.49</v>
      </c>
      <c r="F948" s="563">
        <v>37042.0</v>
      </c>
      <c r="G948" s="557"/>
      <c r="H948" s="559"/>
      <c r="I948" s="564">
        <v>23017.0</v>
      </c>
      <c r="J948" s="565">
        <v>37042.0</v>
      </c>
      <c r="K948" s="542"/>
      <c r="L948" s="542"/>
      <c r="M948" s="542"/>
    </row>
    <row r="949">
      <c r="A949" s="570"/>
      <c r="B949" s="559" t="s">
        <v>466</v>
      </c>
      <c r="C949" s="568">
        <v>466.0</v>
      </c>
      <c r="D949" s="557">
        <v>0.9468</v>
      </c>
      <c r="E949" s="569">
        <v>103.02</v>
      </c>
      <c r="F949" s="563">
        <v>37000.0</v>
      </c>
      <c r="G949" s="557"/>
      <c r="H949" s="559"/>
      <c r="I949" s="564">
        <v>22991.0</v>
      </c>
      <c r="J949" s="565">
        <v>37000.0</v>
      </c>
      <c r="K949" s="542"/>
      <c r="L949" s="542"/>
      <c r="M949" s="542"/>
    </row>
    <row r="950">
      <c r="A950" s="570"/>
      <c r="B950" s="559" t="s">
        <v>1748</v>
      </c>
      <c r="C950" s="568">
        <v>624.0</v>
      </c>
      <c r="D950" s="557">
        <v>0.9568</v>
      </c>
      <c r="E950" s="569">
        <v>110.79</v>
      </c>
      <c r="F950" s="563">
        <v>37000.0</v>
      </c>
      <c r="G950" s="557"/>
      <c r="H950" s="559"/>
      <c r="I950" s="564">
        <v>22991.0</v>
      </c>
      <c r="J950" s="565">
        <v>37000.0</v>
      </c>
      <c r="K950" s="542"/>
      <c r="L950" s="542"/>
      <c r="M950" s="542"/>
    </row>
    <row r="951">
      <c r="A951" s="570"/>
      <c r="B951" s="559" t="s">
        <v>1637</v>
      </c>
      <c r="C951" s="568">
        <v>256.0</v>
      </c>
      <c r="D951" s="557">
        <v>0.9766</v>
      </c>
      <c r="E951" s="569">
        <v>118.76</v>
      </c>
      <c r="F951" s="563">
        <v>36870.0</v>
      </c>
      <c r="G951" s="557"/>
      <c r="H951" s="559"/>
      <c r="I951" s="564">
        <v>22910.0</v>
      </c>
      <c r="J951" s="565">
        <v>36870.0</v>
      </c>
      <c r="K951" s="542"/>
      <c r="L951" s="542"/>
      <c r="M951" s="542"/>
    </row>
    <row r="952">
      <c r="A952" s="570"/>
      <c r="B952" s="557"/>
      <c r="C952" s="557"/>
      <c r="D952" s="557"/>
      <c r="E952" s="557"/>
      <c r="F952" s="563">
        <v>36800.0</v>
      </c>
      <c r="G952" s="557"/>
      <c r="H952" s="557">
        <v>0.961493700911036</v>
      </c>
      <c r="I952" s="564">
        <v>22866.0</v>
      </c>
      <c r="J952" s="565">
        <v>36800.0</v>
      </c>
      <c r="K952" s="542"/>
      <c r="L952" s="542"/>
      <c r="M952" s="542"/>
    </row>
    <row r="953">
      <c r="A953" s="570"/>
      <c r="B953" s="559" t="s">
        <v>328</v>
      </c>
      <c r="C953" s="568">
        <v>527.0</v>
      </c>
      <c r="D953" s="557">
        <v>0.9644</v>
      </c>
      <c r="E953" s="569">
        <v>102.03</v>
      </c>
      <c r="F953" s="563">
        <v>36800.0</v>
      </c>
      <c r="G953" s="557"/>
      <c r="H953" s="559"/>
      <c r="I953" s="564">
        <v>22866.0</v>
      </c>
      <c r="J953" s="565">
        <v>36800.0</v>
      </c>
      <c r="K953" s="542"/>
      <c r="L953" s="542"/>
      <c r="M953" s="542"/>
    </row>
    <row r="954">
      <c r="A954" s="570"/>
      <c r="B954" s="559" t="s">
        <v>1691</v>
      </c>
      <c r="C954" s="568">
        <v>366.0</v>
      </c>
      <c r="D954" s="557">
        <v>0.9726</v>
      </c>
      <c r="E954" s="569">
        <v>103.04</v>
      </c>
      <c r="F954" s="563">
        <v>36800.0</v>
      </c>
      <c r="G954" s="557"/>
      <c r="H954" s="559"/>
      <c r="I954" s="564">
        <v>22866.0</v>
      </c>
      <c r="J954" s="565">
        <v>36800.0</v>
      </c>
      <c r="K954" s="542"/>
      <c r="L954" s="542"/>
      <c r="M954" s="542"/>
    </row>
    <row r="955">
      <c r="A955" s="570"/>
      <c r="B955" s="559" t="s">
        <v>241</v>
      </c>
      <c r="C955" s="568">
        <v>424.0</v>
      </c>
      <c r="D955" s="557">
        <v>0.934</v>
      </c>
      <c r="E955" s="569">
        <v>116.22</v>
      </c>
      <c r="F955" s="563">
        <v>36743.0</v>
      </c>
      <c r="G955" s="557"/>
      <c r="H955" s="559"/>
      <c r="I955" s="564">
        <v>22831.0</v>
      </c>
      <c r="J955" s="565">
        <v>36743.0</v>
      </c>
      <c r="K955" s="542"/>
      <c r="L955" s="542"/>
      <c r="M955" s="542"/>
    </row>
    <row r="956">
      <c r="A956" s="570"/>
      <c r="B956" s="559" t="s">
        <v>761</v>
      </c>
      <c r="C956" s="568">
        <v>632.0</v>
      </c>
      <c r="D956" s="557">
        <v>0.9461</v>
      </c>
      <c r="E956" s="569">
        <v>111.46</v>
      </c>
      <c r="F956" s="563">
        <v>36535.0</v>
      </c>
      <c r="G956" s="557"/>
      <c r="H956" s="559"/>
      <c r="I956" s="564">
        <v>22702.0</v>
      </c>
      <c r="J956" s="565">
        <v>36535.0</v>
      </c>
      <c r="K956" s="542"/>
      <c r="L956" s="542"/>
      <c r="M956" s="542"/>
    </row>
    <row r="957">
      <c r="A957" s="570"/>
      <c r="B957" s="559" t="s">
        <v>1829</v>
      </c>
      <c r="C957" s="568">
        <v>649.0</v>
      </c>
      <c r="D957" s="557">
        <v>0.9323</v>
      </c>
      <c r="E957" s="569">
        <v>104.83</v>
      </c>
      <c r="F957" s="563">
        <v>36500.0</v>
      </c>
      <c r="G957" s="557"/>
      <c r="H957" s="559"/>
      <c r="I957" s="564">
        <v>22680.0</v>
      </c>
      <c r="J957" s="565">
        <v>36500.0</v>
      </c>
      <c r="K957" s="542"/>
      <c r="L957" s="542"/>
      <c r="M957" s="542"/>
    </row>
    <row r="958">
      <c r="A958" s="570"/>
      <c r="B958" s="559" t="s">
        <v>92</v>
      </c>
      <c r="C958" s="568">
        <v>640.0</v>
      </c>
      <c r="D958" s="557">
        <v>0.9869</v>
      </c>
      <c r="E958" s="569">
        <v>96.67</v>
      </c>
      <c r="F958" s="563">
        <v>36474.0</v>
      </c>
      <c r="G958" s="557">
        <v>-1.0</v>
      </c>
      <c r="H958" s="559"/>
      <c r="I958" s="564">
        <v>22664.0</v>
      </c>
      <c r="J958" s="565">
        <v>36474.0</v>
      </c>
      <c r="K958" s="542"/>
      <c r="L958" s="542"/>
      <c r="M958" s="542"/>
    </row>
    <row r="959">
      <c r="A959" s="570"/>
      <c r="B959" s="559" t="s">
        <v>1823</v>
      </c>
      <c r="C959" s="568">
        <v>861.0</v>
      </c>
      <c r="D959" s="557">
        <v>0.9499</v>
      </c>
      <c r="E959" s="569">
        <v>105.57</v>
      </c>
      <c r="F959" s="563">
        <v>36410.0</v>
      </c>
      <c r="G959" s="557"/>
      <c r="H959" s="559"/>
      <c r="I959" s="564">
        <v>22624.0</v>
      </c>
      <c r="J959" s="565">
        <v>36410.0</v>
      </c>
      <c r="K959" s="542"/>
      <c r="L959" s="542"/>
      <c r="M959" s="542"/>
    </row>
    <row r="960">
      <c r="A960" s="570"/>
      <c r="B960" s="559" t="s">
        <v>308</v>
      </c>
      <c r="C960" s="568">
        <v>322.0</v>
      </c>
      <c r="D960" s="557">
        <v>0.952</v>
      </c>
      <c r="E960" s="569">
        <v>122.62</v>
      </c>
      <c r="F960" s="563">
        <v>36369.0</v>
      </c>
      <c r="G960" s="557"/>
      <c r="H960" s="559"/>
      <c r="I960" s="564">
        <v>22599.0</v>
      </c>
      <c r="J960" s="565">
        <v>36369.0</v>
      </c>
      <c r="K960" s="542"/>
      <c r="L960" s="542"/>
      <c r="M960" s="542"/>
    </row>
    <row r="961">
      <c r="A961" s="570"/>
      <c r="B961" s="559" t="s">
        <v>1762</v>
      </c>
      <c r="C961" s="568">
        <v>319.0</v>
      </c>
      <c r="D961" s="557">
        <v>0.9847</v>
      </c>
      <c r="E961" s="569">
        <v>103.86</v>
      </c>
      <c r="F961" s="563">
        <v>36302.0</v>
      </c>
      <c r="G961" s="557"/>
      <c r="H961" s="559"/>
      <c r="I961" s="564">
        <v>22557.0</v>
      </c>
      <c r="J961" s="565">
        <v>36302.0</v>
      </c>
      <c r="K961" s="542"/>
      <c r="L961" s="542"/>
      <c r="M961" s="542"/>
    </row>
    <row r="962">
      <c r="A962" s="570"/>
      <c r="B962" s="559" t="s">
        <v>761</v>
      </c>
      <c r="C962" s="568">
        <v>617.0</v>
      </c>
      <c r="D962" s="557">
        <v>0.9461</v>
      </c>
      <c r="E962" s="569">
        <v>110.11</v>
      </c>
      <c r="F962" s="563">
        <v>36095.0</v>
      </c>
      <c r="G962" s="557"/>
      <c r="H962" s="559"/>
      <c r="I962" s="564">
        <v>22428.0</v>
      </c>
      <c r="J962" s="565">
        <v>36095.0</v>
      </c>
      <c r="K962" s="542"/>
      <c r="L962" s="542"/>
      <c r="M962" s="542"/>
    </row>
    <row r="963">
      <c r="A963" s="570"/>
      <c r="B963" s="557"/>
      <c r="C963" s="557"/>
      <c r="D963" s="557"/>
      <c r="E963" s="557"/>
      <c r="F963" s="563">
        <v>36050.0</v>
      </c>
      <c r="G963" s="557"/>
      <c r="H963" s="557">
        <v>0.9618633022596648</v>
      </c>
      <c r="I963" s="564">
        <v>22400.0</v>
      </c>
      <c r="J963" s="565">
        <v>36050.0</v>
      </c>
      <c r="K963" s="542"/>
      <c r="L963" s="542"/>
      <c r="M963" s="542"/>
    </row>
    <row r="964">
      <c r="A964" s="570"/>
      <c r="B964" s="559" t="s">
        <v>541</v>
      </c>
      <c r="C964" s="568">
        <v>424.0</v>
      </c>
      <c r="D964" s="557">
        <v>0.9619</v>
      </c>
      <c r="E964" s="569">
        <v>107.98</v>
      </c>
      <c r="F964" s="563">
        <v>36000.0</v>
      </c>
      <c r="G964" s="557"/>
      <c r="H964" s="559"/>
      <c r="I964" s="564">
        <v>22369.0</v>
      </c>
      <c r="J964" s="565">
        <v>36000.0</v>
      </c>
      <c r="K964" s="542"/>
      <c r="L964" s="542"/>
      <c r="M964" s="542"/>
    </row>
    <row r="965">
      <c r="A965" s="570"/>
      <c r="B965" s="559" t="s">
        <v>1744</v>
      </c>
      <c r="C965" s="568">
        <v>870.0</v>
      </c>
      <c r="D965" s="557">
        <v>0.9518</v>
      </c>
      <c r="E965" s="569">
        <v>116.18</v>
      </c>
      <c r="F965" s="563">
        <v>36000.0</v>
      </c>
      <c r="G965" s="557"/>
      <c r="H965" s="559"/>
      <c r="I965" s="564">
        <v>22369.0</v>
      </c>
      <c r="J965" s="565">
        <v>36000.0</v>
      </c>
      <c r="K965" s="542"/>
      <c r="L965" s="542"/>
      <c r="M965" s="542"/>
    </row>
    <row r="966">
      <c r="A966" s="570"/>
      <c r="B966" s="559" t="s">
        <v>155</v>
      </c>
      <c r="C966" s="568">
        <v>625.0</v>
      </c>
      <c r="D966" s="557">
        <v>0.9671</v>
      </c>
      <c r="E966" s="569">
        <v>130.44</v>
      </c>
      <c r="F966" s="563">
        <v>35900.0</v>
      </c>
      <c r="G966" s="557"/>
      <c r="H966" s="559"/>
      <c r="I966" s="564">
        <v>22307.0</v>
      </c>
      <c r="J966" s="565">
        <v>35900.0</v>
      </c>
      <c r="K966" s="542"/>
      <c r="L966" s="542"/>
      <c r="M966" s="542"/>
    </row>
    <row r="967">
      <c r="A967" s="570"/>
      <c r="B967" s="559" t="s">
        <v>374</v>
      </c>
      <c r="C967" s="568">
        <v>609.0</v>
      </c>
      <c r="D967" s="557">
        <v>0.9814</v>
      </c>
      <c r="E967" s="569">
        <v>84.54</v>
      </c>
      <c r="F967" s="563">
        <v>35888.0</v>
      </c>
      <c r="G967" s="557">
        <v>-1.0</v>
      </c>
      <c r="H967" s="559"/>
      <c r="I967" s="564">
        <v>22300.0</v>
      </c>
      <c r="J967" s="565">
        <v>35888.0</v>
      </c>
      <c r="K967" s="542"/>
      <c r="L967" s="542"/>
      <c r="M967" s="542"/>
    </row>
    <row r="968">
      <c r="A968" s="570"/>
      <c r="B968" s="559" t="s">
        <v>1628</v>
      </c>
      <c r="C968" s="568">
        <v>456.0</v>
      </c>
      <c r="D968" s="557">
        <v>0.9611</v>
      </c>
      <c r="E968" s="569">
        <v>97.17</v>
      </c>
      <c r="F968" s="563">
        <v>35581.0</v>
      </c>
      <c r="G968" s="557"/>
      <c r="H968" s="559"/>
      <c r="I968" s="564">
        <v>22109.0</v>
      </c>
      <c r="J968" s="565">
        <v>35581.0</v>
      </c>
      <c r="K968" s="542"/>
      <c r="L968" s="542"/>
      <c r="M968" s="542"/>
    </row>
    <row r="969">
      <c r="A969" s="570"/>
      <c r="B969" s="559" t="s">
        <v>339</v>
      </c>
      <c r="C969" s="568">
        <v>369.0</v>
      </c>
      <c r="D969" s="557">
        <v>0.9416</v>
      </c>
      <c r="E969" s="569">
        <v>122.5</v>
      </c>
      <c r="F969" s="563">
        <v>35580.0</v>
      </c>
      <c r="G969" s="557"/>
      <c r="H969" s="559"/>
      <c r="I969" s="564">
        <v>22108.0</v>
      </c>
      <c r="J969" s="565">
        <v>35580.0</v>
      </c>
      <c r="K969" s="542"/>
      <c r="L969" s="542"/>
      <c r="M969" s="542"/>
    </row>
    <row r="970">
      <c r="A970" s="570"/>
      <c r="B970" s="559" t="s">
        <v>201</v>
      </c>
      <c r="C970" s="568">
        <v>391.0</v>
      </c>
      <c r="D970" s="557">
        <v>0.9599</v>
      </c>
      <c r="E970" s="569">
        <v>80.54</v>
      </c>
      <c r="F970" s="563">
        <v>35350.0</v>
      </c>
      <c r="G970" s="557"/>
      <c r="H970" s="559"/>
      <c r="I970" s="564">
        <v>21965.0</v>
      </c>
      <c r="J970" s="565">
        <v>35350.0</v>
      </c>
      <c r="K970" s="542"/>
      <c r="L970" s="542"/>
      <c r="M970" s="542"/>
    </row>
    <row r="971">
      <c r="A971" s="570"/>
      <c r="B971" s="557"/>
      <c r="C971" s="557"/>
      <c r="D971" s="557"/>
      <c r="E971" s="557"/>
      <c r="F971" s="563">
        <v>35300.0</v>
      </c>
      <c r="G971" s="557"/>
      <c r="H971" s="557">
        <v>0.9622419913931936</v>
      </c>
      <c r="I971" s="564">
        <v>21934.0</v>
      </c>
      <c r="J971" s="565">
        <v>35300.0</v>
      </c>
      <c r="K971" s="542"/>
      <c r="L971" s="542"/>
      <c r="M971" s="542"/>
    </row>
    <row r="972">
      <c r="A972" s="570"/>
      <c r="B972" s="559" t="s">
        <v>348</v>
      </c>
      <c r="C972" s="568">
        <v>388.0</v>
      </c>
      <c r="D972" s="557">
        <v>0.9593</v>
      </c>
      <c r="E972" s="569">
        <v>123.2</v>
      </c>
      <c r="F972" s="563">
        <v>35161.0</v>
      </c>
      <c r="G972" s="557"/>
      <c r="H972" s="559"/>
      <c r="I972" s="564">
        <v>21848.0</v>
      </c>
      <c r="J972" s="565">
        <v>35161.0</v>
      </c>
      <c r="K972" s="542"/>
      <c r="L972" s="542"/>
      <c r="M972" s="542"/>
    </row>
    <row r="973">
      <c r="A973" s="570"/>
      <c r="B973" s="559" t="s">
        <v>1741</v>
      </c>
      <c r="C973" s="568">
        <v>274.0</v>
      </c>
      <c r="D973" s="557">
        <v>0.9444</v>
      </c>
      <c r="E973" s="569">
        <v>95.32</v>
      </c>
      <c r="F973" s="563">
        <v>35030.0</v>
      </c>
      <c r="G973" s="557"/>
      <c r="H973" s="559"/>
      <c r="I973" s="564">
        <v>21767.0</v>
      </c>
      <c r="J973" s="565">
        <v>35030.0</v>
      </c>
      <c r="K973" s="542"/>
      <c r="L973" s="542"/>
      <c r="M973" s="542"/>
    </row>
    <row r="974">
      <c r="A974" s="570"/>
      <c r="B974" s="559" t="s">
        <v>1726</v>
      </c>
      <c r="C974" s="568">
        <v>375.0</v>
      </c>
      <c r="D974" s="557">
        <v>0.9611</v>
      </c>
      <c r="E974" s="569">
        <v>102.16</v>
      </c>
      <c r="F974" s="563">
        <v>35011.0</v>
      </c>
      <c r="G974" s="557"/>
      <c r="H974" s="559"/>
      <c r="I974" s="564">
        <v>21755.0</v>
      </c>
      <c r="J974" s="565">
        <v>35011.0</v>
      </c>
      <c r="K974" s="542"/>
      <c r="L974" s="542"/>
      <c r="M974" s="542"/>
    </row>
    <row r="975">
      <c r="A975" s="570"/>
      <c r="B975" s="559" t="s">
        <v>96</v>
      </c>
      <c r="C975" s="568">
        <v>305.0</v>
      </c>
      <c r="D975" s="557">
        <v>0.967</v>
      </c>
      <c r="E975" s="569">
        <v>102.87</v>
      </c>
      <c r="F975" s="563">
        <v>35000.0</v>
      </c>
      <c r="G975" s="557"/>
      <c r="H975" s="559"/>
      <c r="I975" s="564">
        <v>21748.0</v>
      </c>
      <c r="J975" s="565">
        <v>35000.0</v>
      </c>
      <c r="K975" s="542"/>
      <c r="L975" s="542"/>
      <c r="M975" s="542"/>
    </row>
    <row r="976">
      <c r="A976" s="570"/>
      <c r="B976" s="559" t="s">
        <v>457</v>
      </c>
      <c r="C976" s="568">
        <v>382.0</v>
      </c>
      <c r="D976" s="557">
        <v>0.9593</v>
      </c>
      <c r="E976" s="569">
        <v>100.51</v>
      </c>
      <c r="F976" s="563">
        <v>35000.0</v>
      </c>
      <c r="G976" s="557"/>
      <c r="H976" s="559"/>
      <c r="I976" s="564">
        <v>21748.0</v>
      </c>
      <c r="J976" s="565">
        <v>35000.0</v>
      </c>
      <c r="K976" s="542"/>
      <c r="L976" s="542"/>
      <c r="M976" s="542"/>
    </row>
    <row r="977">
      <c r="A977" s="570"/>
      <c r="B977" s="559" t="s">
        <v>1778</v>
      </c>
      <c r="C977" s="568">
        <v>343.0</v>
      </c>
      <c r="D977" s="557">
        <v>0.9568</v>
      </c>
      <c r="E977" s="569">
        <v>101.96</v>
      </c>
      <c r="F977" s="563">
        <v>34822.0</v>
      </c>
      <c r="G977" s="557"/>
      <c r="H977" s="559"/>
      <c r="I977" s="564">
        <v>21637.0</v>
      </c>
      <c r="J977" s="565">
        <v>34822.0</v>
      </c>
      <c r="K977" s="542"/>
      <c r="L977" s="542"/>
      <c r="M977" s="542"/>
    </row>
    <row r="978">
      <c r="A978" s="570"/>
      <c r="B978" s="559" t="s">
        <v>595</v>
      </c>
      <c r="C978" s="568">
        <v>508.0</v>
      </c>
      <c r="D978" s="557">
        <v>0.9695</v>
      </c>
      <c r="E978" s="569">
        <v>99.39</v>
      </c>
      <c r="F978" s="563">
        <v>34786.0</v>
      </c>
      <c r="G978" s="557"/>
      <c r="H978" s="559"/>
      <c r="I978" s="564">
        <v>21615.0</v>
      </c>
      <c r="J978" s="565">
        <v>34786.0</v>
      </c>
      <c r="K978" s="542"/>
      <c r="L978" s="542"/>
      <c r="M978" s="542"/>
    </row>
    <row r="979">
      <c r="A979" s="570"/>
      <c r="B979" s="557"/>
      <c r="C979" s="557"/>
      <c r="D979" s="557"/>
      <c r="E979" s="557"/>
      <c r="F979" s="563">
        <v>34550.0</v>
      </c>
      <c r="G979" s="557"/>
      <c r="H979" s="557">
        <v>0.9626300955680496</v>
      </c>
      <c r="I979" s="564">
        <v>21468.0</v>
      </c>
      <c r="J979" s="565">
        <v>34550.0</v>
      </c>
      <c r="K979" s="542"/>
      <c r="L979" s="542"/>
      <c r="M979" s="542"/>
    </row>
    <row r="980">
      <c r="A980" s="570"/>
      <c r="B980" s="559" t="s">
        <v>192</v>
      </c>
      <c r="C980" s="568">
        <v>477.0</v>
      </c>
      <c r="D980" s="557">
        <v>0.9568</v>
      </c>
      <c r="E980" s="569">
        <v>114.79</v>
      </c>
      <c r="F980" s="563">
        <v>34533.0</v>
      </c>
      <c r="G980" s="557"/>
      <c r="H980" s="559"/>
      <c r="I980" s="564">
        <v>21458.0</v>
      </c>
      <c r="J980" s="565">
        <v>34533.0</v>
      </c>
      <c r="K980" s="542"/>
      <c r="L980" s="542"/>
      <c r="M980" s="542"/>
    </row>
    <row r="981">
      <c r="A981" s="570"/>
      <c r="B981" s="559" t="s">
        <v>1734</v>
      </c>
      <c r="C981" s="568">
        <v>877.0</v>
      </c>
      <c r="D981" s="557">
        <v>0.9746</v>
      </c>
      <c r="E981" s="569"/>
      <c r="F981" s="563">
        <v>34485.0</v>
      </c>
      <c r="G981" s="557"/>
      <c r="H981" s="559"/>
      <c r="I981" s="564">
        <v>21428.0</v>
      </c>
      <c r="J981" s="565">
        <v>34485.0</v>
      </c>
      <c r="K981" s="542"/>
      <c r="L981" s="542"/>
      <c r="M981" s="542"/>
    </row>
    <row r="982">
      <c r="A982" s="570"/>
      <c r="B982" s="559" t="s">
        <v>300</v>
      </c>
      <c r="C982" s="568">
        <v>285.0</v>
      </c>
      <c r="D982" s="557">
        <v>0.9749</v>
      </c>
      <c r="E982" s="569">
        <v>103.15</v>
      </c>
      <c r="F982" s="563">
        <v>34467.0</v>
      </c>
      <c r="G982" s="557"/>
      <c r="H982" s="559"/>
      <c r="I982" s="564">
        <v>21417.0</v>
      </c>
      <c r="J982" s="565">
        <v>34467.0</v>
      </c>
      <c r="K982" s="542"/>
      <c r="L982" s="542"/>
      <c r="M982" s="542"/>
    </row>
    <row r="983">
      <c r="A983" s="570"/>
      <c r="B983" s="559" t="s">
        <v>181</v>
      </c>
      <c r="C983" s="568">
        <v>629.0</v>
      </c>
      <c r="D983" s="557">
        <v>0.9441</v>
      </c>
      <c r="E983" s="569">
        <v>104.34</v>
      </c>
      <c r="F983" s="563">
        <v>34317.0</v>
      </c>
      <c r="G983" s="557"/>
      <c r="H983" s="559"/>
      <c r="I983" s="564">
        <v>21324.0</v>
      </c>
      <c r="J983" s="565">
        <v>34317.0</v>
      </c>
      <c r="K983" s="542"/>
      <c r="L983" s="542"/>
      <c r="M983" s="542"/>
    </row>
    <row r="984">
      <c r="A984" s="570"/>
      <c r="B984" s="559" t="s">
        <v>761</v>
      </c>
      <c r="C984" s="568">
        <v>576.0</v>
      </c>
      <c r="D984" s="557">
        <v>0.9387</v>
      </c>
      <c r="E984" s="569">
        <v>104.29</v>
      </c>
      <c r="F984" s="563">
        <v>34205.0</v>
      </c>
      <c r="G984" s="557"/>
      <c r="H984" s="559"/>
      <c r="I984" s="564">
        <v>21254.0</v>
      </c>
      <c r="J984" s="565">
        <v>34205.0</v>
      </c>
      <c r="K984" s="542"/>
      <c r="L984" s="542"/>
      <c r="M984" s="542"/>
    </row>
    <row r="985">
      <c r="A985" s="570"/>
      <c r="B985" s="559" t="s">
        <v>640</v>
      </c>
      <c r="C985" s="568">
        <v>348.0</v>
      </c>
      <c r="D985" s="557">
        <v>0.9568</v>
      </c>
      <c r="E985" s="569">
        <v>97.88</v>
      </c>
      <c r="F985" s="563">
        <v>34041.0</v>
      </c>
      <c r="G985" s="557"/>
      <c r="H985" s="559"/>
      <c r="I985" s="564">
        <v>21152.0</v>
      </c>
      <c r="J985" s="565">
        <v>34041.0</v>
      </c>
      <c r="K985" s="542"/>
      <c r="L985" s="542"/>
      <c r="M985" s="542"/>
    </row>
    <row r="986">
      <c r="A986" s="570"/>
      <c r="B986" s="559" t="s">
        <v>367</v>
      </c>
      <c r="C986" s="568">
        <v>315.0</v>
      </c>
      <c r="D986" s="557">
        <v>0.9645</v>
      </c>
      <c r="E986" s="569">
        <v>104.53</v>
      </c>
      <c r="F986" s="563">
        <v>34000.0</v>
      </c>
      <c r="G986" s="557"/>
      <c r="H986" s="559"/>
      <c r="I986" s="564">
        <v>21127.0</v>
      </c>
      <c r="J986" s="565">
        <v>34000.0</v>
      </c>
      <c r="K986" s="542"/>
      <c r="L986" s="542"/>
      <c r="M986" s="542"/>
    </row>
    <row r="987">
      <c r="A987" s="570"/>
      <c r="B987" s="559" t="s">
        <v>1759</v>
      </c>
      <c r="C987" s="568">
        <v>494.0</v>
      </c>
      <c r="D987" s="557">
        <v>0.9845</v>
      </c>
      <c r="E987" s="569">
        <v>89.36</v>
      </c>
      <c r="F987" s="563">
        <v>33886.0</v>
      </c>
      <c r="G987" s="557"/>
      <c r="H987" s="559"/>
      <c r="I987" s="564">
        <v>21056.0</v>
      </c>
      <c r="J987" s="565">
        <v>33886.0</v>
      </c>
      <c r="K987" s="542"/>
      <c r="L987" s="542"/>
      <c r="M987" s="542"/>
    </row>
    <row r="988">
      <c r="A988" s="570"/>
      <c r="B988" s="557"/>
      <c r="C988" s="557"/>
      <c r="D988" s="557"/>
      <c r="E988" s="557"/>
      <c r="F988" s="563">
        <v>33800.0</v>
      </c>
      <c r="G988" s="557"/>
      <c r="H988" s="557">
        <v>0.9630279538253546</v>
      </c>
      <c r="I988" s="564">
        <v>21002.0</v>
      </c>
      <c r="J988" s="565">
        <v>33800.0</v>
      </c>
      <c r="K988" s="542"/>
      <c r="L988" s="542"/>
      <c r="M988" s="542"/>
    </row>
    <row r="989">
      <c r="A989" s="570"/>
      <c r="B989" s="559" t="s">
        <v>54</v>
      </c>
      <c r="C989" s="568">
        <v>391.0</v>
      </c>
      <c r="D989" s="557">
        <v>0.9517</v>
      </c>
      <c r="E989" s="569">
        <v>84.15</v>
      </c>
      <c r="F989" s="563">
        <v>33796.0</v>
      </c>
      <c r="G989" s="557">
        <v>-1.0</v>
      </c>
      <c r="H989" s="559"/>
      <c r="I989" s="564">
        <v>21000.0</v>
      </c>
      <c r="J989" s="565">
        <v>33796.0</v>
      </c>
      <c r="K989" s="542"/>
      <c r="L989" s="542"/>
      <c r="M989" s="542"/>
    </row>
    <row r="990">
      <c r="A990" s="570"/>
      <c r="B990" s="559" t="s">
        <v>221</v>
      </c>
      <c r="C990" s="568">
        <v>232.0</v>
      </c>
      <c r="D990" s="557">
        <v>0.9681</v>
      </c>
      <c r="E990" s="569">
        <v>88.95</v>
      </c>
      <c r="F990" s="563">
        <v>33796.0</v>
      </c>
      <c r="G990" s="557">
        <v>-1.0</v>
      </c>
      <c r="H990" s="559"/>
      <c r="I990" s="564">
        <v>21000.0</v>
      </c>
      <c r="J990" s="565">
        <v>33796.0</v>
      </c>
      <c r="K990" s="542"/>
      <c r="L990" s="542"/>
      <c r="M990" s="542"/>
    </row>
    <row r="991">
      <c r="A991" s="570"/>
      <c r="B991" s="559" t="s">
        <v>605</v>
      </c>
      <c r="C991" s="568">
        <v>426.0</v>
      </c>
      <c r="D991" s="557">
        <v>0.9699</v>
      </c>
      <c r="E991" s="569">
        <v>88.76</v>
      </c>
      <c r="F991" s="563">
        <v>33700.0</v>
      </c>
      <c r="G991" s="557"/>
      <c r="H991" s="559"/>
      <c r="I991" s="564">
        <v>20940.0</v>
      </c>
      <c r="J991" s="565">
        <v>33700.0</v>
      </c>
      <c r="K991" s="542"/>
      <c r="L991" s="542"/>
      <c r="M991" s="542"/>
    </row>
    <row r="992">
      <c r="A992" s="570"/>
      <c r="B992" s="559" t="s">
        <v>207</v>
      </c>
      <c r="C992" s="568">
        <v>288.0</v>
      </c>
      <c r="D992" s="557">
        <v>0.9746</v>
      </c>
      <c r="E992" s="569">
        <v>88.71</v>
      </c>
      <c r="F992" s="563">
        <v>33598.0</v>
      </c>
      <c r="G992" s="557"/>
      <c r="H992" s="559"/>
      <c r="I992" s="564">
        <v>20877.0</v>
      </c>
      <c r="J992" s="565">
        <v>33598.0</v>
      </c>
      <c r="K992" s="542"/>
      <c r="L992" s="542"/>
      <c r="M992" s="542"/>
    </row>
    <row r="993">
      <c r="A993" s="570"/>
      <c r="B993" s="559" t="s">
        <v>640</v>
      </c>
      <c r="C993" s="568">
        <v>348.0</v>
      </c>
      <c r="D993" s="557">
        <v>0.9568</v>
      </c>
      <c r="E993" s="569">
        <v>96.15</v>
      </c>
      <c r="F993" s="563">
        <v>33439.0</v>
      </c>
      <c r="G993" s="557"/>
      <c r="H993" s="559"/>
      <c r="I993" s="564">
        <v>20778.0</v>
      </c>
      <c r="J993" s="565">
        <v>33439.0</v>
      </c>
      <c r="K993" s="542"/>
      <c r="L993" s="542"/>
      <c r="M993" s="542"/>
    </row>
    <row r="994">
      <c r="A994" s="570"/>
      <c r="B994" s="559" t="s">
        <v>58</v>
      </c>
      <c r="C994" s="568">
        <v>303.0</v>
      </c>
      <c r="D994" s="557">
        <v>0.985</v>
      </c>
      <c r="E994" s="569">
        <v>91.97</v>
      </c>
      <c r="F994" s="563">
        <v>33366.0</v>
      </c>
      <c r="G994" s="557"/>
      <c r="H994" s="559"/>
      <c r="I994" s="564">
        <v>20733.0</v>
      </c>
      <c r="J994" s="565">
        <v>33366.0</v>
      </c>
      <c r="K994" s="542"/>
      <c r="L994" s="542"/>
      <c r="M994" s="542"/>
    </row>
    <row r="995">
      <c r="A995" s="570"/>
      <c r="B995" s="559" t="s">
        <v>201</v>
      </c>
      <c r="C995" s="568">
        <v>356.0</v>
      </c>
      <c r="D995" s="557">
        <v>0.9721</v>
      </c>
      <c r="E995" s="569">
        <v>75.26</v>
      </c>
      <c r="F995" s="563">
        <v>33240.0</v>
      </c>
      <c r="G995" s="557"/>
      <c r="H995" s="559"/>
      <c r="I995" s="564">
        <v>20654.0</v>
      </c>
      <c r="J995" s="565">
        <v>33240.0</v>
      </c>
      <c r="K995" s="542"/>
      <c r="L995" s="542"/>
      <c r="M995" s="542"/>
    </row>
    <row r="996">
      <c r="A996" s="570"/>
      <c r="B996" s="559" t="s">
        <v>519</v>
      </c>
      <c r="C996" s="568">
        <v>468.0</v>
      </c>
      <c r="D996" s="557">
        <v>0.9742</v>
      </c>
      <c r="E996" s="569">
        <v>71.37</v>
      </c>
      <c r="F996" s="563">
        <v>33232.0</v>
      </c>
      <c r="G996" s="557">
        <v>-1.0</v>
      </c>
      <c r="H996" s="559"/>
      <c r="I996" s="564">
        <v>20649.0</v>
      </c>
      <c r="J996" s="565">
        <v>33232.0</v>
      </c>
      <c r="K996" s="542"/>
      <c r="L996" s="542"/>
      <c r="M996" s="542"/>
    </row>
    <row r="997">
      <c r="A997" s="570"/>
      <c r="B997" s="559" t="s">
        <v>361</v>
      </c>
      <c r="C997" s="568">
        <v>318.0</v>
      </c>
      <c r="D997" s="557">
        <v>0.9544</v>
      </c>
      <c r="E997" s="569">
        <v>100.25</v>
      </c>
      <c r="F997" s="563">
        <v>33150.0</v>
      </c>
      <c r="G997" s="557"/>
      <c r="H997" s="559"/>
      <c r="I997" s="564">
        <v>20598.0</v>
      </c>
      <c r="J997" s="565">
        <v>33150.0</v>
      </c>
      <c r="K997" s="542"/>
      <c r="L997" s="542"/>
      <c r="M997" s="542"/>
    </row>
    <row r="998">
      <c r="A998" s="570"/>
      <c r="B998" s="557"/>
      <c r="C998" s="557"/>
      <c r="D998" s="557"/>
      <c r="E998" s="557"/>
      <c r="F998" s="563">
        <v>33050.0</v>
      </c>
      <c r="G998" s="557"/>
      <c r="H998" s="557">
        <v>0.9634359174152989</v>
      </c>
      <c r="I998" s="564">
        <v>20536.0</v>
      </c>
      <c r="J998" s="565">
        <v>33050.0</v>
      </c>
      <c r="K998" s="542"/>
      <c r="L998" s="542"/>
      <c r="M998" s="542"/>
    </row>
    <row r="999">
      <c r="A999" s="570"/>
      <c r="B999" s="559" t="s">
        <v>508</v>
      </c>
      <c r="C999" s="568">
        <v>336.0</v>
      </c>
      <c r="D999" s="557">
        <v>0.9465</v>
      </c>
      <c r="E999" s="569">
        <v>85.76</v>
      </c>
      <c r="F999" s="563">
        <v>33001.0</v>
      </c>
      <c r="G999" s="557">
        <v>-1.0</v>
      </c>
      <c r="H999" s="559"/>
      <c r="I999" s="564">
        <v>20506.0</v>
      </c>
      <c r="J999" s="565">
        <v>33001.0</v>
      </c>
      <c r="K999" s="542"/>
      <c r="L999" s="542"/>
      <c r="M999" s="542"/>
    </row>
    <row r="1000">
      <c r="A1000" s="570"/>
      <c r="B1000" s="559" t="s">
        <v>324</v>
      </c>
      <c r="C1000" s="568">
        <v>408.0</v>
      </c>
      <c r="D1000" s="557">
        <v>0.9624</v>
      </c>
      <c r="E1000" s="569">
        <v>90.72</v>
      </c>
      <c r="F1000" s="563">
        <v>33000.0</v>
      </c>
      <c r="G1000" s="557"/>
      <c r="H1000" s="559"/>
      <c r="I1000" s="564">
        <v>20505.0</v>
      </c>
      <c r="J1000" s="565">
        <v>33000.0</v>
      </c>
      <c r="K1000" s="542"/>
      <c r="L1000" s="542"/>
      <c r="M1000" s="542"/>
    </row>
    <row r="1001">
      <c r="A1001" s="570"/>
      <c r="B1001" s="559" t="s">
        <v>548</v>
      </c>
      <c r="C1001" s="568">
        <v>399.0</v>
      </c>
      <c r="D1001" s="557">
        <v>0.9518</v>
      </c>
      <c r="E1001" s="569">
        <v>100.37</v>
      </c>
      <c r="F1001" s="563">
        <v>33000.0</v>
      </c>
      <c r="G1001" s="557"/>
      <c r="H1001" s="559"/>
      <c r="I1001" s="564">
        <v>20505.0</v>
      </c>
      <c r="J1001" s="565">
        <v>33000.0</v>
      </c>
      <c r="K1001" s="542"/>
      <c r="L1001" s="542"/>
      <c r="M1001" s="542"/>
    </row>
    <row r="1002">
      <c r="A1002" s="570"/>
      <c r="B1002" s="559" t="s">
        <v>582</v>
      </c>
      <c r="C1002" s="568">
        <v>448.0</v>
      </c>
      <c r="D1002" s="557">
        <v>0.9682</v>
      </c>
      <c r="E1002" s="569">
        <v>110.66</v>
      </c>
      <c r="F1002" s="563">
        <v>33000.0</v>
      </c>
      <c r="G1002" s="557"/>
      <c r="H1002" s="559"/>
      <c r="I1002" s="564">
        <v>20505.0</v>
      </c>
      <c r="J1002" s="565">
        <v>33000.0</v>
      </c>
      <c r="K1002" s="542"/>
      <c r="L1002" s="542"/>
      <c r="M1002" s="542"/>
    </row>
    <row r="1003">
      <c r="A1003" s="570"/>
      <c r="B1003" s="559" t="s">
        <v>674</v>
      </c>
      <c r="C1003" s="568">
        <v>254.0</v>
      </c>
      <c r="D1003" s="557">
        <v>0.9856</v>
      </c>
      <c r="E1003" s="569">
        <v>79.65</v>
      </c>
      <c r="F1003" s="563">
        <v>32992.0</v>
      </c>
      <c r="G1003" s="557">
        <v>-1.0</v>
      </c>
      <c r="H1003" s="559"/>
      <c r="I1003" s="564">
        <v>20500.0</v>
      </c>
      <c r="J1003" s="565">
        <v>32992.0</v>
      </c>
      <c r="K1003" s="542"/>
      <c r="L1003" s="542"/>
      <c r="M1003" s="542"/>
    </row>
    <row r="1004">
      <c r="A1004" s="570"/>
      <c r="B1004" s="559" t="s">
        <v>762</v>
      </c>
      <c r="C1004" s="568">
        <v>589.0</v>
      </c>
      <c r="D1004" s="557">
        <v>1.0014</v>
      </c>
      <c r="E1004" s="569">
        <v>88.05</v>
      </c>
      <c r="F1004" s="563">
        <v>32992.0</v>
      </c>
      <c r="G1004" s="557">
        <v>-1.0</v>
      </c>
      <c r="H1004" s="559"/>
      <c r="I1004" s="564">
        <v>20500.0</v>
      </c>
      <c r="J1004" s="565">
        <v>32992.0</v>
      </c>
      <c r="K1004" s="542"/>
      <c r="L1004" s="542"/>
      <c r="M1004" s="542"/>
    </row>
    <row r="1005">
      <c r="A1005" s="570"/>
      <c r="B1005" s="559" t="s">
        <v>761</v>
      </c>
      <c r="C1005" s="568">
        <v>542.0</v>
      </c>
      <c r="D1005" s="557">
        <v>0.9387</v>
      </c>
      <c r="E1005" s="569">
        <v>100.34</v>
      </c>
      <c r="F1005" s="563">
        <v>32910.0</v>
      </c>
      <c r="G1005" s="557"/>
      <c r="H1005" s="559"/>
      <c r="I1005" s="564">
        <v>20449.0</v>
      </c>
      <c r="J1005" s="565">
        <v>32910.0</v>
      </c>
      <c r="K1005" s="542"/>
      <c r="L1005" s="542"/>
      <c r="M1005" s="542"/>
    </row>
    <row r="1006">
      <c r="A1006" s="570"/>
      <c r="B1006" s="559" t="s">
        <v>1454</v>
      </c>
      <c r="C1006" s="568">
        <v>589.0</v>
      </c>
      <c r="D1006" s="557">
        <v>0.9572</v>
      </c>
      <c r="E1006" s="569"/>
      <c r="F1006" s="563">
        <v>32788.0</v>
      </c>
      <c r="G1006" s="557"/>
      <c r="H1006" s="559"/>
      <c r="I1006" s="564">
        <v>20374.0</v>
      </c>
      <c r="J1006" s="565">
        <v>32788.0</v>
      </c>
      <c r="K1006" s="542"/>
      <c r="L1006" s="542"/>
      <c r="M1006" s="542"/>
    </row>
    <row r="1007">
      <c r="A1007" s="570"/>
      <c r="B1007" s="559" t="s">
        <v>1615</v>
      </c>
      <c r="C1007" s="568">
        <v>400.0</v>
      </c>
      <c r="D1007" s="557">
        <v>0.9637</v>
      </c>
      <c r="E1007" s="569">
        <v>86.45</v>
      </c>
      <c r="F1007" s="563">
        <v>32600.0</v>
      </c>
      <c r="G1007" s="557"/>
      <c r="H1007" s="559"/>
      <c r="I1007" s="564">
        <v>20257.0</v>
      </c>
      <c r="J1007" s="565">
        <v>32600.0</v>
      </c>
      <c r="K1007" s="542"/>
      <c r="L1007" s="542"/>
      <c r="M1007" s="542"/>
    </row>
    <row r="1008">
      <c r="A1008" s="570"/>
      <c r="B1008" s="559" t="s">
        <v>206</v>
      </c>
      <c r="C1008" s="568">
        <v>431.0</v>
      </c>
      <c r="D1008" s="557">
        <v>0.9788</v>
      </c>
      <c r="E1008" s="569">
        <v>76.3</v>
      </c>
      <c r="F1008" s="563">
        <v>32573.0</v>
      </c>
      <c r="G1008" s="557">
        <v>-1.0</v>
      </c>
      <c r="H1008" s="559"/>
      <c r="I1008" s="564">
        <v>20240.0</v>
      </c>
      <c r="J1008" s="565">
        <v>32573.0</v>
      </c>
      <c r="K1008" s="542"/>
      <c r="L1008" s="542"/>
      <c r="M1008" s="542"/>
    </row>
    <row r="1009">
      <c r="A1009" s="570"/>
      <c r="B1009" s="559" t="s">
        <v>348</v>
      </c>
      <c r="C1009" s="568">
        <v>344.0</v>
      </c>
      <c r="D1009" s="557">
        <v>0.9518</v>
      </c>
      <c r="E1009" s="569">
        <v>114.48</v>
      </c>
      <c r="F1009" s="563">
        <v>32546.0</v>
      </c>
      <c r="G1009" s="557"/>
      <c r="H1009" s="559"/>
      <c r="I1009" s="564">
        <v>20223.0</v>
      </c>
      <c r="J1009" s="565">
        <v>32546.0</v>
      </c>
      <c r="K1009" s="542"/>
      <c r="L1009" s="542"/>
      <c r="M1009" s="542"/>
    </row>
    <row r="1010">
      <c r="A1010" s="570"/>
      <c r="B1010" s="559" t="s">
        <v>761</v>
      </c>
      <c r="C1010" s="568">
        <v>541.0</v>
      </c>
      <c r="D1010" s="557">
        <v>0.9338</v>
      </c>
      <c r="E1010" s="569">
        <v>99.47</v>
      </c>
      <c r="F1010" s="563">
        <v>32540.0</v>
      </c>
      <c r="G1010" s="557"/>
      <c r="H1010" s="559"/>
      <c r="I1010" s="564">
        <v>20219.0</v>
      </c>
      <c r="J1010" s="565">
        <v>32540.0</v>
      </c>
      <c r="K1010" s="542"/>
      <c r="L1010" s="542"/>
      <c r="M1010" s="542"/>
    </row>
    <row r="1011">
      <c r="A1011" s="570"/>
      <c r="B1011" s="559" t="s">
        <v>1874</v>
      </c>
      <c r="C1011" s="568">
        <v>284.0</v>
      </c>
      <c r="D1011" s="557">
        <v>0.9918</v>
      </c>
      <c r="E1011" s="569">
        <v>96.78</v>
      </c>
      <c r="F1011" s="563">
        <v>32500.0</v>
      </c>
      <c r="G1011" s="557"/>
      <c r="H1011" s="559"/>
      <c r="I1011" s="564">
        <v>20195.0</v>
      </c>
      <c r="J1011" s="565">
        <v>32500.0</v>
      </c>
      <c r="K1011" s="542"/>
      <c r="L1011" s="542"/>
      <c r="M1011" s="542"/>
    </row>
    <row r="1012">
      <c r="A1012" s="570"/>
      <c r="B1012" s="559" t="s">
        <v>1454</v>
      </c>
      <c r="C1012" s="568">
        <v>582.0</v>
      </c>
      <c r="D1012" s="557">
        <v>0.9766</v>
      </c>
      <c r="E1012" s="569">
        <v>100.96</v>
      </c>
      <c r="F1012" s="563">
        <v>32373.0</v>
      </c>
      <c r="G1012" s="557"/>
      <c r="H1012" s="559"/>
      <c r="I1012" s="564">
        <v>20116.0</v>
      </c>
      <c r="J1012" s="565">
        <v>32373.0</v>
      </c>
      <c r="K1012" s="542"/>
      <c r="L1012" s="542"/>
      <c r="M1012" s="542"/>
    </row>
    <row r="1013">
      <c r="A1013" s="570"/>
      <c r="B1013" s="557"/>
      <c r="C1013" s="557"/>
      <c r="D1013" s="557"/>
      <c r="E1013" s="557"/>
      <c r="F1013" s="563">
        <v>32300.0</v>
      </c>
      <c r="G1013" s="557"/>
      <c r="H1013" s="557">
        <v>0.9638543502367962</v>
      </c>
      <c r="I1013" s="564">
        <v>20070.0</v>
      </c>
      <c r="J1013" s="565">
        <v>32300.0</v>
      </c>
      <c r="K1013" s="542"/>
      <c r="L1013" s="542"/>
      <c r="M1013" s="542"/>
    </row>
    <row r="1014">
      <c r="A1014" s="570"/>
      <c r="B1014" s="559" t="s">
        <v>1588</v>
      </c>
      <c r="C1014" s="568">
        <v>278.0</v>
      </c>
      <c r="D1014" s="557">
        <v>0.9255</v>
      </c>
      <c r="E1014" s="569">
        <v>88.81</v>
      </c>
      <c r="F1014" s="563">
        <v>32161.0</v>
      </c>
      <c r="G1014" s="557"/>
      <c r="H1014" s="559"/>
      <c r="I1014" s="564">
        <v>19984.0</v>
      </c>
      <c r="J1014" s="565">
        <v>32161.0</v>
      </c>
      <c r="K1014" s="542"/>
      <c r="L1014" s="542"/>
      <c r="M1014" s="542"/>
    </row>
    <row r="1015">
      <c r="A1015" s="570"/>
      <c r="B1015" s="559" t="s">
        <v>285</v>
      </c>
      <c r="C1015" s="568">
        <v>389.0</v>
      </c>
      <c r="D1015" s="557">
        <v>0.9774</v>
      </c>
      <c r="E1015" s="569">
        <v>94.4</v>
      </c>
      <c r="F1015" s="563">
        <v>32143.0</v>
      </c>
      <c r="G1015" s="557"/>
      <c r="H1015" s="559"/>
      <c r="I1015" s="564">
        <v>19973.0</v>
      </c>
      <c r="J1015" s="565">
        <v>32143.0</v>
      </c>
      <c r="K1015" s="542"/>
      <c r="L1015" s="542"/>
      <c r="M1015" s="542"/>
    </row>
    <row r="1016">
      <c r="A1016" s="570"/>
      <c r="B1016" s="559" t="s">
        <v>761</v>
      </c>
      <c r="C1016" s="568">
        <v>526.0</v>
      </c>
      <c r="D1016" s="557">
        <v>0.9363</v>
      </c>
      <c r="E1016" s="569">
        <v>98.45</v>
      </c>
      <c r="F1016" s="563">
        <v>32110.0</v>
      </c>
      <c r="G1016" s="557"/>
      <c r="H1016" s="559"/>
      <c r="I1016" s="564">
        <v>19952.0</v>
      </c>
      <c r="J1016" s="565">
        <v>32110.0</v>
      </c>
      <c r="K1016" s="542"/>
      <c r="L1016" s="542"/>
      <c r="M1016" s="542"/>
    </row>
    <row r="1017">
      <c r="A1017" s="570"/>
      <c r="B1017" s="559" t="s">
        <v>488</v>
      </c>
      <c r="C1017" s="568"/>
      <c r="D1017" s="557">
        <v>0.962</v>
      </c>
      <c r="E1017" s="569">
        <v>113.93</v>
      </c>
      <c r="F1017" s="563">
        <v>32080.0</v>
      </c>
      <c r="G1017" s="557"/>
      <c r="H1017" s="559"/>
      <c r="I1017" s="564">
        <v>19934.0</v>
      </c>
      <c r="J1017" s="565">
        <v>32080.0</v>
      </c>
      <c r="K1017" s="542"/>
      <c r="L1017" s="542"/>
      <c r="M1017" s="542"/>
    </row>
    <row r="1018">
      <c r="A1018" s="570"/>
      <c r="B1018" s="559" t="s">
        <v>322</v>
      </c>
      <c r="C1018" s="568">
        <v>272.0</v>
      </c>
      <c r="D1018" s="557">
        <v>0.9652</v>
      </c>
      <c r="E1018" s="569">
        <v>99.66</v>
      </c>
      <c r="F1018" s="563">
        <v>32055.0</v>
      </c>
      <c r="G1018" s="557">
        <v>-1.0</v>
      </c>
      <c r="H1018" s="559"/>
      <c r="I1018" s="564">
        <v>19918.0</v>
      </c>
      <c r="J1018" s="565">
        <v>32055.0</v>
      </c>
      <c r="K1018" s="542"/>
      <c r="L1018" s="542"/>
      <c r="M1018" s="542"/>
    </row>
    <row r="1019">
      <c r="A1019" s="570"/>
      <c r="B1019" s="559" t="s">
        <v>1703</v>
      </c>
      <c r="C1019" s="568">
        <v>353.0</v>
      </c>
      <c r="D1019" s="557">
        <v>0.9932</v>
      </c>
      <c r="E1019" s="569">
        <v>96.79</v>
      </c>
      <c r="F1019" s="563">
        <v>32054.0</v>
      </c>
      <c r="G1019" s="557"/>
      <c r="H1019" s="559"/>
      <c r="I1019" s="564">
        <v>19917.0</v>
      </c>
      <c r="J1019" s="565">
        <v>32054.0</v>
      </c>
      <c r="K1019" s="542"/>
      <c r="L1019" s="542"/>
      <c r="M1019" s="542"/>
    </row>
    <row r="1020">
      <c r="A1020" s="570"/>
      <c r="B1020" s="559" t="s">
        <v>76</v>
      </c>
      <c r="C1020" s="568">
        <v>174.0</v>
      </c>
      <c r="D1020" s="557">
        <v>0.9825</v>
      </c>
      <c r="E1020" s="569">
        <v>90.81</v>
      </c>
      <c r="F1020" s="563">
        <v>32000.0</v>
      </c>
      <c r="G1020" s="557"/>
      <c r="H1020" s="559"/>
      <c r="I1020" s="564">
        <v>19884.0</v>
      </c>
      <c r="J1020" s="565">
        <v>32000.0</v>
      </c>
      <c r="K1020" s="542"/>
      <c r="L1020" s="542"/>
      <c r="M1020" s="542"/>
    </row>
    <row r="1021">
      <c r="A1021" s="570"/>
      <c r="B1021" s="559" t="s">
        <v>416</v>
      </c>
      <c r="C1021" s="568">
        <v>356.0</v>
      </c>
      <c r="D1021" s="557">
        <v>0.9575</v>
      </c>
      <c r="E1021" s="569">
        <v>91.98</v>
      </c>
      <c r="F1021" s="563">
        <v>32000.0</v>
      </c>
      <c r="G1021" s="557"/>
      <c r="H1021" s="559"/>
      <c r="I1021" s="564">
        <v>19884.0</v>
      </c>
      <c r="J1021" s="565">
        <v>32000.0</v>
      </c>
      <c r="K1021" s="542"/>
      <c r="L1021" s="542"/>
      <c r="M1021" s="542"/>
    </row>
    <row r="1022">
      <c r="A1022" s="570"/>
      <c r="B1022" s="559" t="s">
        <v>218</v>
      </c>
      <c r="C1022" s="568">
        <v>647.0</v>
      </c>
      <c r="D1022" s="557">
        <v>0.9474</v>
      </c>
      <c r="E1022" s="569">
        <v>90.66</v>
      </c>
      <c r="F1022" s="563">
        <v>31960.0</v>
      </c>
      <c r="G1022" s="557"/>
      <c r="H1022" s="559"/>
      <c r="I1022" s="564">
        <v>19859.0</v>
      </c>
      <c r="J1022" s="565">
        <v>31960.0</v>
      </c>
      <c r="K1022" s="542"/>
      <c r="L1022" s="542"/>
      <c r="M1022" s="542"/>
    </row>
    <row r="1023">
      <c r="A1023" s="570"/>
      <c r="B1023" s="559" t="s">
        <v>1454</v>
      </c>
      <c r="C1023" s="568">
        <v>575.0</v>
      </c>
      <c r="D1023" s="557">
        <v>0.9655</v>
      </c>
      <c r="E1023" s="569">
        <v>103.39</v>
      </c>
      <c r="F1023" s="563">
        <v>31913.0</v>
      </c>
      <c r="G1023" s="557"/>
      <c r="H1023" s="559"/>
      <c r="I1023" s="564">
        <v>19830.0</v>
      </c>
      <c r="J1023" s="565">
        <v>31913.0</v>
      </c>
      <c r="K1023" s="542"/>
      <c r="L1023" s="542"/>
      <c r="M1023" s="542"/>
    </row>
    <row r="1024">
      <c r="A1024" s="570"/>
      <c r="B1024" s="559" t="s">
        <v>1726</v>
      </c>
      <c r="C1024" s="568">
        <v>345.0</v>
      </c>
      <c r="D1024" s="557">
        <v>0.958</v>
      </c>
      <c r="E1024" s="569">
        <v>93.12</v>
      </c>
      <c r="F1024" s="563">
        <v>31865.0</v>
      </c>
      <c r="G1024" s="557"/>
      <c r="H1024" s="559"/>
      <c r="I1024" s="564">
        <v>19800.0</v>
      </c>
      <c r="J1024" s="565">
        <v>31865.0</v>
      </c>
      <c r="K1024" s="542"/>
      <c r="L1024" s="542"/>
      <c r="M1024" s="542"/>
    </row>
    <row r="1025">
      <c r="A1025" s="570"/>
      <c r="B1025" s="559" t="s">
        <v>640</v>
      </c>
      <c r="C1025" s="568">
        <v>336.0</v>
      </c>
      <c r="D1025" s="557">
        <v>0.9593</v>
      </c>
      <c r="E1025" s="569">
        <v>91.07</v>
      </c>
      <c r="F1025" s="563">
        <v>31712.0</v>
      </c>
      <c r="G1025" s="557"/>
      <c r="H1025" s="559"/>
      <c r="I1025" s="564">
        <v>19705.0</v>
      </c>
      <c r="J1025" s="565">
        <v>31712.0</v>
      </c>
      <c r="K1025" s="542"/>
      <c r="L1025" s="542"/>
      <c r="M1025" s="542"/>
    </row>
    <row r="1026">
      <c r="A1026" s="570"/>
      <c r="B1026" s="559" t="s">
        <v>294</v>
      </c>
      <c r="C1026" s="568">
        <v>507.0</v>
      </c>
      <c r="D1026" s="557">
        <v>0.9474</v>
      </c>
      <c r="E1026" s="569">
        <v>83.82</v>
      </c>
      <c r="F1026" s="563">
        <v>31618.0</v>
      </c>
      <c r="G1026" s="557"/>
      <c r="H1026" s="559"/>
      <c r="I1026" s="564">
        <v>19647.0</v>
      </c>
      <c r="J1026" s="565">
        <v>31618.0</v>
      </c>
      <c r="K1026" s="542"/>
      <c r="L1026" s="542"/>
      <c r="M1026" s="542"/>
    </row>
    <row r="1027">
      <c r="A1027" s="570"/>
      <c r="B1027" s="559" t="s">
        <v>138</v>
      </c>
      <c r="C1027" s="568">
        <v>780.0</v>
      </c>
      <c r="D1027" s="557">
        <v>1.0034</v>
      </c>
      <c r="E1027" s="569">
        <v>83.86</v>
      </c>
      <c r="F1027" s="563">
        <v>31589.0</v>
      </c>
      <c r="G1027" s="557">
        <v>-1.0</v>
      </c>
      <c r="H1027" s="559"/>
      <c r="I1027" s="564">
        <v>19628.0</v>
      </c>
      <c r="J1027" s="565">
        <v>31589.0</v>
      </c>
      <c r="K1027" s="542"/>
      <c r="L1027" s="542"/>
      <c r="M1027" s="542"/>
    </row>
    <row r="1028">
      <c r="A1028" s="570"/>
      <c r="B1028" s="557"/>
      <c r="C1028" s="557"/>
      <c r="D1028" s="557"/>
      <c r="E1028" s="557"/>
      <c r="F1028" s="563">
        <v>31550.0</v>
      </c>
      <c r="G1028" s="557"/>
      <c r="H1028" s="557">
        <v>0.9642836292929726</v>
      </c>
      <c r="I1028" s="564">
        <v>19604.0</v>
      </c>
      <c r="J1028" s="565">
        <v>31550.0</v>
      </c>
      <c r="K1028" s="542"/>
      <c r="L1028" s="542"/>
      <c r="M1028" s="542"/>
    </row>
    <row r="1029">
      <c r="A1029" s="570"/>
      <c r="B1029" s="559" t="s">
        <v>339</v>
      </c>
      <c r="C1029" s="568">
        <v>316.0</v>
      </c>
      <c r="D1029" s="557">
        <v>0.9543</v>
      </c>
      <c r="E1029" s="569">
        <v>108.99</v>
      </c>
      <c r="F1029" s="563">
        <v>31500.0</v>
      </c>
      <c r="G1029" s="557"/>
      <c r="H1029" s="559"/>
      <c r="I1029" s="564">
        <v>19573.0</v>
      </c>
      <c r="J1029" s="565">
        <v>31500.0</v>
      </c>
      <c r="K1029" s="542"/>
      <c r="L1029" s="542"/>
      <c r="M1029" s="542"/>
    </row>
    <row r="1030">
      <c r="A1030" s="570"/>
      <c r="B1030" s="559" t="s">
        <v>1617</v>
      </c>
      <c r="C1030" s="568">
        <v>481.0</v>
      </c>
      <c r="D1030" s="557">
        <v>0.9441</v>
      </c>
      <c r="E1030" s="569">
        <v>102.64</v>
      </c>
      <c r="F1030" s="563">
        <v>31300.0</v>
      </c>
      <c r="G1030" s="557"/>
      <c r="H1030" s="559"/>
      <c r="I1030" s="564">
        <v>19449.0</v>
      </c>
      <c r="J1030" s="565">
        <v>31300.0</v>
      </c>
      <c r="K1030" s="542"/>
      <c r="L1030" s="542"/>
      <c r="M1030" s="542"/>
    </row>
    <row r="1031">
      <c r="A1031" s="570"/>
      <c r="B1031" s="559" t="s">
        <v>1336</v>
      </c>
      <c r="C1031" s="568">
        <v>333.0</v>
      </c>
      <c r="D1031" s="557">
        <v>0.9518</v>
      </c>
      <c r="E1031" s="569">
        <v>88.14</v>
      </c>
      <c r="F1031" s="563">
        <v>31293.0</v>
      </c>
      <c r="G1031" s="557"/>
      <c r="H1031" s="559"/>
      <c r="I1031" s="564">
        <v>19445.0</v>
      </c>
      <c r="J1031" s="565">
        <v>31293.0</v>
      </c>
      <c r="K1031" s="542"/>
      <c r="L1031" s="542"/>
      <c r="M1031" s="542"/>
    </row>
    <row r="1032">
      <c r="A1032" s="570"/>
      <c r="B1032" s="559" t="s">
        <v>1882</v>
      </c>
      <c r="C1032" s="568">
        <v>343.0</v>
      </c>
      <c r="D1032" s="557">
        <v>0.9683</v>
      </c>
      <c r="E1032" s="569">
        <v>92.85</v>
      </c>
      <c r="F1032" s="563">
        <v>31273.0</v>
      </c>
      <c r="G1032" s="557"/>
      <c r="H1032" s="559"/>
      <c r="I1032" s="564">
        <v>19432.0</v>
      </c>
      <c r="J1032" s="565">
        <v>31273.0</v>
      </c>
      <c r="K1032" s="542"/>
      <c r="L1032" s="542"/>
      <c r="M1032" s="542"/>
    </row>
    <row r="1033">
      <c r="A1033" s="570"/>
      <c r="B1033" s="559" t="s">
        <v>237</v>
      </c>
      <c r="C1033" s="568">
        <v>531.0</v>
      </c>
      <c r="D1033" s="557">
        <v>0.9649</v>
      </c>
      <c r="E1033" s="569">
        <v>96.37</v>
      </c>
      <c r="F1033" s="563">
        <v>31215.0</v>
      </c>
      <c r="G1033" s="557"/>
      <c r="H1033" s="559"/>
      <c r="I1033" s="564">
        <v>19396.0</v>
      </c>
      <c r="J1033" s="565">
        <v>31215.0</v>
      </c>
      <c r="K1033" s="542"/>
      <c r="L1033" s="542"/>
      <c r="M1033" s="542"/>
    </row>
    <row r="1034">
      <c r="A1034" s="570"/>
      <c r="B1034" s="559" t="s">
        <v>155</v>
      </c>
      <c r="C1034" s="568">
        <v>550.0</v>
      </c>
      <c r="D1034" s="557">
        <v>0.9585</v>
      </c>
      <c r="E1034" s="569">
        <v>113.67</v>
      </c>
      <c r="F1034" s="563">
        <v>31000.0</v>
      </c>
      <c r="G1034" s="557"/>
      <c r="H1034" s="559"/>
      <c r="I1034" s="564">
        <v>19263.0</v>
      </c>
      <c r="J1034" s="565">
        <v>31000.0</v>
      </c>
      <c r="K1034" s="542"/>
      <c r="L1034" s="542"/>
      <c r="M1034" s="542"/>
    </row>
    <row r="1035">
      <c r="A1035" s="570"/>
      <c r="B1035" s="559" t="s">
        <v>761</v>
      </c>
      <c r="C1035" s="568">
        <v>492.0</v>
      </c>
      <c r="D1035" s="557">
        <v>0.9289</v>
      </c>
      <c r="E1035" s="569">
        <v>95.55</v>
      </c>
      <c r="F1035" s="563">
        <v>30909.0</v>
      </c>
      <c r="G1035" s="557"/>
      <c r="H1035" s="559"/>
      <c r="I1035" s="564">
        <v>19206.0</v>
      </c>
      <c r="J1035" s="565">
        <v>30909.0</v>
      </c>
      <c r="K1035" s="542"/>
      <c r="L1035" s="542"/>
      <c r="M1035" s="542"/>
    </row>
    <row r="1036">
      <c r="A1036" s="570"/>
      <c r="B1036" s="557"/>
      <c r="C1036" s="557"/>
      <c r="D1036" s="557"/>
      <c r="E1036" s="557"/>
      <c r="F1036" s="563">
        <v>30800.0</v>
      </c>
      <c r="G1036" s="557"/>
      <c r="H1036" s="557">
        <v>0.9647241451630563</v>
      </c>
      <c r="I1036" s="564">
        <v>19138.0</v>
      </c>
      <c r="J1036" s="565">
        <v>30800.0</v>
      </c>
      <c r="K1036" s="542"/>
      <c r="L1036" s="542"/>
      <c r="M1036" s="542"/>
    </row>
    <row r="1037">
      <c r="A1037" s="570"/>
      <c r="B1037" s="559" t="s">
        <v>1628</v>
      </c>
      <c r="C1037" s="568">
        <v>387.0</v>
      </c>
      <c r="D1037" s="557">
        <v>0.9656</v>
      </c>
      <c r="E1037" s="569">
        <v>85.03</v>
      </c>
      <c r="F1037" s="563">
        <v>30786.0</v>
      </c>
      <c r="G1037" s="557"/>
      <c r="H1037" s="559"/>
      <c r="I1037" s="564">
        <v>19130.0</v>
      </c>
      <c r="J1037" s="565">
        <v>30786.0</v>
      </c>
      <c r="K1037" s="542"/>
      <c r="L1037" s="542"/>
      <c r="M1037" s="542"/>
    </row>
    <row r="1038">
      <c r="A1038" s="570"/>
      <c r="B1038" s="559" t="s">
        <v>171</v>
      </c>
      <c r="C1038" s="568">
        <v>321.0</v>
      </c>
      <c r="D1038" s="557">
        <v>0.9696</v>
      </c>
      <c r="E1038" s="569">
        <v>83.14</v>
      </c>
      <c r="F1038" s="563">
        <v>30650.0</v>
      </c>
      <c r="G1038" s="557"/>
      <c r="H1038" s="559"/>
      <c r="I1038" s="564">
        <v>19045.0</v>
      </c>
      <c r="J1038" s="565">
        <v>30650.0</v>
      </c>
      <c r="K1038" s="542"/>
      <c r="L1038" s="542"/>
      <c r="M1038" s="542"/>
    </row>
    <row r="1039">
      <c r="A1039" s="570"/>
      <c r="B1039" s="559" t="s">
        <v>761</v>
      </c>
      <c r="C1039" s="568">
        <v>486.0</v>
      </c>
      <c r="D1039" s="557">
        <v>0.9314</v>
      </c>
      <c r="E1039" s="569">
        <v>93.71</v>
      </c>
      <c r="F1039" s="563">
        <v>30353.0</v>
      </c>
      <c r="G1039" s="557"/>
      <c r="H1039" s="559"/>
      <c r="I1039" s="564">
        <v>18860.0</v>
      </c>
      <c r="J1039" s="565">
        <v>30353.0</v>
      </c>
      <c r="K1039" s="542"/>
      <c r="L1039" s="542"/>
      <c r="M1039" s="542"/>
    </row>
    <row r="1040">
      <c r="A1040" s="570"/>
      <c r="B1040" s="559" t="s">
        <v>1128</v>
      </c>
      <c r="C1040" s="568">
        <v>324.0</v>
      </c>
      <c r="D1040" s="557">
        <v>0.9724</v>
      </c>
      <c r="E1040" s="569">
        <v>83.3</v>
      </c>
      <c r="F1040" s="563">
        <v>30311.0</v>
      </c>
      <c r="G1040" s="557"/>
      <c r="H1040" s="559"/>
      <c r="I1040" s="564">
        <v>18834.0</v>
      </c>
      <c r="J1040" s="565">
        <v>30311.0</v>
      </c>
      <c r="K1040" s="542"/>
      <c r="L1040" s="542"/>
      <c r="M1040" s="542"/>
    </row>
    <row r="1041">
      <c r="A1041" s="570"/>
      <c r="B1041" s="559" t="s">
        <v>849</v>
      </c>
      <c r="C1041" s="568">
        <v>303.0</v>
      </c>
      <c r="D1041" s="557">
        <v>0.9771</v>
      </c>
      <c r="E1041" s="569"/>
      <c r="F1041" s="563">
        <v>30299.0</v>
      </c>
      <c r="G1041" s="557">
        <v>-1.0</v>
      </c>
      <c r="H1041" s="559"/>
      <c r="I1041" s="564">
        <v>18827.0</v>
      </c>
      <c r="J1041" s="565">
        <v>30299.0</v>
      </c>
      <c r="K1041" s="542"/>
      <c r="L1041" s="542"/>
      <c r="M1041" s="542"/>
    </row>
    <row r="1042">
      <c r="A1042" s="570"/>
      <c r="B1042" s="559" t="s">
        <v>1447</v>
      </c>
      <c r="C1042" s="568">
        <v>914.0</v>
      </c>
      <c r="D1042" s="557">
        <v>0.9593</v>
      </c>
      <c r="E1042" s="569">
        <v>89.4</v>
      </c>
      <c r="F1042" s="563">
        <v>30287.0</v>
      </c>
      <c r="G1042" s="557"/>
      <c r="H1042" s="559"/>
      <c r="I1042" s="564">
        <v>18819.0</v>
      </c>
      <c r="J1042" s="565">
        <v>30287.0</v>
      </c>
      <c r="K1042" s="542"/>
      <c r="L1042" s="542"/>
      <c r="M1042" s="542"/>
    </row>
    <row r="1043">
      <c r="A1043" s="570"/>
      <c r="B1043" s="559" t="s">
        <v>620</v>
      </c>
      <c r="C1043" s="568">
        <v>466.0</v>
      </c>
      <c r="D1043" s="557">
        <v>0.9644</v>
      </c>
      <c r="E1043" s="569">
        <v>95.71</v>
      </c>
      <c r="F1043" s="563">
        <v>30100.0</v>
      </c>
      <c r="G1043" s="557"/>
      <c r="H1043" s="559"/>
      <c r="I1043" s="564">
        <v>18703.0</v>
      </c>
      <c r="J1043" s="565">
        <v>30100.0</v>
      </c>
      <c r="K1043" s="542"/>
      <c r="L1043" s="542"/>
      <c r="M1043" s="542"/>
    </row>
    <row r="1044">
      <c r="A1044" s="570"/>
      <c r="B1044" s="559" t="s">
        <v>761</v>
      </c>
      <c r="C1044" s="568">
        <v>486.0</v>
      </c>
      <c r="D1044" s="557">
        <v>0.9265</v>
      </c>
      <c r="E1044" s="569">
        <v>93.14</v>
      </c>
      <c r="F1044" s="563">
        <v>30094.0</v>
      </c>
      <c r="G1044" s="557"/>
      <c r="H1044" s="559"/>
      <c r="I1044" s="564">
        <v>18700.0</v>
      </c>
      <c r="J1044" s="565">
        <v>30094.0</v>
      </c>
      <c r="K1044" s="542"/>
      <c r="L1044" s="542"/>
      <c r="M1044" s="542"/>
    </row>
    <row r="1045">
      <c r="A1045" s="570"/>
      <c r="B1045" s="557"/>
      <c r="C1045" s="557"/>
      <c r="D1045" s="557"/>
      <c r="E1045" s="557"/>
      <c r="F1045" s="563">
        <v>30050.0</v>
      </c>
      <c r="G1045" s="557"/>
      <c r="H1045" s="557">
        <v>0.9651763024912604</v>
      </c>
      <c r="I1045" s="564">
        <v>18672.0</v>
      </c>
      <c r="J1045" s="565">
        <v>30050.0</v>
      </c>
      <c r="K1045" s="542"/>
      <c r="L1045" s="542"/>
      <c r="M1045" s="542"/>
    </row>
    <row r="1046">
      <c r="A1046" s="570"/>
      <c r="B1046" s="559" t="s">
        <v>761</v>
      </c>
      <c r="C1046" s="568">
        <v>486.0</v>
      </c>
      <c r="D1046" s="557">
        <v>0.9289</v>
      </c>
      <c r="E1046" s="569">
        <v>92.74</v>
      </c>
      <c r="F1046" s="563">
        <v>30001.0</v>
      </c>
      <c r="G1046" s="557"/>
      <c r="H1046" s="559"/>
      <c r="I1046" s="564">
        <v>18642.0</v>
      </c>
      <c r="J1046" s="565">
        <v>30001.0</v>
      </c>
      <c r="K1046" s="542"/>
      <c r="L1046" s="542"/>
      <c r="M1046" s="542"/>
    </row>
    <row r="1047">
      <c r="A1047" s="570"/>
      <c r="B1047" s="559" t="s">
        <v>428</v>
      </c>
      <c r="C1047" s="568">
        <v>615.0</v>
      </c>
      <c r="D1047" s="557">
        <v>0.9941</v>
      </c>
      <c r="E1047" s="569">
        <v>77.95</v>
      </c>
      <c r="F1047" s="563">
        <v>30001.0</v>
      </c>
      <c r="G1047" s="557">
        <v>-1.0</v>
      </c>
      <c r="H1047" s="559"/>
      <c r="I1047" s="564">
        <v>18642.0</v>
      </c>
      <c r="J1047" s="565">
        <v>30001.0</v>
      </c>
      <c r="K1047" s="542"/>
      <c r="L1047" s="542"/>
      <c r="M1047" s="542"/>
    </row>
    <row r="1048">
      <c r="A1048" s="570"/>
      <c r="B1048" s="559" t="s">
        <v>354</v>
      </c>
      <c r="C1048" s="568">
        <v>386.0</v>
      </c>
      <c r="D1048" s="557">
        <v>0.9697</v>
      </c>
      <c r="E1048" s="569">
        <v>86.88</v>
      </c>
      <c r="F1048" s="563">
        <v>30000.0</v>
      </c>
      <c r="G1048" s="557"/>
      <c r="H1048" s="559"/>
      <c r="I1048" s="564">
        <v>18641.0</v>
      </c>
      <c r="J1048" s="565">
        <v>30000.0</v>
      </c>
      <c r="K1048" s="542"/>
      <c r="L1048" s="542"/>
      <c r="M1048" s="542"/>
    </row>
    <row r="1049">
      <c r="A1049" s="570"/>
      <c r="B1049" s="559" t="s">
        <v>1703</v>
      </c>
      <c r="C1049" s="568">
        <v>353.0</v>
      </c>
      <c r="D1049" s="557">
        <v>0.9932</v>
      </c>
      <c r="E1049" s="569">
        <v>89.71</v>
      </c>
      <c r="F1049" s="563">
        <v>30000.0</v>
      </c>
      <c r="G1049" s="557"/>
      <c r="H1049" s="559"/>
      <c r="I1049" s="564">
        <v>18641.0</v>
      </c>
      <c r="J1049" s="565">
        <v>30000.0</v>
      </c>
      <c r="K1049" s="542"/>
      <c r="L1049" s="542"/>
      <c r="M1049" s="542"/>
    </row>
    <row r="1050">
      <c r="A1050" s="570"/>
      <c r="B1050" s="559" t="s">
        <v>1726</v>
      </c>
      <c r="C1050" s="568">
        <v>319.0</v>
      </c>
      <c r="D1050" s="557">
        <v>0.9535</v>
      </c>
      <c r="E1050" s="569">
        <v>88.3</v>
      </c>
      <c r="F1050" s="563">
        <v>29890.0</v>
      </c>
      <c r="G1050" s="557"/>
      <c r="H1050" s="559"/>
      <c r="I1050" s="564">
        <v>18573.0</v>
      </c>
      <c r="J1050" s="565">
        <v>29890.0</v>
      </c>
      <c r="K1050" s="542"/>
      <c r="L1050" s="542"/>
      <c r="M1050" s="542"/>
    </row>
    <row r="1051">
      <c r="A1051" s="570"/>
      <c r="B1051" s="559" t="s">
        <v>53</v>
      </c>
      <c r="C1051" s="568">
        <v>376.0</v>
      </c>
      <c r="D1051" s="557">
        <v>0.9682</v>
      </c>
      <c r="E1051" s="569">
        <v>78.1</v>
      </c>
      <c r="F1051" s="563">
        <v>29628.8</v>
      </c>
      <c r="G1051" s="557">
        <v>-1.0</v>
      </c>
      <c r="H1051" s="559"/>
      <c r="I1051" s="564">
        <v>18410.0</v>
      </c>
      <c r="J1051" s="565">
        <v>29628.8</v>
      </c>
      <c r="K1051" s="542"/>
      <c r="L1051" s="542"/>
      <c r="M1051" s="542"/>
    </row>
    <row r="1052">
      <c r="A1052" s="570"/>
      <c r="B1052" s="559" t="s">
        <v>261</v>
      </c>
      <c r="C1052" s="568">
        <v>367.0</v>
      </c>
      <c r="D1052" s="557">
        <v>0.9722</v>
      </c>
      <c r="E1052" s="569">
        <v>82.57</v>
      </c>
      <c r="F1052" s="563">
        <v>29481.0</v>
      </c>
      <c r="G1052" s="557"/>
      <c r="H1052" s="559"/>
      <c r="I1052" s="564">
        <v>18319.0</v>
      </c>
      <c r="J1052" s="565">
        <v>29481.0</v>
      </c>
      <c r="K1052" s="542"/>
      <c r="L1052" s="542"/>
      <c r="M1052" s="542"/>
    </row>
    <row r="1053">
      <c r="A1053" s="570"/>
      <c r="B1053" s="557"/>
      <c r="C1053" s="557"/>
      <c r="D1053" s="557"/>
      <c r="E1053" s="557"/>
      <c r="F1053" s="563">
        <v>29300.0</v>
      </c>
      <c r="G1053" s="557"/>
      <c r="H1053" s="557">
        <v>0.9656405204932724</v>
      </c>
      <c r="I1053" s="564">
        <v>18206.0</v>
      </c>
      <c r="J1053" s="565">
        <v>29300.0</v>
      </c>
      <c r="K1053" s="542"/>
      <c r="L1053" s="542"/>
      <c r="M1053" s="542"/>
    </row>
    <row r="1054">
      <c r="A1054" s="570"/>
      <c r="B1054" s="559" t="s">
        <v>1637</v>
      </c>
      <c r="C1054" s="568">
        <v>220.0</v>
      </c>
      <c r="D1054" s="557">
        <v>0.9877</v>
      </c>
      <c r="E1054" s="569">
        <v>96.0</v>
      </c>
      <c r="F1054" s="563">
        <v>29300.0</v>
      </c>
      <c r="G1054" s="557"/>
      <c r="H1054" s="559"/>
      <c r="I1054" s="564">
        <v>18206.0</v>
      </c>
      <c r="J1054" s="565">
        <v>29300.0</v>
      </c>
      <c r="K1054" s="542"/>
      <c r="L1054" s="542"/>
      <c r="M1054" s="542"/>
    </row>
    <row r="1055">
      <c r="A1055" s="570"/>
      <c r="B1055" s="559" t="s">
        <v>1336</v>
      </c>
      <c r="C1055" s="568">
        <v>312.0</v>
      </c>
      <c r="D1055" s="557">
        <v>0.939</v>
      </c>
      <c r="E1055" s="569">
        <v>82.05</v>
      </c>
      <c r="F1055" s="563">
        <v>28805.0</v>
      </c>
      <c r="G1055" s="557"/>
      <c r="H1055" s="559"/>
      <c r="I1055" s="564">
        <v>17899.0</v>
      </c>
      <c r="J1055" s="565">
        <v>28805.0</v>
      </c>
      <c r="K1055" s="542"/>
      <c r="L1055" s="542"/>
      <c r="M1055" s="542"/>
    </row>
    <row r="1056">
      <c r="A1056" s="570"/>
      <c r="B1056" s="559" t="s">
        <v>331</v>
      </c>
      <c r="C1056" s="568">
        <v>282.0</v>
      </c>
      <c r="D1056" s="557">
        <v>0.9766</v>
      </c>
      <c r="E1056" s="569">
        <v>84.86</v>
      </c>
      <c r="F1056" s="563">
        <v>28654.0</v>
      </c>
      <c r="G1056" s="557">
        <v>-1.0</v>
      </c>
      <c r="H1056" s="559"/>
      <c r="I1056" s="564">
        <v>17805.0</v>
      </c>
      <c r="J1056" s="565">
        <v>28654.0</v>
      </c>
      <c r="K1056" s="542"/>
      <c r="L1056" s="542"/>
      <c r="M1056" s="542"/>
    </row>
    <row r="1057">
      <c r="A1057" s="570"/>
      <c r="B1057" s="557"/>
      <c r="C1057" s="557"/>
      <c r="D1057" s="557"/>
      <c r="E1057" s="557"/>
      <c r="F1057" s="563">
        <v>28550.0</v>
      </c>
      <c r="G1057" s="557"/>
      <c r="H1057" s="557">
        <v>0.9661172334809808</v>
      </c>
      <c r="I1057" s="564">
        <v>17740.0</v>
      </c>
      <c r="J1057" s="565">
        <v>28550.0</v>
      </c>
      <c r="K1057" s="542"/>
      <c r="L1057" s="542"/>
      <c r="M1057" s="542"/>
    </row>
    <row r="1058">
      <c r="A1058" s="570"/>
      <c r="B1058" s="559" t="s">
        <v>1703</v>
      </c>
      <c r="C1058" s="568">
        <v>339.0</v>
      </c>
      <c r="D1058" s="557">
        <v>0.996</v>
      </c>
      <c r="E1058" s="569">
        <v>84.32</v>
      </c>
      <c r="F1058" s="563">
        <v>28514.0</v>
      </c>
      <c r="G1058" s="557"/>
      <c r="H1058" s="559"/>
      <c r="I1058" s="564">
        <v>17718.0</v>
      </c>
      <c r="J1058" s="565">
        <v>28514.0</v>
      </c>
      <c r="K1058" s="542"/>
      <c r="L1058" s="542"/>
      <c r="M1058" s="542"/>
    </row>
    <row r="1059">
      <c r="A1059" s="570"/>
      <c r="B1059" s="559" t="s">
        <v>84</v>
      </c>
      <c r="C1059" s="568">
        <v>339.0</v>
      </c>
      <c r="D1059" s="557">
        <v>0.9699</v>
      </c>
      <c r="E1059" s="569">
        <v>83.65</v>
      </c>
      <c r="F1059" s="563">
        <v>28500.0</v>
      </c>
      <c r="G1059" s="557"/>
      <c r="H1059" s="559"/>
      <c r="I1059" s="564">
        <v>17709.0</v>
      </c>
      <c r="J1059" s="565">
        <v>28500.0</v>
      </c>
      <c r="K1059" s="542"/>
      <c r="L1059" s="542"/>
      <c r="M1059" s="542"/>
    </row>
    <row r="1060">
      <c r="A1060" s="570"/>
      <c r="B1060" s="559" t="s">
        <v>1128</v>
      </c>
      <c r="C1060" s="568">
        <v>313.0</v>
      </c>
      <c r="D1060" s="557">
        <v>0.967</v>
      </c>
      <c r="E1060" s="569">
        <v>79.22</v>
      </c>
      <c r="F1060" s="563">
        <v>28479.0</v>
      </c>
      <c r="G1060" s="557"/>
      <c r="H1060" s="559"/>
      <c r="I1060" s="564">
        <v>17696.0</v>
      </c>
      <c r="J1060" s="565">
        <v>28479.0</v>
      </c>
      <c r="K1060" s="542"/>
      <c r="L1060" s="542"/>
      <c r="M1060" s="542"/>
    </row>
    <row r="1061">
      <c r="A1061" s="570"/>
      <c r="B1061" s="559" t="s">
        <v>363</v>
      </c>
      <c r="C1061" s="568">
        <v>547.0</v>
      </c>
      <c r="D1061" s="557">
        <v>0.8583</v>
      </c>
      <c r="E1061" s="569">
        <v>105.09</v>
      </c>
      <c r="F1061" s="563">
        <v>28452.0</v>
      </c>
      <c r="G1061" s="557">
        <v>-1.0</v>
      </c>
      <c r="H1061" s="559"/>
      <c r="I1061" s="564">
        <v>17679.0</v>
      </c>
      <c r="J1061" s="565">
        <v>28452.0</v>
      </c>
      <c r="K1061" s="542"/>
      <c r="L1061" s="542"/>
      <c r="M1061" s="542"/>
    </row>
    <row r="1062">
      <c r="A1062" s="570"/>
      <c r="B1062" s="559" t="s">
        <v>761</v>
      </c>
      <c r="C1062" s="568">
        <v>457.0</v>
      </c>
      <c r="D1062" s="557">
        <v>0.9289</v>
      </c>
      <c r="E1062" s="569">
        <v>88.24</v>
      </c>
      <c r="F1062" s="563">
        <v>28424.0</v>
      </c>
      <c r="G1062" s="557"/>
      <c r="H1062" s="559"/>
      <c r="I1062" s="564">
        <v>17662.0</v>
      </c>
      <c r="J1062" s="565">
        <v>28424.0</v>
      </c>
      <c r="K1062" s="542"/>
      <c r="L1062" s="542"/>
      <c r="M1062" s="542"/>
    </row>
    <row r="1063">
      <c r="A1063" s="570"/>
      <c r="B1063" s="559" t="s">
        <v>1746</v>
      </c>
      <c r="C1063" s="568">
        <v>170.0</v>
      </c>
      <c r="D1063" s="557">
        <v>0.9785</v>
      </c>
      <c r="E1063" s="569">
        <v>78.26</v>
      </c>
      <c r="F1063" s="563">
        <v>28385.0</v>
      </c>
      <c r="G1063" s="557"/>
      <c r="H1063" s="559"/>
      <c r="I1063" s="564">
        <v>17638.0</v>
      </c>
      <c r="J1063" s="565">
        <v>28385.0</v>
      </c>
      <c r="K1063" s="542"/>
      <c r="L1063" s="542"/>
      <c r="M1063" s="542"/>
    </row>
    <row r="1064">
      <c r="A1064" s="570"/>
      <c r="B1064" s="559" t="s">
        <v>454</v>
      </c>
      <c r="C1064" s="568">
        <v>396.0</v>
      </c>
      <c r="D1064" s="557">
        <v>0.9403</v>
      </c>
      <c r="E1064" s="569">
        <v>75.03</v>
      </c>
      <c r="F1064" s="563">
        <v>28260.0</v>
      </c>
      <c r="G1064" s="557">
        <v>-1.0</v>
      </c>
      <c r="H1064" s="559"/>
      <c r="I1064" s="564">
        <v>17560.0</v>
      </c>
      <c r="J1064" s="565">
        <v>28260.0</v>
      </c>
      <c r="K1064" s="542"/>
      <c r="L1064" s="542"/>
      <c r="M1064" s="542"/>
    </row>
    <row r="1065">
      <c r="A1065" s="570"/>
      <c r="B1065" s="559" t="s">
        <v>1856</v>
      </c>
      <c r="C1065" s="568">
        <v>230.0</v>
      </c>
      <c r="D1065" s="557">
        <v>0.9556</v>
      </c>
      <c r="E1065" s="569">
        <v>76.86</v>
      </c>
      <c r="F1065" s="563">
        <v>28000.0</v>
      </c>
      <c r="G1065" s="557"/>
      <c r="H1065" s="559"/>
      <c r="I1065" s="564">
        <v>17398.0</v>
      </c>
      <c r="J1065" s="565">
        <v>28000.0</v>
      </c>
      <c r="K1065" s="542"/>
      <c r="L1065" s="542"/>
      <c r="M1065" s="542"/>
    </row>
    <row r="1066">
      <c r="A1066" s="570"/>
      <c r="B1066" s="559" t="s">
        <v>1683</v>
      </c>
      <c r="C1066" s="568">
        <v>408.0</v>
      </c>
      <c r="D1066" s="557">
        <v>0.996</v>
      </c>
      <c r="E1066" s="569">
        <v>95.41</v>
      </c>
      <c r="F1066" s="563">
        <v>27991.0</v>
      </c>
      <c r="G1066" s="557"/>
      <c r="H1066" s="559"/>
      <c r="I1066" s="564">
        <v>17393.0</v>
      </c>
      <c r="J1066" s="565">
        <v>27991.0</v>
      </c>
      <c r="K1066" s="542"/>
      <c r="L1066" s="542"/>
      <c r="M1066" s="542"/>
    </row>
    <row r="1067">
      <c r="A1067" s="570"/>
      <c r="B1067" s="559" t="s">
        <v>772</v>
      </c>
      <c r="C1067" s="568">
        <v>303.0</v>
      </c>
      <c r="D1067" s="557">
        <v>0.9313</v>
      </c>
      <c r="E1067" s="569">
        <v>90.35</v>
      </c>
      <c r="F1067" s="563">
        <v>27924.0</v>
      </c>
      <c r="G1067" s="557">
        <v>-1.0</v>
      </c>
      <c r="H1067" s="559"/>
      <c r="I1067" s="564">
        <v>17351.0</v>
      </c>
      <c r="J1067" s="565">
        <v>27924.0</v>
      </c>
      <c r="K1067" s="542"/>
      <c r="L1067" s="542"/>
      <c r="M1067" s="542"/>
    </row>
    <row r="1068">
      <c r="A1068" s="570"/>
      <c r="B1068" s="559" t="s">
        <v>192</v>
      </c>
      <c r="C1068" s="568">
        <v>414.0</v>
      </c>
      <c r="D1068" s="557">
        <v>0.967</v>
      </c>
      <c r="E1068" s="569">
        <v>91.18</v>
      </c>
      <c r="F1068" s="563">
        <v>27906.0</v>
      </c>
      <c r="G1068" s="557"/>
      <c r="H1068" s="559"/>
      <c r="I1068" s="564">
        <v>17340.0</v>
      </c>
      <c r="J1068" s="565">
        <v>27906.0</v>
      </c>
      <c r="K1068" s="542"/>
      <c r="L1068" s="542"/>
      <c r="M1068" s="542"/>
    </row>
    <row r="1069">
      <c r="A1069" s="570"/>
      <c r="B1069" s="559" t="s">
        <v>192</v>
      </c>
      <c r="C1069" s="568">
        <v>413.0</v>
      </c>
      <c r="D1069" s="557">
        <v>0.967</v>
      </c>
      <c r="E1069" s="569">
        <v>91.08</v>
      </c>
      <c r="F1069" s="563">
        <v>27876.0</v>
      </c>
      <c r="G1069" s="557"/>
      <c r="H1069" s="559"/>
      <c r="I1069" s="564">
        <v>17321.0</v>
      </c>
      <c r="J1069" s="565">
        <v>27876.0</v>
      </c>
      <c r="K1069" s="542"/>
      <c r="L1069" s="542"/>
      <c r="M1069" s="542"/>
    </row>
    <row r="1070">
      <c r="A1070" s="570"/>
      <c r="B1070" s="557"/>
      <c r="C1070" s="557"/>
      <c r="D1070" s="557"/>
      <c r="E1070" s="557"/>
      <c r="F1070" s="563">
        <v>27800.0</v>
      </c>
      <c r="G1070" s="557"/>
      <c r="H1070" s="557">
        <v>0.9666068914060979</v>
      </c>
      <c r="I1070" s="564">
        <v>17274.0</v>
      </c>
      <c r="J1070" s="565">
        <v>27800.0</v>
      </c>
      <c r="K1070" s="542"/>
      <c r="L1070" s="542"/>
      <c r="M1070" s="542"/>
    </row>
    <row r="1071">
      <c r="A1071" s="570"/>
      <c r="B1071" s="559" t="s">
        <v>1776</v>
      </c>
      <c r="C1071" s="568">
        <v>500.0</v>
      </c>
      <c r="D1071" s="557">
        <v>0.942</v>
      </c>
      <c r="E1071" s="569">
        <v>79.16</v>
      </c>
      <c r="F1071" s="563">
        <v>27700.0</v>
      </c>
      <c r="G1071" s="557"/>
      <c r="H1071" s="559"/>
      <c r="I1071" s="564">
        <v>17212.0</v>
      </c>
      <c r="J1071" s="565">
        <v>27700.0</v>
      </c>
      <c r="K1071" s="542"/>
      <c r="L1071" s="542"/>
      <c r="M1071" s="542"/>
    </row>
    <row r="1072">
      <c r="A1072" s="570"/>
      <c r="B1072" s="559" t="s">
        <v>190</v>
      </c>
      <c r="C1072" s="568">
        <v>240.0</v>
      </c>
      <c r="D1072" s="557">
        <v>0.921</v>
      </c>
      <c r="E1072" s="569">
        <v>95.21</v>
      </c>
      <c r="F1072" s="563">
        <v>27681.0</v>
      </c>
      <c r="G1072" s="557">
        <v>-1.0</v>
      </c>
      <c r="H1072" s="559"/>
      <c r="I1072" s="564">
        <v>17200.0</v>
      </c>
      <c r="J1072" s="565">
        <v>27681.0</v>
      </c>
      <c r="K1072" s="542"/>
      <c r="L1072" s="542"/>
      <c r="M1072" s="542"/>
    </row>
    <row r="1073">
      <c r="A1073" s="570"/>
      <c r="B1073" s="559" t="s">
        <v>736</v>
      </c>
      <c r="C1073" s="568">
        <v>474.0</v>
      </c>
      <c r="D1073" s="557">
        <v>0.9918</v>
      </c>
      <c r="E1073" s="569"/>
      <c r="F1073" s="563">
        <v>27624.0</v>
      </c>
      <c r="G1073" s="557">
        <v>-1.0</v>
      </c>
      <c r="H1073" s="559"/>
      <c r="I1073" s="564">
        <v>17165.0</v>
      </c>
      <c r="J1073" s="565">
        <v>27624.0</v>
      </c>
      <c r="K1073" s="542"/>
      <c r="L1073" s="542"/>
      <c r="M1073" s="542"/>
    </row>
    <row r="1074">
      <c r="A1074" s="570"/>
      <c r="B1074" s="559" t="s">
        <v>1796</v>
      </c>
      <c r="C1074" s="568">
        <v>431.0</v>
      </c>
      <c r="D1074" s="557">
        <v>0.9771</v>
      </c>
      <c r="E1074" s="569">
        <v>78.54</v>
      </c>
      <c r="F1074" s="563">
        <v>27594.0</v>
      </c>
      <c r="G1074" s="557"/>
      <c r="H1074" s="559"/>
      <c r="I1074" s="564">
        <v>17146.0</v>
      </c>
      <c r="J1074" s="565">
        <v>27594.0</v>
      </c>
      <c r="K1074" s="542"/>
      <c r="L1074" s="542"/>
      <c r="M1074" s="542"/>
    </row>
    <row r="1075">
      <c r="A1075" s="570"/>
      <c r="B1075" s="559" t="s">
        <v>761</v>
      </c>
      <c r="C1075" s="568">
        <v>436.0</v>
      </c>
      <c r="D1075" s="557">
        <v>0.9283</v>
      </c>
      <c r="E1075" s="569">
        <v>85.54</v>
      </c>
      <c r="F1075" s="563">
        <v>27426.0</v>
      </c>
      <c r="G1075" s="557"/>
      <c r="H1075" s="559"/>
      <c r="I1075" s="564">
        <v>17042.0</v>
      </c>
      <c r="J1075" s="565">
        <v>27426.0</v>
      </c>
      <c r="K1075" s="542"/>
      <c r="L1075" s="542"/>
      <c r="M1075" s="542"/>
    </row>
    <row r="1076">
      <c r="A1076" s="570"/>
      <c r="B1076" s="559" t="s">
        <v>1637</v>
      </c>
      <c r="C1076" s="568">
        <v>207.0</v>
      </c>
      <c r="D1076" s="557">
        <v>0.9905</v>
      </c>
      <c r="E1076" s="569">
        <v>89.9</v>
      </c>
      <c r="F1076" s="563">
        <v>27355.0</v>
      </c>
      <c r="G1076" s="557"/>
      <c r="H1076" s="559"/>
      <c r="I1076" s="564">
        <v>16998.0</v>
      </c>
      <c r="J1076" s="565">
        <v>27355.0</v>
      </c>
      <c r="K1076" s="542"/>
      <c r="L1076" s="542"/>
      <c r="M1076" s="542"/>
    </row>
    <row r="1077">
      <c r="A1077" s="570"/>
      <c r="B1077" s="559" t="s">
        <v>761</v>
      </c>
      <c r="C1077" s="568">
        <v>432.0</v>
      </c>
      <c r="D1077" s="557">
        <v>0.924</v>
      </c>
      <c r="E1077" s="569">
        <v>85.27</v>
      </c>
      <c r="F1077" s="563">
        <v>27279.0</v>
      </c>
      <c r="G1077" s="557"/>
      <c r="H1077" s="559"/>
      <c r="I1077" s="564">
        <v>16950.0</v>
      </c>
      <c r="J1077" s="565">
        <v>27279.0</v>
      </c>
      <c r="K1077" s="542"/>
      <c r="L1077" s="542"/>
      <c r="M1077" s="542"/>
    </row>
    <row r="1078">
      <c r="A1078" s="570"/>
      <c r="B1078" s="559" t="s">
        <v>155</v>
      </c>
      <c r="C1078" s="568">
        <v>509.0</v>
      </c>
      <c r="D1078" s="557">
        <v>0.9516</v>
      </c>
      <c r="E1078" s="569">
        <v>101.22</v>
      </c>
      <c r="F1078" s="563">
        <v>27120.0</v>
      </c>
      <c r="G1078" s="557"/>
      <c r="H1078" s="559"/>
      <c r="I1078" s="564">
        <v>16852.0</v>
      </c>
      <c r="J1078" s="565">
        <v>27120.0</v>
      </c>
      <c r="K1078" s="542"/>
      <c r="L1078" s="542"/>
      <c r="M1078" s="542"/>
    </row>
    <row r="1079">
      <c r="A1079" s="570"/>
      <c r="B1079" s="559" t="s">
        <v>445</v>
      </c>
      <c r="C1079" s="568">
        <v>331.0</v>
      </c>
      <c r="D1079" s="557">
        <v>0.9771</v>
      </c>
      <c r="E1079" s="569">
        <v>72.55</v>
      </c>
      <c r="F1079" s="563">
        <v>27100.0</v>
      </c>
      <c r="G1079" s="557">
        <v>-1.0</v>
      </c>
      <c r="H1079" s="559"/>
      <c r="I1079" s="564">
        <v>16839.0</v>
      </c>
      <c r="J1079" s="565">
        <v>27100.0</v>
      </c>
      <c r="K1079" s="542"/>
      <c r="L1079" s="542"/>
      <c r="M1079" s="542"/>
    </row>
    <row r="1080">
      <c r="A1080" s="570"/>
      <c r="B1080" s="557"/>
      <c r="C1080" s="557"/>
      <c r="D1080" s="557"/>
      <c r="E1080" s="557"/>
      <c r="F1080" s="563">
        <v>27050.0</v>
      </c>
      <c r="G1080" s="557"/>
      <c r="H1080" s="557">
        <v>0.9671099604233594</v>
      </c>
      <c r="I1080" s="564">
        <v>16808.0</v>
      </c>
      <c r="J1080" s="565">
        <v>27050.0</v>
      </c>
      <c r="K1080" s="542"/>
      <c r="L1080" s="542"/>
      <c r="M1080" s="542"/>
    </row>
    <row r="1081">
      <c r="A1081" s="570"/>
      <c r="B1081" s="559" t="s">
        <v>672</v>
      </c>
      <c r="C1081" s="568">
        <v>188.0</v>
      </c>
      <c r="D1081" s="557">
        <v>0.9881</v>
      </c>
      <c r="E1081" s="569">
        <v>69.35</v>
      </c>
      <c r="F1081" s="563">
        <v>27037.0</v>
      </c>
      <c r="G1081" s="557">
        <v>-1.0</v>
      </c>
      <c r="H1081" s="559"/>
      <c r="I1081" s="564">
        <v>16800.0</v>
      </c>
      <c r="J1081" s="565">
        <v>27037.0</v>
      </c>
      <c r="K1081" s="542"/>
      <c r="L1081" s="542"/>
      <c r="M1081" s="542"/>
    </row>
    <row r="1082">
      <c r="A1082" s="570"/>
      <c r="B1082" s="559" t="s">
        <v>138</v>
      </c>
      <c r="C1082" s="568">
        <v>690.0</v>
      </c>
      <c r="D1082" s="557">
        <v>0.9991</v>
      </c>
      <c r="E1082" s="569">
        <v>72.91</v>
      </c>
      <c r="F1082" s="563">
        <v>27015.0</v>
      </c>
      <c r="G1082" s="557">
        <v>-1.0</v>
      </c>
      <c r="H1082" s="559"/>
      <c r="I1082" s="564">
        <v>16786.0</v>
      </c>
      <c r="J1082" s="565">
        <v>27015.0</v>
      </c>
      <c r="K1082" s="542"/>
      <c r="L1082" s="542"/>
      <c r="M1082" s="542"/>
    </row>
    <row r="1083">
      <c r="A1083" s="570"/>
      <c r="B1083" s="559" t="s">
        <v>101</v>
      </c>
      <c r="C1083" s="568">
        <v>302.0</v>
      </c>
      <c r="D1083" s="557">
        <v>0.9621</v>
      </c>
      <c r="E1083" s="569">
        <v>81.33</v>
      </c>
      <c r="F1083" s="563">
        <v>27000.0</v>
      </c>
      <c r="G1083" s="557"/>
      <c r="H1083" s="559"/>
      <c r="I1083" s="564">
        <v>16777.0</v>
      </c>
      <c r="J1083" s="565">
        <v>27000.0</v>
      </c>
      <c r="K1083" s="542"/>
      <c r="L1083" s="542"/>
      <c r="M1083" s="542"/>
    </row>
    <row r="1084">
      <c r="A1084" s="570"/>
      <c r="B1084" s="559" t="s">
        <v>328</v>
      </c>
      <c r="C1084" s="568">
        <v>320.0</v>
      </c>
      <c r="D1084" s="557">
        <v>0.9671</v>
      </c>
      <c r="E1084" s="569">
        <v>74.04</v>
      </c>
      <c r="F1084" s="563">
        <v>27000.0</v>
      </c>
      <c r="G1084" s="557"/>
      <c r="H1084" s="559"/>
      <c r="I1084" s="564">
        <v>16777.0</v>
      </c>
      <c r="J1084" s="565">
        <v>27000.0</v>
      </c>
      <c r="K1084" s="542"/>
      <c r="L1084" s="542"/>
      <c r="M1084" s="542"/>
    </row>
    <row r="1085">
      <c r="A1085" s="570"/>
      <c r="B1085" s="559" t="s">
        <v>595</v>
      </c>
      <c r="C1085" s="568">
        <v>429.0</v>
      </c>
      <c r="D1085" s="557">
        <v>0.9467</v>
      </c>
      <c r="E1085" s="569">
        <v>78.05</v>
      </c>
      <c r="F1085" s="563">
        <v>27000.0</v>
      </c>
      <c r="G1085" s="557"/>
      <c r="H1085" s="559"/>
      <c r="I1085" s="564">
        <v>16777.0</v>
      </c>
      <c r="J1085" s="565">
        <v>27000.0</v>
      </c>
      <c r="K1085" s="542"/>
      <c r="L1085" s="542"/>
      <c r="M1085" s="542"/>
    </row>
    <row r="1086">
      <c r="A1086" s="570"/>
      <c r="B1086" s="559" t="s">
        <v>241</v>
      </c>
      <c r="C1086" s="568">
        <v>295.0</v>
      </c>
      <c r="D1086" s="557">
        <v>0.9695</v>
      </c>
      <c r="E1086" s="569">
        <v>88.46</v>
      </c>
      <c r="F1086" s="563">
        <v>27000.0</v>
      </c>
      <c r="G1086" s="557"/>
      <c r="H1086" s="559"/>
      <c r="I1086" s="564">
        <v>16777.0</v>
      </c>
      <c r="J1086" s="565">
        <v>27000.0</v>
      </c>
      <c r="K1086" s="542"/>
      <c r="L1086" s="542"/>
      <c r="M1086" s="542"/>
    </row>
    <row r="1087">
      <c r="A1087" s="570"/>
      <c r="B1087" s="559" t="s">
        <v>1615</v>
      </c>
      <c r="C1087" s="568">
        <v>330.0</v>
      </c>
      <c r="D1087" s="557">
        <v>0.9585</v>
      </c>
      <c r="E1087" s="569">
        <v>73.69</v>
      </c>
      <c r="F1087" s="563">
        <v>27000.0</v>
      </c>
      <c r="G1087" s="557"/>
      <c r="H1087" s="559"/>
      <c r="I1087" s="564">
        <v>16777.0</v>
      </c>
      <c r="J1087" s="565">
        <v>27000.0</v>
      </c>
      <c r="K1087" s="542"/>
      <c r="L1087" s="542"/>
      <c r="M1087" s="542"/>
    </row>
    <row r="1088">
      <c r="A1088" s="570"/>
      <c r="B1088" s="559" t="s">
        <v>160</v>
      </c>
      <c r="C1088" s="568">
        <v>208.0</v>
      </c>
      <c r="D1088" s="557">
        <v>0.9919</v>
      </c>
      <c r="E1088" s="569">
        <v>68.22</v>
      </c>
      <c r="F1088" s="563">
        <v>27000.0</v>
      </c>
      <c r="G1088" s="557">
        <v>-1.0</v>
      </c>
      <c r="H1088" s="559"/>
      <c r="I1088" s="564">
        <v>16777.0</v>
      </c>
      <c r="J1088" s="565">
        <v>27000.0</v>
      </c>
      <c r="K1088" s="542"/>
      <c r="L1088" s="542"/>
      <c r="M1088" s="542"/>
    </row>
    <row r="1089">
      <c r="A1089" s="570"/>
      <c r="B1089" s="559" t="s">
        <v>279</v>
      </c>
      <c r="C1089" s="568">
        <v>354.0</v>
      </c>
      <c r="D1089" s="557">
        <v>0.9771</v>
      </c>
      <c r="E1089" s="569">
        <v>83.83</v>
      </c>
      <c r="F1089" s="563">
        <v>26867.0</v>
      </c>
      <c r="G1089" s="557"/>
      <c r="H1089" s="559"/>
      <c r="I1089" s="564">
        <v>16694.0</v>
      </c>
      <c r="J1089" s="565">
        <v>26867.0</v>
      </c>
      <c r="K1089" s="542"/>
      <c r="L1089" s="542"/>
      <c r="M1089" s="542"/>
    </row>
    <row r="1090">
      <c r="A1090" s="570"/>
      <c r="B1090" s="559" t="s">
        <v>1811</v>
      </c>
      <c r="C1090" s="568">
        <v>995.0</v>
      </c>
      <c r="D1090" s="557">
        <v>0.9593</v>
      </c>
      <c r="E1090" s="569">
        <v>76.78</v>
      </c>
      <c r="F1090" s="563">
        <v>26726.0</v>
      </c>
      <c r="G1090" s="557"/>
      <c r="H1090" s="559"/>
      <c r="I1090" s="564">
        <v>16607.0</v>
      </c>
      <c r="J1090" s="565">
        <v>26726.0</v>
      </c>
      <c r="K1090" s="542"/>
      <c r="L1090" s="542"/>
      <c r="M1090" s="542"/>
    </row>
    <row r="1091">
      <c r="A1091" s="570"/>
      <c r="B1091" s="559" t="s">
        <v>1827</v>
      </c>
      <c r="C1091" s="568">
        <v>275.0</v>
      </c>
      <c r="D1091" s="557">
        <v>0.9634</v>
      </c>
      <c r="E1091" s="569">
        <v>76.48</v>
      </c>
      <c r="F1091" s="563">
        <v>26700.0</v>
      </c>
      <c r="G1091" s="557"/>
      <c r="H1091" s="559"/>
      <c r="I1091" s="564">
        <v>16591.0</v>
      </c>
      <c r="J1091" s="565">
        <v>26700.0</v>
      </c>
      <c r="K1091" s="542"/>
      <c r="L1091" s="542"/>
      <c r="M1091" s="542"/>
    </row>
    <row r="1092">
      <c r="A1092" s="570"/>
      <c r="B1092" s="559" t="s">
        <v>1810</v>
      </c>
      <c r="C1092" s="568">
        <v>355.0</v>
      </c>
      <c r="D1092" s="557">
        <v>1.0127</v>
      </c>
      <c r="E1092" s="569">
        <v>72.15</v>
      </c>
      <c r="F1092" s="563">
        <v>26663.0</v>
      </c>
      <c r="G1092" s="557"/>
      <c r="H1092" s="559"/>
      <c r="I1092" s="564">
        <v>16568.0</v>
      </c>
      <c r="J1092" s="565">
        <v>26663.0</v>
      </c>
      <c r="K1092" s="542"/>
      <c r="L1092" s="542"/>
      <c r="M1092" s="542"/>
    </row>
    <row r="1093">
      <c r="A1093" s="570"/>
      <c r="B1093" s="559" t="s">
        <v>1617</v>
      </c>
      <c r="C1093" s="568">
        <v>431.0</v>
      </c>
      <c r="D1093" s="557">
        <v>0.9518</v>
      </c>
      <c r="E1093" s="569">
        <v>86.37</v>
      </c>
      <c r="F1093" s="563">
        <v>26550.0</v>
      </c>
      <c r="G1093" s="557"/>
      <c r="H1093" s="559"/>
      <c r="I1093" s="564">
        <v>16497.0</v>
      </c>
      <c r="J1093" s="565">
        <v>26550.0</v>
      </c>
      <c r="K1093" s="542"/>
      <c r="L1093" s="542"/>
      <c r="M1093" s="542"/>
    </row>
    <row r="1094">
      <c r="A1094" s="570"/>
      <c r="B1094" s="559" t="s">
        <v>285</v>
      </c>
      <c r="C1094" s="568">
        <v>334.0</v>
      </c>
      <c r="D1094" s="557">
        <v>0.9747</v>
      </c>
      <c r="E1094" s="569">
        <v>80.69</v>
      </c>
      <c r="F1094" s="563">
        <v>26496.0</v>
      </c>
      <c r="G1094" s="557"/>
      <c r="H1094" s="559"/>
      <c r="I1094" s="564">
        <v>16464.0</v>
      </c>
      <c r="J1094" s="565">
        <v>26496.0</v>
      </c>
      <c r="K1094" s="542"/>
      <c r="L1094" s="542"/>
      <c r="M1094" s="542"/>
    </row>
    <row r="1095">
      <c r="A1095" s="570"/>
      <c r="B1095" s="559" t="s">
        <v>1726</v>
      </c>
      <c r="C1095" s="568">
        <v>294.0</v>
      </c>
      <c r="D1095" s="557">
        <v>0.9589</v>
      </c>
      <c r="E1095" s="569">
        <v>77.74</v>
      </c>
      <c r="F1095" s="563">
        <v>26389.0</v>
      </c>
      <c r="G1095" s="557"/>
      <c r="H1095" s="559"/>
      <c r="I1095" s="564">
        <v>16397.0</v>
      </c>
      <c r="J1095" s="565">
        <v>26389.0</v>
      </c>
      <c r="K1095" s="542"/>
      <c r="L1095" s="542"/>
      <c r="M1095" s="542"/>
    </row>
    <row r="1096">
      <c r="A1096" s="570"/>
      <c r="B1096" s="557"/>
      <c r="C1096" s="557"/>
      <c r="D1096" s="557"/>
      <c r="E1096" s="557"/>
      <c r="F1096" s="563">
        <v>26300.0</v>
      </c>
      <c r="G1096" s="557"/>
      <c r="H1096" s="557">
        <v>0.9676269234740045</v>
      </c>
      <c r="I1096" s="564">
        <v>16342.0</v>
      </c>
      <c r="J1096" s="565">
        <v>26300.0</v>
      </c>
      <c r="K1096" s="542"/>
      <c r="L1096" s="542"/>
      <c r="M1096" s="542"/>
    </row>
    <row r="1097">
      <c r="A1097" s="570"/>
      <c r="B1097" s="559" t="s">
        <v>1741</v>
      </c>
      <c r="C1097" s="568">
        <v>143.0</v>
      </c>
      <c r="D1097" s="557">
        <v>0.9208</v>
      </c>
      <c r="E1097" s="569">
        <v>72.38</v>
      </c>
      <c r="F1097" s="563">
        <v>26279.0</v>
      </c>
      <c r="G1097" s="557"/>
      <c r="H1097" s="559"/>
      <c r="I1097" s="564">
        <v>16329.0</v>
      </c>
      <c r="J1097" s="565">
        <v>26279.0</v>
      </c>
      <c r="K1097" s="542"/>
      <c r="L1097" s="542"/>
      <c r="M1097" s="542"/>
    </row>
    <row r="1098">
      <c r="A1098" s="570"/>
      <c r="B1098" s="559" t="s">
        <v>1814</v>
      </c>
      <c r="C1098" s="568">
        <v>684.0</v>
      </c>
      <c r="D1098" s="557">
        <v>0.967</v>
      </c>
      <c r="E1098" s="569">
        <v>72.99</v>
      </c>
      <c r="F1098" s="563">
        <v>26110.0</v>
      </c>
      <c r="G1098" s="557"/>
      <c r="H1098" s="559"/>
      <c r="I1098" s="564">
        <v>16224.0</v>
      </c>
      <c r="J1098" s="565">
        <v>26110.0</v>
      </c>
      <c r="K1098" s="542"/>
      <c r="L1098" s="542"/>
      <c r="M1098" s="542"/>
    </row>
    <row r="1099">
      <c r="A1099" s="570"/>
      <c r="B1099" s="559" t="s">
        <v>363</v>
      </c>
      <c r="C1099" s="568">
        <v>502.0</v>
      </c>
      <c r="D1099" s="557">
        <v>0.839</v>
      </c>
      <c r="E1099" s="569">
        <v>97.41</v>
      </c>
      <c r="F1099" s="563">
        <v>26099.0</v>
      </c>
      <c r="G1099" s="557">
        <v>-1.0</v>
      </c>
      <c r="H1099" s="559"/>
      <c r="I1099" s="564">
        <v>16217.0</v>
      </c>
      <c r="J1099" s="565">
        <v>26099.0</v>
      </c>
      <c r="K1099" s="542"/>
      <c r="L1099" s="542"/>
      <c r="M1099" s="542"/>
    </row>
    <row r="1100">
      <c r="A1100" s="570"/>
      <c r="B1100" s="559" t="s">
        <v>1127</v>
      </c>
      <c r="C1100" s="568">
        <v>129.0</v>
      </c>
      <c r="D1100" s="557">
        <v>0.9302</v>
      </c>
      <c r="E1100" s="569">
        <v>72.2</v>
      </c>
      <c r="F1100" s="563">
        <v>26085.0</v>
      </c>
      <c r="G1100" s="557"/>
      <c r="H1100" s="559"/>
      <c r="I1100" s="564">
        <v>16208.0</v>
      </c>
      <c r="J1100" s="565">
        <v>26085.0</v>
      </c>
      <c r="K1100" s="542"/>
      <c r="L1100" s="542"/>
      <c r="M1100" s="542"/>
    </row>
    <row r="1101">
      <c r="A1101" s="570"/>
      <c r="B1101" s="559" t="s">
        <v>761</v>
      </c>
      <c r="C1101" s="568">
        <v>386.0</v>
      </c>
      <c r="D1101" s="557">
        <v>0.9191</v>
      </c>
      <c r="E1101" s="569">
        <v>82.08</v>
      </c>
      <c r="F1101" s="563">
        <v>26081.0</v>
      </c>
      <c r="G1101" s="557"/>
      <c r="H1101" s="559"/>
      <c r="I1101" s="564">
        <v>16206.0</v>
      </c>
      <c r="J1101" s="565">
        <v>26081.0</v>
      </c>
      <c r="K1101" s="542"/>
      <c r="L1101" s="542"/>
      <c r="M1101" s="542"/>
    </row>
    <row r="1102">
      <c r="A1102" s="570"/>
      <c r="B1102" s="559" t="s">
        <v>273</v>
      </c>
      <c r="C1102" s="568">
        <v>373.0</v>
      </c>
      <c r="D1102" s="557">
        <v>0.9798</v>
      </c>
      <c r="E1102" s="569">
        <v>73.9</v>
      </c>
      <c r="F1102" s="563">
        <v>26000.0</v>
      </c>
      <c r="G1102" s="557"/>
      <c r="H1102" s="559"/>
      <c r="I1102" s="564">
        <v>16156.0</v>
      </c>
      <c r="J1102" s="565">
        <v>26000.0</v>
      </c>
      <c r="K1102" s="542"/>
      <c r="L1102" s="542"/>
      <c r="M1102" s="542"/>
    </row>
    <row r="1103">
      <c r="A1103" s="570"/>
      <c r="B1103" s="559" t="s">
        <v>918</v>
      </c>
      <c r="C1103" s="568">
        <v>537.0</v>
      </c>
      <c r="D1103" s="557">
        <v>0.9593</v>
      </c>
      <c r="E1103" s="569">
        <v>81.87</v>
      </c>
      <c r="F1103" s="563">
        <v>26000.0</v>
      </c>
      <c r="G1103" s="557"/>
      <c r="H1103" s="559"/>
      <c r="I1103" s="564">
        <v>16156.0</v>
      </c>
      <c r="J1103" s="565">
        <v>26000.0</v>
      </c>
      <c r="K1103" s="542"/>
      <c r="L1103" s="542"/>
      <c r="M1103" s="542"/>
    </row>
    <row r="1104">
      <c r="A1104" s="570"/>
      <c r="B1104" s="559" t="s">
        <v>1503</v>
      </c>
      <c r="C1104" s="568">
        <v>600.0</v>
      </c>
      <c r="D1104" s="557">
        <v>0.9746</v>
      </c>
      <c r="E1104" s="569">
        <v>70.43</v>
      </c>
      <c r="F1104" s="563">
        <v>25775.0</v>
      </c>
      <c r="G1104" s="557"/>
      <c r="H1104" s="559"/>
      <c r="I1104" s="564">
        <v>16016.0</v>
      </c>
      <c r="J1104" s="565">
        <v>25775.0</v>
      </c>
      <c r="K1104" s="542"/>
      <c r="L1104" s="542"/>
      <c r="M1104" s="542"/>
    </row>
    <row r="1105">
      <c r="A1105" s="570"/>
      <c r="B1105" s="559" t="s">
        <v>1584</v>
      </c>
      <c r="C1105" s="568">
        <v>310.0</v>
      </c>
      <c r="D1105" s="557">
        <v>0.985</v>
      </c>
      <c r="E1105" s="569">
        <v>72.22</v>
      </c>
      <c r="F1105" s="563">
        <v>25714.0</v>
      </c>
      <c r="G1105" s="557"/>
      <c r="H1105" s="559"/>
      <c r="I1105" s="564">
        <v>15978.0</v>
      </c>
      <c r="J1105" s="565">
        <v>25714.0</v>
      </c>
      <c r="K1105" s="542"/>
      <c r="L1105" s="542"/>
      <c r="M1105" s="542"/>
    </row>
    <row r="1106">
      <c r="A1106" s="570"/>
      <c r="B1106" s="559" t="s">
        <v>1628</v>
      </c>
      <c r="C1106" s="568">
        <v>330.0</v>
      </c>
      <c r="D1106" s="557">
        <v>0.9679</v>
      </c>
      <c r="E1106" s="569">
        <v>70.57</v>
      </c>
      <c r="F1106" s="563">
        <v>25581.0</v>
      </c>
      <c r="G1106" s="557"/>
      <c r="H1106" s="559"/>
      <c r="I1106" s="564">
        <v>15895.0</v>
      </c>
      <c r="J1106" s="565">
        <v>25581.0</v>
      </c>
      <c r="K1106" s="542"/>
      <c r="L1106" s="542"/>
      <c r="M1106" s="542"/>
    </row>
    <row r="1107">
      <c r="A1107" s="570"/>
      <c r="B1107" s="557"/>
      <c r="C1107" s="557"/>
      <c r="D1107" s="557"/>
      <c r="E1107" s="557"/>
      <c r="F1107" s="563">
        <v>25550.0</v>
      </c>
      <c r="G1107" s="557"/>
      <c r="H1107" s="557">
        <v>0.9681582808902677</v>
      </c>
      <c r="I1107" s="564">
        <v>15876.0</v>
      </c>
      <c r="J1107" s="565">
        <v>25550.0</v>
      </c>
      <c r="K1107" s="542"/>
      <c r="L1107" s="542"/>
      <c r="M1107" s="542"/>
    </row>
    <row r="1108">
      <c r="A1108" s="570"/>
      <c r="B1108" s="559" t="s">
        <v>640</v>
      </c>
      <c r="C1108" s="568">
        <v>298.0</v>
      </c>
      <c r="D1108" s="557">
        <v>0.967</v>
      </c>
      <c r="E1108" s="569">
        <v>73.36</v>
      </c>
      <c r="F1108" s="563">
        <v>25412.0</v>
      </c>
      <c r="G1108" s="557"/>
      <c r="H1108" s="559"/>
      <c r="I1108" s="564">
        <v>15790.0</v>
      </c>
      <c r="J1108" s="565">
        <v>25412.0</v>
      </c>
      <c r="K1108" s="542"/>
      <c r="L1108" s="542"/>
      <c r="M1108" s="542"/>
    </row>
    <row r="1109">
      <c r="A1109" s="570"/>
      <c r="B1109" s="559" t="s">
        <v>285</v>
      </c>
      <c r="C1109" s="568">
        <v>322.0</v>
      </c>
      <c r="D1109" s="557">
        <v>0.9825</v>
      </c>
      <c r="E1109" s="569">
        <v>77.64</v>
      </c>
      <c r="F1109" s="563">
        <v>25375.0</v>
      </c>
      <c r="G1109" s="557"/>
      <c r="H1109" s="559"/>
      <c r="I1109" s="564">
        <v>15767.0</v>
      </c>
      <c r="J1109" s="565">
        <v>25375.0</v>
      </c>
      <c r="K1109" s="542"/>
      <c r="L1109" s="542"/>
      <c r="M1109" s="542"/>
    </row>
    <row r="1110">
      <c r="A1110" s="570"/>
      <c r="B1110" s="559" t="s">
        <v>339</v>
      </c>
      <c r="C1110" s="568">
        <v>238.0</v>
      </c>
      <c r="D1110" s="557">
        <v>0.967</v>
      </c>
      <c r="E1110" s="569">
        <v>87.17</v>
      </c>
      <c r="F1110" s="563">
        <v>25069.0</v>
      </c>
      <c r="G1110" s="557"/>
      <c r="H1110" s="559"/>
      <c r="I1110" s="564">
        <v>15577.0</v>
      </c>
      <c r="J1110" s="565">
        <v>25069.0</v>
      </c>
      <c r="K1110" s="542"/>
      <c r="L1110" s="542"/>
      <c r="M1110" s="542"/>
    </row>
    <row r="1111">
      <c r="A1111" s="570"/>
      <c r="B1111" s="559" t="s">
        <v>315</v>
      </c>
      <c r="C1111" s="568">
        <v>303.0</v>
      </c>
      <c r="D1111" s="557">
        <v>0.9874</v>
      </c>
      <c r="E1111" s="569">
        <v>62.79</v>
      </c>
      <c r="F1111" s="563">
        <v>25050.0</v>
      </c>
      <c r="G1111" s="557"/>
      <c r="H1111" s="559"/>
      <c r="I1111" s="564">
        <v>15565.0</v>
      </c>
      <c r="J1111" s="565">
        <v>25050.0</v>
      </c>
      <c r="K1111" s="542"/>
      <c r="L1111" s="542"/>
      <c r="M1111" s="542"/>
    </row>
    <row r="1112">
      <c r="A1112" s="570"/>
      <c r="B1112" s="559" t="s">
        <v>1882</v>
      </c>
      <c r="C1112" s="568">
        <v>245.0</v>
      </c>
      <c r="D1112" s="557">
        <v>0.971</v>
      </c>
      <c r="E1112" s="569">
        <v>75.23</v>
      </c>
      <c r="F1112" s="563">
        <v>25000.0</v>
      </c>
      <c r="G1112" s="557"/>
      <c r="H1112" s="559"/>
      <c r="I1112" s="564">
        <v>15534.0</v>
      </c>
      <c r="J1112" s="565">
        <v>25000.0</v>
      </c>
      <c r="K1112" s="542"/>
      <c r="L1112" s="542"/>
      <c r="M1112" s="542"/>
    </row>
    <row r="1113">
      <c r="A1113" s="570"/>
      <c r="B1113" s="559" t="s">
        <v>1855</v>
      </c>
      <c r="C1113" s="568">
        <v>432.0</v>
      </c>
      <c r="D1113" s="557">
        <v>0.9456</v>
      </c>
      <c r="E1113" s="569">
        <v>73.3</v>
      </c>
      <c r="F1113" s="563">
        <v>25000.0</v>
      </c>
      <c r="G1113" s="557"/>
      <c r="H1113" s="559"/>
      <c r="I1113" s="564">
        <v>15534.0</v>
      </c>
      <c r="J1113" s="565">
        <v>25000.0</v>
      </c>
      <c r="K1113" s="542"/>
      <c r="L1113" s="542"/>
      <c r="M1113" s="542"/>
    </row>
    <row r="1114">
      <c r="A1114" s="570"/>
      <c r="B1114" s="559" t="s">
        <v>1275</v>
      </c>
      <c r="C1114" s="568">
        <v>202.0</v>
      </c>
      <c r="D1114" s="557">
        <v>0.9827</v>
      </c>
      <c r="E1114" s="569">
        <v>93.04</v>
      </c>
      <c r="F1114" s="563">
        <v>24980.0</v>
      </c>
      <c r="G1114" s="557"/>
      <c r="H1114" s="559"/>
      <c r="I1114" s="564">
        <v>15522.0</v>
      </c>
      <c r="J1114" s="565">
        <v>24980.0</v>
      </c>
      <c r="K1114" s="542"/>
      <c r="L1114" s="542"/>
      <c r="M1114" s="542"/>
    </row>
    <row r="1115">
      <c r="A1115" s="570"/>
      <c r="B1115" s="559" t="s">
        <v>761</v>
      </c>
      <c r="C1115" s="568">
        <v>374.0</v>
      </c>
      <c r="D1115" s="557">
        <v>0.9216</v>
      </c>
      <c r="E1115" s="569">
        <v>78.78</v>
      </c>
      <c r="F1115" s="563">
        <v>24956.0</v>
      </c>
      <c r="G1115" s="557"/>
      <c r="H1115" s="559"/>
      <c r="I1115" s="564">
        <v>15507.0</v>
      </c>
      <c r="J1115" s="565">
        <v>24956.0</v>
      </c>
      <c r="K1115" s="542"/>
      <c r="L1115" s="542"/>
      <c r="M1115" s="542"/>
    </row>
    <row r="1116">
      <c r="A1116" s="570"/>
      <c r="B1116" s="559" t="s">
        <v>1717</v>
      </c>
      <c r="C1116" s="568">
        <v>662.0</v>
      </c>
      <c r="D1116" s="557">
        <v>1.005</v>
      </c>
      <c r="E1116" s="569">
        <v>69.07</v>
      </c>
      <c r="F1116" s="563">
        <v>24950.0</v>
      </c>
      <c r="G1116" s="557"/>
      <c r="H1116" s="559"/>
      <c r="I1116" s="564">
        <v>15503.0</v>
      </c>
      <c r="J1116" s="565">
        <v>24950.0</v>
      </c>
      <c r="K1116" s="542"/>
      <c r="L1116" s="542"/>
      <c r="M1116" s="542"/>
    </row>
    <row r="1117">
      <c r="A1117" s="570"/>
      <c r="B1117" s="557"/>
      <c r="C1117" s="557"/>
      <c r="D1117" s="557"/>
      <c r="E1117" s="557"/>
      <c r="F1117" s="563">
        <v>24800.0</v>
      </c>
      <c r="G1117" s="557"/>
      <c r="H1117" s="557">
        <v>0.9687045510216387</v>
      </c>
      <c r="I1117" s="564">
        <v>15410.0</v>
      </c>
      <c r="J1117" s="565">
        <v>24800.0</v>
      </c>
      <c r="K1117" s="542"/>
      <c r="L1117" s="542"/>
      <c r="M1117" s="542"/>
    </row>
    <row r="1118">
      <c r="A1118" s="570"/>
      <c r="B1118" s="559" t="s">
        <v>761</v>
      </c>
      <c r="C1118" s="568">
        <v>370.0</v>
      </c>
      <c r="D1118" s="557">
        <v>0.9216</v>
      </c>
      <c r="E1118" s="569">
        <v>78.15</v>
      </c>
      <c r="F1118" s="563">
        <v>24758.0</v>
      </c>
      <c r="G1118" s="557"/>
      <c r="H1118" s="559"/>
      <c r="I1118" s="564">
        <v>15384.0</v>
      </c>
      <c r="J1118" s="565">
        <v>24758.0</v>
      </c>
      <c r="K1118" s="542"/>
      <c r="L1118" s="542"/>
      <c r="M1118" s="542"/>
    </row>
    <row r="1119">
      <c r="A1119" s="570"/>
      <c r="B1119" s="559" t="s">
        <v>1783</v>
      </c>
      <c r="C1119" s="568">
        <v>226.0</v>
      </c>
      <c r="D1119" s="557">
        <v>0.9695</v>
      </c>
      <c r="E1119" s="569">
        <v>73.62</v>
      </c>
      <c r="F1119" s="563">
        <v>24639.0</v>
      </c>
      <c r="G1119" s="557"/>
      <c r="H1119" s="559"/>
      <c r="I1119" s="564">
        <v>15310.0</v>
      </c>
      <c r="J1119" s="565">
        <v>24639.0</v>
      </c>
      <c r="K1119" s="542"/>
      <c r="L1119" s="542"/>
      <c r="M1119" s="542"/>
    </row>
    <row r="1120">
      <c r="A1120" s="570"/>
      <c r="B1120" s="559" t="s">
        <v>761</v>
      </c>
      <c r="C1120" s="568">
        <v>368.0</v>
      </c>
      <c r="D1120" s="557">
        <v>0.9216</v>
      </c>
      <c r="E1120" s="569">
        <v>77.67</v>
      </c>
      <c r="F1120" s="563">
        <v>24606.0</v>
      </c>
      <c r="G1120" s="557"/>
      <c r="H1120" s="559"/>
      <c r="I1120" s="564">
        <v>15289.0</v>
      </c>
      <c r="J1120" s="565">
        <v>24606.0</v>
      </c>
      <c r="K1120" s="542"/>
      <c r="L1120" s="542"/>
      <c r="M1120" s="542"/>
    </row>
    <row r="1121">
      <c r="A1121" s="570"/>
      <c r="B1121" s="559" t="s">
        <v>556</v>
      </c>
      <c r="C1121" s="568">
        <v>1150.0</v>
      </c>
      <c r="D1121" s="557">
        <v>0.9114</v>
      </c>
      <c r="E1121" s="569">
        <v>87.29</v>
      </c>
      <c r="F1121" s="563">
        <v>24526.0</v>
      </c>
      <c r="G1121" s="557">
        <v>-1.0</v>
      </c>
      <c r="H1121" s="559"/>
      <c r="I1121" s="564">
        <v>15240.0</v>
      </c>
      <c r="J1121" s="565">
        <v>24526.0</v>
      </c>
      <c r="K1121" s="542"/>
      <c r="L1121" s="542"/>
      <c r="M1121" s="542"/>
    </row>
    <row r="1122">
      <c r="A1122" s="570"/>
      <c r="B1122" s="559" t="s">
        <v>1726</v>
      </c>
      <c r="C1122" s="568">
        <v>242.0</v>
      </c>
      <c r="D1122" s="557">
        <v>0.9558</v>
      </c>
      <c r="E1122" s="569">
        <v>71.79</v>
      </c>
      <c r="F1122" s="563">
        <v>24331.0</v>
      </c>
      <c r="G1122" s="557"/>
      <c r="H1122" s="559"/>
      <c r="I1122" s="564">
        <v>15119.0</v>
      </c>
      <c r="J1122" s="565">
        <v>24331.0</v>
      </c>
      <c r="K1122" s="542"/>
      <c r="L1122" s="542"/>
      <c r="M1122" s="542"/>
    </row>
    <row r="1123">
      <c r="A1123" s="570"/>
      <c r="B1123" s="559" t="s">
        <v>201</v>
      </c>
      <c r="C1123" s="568">
        <v>255.0</v>
      </c>
      <c r="D1123" s="557">
        <v>0.9699</v>
      </c>
      <c r="E1123" s="569">
        <v>53.23</v>
      </c>
      <c r="F1123" s="563">
        <v>24325.0</v>
      </c>
      <c r="G1123" s="557"/>
      <c r="H1123" s="559"/>
      <c r="I1123" s="564">
        <v>15115.0</v>
      </c>
      <c r="J1123" s="565">
        <v>24325.0</v>
      </c>
      <c r="K1123" s="542"/>
      <c r="L1123" s="542"/>
      <c r="M1123" s="542"/>
    </row>
    <row r="1124">
      <c r="A1124" s="570"/>
      <c r="B1124" s="559" t="s">
        <v>1739</v>
      </c>
      <c r="C1124" s="568">
        <v>199.0</v>
      </c>
      <c r="D1124" s="557">
        <v>0.9397</v>
      </c>
      <c r="E1124" s="569">
        <v>67.58</v>
      </c>
      <c r="F1124" s="563">
        <v>24300.0</v>
      </c>
      <c r="G1124" s="557"/>
      <c r="H1124" s="559"/>
      <c r="I1124" s="564">
        <v>15099.0</v>
      </c>
      <c r="J1124" s="565">
        <v>24300.0</v>
      </c>
      <c r="K1124" s="542"/>
      <c r="L1124" s="542"/>
      <c r="M1124" s="542"/>
    </row>
    <row r="1125">
      <c r="A1125" s="570"/>
      <c r="B1125" s="559" t="s">
        <v>1623</v>
      </c>
      <c r="C1125" s="568">
        <v>746.0</v>
      </c>
      <c r="D1125" s="557">
        <v>0.9568</v>
      </c>
      <c r="E1125" s="569">
        <v>71.44</v>
      </c>
      <c r="F1125" s="563">
        <v>24281.0</v>
      </c>
      <c r="G1125" s="557"/>
      <c r="H1125" s="559"/>
      <c r="I1125" s="564">
        <v>15088.0</v>
      </c>
      <c r="J1125" s="565">
        <v>24281.0</v>
      </c>
      <c r="K1125" s="542"/>
      <c r="L1125" s="542"/>
      <c r="M1125" s="542"/>
    </row>
    <row r="1126">
      <c r="A1126" s="570"/>
      <c r="B1126" s="559" t="s">
        <v>1447</v>
      </c>
      <c r="C1126" s="568">
        <v>676.0</v>
      </c>
      <c r="D1126" s="557">
        <v>0.9721</v>
      </c>
      <c r="E1126" s="569">
        <v>70.28</v>
      </c>
      <c r="F1126" s="563">
        <v>24183.0</v>
      </c>
      <c r="G1126" s="557"/>
      <c r="H1126" s="559"/>
      <c r="I1126" s="564">
        <v>15027.0</v>
      </c>
      <c r="J1126" s="565">
        <v>24183.0</v>
      </c>
      <c r="K1126" s="542"/>
      <c r="L1126" s="542"/>
      <c r="M1126" s="542"/>
    </row>
    <row r="1127">
      <c r="A1127" s="570"/>
      <c r="B1127" s="559" t="s">
        <v>722</v>
      </c>
      <c r="C1127" s="568">
        <v>253.0</v>
      </c>
      <c r="D1127" s="557">
        <v>0.9905</v>
      </c>
      <c r="E1127" s="569">
        <v>47.16</v>
      </c>
      <c r="F1127" s="563">
        <v>24140.0</v>
      </c>
      <c r="G1127" s="557">
        <v>-1.0</v>
      </c>
      <c r="H1127" s="559"/>
      <c r="I1127" s="564">
        <v>15000.0</v>
      </c>
      <c r="J1127" s="565">
        <v>24140.0</v>
      </c>
      <c r="K1127" s="542"/>
      <c r="L1127" s="542"/>
      <c r="M1127" s="542"/>
    </row>
    <row r="1128">
      <c r="A1128" s="570"/>
      <c r="B1128" s="559" t="s">
        <v>1703</v>
      </c>
      <c r="C1128" s="568">
        <v>296.0</v>
      </c>
      <c r="D1128" s="557">
        <v>0.996</v>
      </c>
      <c r="E1128" s="569">
        <v>70.53</v>
      </c>
      <c r="F1128" s="563">
        <v>24088.0</v>
      </c>
      <c r="G1128" s="557"/>
      <c r="H1128" s="559"/>
      <c r="I1128" s="564">
        <v>14968.0</v>
      </c>
      <c r="J1128" s="565">
        <v>24088.0</v>
      </c>
      <c r="K1128" s="542"/>
      <c r="L1128" s="542"/>
      <c r="M1128" s="542"/>
    </row>
    <row r="1129">
      <c r="A1129" s="570"/>
      <c r="B1129" s="557"/>
      <c r="C1129" s="557"/>
      <c r="D1129" s="557"/>
      <c r="E1129" s="557"/>
      <c r="F1129" s="563">
        <v>24050.0</v>
      </c>
      <c r="G1129" s="557"/>
      <c r="H1129" s="557">
        <v>0.9692662708836742</v>
      </c>
      <c r="I1129" s="564">
        <v>14944.0</v>
      </c>
      <c r="J1129" s="565">
        <v>24050.0</v>
      </c>
      <c r="K1129" s="542"/>
      <c r="L1129" s="542"/>
      <c r="M1129" s="542"/>
    </row>
    <row r="1130">
      <c r="A1130" s="570"/>
      <c r="B1130" s="559" t="s">
        <v>149</v>
      </c>
      <c r="C1130" s="568">
        <v>249.0</v>
      </c>
      <c r="D1130" s="557">
        <v>0.9573</v>
      </c>
      <c r="E1130" s="569">
        <v>59.88</v>
      </c>
      <c r="F1130" s="563">
        <v>24027.0</v>
      </c>
      <c r="G1130" s="557">
        <v>-1.0</v>
      </c>
      <c r="H1130" s="559"/>
      <c r="I1130" s="564">
        <v>14930.0</v>
      </c>
      <c r="J1130" s="565">
        <v>24027.0</v>
      </c>
      <c r="K1130" s="542"/>
      <c r="L1130" s="542"/>
      <c r="M1130" s="542"/>
    </row>
    <row r="1131">
      <c r="A1131" s="570"/>
      <c r="B1131" s="559" t="s">
        <v>255</v>
      </c>
      <c r="C1131" s="568">
        <v>297.0</v>
      </c>
      <c r="D1131" s="557">
        <v>0.9647</v>
      </c>
      <c r="E1131" s="569">
        <v>65.27</v>
      </c>
      <c r="F1131" s="563">
        <v>24000.0</v>
      </c>
      <c r="G1131" s="557"/>
      <c r="H1131" s="559"/>
      <c r="I1131" s="564">
        <v>14913.0</v>
      </c>
      <c r="J1131" s="565">
        <v>24000.0</v>
      </c>
      <c r="K1131" s="542"/>
      <c r="L1131" s="542"/>
      <c r="M1131" s="542"/>
    </row>
    <row r="1132">
      <c r="A1132" s="570"/>
      <c r="B1132" s="559" t="s">
        <v>1615</v>
      </c>
      <c r="C1132" s="568">
        <v>370.0</v>
      </c>
      <c r="D1132" s="557">
        <v>0.9508</v>
      </c>
      <c r="E1132" s="569">
        <v>66.44</v>
      </c>
      <c r="F1132" s="563">
        <v>24000.0</v>
      </c>
      <c r="G1132" s="557"/>
      <c r="H1132" s="559"/>
      <c r="I1132" s="564">
        <v>14913.0</v>
      </c>
      <c r="J1132" s="565">
        <v>24000.0</v>
      </c>
      <c r="K1132" s="542"/>
      <c r="L1132" s="542"/>
      <c r="M1132" s="542"/>
    </row>
    <row r="1133">
      <c r="A1133" s="570"/>
      <c r="B1133" s="559" t="s">
        <v>1814</v>
      </c>
      <c r="C1133" s="568">
        <v>292.0</v>
      </c>
      <c r="D1133" s="557">
        <v>1.0082</v>
      </c>
      <c r="E1133" s="569">
        <v>56.97</v>
      </c>
      <c r="F1133" s="563">
        <v>23990.0</v>
      </c>
      <c r="G1133" s="557"/>
      <c r="H1133" s="559"/>
      <c r="I1133" s="564">
        <v>14907.0</v>
      </c>
      <c r="J1133" s="565">
        <v>23990.0</v>
      </c>
      <c r="K1133" s="542"/>
      <c r="L1133" s="542"/>
      <c r="M1133" s="542"/>
    </row>
    <row r="1134">
      <c r="A1134" s="570"/>
      <c r="B1134" s="559" t="s">
        <v>324</v>
      </c>
      <c r="C1134" s="568">
        <v>299.0</v>
      </c>
      <c r="D1134" s="557">
        <v>0.9797</v>
      </c>
      <c r="E1134" s="569">
        <v>63.38</v>
      </c>
      <c r="F1134" s="563">
        <v>23945.0</v>
      </c>
      <c r="G1134" s="557"/>
      <c r="H1134" s="559"/>
      <c r="I1134" s="564">
        <v>14879.0</v>
      </c>
      <c r="J1134" s="565">
        <v>23945.0</v>
      </c>
      <c r="K1134" s="542"/>
      <c r="L1134" s="542"/>
      <c r="M1134" s="542"/>
    </row>
    <row r="1135">
      <c r="A1135" s="570"/>
      <c r="B1135" s="559" t="s">
        <v>1642</v>
      </c>
      <c r="C1135" s="568">
        <v>398.0</v>
      </c>
      <c r="D1135" s="557">
        <v>1.0043</v>
      </c>
      <c r="E1135" s="569">
        <v>74.75</v>
      </c>
      <c r="F1135" s="563">
        <v>23635.0</v>
      </c>
      <c r="G1135" s="557"/>
      <c r="H1135" s="559"/>
      <c r="I1135" s="564">
        <v>14686.0</v>
      </c>
      <c r="J1135" s="565">
        <v>23635.0</v>
      </c>
      <c r="K1135" s="542"/>
      <c r="L1135" s="542"/>
      <c r="M1135" s="542"/>
    </row>
    <row r="1136">
      <c r="A1136" s="570"/>
      <c r="B1136" s="559" t="s">
        <v>155</v>
      </c>
      <c r="C1136" s="568">
        <v>422.0</v>
      </c>
      <c r="D1136" s="557">
        <v>0.9758</v>
      </c>
      <c r="E1136" s="569">
        <v>85.36</v>
      </c>
      <c r="F1136" s="563">
        <v>23373.0</v>
      </c>
      <c r="G1136" s="557"/>
      <c r="H1136" s="559"/>
      <c r="I1136" s="564">
        <v>14523.0</v>
      </c>
      <c r="J1136" s="565">
        <v>23373.0</v>
      </c>
      <c r="K1136" s="542"/>
      <c r="L1136" s="542"/>
      <c r="M1136" s="542"/>
    </row>
    <row r="1137">
      <c r="A1137" s="570"/>
      <c r="B1137" s="559" t="s">
        <v>1779</v>
      </c>
      <c r="C1137" s="568">
        <v>407.0</v>
      </c>
      <c r="D1137" s="557">
        <v>0.9665</v>
      </c>
      <c r="E1137" s="569">
        <v>70.37</v>
      </c>
      <c r="F1137" s="563">
        <v>23357.0</v>
      </c>
      <c r="G1137" s="557"/>
      <c r="H1137" s="559"/>
      <c r="I1137" s="564">
        <v>14513.0</v>
      </c>
      <c r="J1137" s="565">
        <v>23357.0</v>
      </c>
      <c r="K1137" s="542"/>
      <c r="L1137" s="542"/>
      <c r="M1137" s="542"/>
    </row>
    <row r="1138">
      <c r="A1138" s="570"/>
      <c r="B1138" s="557"/>
      <c r="C1138" s="557"/>
      <c r="D1138" s="557"/>
      <c r="E1138" s="557"/>
      <c r="F1138" s="563">
        <v>23300.0</v>
      </c>
      <c r="G1138" s="557"/>
      <c r="H1138" s="557">
        <v>0.969843996830174</v>
      </c>
      <c r="I1138" s="564">
        <v>14478.0</v>
      </c>
      <c r="J1138" s="565">
        <v>23300.0</v>
      </c>
      <c r="K1138" s="542"/>
      <c r="L1138" s="542"/>
      <c r="M1138" s="542"/>
    </row>
    <row r="1139">
      <c r="A1139" s="570"/>
      <c r="B1139" s="559" t="s">
        <v>519</v>
      </c>
      <c r="C1139" s="568">
        <v>361.0</v>
      </c>
      <c r="D1139" s="557">
        <v>0.9864</v>
      </c>
      <c r="E1139" s="569">
        <v>51.67</v>
      </c>
      <c r="F1139" s="563">
        <v>23290.0</v>
      </c>
      <c r="G1139" s="557">
        <v>-1.0</v>
      </c>
      <c r="H1139" s="559"/>
      <c r="I1139" s="564">
        <v>14472.0</v>
      </c>
      <c r="J1139" s="565">
        <v>23290.0</v>
      </c>
      <c r="K1139" s="542"/>
      <c r="L1139" s="542"/>
      <c r="M1139" s="542"/>
    </row>
    <row r="1140">
      <c r="A1140" s="570"/>
      <c r="B1140" s="559" t="s">
        <v>682</v>
      </c>
      <c r="C1140" s="568">
        <v>334.0</v>
      </c>
      <c r="D1140" s="557">
        <v>0.9885</v>
      </c>
      <c r="E1140" s="569">
        <v>61.41</v>
      </c>
      <c r="F1140" s="563">
        <v>23160.0</v>
      </c>
      <c r="G1140" s="557">
        <v>-1.0</v>
      </c>
      <c r="H1140" s="559"/>
      <c r="I1140" s="564">
        <v>14391.0</v>
      </c>
      <c r="J1140" s="565">
        <v>23160.0</v>
      </c>
      <c r="K1140" s="542"/>
      <c r="L1140" s="542"/>
      <c r="M1140" s="542"/>
    </row>
    <row r="1141">
      <c r="A1141" s="570"/>
      <c r="B1141" s="559" t="s">
        <v>132</v>
      </c>
      <c r="C1141" s="568">
        <v>314.0</v>
      </c>
      <c r="D1141" s="557">
        <v>0.9746</v>
      </c>
      <c r="E1141" s="569">
        <v>74.74</v>
      </c>
      <c r="F1141" s="563">
        <v>23056.0</v>
      </c>
      <c r="G1141" s="557"/>
      <c r="H1141" s="559"/>
      <c r="I1141" s="564">
        <v>14326.0</v>
      </c>
      <c r="J1141" s="565">
        <v>23056.0</v>
      </c>
      <c r="K1141" s="542"/>
      <c r="L1141" s="542"/>
      <c r="M1141" s="542"/>
    </row>
    <row r="1142">
      <c r="A1142" s="570"/>
      <c r="B1142" s="559" t="s">
        <v>1465</v>
      </c>
      <c r="C1142" s="568">
        <v>254.0</v>
      </c>
      <c r="D1142" s="557">
        <v>0.9749</v>
      </c>
      <c r="E1142" s="569">
        <v>61.02</v>
      </c>
      <c r="F1142" s="563">
        <v>23000.0</v>
      </c>
      <c r="G1142" s="557"/>
      <c r="H1142" s="559"/>
      <c r="I1142" s="564">
        <v>14292.0</v>
      </c>
      <c r="J1142" s="565">
        <v>23000.0</v>
      </c>
      <c r="K1142" s="542"/>
      <c r="L1142" s="542"/>
      <c r="M1142" s="542"/>
    </row>
    <row r="1143">
      <c r="A1143" s="570"/>
      <c r="B1143" s="559" t="s">
        <v>177</v>
      </c>
      <c r="C1143" s="568">
        <v>286.0</v>
      </c>
      <c r="D1143" s="557">
        <v>0.9722</v>
      </c>
      <c r="E1143" s="569">
        <v>74.46</v>
      </c>
      <c r="F1143" s="563">
        <v>22850.0</v>
      </c>
      <c r="G1143" s="557"/>
      <c r="H1143" s="559"/>
      <c r="I1143" s="564">
        <v>14198.0</v>
      </c>
      <c r="J1143" s="565">
        <v>22850.0</v>
      </c>
      <c r="K1143" s="542"/>
      <c r="L1143" s="542"/>
      <c r="M1143" s="542"/>
    </row>
    <row r="1144">
      <c r="A1144" s="570"/>
      <c r="B1144" s="559" t="s">
        <v>138</v>
      </c>
      <c r="C1144" s="568">
        <v>561.0</v>
      </c>
      <c r="D1144" s="557">
        <v>1.0034</v>
      </c>
      <c r="E1144" s="569">
        <v>63.52</v>
      </c>
      <c r="F1144" s="563">
        <v>22611.0</v>
      </c>
      <c r="G1144" s="557">
        <v>-1.0</v>
      </c>
      <c r="H1144" s="559"/>
      <c r="I1144" s="564">
        <v>14050.0</v>
      </c>
      <c r="J1144" s="565">
        <v>22611.0</v>
      </c>
      <c r="K1144" s="542"/>
      <c r="L1144" s="542"/>
      <c r="M1144" s="542"/>
    </row>
    <row r="1145">
      <c r="A1145" s="570"/>
      <c r="B1145" s="557"/>
      <c r="C1145" s="557"/>
      <c r="D1145" s="557"/>
      <c r="E1145" s="557"/>
      <c r="F1145" s="563">
        <v>22550.0</v>
      </c>
      <c r="G1145" s="557"/>
      <c r="H1145" s="557">
        <v>0.9704383052495622</v>
      </c>
      <c r="I1145" s="564">
        <v>14012.0</v>
      </c>
      <c r="J1145" s="565">
        <v>22550.0</v>
      </c>
      <c r="K1145" s="542"/>
      <c r="L1145" s="542"/>
      <c r="M1145" s="542"/>
    </row>
    <row r="1146">
      <c r="A1146" s="570"/>
      <c r="B1146" s="559" t="s">
        <v>432</v>
      </c>
      <c r="C1146" s="568">
        <v>434.0</v>
      </c>
      <c r="D1146" s="557">
        <v>0.9696</v>
      </c>
      <c r="E1146" s="569">
        <v>65.78</v>
      </c>
      <c r="F1146" s="563">
        <v>22507.0</v>
      </c>
      <c r="G1146" s="557"/>
      <c r="H1146" s="559"/>
      <c r="I1146" s="564">
        <v>13985.0</v>
      </c>
      <c r="J1146" s="565">
        <v>22507.0</v>
      </c>
      <c r="K1146" s="542"/>
      <c r="L1146" s="542"/>
      <c r="M1146" s="542"/>
    </row>
    <row r="1147">
      <c r="A1147" s="570"/>
      <c r="B1147" s="559" t="s">
        <v>1703</v>
      </c>
      <c r="C1147" s="568">
        <v>281.0</v>
      </c>
      <c r="D1147" s="557">
        <v>1.0016</v>
      </c>
      <c r="E1147" s="569">
        <v>65.85</v>
      </c>
      <c r="F1147" s="563">
        <v>22442.0</v>
      </c>
      <c r="G1147" s="557"/>
      <c r="H1147" s="559"/>
      <c r="I1147" s="564">
        <v>13945.0</v>
      </c>
      <c r="J1147" s="565">
        <v>22442.0</v>
      </c>
      <c r="K1147" s="542"/>
      <c r="L1147" s="542"/>
      <c r="M1147" s="542"/>
    </row>
    <row r="1148">
      <c r="A1148" s="570"/>
      <c r="B1148" s="559" t="s">
        <v>1664</v>
      </c>
      <c r="C1148" s="568">
        <v>260.0</v>
      </c>
      <c r="D1148" s="557">
        <v>0.9835</v>
      </c>
      <c r="E1148" s="569">
        <v>59.63</v>
      </c>
      <c r="F1148" s="563">
        <v>22185.0</v>
      </c>
      <c r="G1148" s="557"/>
      <c r="H1148" s="559"/>
      <c r="I1148" s="564">
        <v>13785.0</v>
      </c>
      <c r="J1148" s="565">
        <v>22185.0</v>
      </c>
      <c r="K1148" s="542"/>
      <c r="L1148" s="542"/>
      <c r="M1148" s="542"/>
    </row>
    <row r="1149">
      <c r="A1149" s="570"/>
      <c r="B1149" s="559" t="s">
        <v>227</v>
      </c>
      <c r="C1149" s="568">
        <v>273.0</v>
      </c>
      <c r="D1149" s="557">
        <v>0.9863</v>
      </c>
      <c r="E1149" s="569">
        <v>54.79</v>
      </c>
      <c r="F1149" s="563">
        <v>22103.0</v>
      </c>
      <c r="G1149" s="557">
        <v>-1.0</v>
      </c>
      <c r="H1149" s="559"/>
      <c r="I1149" s="564">
        <v>13734.0</v>
      </c>
      <c r="J1149" s="565">
        <v>22103.0</v>
      </c>
      <c r="K1149" s="542"/>
      <c r="L1149" s="542"/>
      <c r="M1149" s="542"/>
    </row>
    <row r="1150">
      <c r="A1150" s="570"/>
      <c r="B1150" s="559" t="s">
        <v>757</v>
      </c>
      <c r="C1150" s="568">
        <v>383.0</v>
      </c>
      <c r="D1150" s="557">
        <v>0.9801</v>
      </c>
      <c r="E1150" s="569">
        <v>54.57</v>
      </c>
      <c r="F1150" s="563">
        <v>22066.0</v>
      </c>
      <c r="G1150" s="557">
        <v>-1.0</v>
      </c>
      <c r="H1150" s="559"/>
      <c r="I1150" s="564">
        <v>13711.0</v>
      </c>
      <c r="J1150" s="565">
        <v>22066.0</v>
      </c>
      <c r="K1150" s="542"/>
      <c r="L1150" s="542"/>
      <c r="M1150" s="542"/>
    </row>
    <row r="1151">
      <c r="A1151" s="570"/>
      <c r="B1151" s="559" t="s">
        <v>85</v>
      </c>
      <c r="C1151" s="568">
        <v>73.0</v>
      </c>
      <c r="D1151" s="557">
        <v>0.9978</v>
      </c>
      <c r="E1151" s="569">
        <v>57.25</v>
      </c>
      <c r="F1151" s="563">
        <v>22014.0</v>
      </c>
      <c r="G1151" s="557">
        <v>-1.0</v>
      </c>
      <c r="H1151" s="559"/>
      <c r="I1151" s="564">
        <v>13679.0</v>
      </c>
      <c r="J1151" s="565">
        <v>22014.0</v>
      </c>
      <c r="K1151" s="542"/>
      <c r="L1151" s="542"/>
      <c r="M1151" s="542"/>
    </row>
    <row r="1152">
      <c r="A1152" s="570"/>
      <c r="B1152" s="559" t="s">
        <v>1602</v>
      </c>
      <c r="C1152" s="568">
        <v>530.0</v>
      </c>
      <c r="D1152" s="557">
        <v>0.9721</v>
      </c>
      <c r="E1152" s="569">
        <v>60.19</v>
      </c>
      <c r="F1152" s="563">
        <v>22000.0</v>
      </c>
      <c r="G1152" s="557"/>
      <c r="H1152" s="559"/>
      <c r="I1152" s="564">
        <v>13670.0</v>
      </c>
      <c r="J1152" s="565">
        <v>22000.0</v>
      </c>
      <c r="K1152" s="542"/>
      <c r="L1152" s="542"/>
      <c r="M1152" s="542"/>
    </row>
    <row r="1153">
      <c r="A1153" s="570"/>
      <c r="B1153" s="559" t="s">
        <v>1336</v>
      </c>
      <c r="C1153" s="568">
        <v>222.0</v>
      </c>
      <c r="D1153" s="557">
        <v>0.9568</v>
      </c>
      <c r="E1153" s="569">
        <v>60.65</v>
      </c>
      <c r="F1153" s="563">
        <v>22000.0</v>
      </c>
      <c r="G1153" s="557"/>
      <c r="H1153" s="559"/>
      <c r="I1153" s="564">
        <v>13670.0</v>
      </c>
      <c r="J1153" s="565">
        <v>22000.0</v>
      </c>
      <c r="K1153" s="542"/>
      <c r="L1153" s="542"/>
      <c r="M1153" s="542"/>
    </row>
    <row r="1154">
      <c r="A1154" s="570"/>
      <c r="B1154" s="559" t="s">
        <v>339</v>
      </c>
      <c r="C1154" s="568">
        <v>201.0</v>
      </c>
      <c r="D1154" s="557">
        <v>0.9695</v>
      </c>
      <c r="E1154" s="569">
        <v>76.83</v>
      </c>
      <c r="F1154" s="563">
        <v>21957.0</v>
      </c>
      <c r="G1154" s="557"/>
      <c r="H1154" s="559"/>
      <c r="I1154" s="564">
        <v>13643.0</v>
      </c>
      <c r="J1154" s="565">
        <v>21957.0</v>
      </c>
      <c r="K1154" s="542"/>
      <c r="L1154" s="542"/>
      <c r="M1154" s="542"/>
    </row>
    <row r="1155">
      <c r="A1155" s="570"/>
      <c r="B1155" s="559" t="s">
        <v>457</v>
      </c>
      <c r="C1155" s="568">
        <v>262.0</v>
      </c>
      <c r="D1155" s="557">
        <v>0.9797</v>
      </c>
      <c r="E1155" s="569">
        <v>64.41</v>
      </c>
      <c r="F1155" s="563">
        <v>21956.0</v>
      </c>
      <c r="G1155" s="557"/>
      <c r="H1155" s="559"/>
      <c r="I1155" s="564">
        <v>13643.0</v>
      </c>
      <c r="J1155" s="565">
        <v>21956.0</v>
      </c>
      <c r="K1155" s="542"/>
      <c r="L1155" s="542"/>
      <c r="M1155" s="542"/>
    </row>
    <row r="1156">
      <c r="A1156" s="570"/>
      <c r="B1156" s="559" t="s">
        <v>761</v>
      </c>
      <c r="C1156" s="568">
        <v>324.0</v>
      </c>
      <c r="D1156" s="557">
        <v>0.9191</v>
      </c>
      <c r="E1156" s="569">
        <v>69.15</v>
      </c>
      <c r="F1156" s="563">
        <v>21878.0</v>
      </c>
      <c r="G1156" s="557"/>
      <c r="H1156" s="559"/>
      <c r="I1156" s="564">
        <v>13594.0</v>
      </c>
      <c r="J1156" s="565">
        <v>21878.0</v>
      </c>
      <c r="K1156" s="542"/>
      <c r="L1156" s="542"/>
      <c r="M1156" s="542"/>
    </row>
    <row r="1157">
      <c r="A1157" s="570"/>
      <c r="B1157" s="559" t="s">
        <v>331</v>
      </c>
      <c r="C1157" s="568">
        <v>192.0</v>
      </c>
      <c r="D1157" s="557">
        <v>0.9805</v>
      </c>
      <c r="E1157" s="569">
        <v>65.34</v>
      </c>
      <c r="F1157" s="563">
        <v>21868.0</v>
      </c>
      <c r="G1157" s="557">
        <v>-1.0</v>
      </c>
      <c r="H1157" s="559"/>
      <c r="I1157" s="564">
        <v>13588.0</v>
      </c>
      <c r="J1157" s="565">
        <v>21868.0</v>
      </c>
      <c r="K1157" s="542"/>
      <c r="L1157" s="542"/>
      <c r="M1157" s="542"/>
    </row>
    <row r="1158">
      <c r="A1158" s="570"/>
      <c r="B1158" s="559" t="s">
        <v>354</v>
      </c>
      <c r="C1158" s="568">
        <v>282.0</v>
      </c>
      <c r="D1158" s="557">
        <v>0.995</v>
      </c>
      <c r="E1158" s="569">
        <v>60.48</v>
      </c>
      <c r="F1158" s="563">
        <v>21845.0</v>
      </c>
      <c r="G1158" s="557"/>
      <c r="H1158" s="559"/>
      <c r="I1158" s="564">
        <v>13574.0</v>
      </c>
      <c r="J1158" s="565">
        <v>21845.0</v>
      </c>
      <c r="K1158" s="542"/>
      <c r="L1158" s="542"/>
      <c r="M1158" s="542"/>
    </row>
    <row r="1159">
      <c r="A1159" s="570"/>
      <c r="B1159" s="557"/>
      <c r="C1159" s="557"/>
      <c r="D1159" s="557"/>
      <c r="E1159" s="557"/>
      <c r="F1159" s="563">
        <v>21800.0</v>
      </c>
      <c r="G1159" s="557"/>
      <c r="H1159" s="557">
        <v>0.9710497932863454</v>
      </c>
      <c r="I1159" s="564">
        <v>13546.0</v>
      </c>
      <c r="J1159" s="565">
        <v>21800.0</v>
      </c>
      <c r="K1159" s="542"/>
      <c r="L1159" s="542"/>
      <c r="M1159" s="542"/>
    </row>
    <row r="1160">
      <c r="A1160" s="570"/>
      <c r="B1160" s="559" t="s">
        <v>1615</v>
      </c>
      <c r="C1160" s="568">
        <v>284.0</v>
      </c>
      <c r="D1160" s="557">
        <v>0.9715</v>
      </c>
      <c r="E1160" s="569">
        <v>60.47</v>
      </c>
      <c r="F1160" s="563">
        <v>21634.0</v>
      </c>
      <c r="G1160" s="557"/>
      <c r="H1160" s="559"/>
      <c r="I1160" s="564">
        <v>13443.0</v>
      </c>
      <c r="J1160" s="565">
        <v>21634.0</v>
      </c>
      <c r="K1160" s="542"/>
      <c r="L1160" s="542"/>
      <c r="M1160" s="542"/>
    </row>
    <row r="1161">
      <c r="A1161" s="570"/>
      <c r="B1161" s="559" t="s">
        <v>761</v>
      </c>
      <c r="C1161" s="568">
        <v>323.0</v>
      </c>
      <c r="D1161" s="557">
        <v>0.9167</v>
      </c>
      <c r="E1161" s="569">
        <v>68.42</v>
      </c>
      <c r="F1161" s="563">
        <v>21620.0</v>
      </c>
      <c r="G1161" s="557"/>
      <c r="H1161" s="559"/>
      <c r="I1161" s="564">
        <v>13434.0</v>
      </c>
      <c r="J1161" s="565">
        <v>21620.0</v>
      </c>
      <c r="K1161" s="542"/>
      <c r="L1161" s="542"/>
      <c r="M1161" s="542"/>
    </row>
    <row r="1162">
      <c r="A1162" s="570"/>
      <c r="B1162" s="559" t="s">
        <v>237</v>
      </c>
      <c r="C1162" s="568">
        <v>317.0</v>
      </c>
      <c r="D1162" s="557">
        <v>0.9724</v>
      </c>
      <c r="E1162" s="569">
        <v>63.39</v>
      </c>
      <c r="F1162" s="563">
        <v>21530.0</v>
      </c>
      <c r="G1162" s="557"/>
      <c r="H1162" s="559"/>
      <c r="I1162" s="564">
        <v>13378.0</v>
      </c>
      <c r="J1162" s="565">
        <v>21530.0</v>
      </c>
      <c r="K1162" s="542"/>
      <c r="L1162" s="542"/>
      <c r="M1162" s="542"/>
    </row>
    <row r="1163">
      <c r="A1163" s="570"/>
      <c r="B1163" s="559" t="s">
        <v>342</v>
      </c>
      <c r="C1163" s="568">
        <v>307.0</v>
      </c>
      <c r="D1163" s="557">
        <v>0.962</v>
      </c>
      <c r="E1163" s="569">
        <v>65.06</v>
      </c>
      <c r="F1163" s="563">
        <v>21500.0</v>
      </c>
      <c r="G1163" s="557"/>
      <c r="H1163" s="559"/>
      <c r="I1163" s="564">
        <v>13359.0</v>
      </c>
      <c r="J1163" s="565">
        <v>21500.0</v>
      </c>
      <c r="K1163" s="542"/>
      <c r="L1163" s="542"/>
      <c r="M1163" s="542"/>
    </row>
    <row r="1164">
      <c r="A1164" s="570"/>
      <c r="B1164" s="557"/>
      <c r="C1164" s="557"/>
      <c r="D1164" s="557"/>
      <c r="E1164" s="557"/>
      <c r="F1164" s="563">
        <v>21300.0</v>
      </c>
      <c r="G1164" s="557"/>
      <c r="H1164" s="557">
        <v>0.9714673008065172</v>
      </c>
      <c r="I1164" s="564">
        <v>13235.0</v>
      </c>
      <c r="J1164" s="565">
        <v>21300.0</v>
      </c>
      <c r="K1164" s="542"/>
      <c r="L1164" s="542"/>
      <c r="M1164" s="542"/>
    </row>
    <row r="1165">
      <c r="A1165" s="570"/>
      <c r="B1165" s="559" t="s">
        <v>1874</v>
      </c>
      <c r="C1165" s="568">
        <v>177.0</v>
      </c>
      <c r="D1165" s="557">
        <v>1.0027</v>
      </c>
      <c r="E1165" s="569">
        <v>66.6</v>
      </c>
      <c r="F1165" s="563">
        <v>21045.0</v>
      </c>
      <c r="G1165" s="557"/>
      <c r="H1165" s="559"/>
      <c r="I1165" s="564">
        <v>13077.0</v>
      </c>
      <c r="J1165" s="565">
        <v>21045.0</v>
      </c>
      <c r="K1165" s="542"/>
      <c r="L1165" s="542"/>
      <c r="M1165" s="542"/>
    </row>
    <row r="1166">
      <c r="A1166" s="570"/>
      <c r="B1166" s="559" t="s">
        <v>392</v>
      </c>
      <c r="C1166" s="568">
        <v>373.0</v>
      </c>
      <c r="D1166" s="557">
        <v>0.9619</v>
      </c>
      <c r="E1166" s="569">
        <v>60.23</v>
      </c>
      <c r="F1166" s="563">
        <v>21000.0</v>
      </c>
      <c r="G1166" s="557"/>
      <c r="H1166" s="559"/>
      <c r="I1166" s="564">
        <v>13049.0</v>
      </c>
      <c r="J1166" s="565">
        <v>21000.0</v>
      </c>
      <c r="K1166" s="542"/>
      <c r="L1166" s="542"/>
      <c r="M1166" s="542"/>
    </row>
    <row r="1167">
      <c r="A1167" s="570"/>
      <c r="B1167" s="559" t="s">
        <v>1683</v>
      </c>
      <c r="C1167" s="568">
        <v>316.0</v>
      </c>
      <c r="D1167" s="557">
        <v>0.9932</v>
      </c>
      <c r="E1167" s="569">
        <v>71.07</v>
      </c>
      <c r="F1167" s="563">
        <v>21000.0</v>
      </c>
      <c r="G1167" s="557"/>
      <c r="H1167" s="559"/>
      <c r="I1167" s="564">
        <v>13049.0</v>
      </c>
      <c r="J1167" s="565">
        <v>21000.0</v>
      </c>
      <c r="K1167" s="542"/>
      <c r="L1167" s="542"/>
      <c r="M1167" s="542"/>
    </row>
    <row r="1168">
      <c r="A1168" s="570"/>
      <c r="B1168" s="557"/>
      <c r="C1168" s="557"/>
      <c r="D1168" s="557"/>
      <c r="E1168" s="557"/>
      <c r="F1168" s="563">
        <v>20800.0</v>
      </c>
      <c r="G1168" s="557"/>
      <c r="H1168" s="557">
        <v>0.9718929069796948</v>
      </c>
      <c r="I1168" s="564">
        <v>12925.0</v>
      </c>
      <c r="J1168" s="565">
        <v>20800.0</v>
      </c>
      <c r="K1168" s="542"/>
      <c r="L1168" s="542"/>
      <c r="M1168" s="542"/>
    </row>
    <row r="1169">
      <c r="A1169" s="570"/>
      <c r="B1169" s="559" t="s">
        <v>395</v>
      </c>
      <c r="C1169" s="568">
        <v>293.0</v>
      </c>
      <c r="D1169" s="557">
        <v>0.9688</v>
      </c>
      <c r="E1169" s="569">
        <v>54.54</v>
      </c>
      <c r="F1169" s="563">
        <v>20600.0</v>
      </c>
      <c r="G1169" s="557">
        <v>-1.0</v>
      </c>
      <c r="H1169" s="559"/>
      <c r="I1169" s="564">
        <v>12800.0</v>
      </c>
      <c r="J1169" s="565">
        <v>20600.0</v>
      </c>
      <c r="K1169" s="542"/>
      <c r="L1169" s="542"/>
      <c r="M1169" s="542"/>
    </row>
    <row r="1170">
      <c r="A1170" s="570"/>
      <c r="B1170" s="559" t="s">
        <v>140</v>
      </c>
      <c r="C1170" s="568">
        <v>255.0</v>
      </c>
      <c r="D1170" s="557">
        <v>0.9593</v>
      </c>
      <c r="E1170" s="569">
        <v>66.02</v>
      </c>
      <c r="F1170" s="563">
        <v>20539.0</v>
      </c>
      <c r="G1170" s="557"/>
      <c r="H1170" s="559"/>
      <c r="I1170" s="564">
        <v>12762.0</v>
      </c>
      <c r="J1170" s="565">
        <v>20539.0</v>
      </c>
      <c r="K1170" s="542"/>
      <c r="L1170" s="542"/>
      <c r="M1170" s="542"/>
    </row>
    <row r="1171">
      <c r="A1171" s="570"/>
      <c r="B1171" s="559" t="s">
        <v>751</v>
      </c>
      <c r="C1171" s="568">
        <v>183.0</v>
      </c>
      <c r="D1171" s="557">
        <v>0.9798</v>
      </c>
      <c r="E1171" s="569">
        <v>55.08</v>
      </c>
      <c r="F1171" s="563">
        <v>20509.0</v>
      </c>
      <c r="G1171" s="557"/>
      <c r="H1171" s="559"/>
      <c r="I1171" s="564">
        <v>12744.0</v>
      </c>
      <c r="J1171" s="565">
        <v>20509.0</v>
      </c>
      <c r="K1171" s="542"/>
      <c r="L1171" s="542"/>
      <c r="M1171" s="542"/>
    </row>
    <row r="1172">
      <c r="A1172" s="570"/>
      <c r="B1172" s="559" t="s">
        <v>218</v>
      </c>
      <c r="C1172" s="568">
        <v>405.0</v>
      </c>
      <c r="D1172" s="557">
        <v>0.9569</v>
      </c>
      <c r="E1172" s="569">
        <v>59.22</v>
      </c>
      <c r="F1172" s="563">
        <v>20500.0</v>
      </c>
      <c r="G1172" s="557"/>
      <c r="H1172" s="559"/>
      <c r="I1172" s="564">
        <v>12738.0</v>
      </c>
      <c r="J1172" s="565">
        <v>20500.0</v>
      </c>
      <c r="K1172" s="542"/>
      <c r="L1172" s="542"/>
      <c r="M1172" s="542"/>
    </row>
    <row r="1173">
      <c r="A1173" s="570"/>
      <c r="B1173" s="559" t="s">
        <v>1900</v>
      </c>
      <c r="C1173" s="568">
        <v>357.0</v>
      </c>
      <c r="D1173" s="557">
        <v>0.9797</v>
      </c>
      <c r="E1173" s="569">
        <v>56.67</v>
      </c>
      <c r="F1173" s="563">
        <v>20500.0</v>
      </c>
      <c r="G1173" s="557"/>
      <c r="H1173" s="559"/>
      <c r="I1173" s="564">
        <v>12738.0</v>
      </c>
      <c r="J1173" s="565">
        <v>20500.0</v>
      </c>
      <c r="K1173" s="542"/>
      <c r="L1173" s="542"/>
      <c r="M1173" s="542"/>
    </row>
    <row r="1174">
      <c r="A1174" s="570"/>
      <c r="B1174" s="559" t="s">
        <v>1628</v>
      </c>
      <c r="C1174" s="568">
        <v>249.0</v>
      </c>
      <c r="D1174" s="557">
        <v>0.9835</v>
      </c>
      <c r="E1174" s="569">
        <v>53.88</v>
      </c>
      <c r="F1174" s="563">
        <v>20421.0</v>
      </c>
      <c r="G1174" s="557"/>
      <c r="H1174" s="559"/>
      <c r="I1174" s="564">
        <v>12689.0</v>
      </c>
      <c r="J1174" s="565">
        <v>20421.0</v>
      </c>
      <c r="K1174" s="542"/>
      <c r="L1174" s="542"/>
      <c r="M1174" s="542"/>
    </row>
    <row r="1175">
      <c r="A1175" s="570"/>
      <c r="B1175" s="559" t="s">
        <v>339</v>
      </c>
      <c r="C1175" s="568">
        <v>181.0</v>
      </c>
      <c r="D1175" s="557">
        <v>0.967</v>
      </c>
      <c r="E1175" s="569">
        <v>72.05</v>
      </c>
      <c r="F1175" s="563">
        <v>20412.0</v>
      </c>
      <c r="G1175" s="557"/>
      <c r="H1175" s="559"/>
      <c r="I1175" s="564">
        <v>12683.0</v>
      </c>
      <c r="J1175" s="565">
        <v>20412.0</v>
      </c>
      <c r="K1175" s="542"/>
      <c r="L1175" s="542"/>
      <c r="M1175" s="542"/>
    </row>
    <row r="1176">
      <c r="A1176" s="570"/>
      <c r="B1176" s="559" t="s">
        <v>279</v>
      </c>
      <c r="C1176" s="568">
        <v>278.0</v>
      </c>
      <c r="D1176" s="557">
        <v>0.9847</v>
      </c>
      <c r="E1176" s="569">
        <v>62.84</v>
      </c>
      <c r="F1176" s="563">
        <v>20302.0</v>
      </c>
      <c r="G1176" s="557"/>
      <c r="H1176" s="559"/>
      <c r="I1176" s="564">
        <v>12615.0</v>
      </c>
      <c r="J1176" s="565">
        <v>20302.0</v>
      </c>
      <c r="K1176" s="542"/>
      <c r="L1176" s="542"/>
      <c r="M1176" s="542"/>
    </row>
    <row r="1177">
      <c r="A1177" s="570"/>
      <c r="B1177" s="557"/>
      <c r="C1177" s="557"/>
      <c r="D1177" s="557"/>
      <c r="E1177" s="557"/>
      <c r="F1177" s="563">
        <v>20300.0</v>
      </c>
      <c r="G1177" s="557"/>
      <c r="H1177" s="557">
        <v>0.9723268050820869</v>
      </c>
      <c r="I1177" s="564">
        <v>12614.0</v>
      </c>
      <c r="J1177" s="565">
        <v>20300.0</v>
      </c>
      <c r="K1177" s="542"/>
      <c r="L1177" s="542"/>
      <c r="M1177" s="542"/>
    </row>
    <row r="1178">
      <c r="A1178" s="570"/>
      <c r="B1178" s="559" t="s">
        <v>1703</v>
      </c>
      <c r="C1178" s="568">
        <v>266.0</v>
      </c>
      <c r="D1178" s="557">
        <v>0.996</v>
      </c>
      <c r="E1178" s="569">
        <v>60.62</v>
      </c>
      <c r="F1178" s="563">
        <v>20300.0</v>
      </c>
      <c r="G1178" s="557"/>
      <c r="H1178" s="559"/>
      <c r="I1178" s="564">
        <v>12614.0</v>
      </c>
      <c r="J1178" s="565">
        <v>20300.0</v>
      </c>
      <c r="K1178" s="542"/>
      <c r="L1178" s="542"/>
      <c r="M1178" s="542"/>
    </row>
    <row r="1179">
      <c r="A1179" s="570"/>
      <c r="B1179" s="559" t="s">
        <v>294</v>
      </c>
      <c r="C1179" s="568">
        <v>307.0</v>
      </c>
      <c r="D1179" s="557">
        <v>0.9624</v>
      </c>
      <c r="E1179" s="569">
        <v>52.08</v>
      </c>
      <c r="F1179" s="563">
        <v>20200.0</v>
      </c>
      <c r="G1179" s="557"/>
      <c r="H1179" s="559"/>
      <c r="I1179" s="564">
        <v>12552.0</v>
      </c>
      <c r="J1179" s="565">
        <v>20200.0</v>
      </c>
      <c r="K1179" s="542"/>
      <c r="L1179" s="542"/>
      <c r="M1179" s="542"/>
    </row>
    <row r="1180">
      <c r="A1180" s="570"/>
      <c r="B1180" s="559" t="s">
        <v>1836</v>
      </c>
      <c r="C1180" s="568">
        <v>193.0</v>
      </c>
      <c r="D1180" s="557">
        <v>1.008</v>
      </c>
      <c r="E1180" s="569">
        <v>56.97</v>
      </c>
      <c r="F1180" s="563">
        <v>20147.0</v>
      </c>
      <c r="G1180" s="557"/>
      <c r="H1180" s="559"/>
      <c r="I1180" s="564">
        <v>12519.0</v>
      </c>
      <c r="J1180" s="565">
        <v>20147.0</v>
      </c>
      <c r="K1180" s="542"/>
      <c r="L1180" s="542"/>
      <c r="M1180" s="542"/>
    </row>
    <row r="1181">
      <c r="A1181" s="570"/>
      <c r="B1181" s="559" t="s">
        <v>813</v>
      </c>
      <c r="C1181" s="568">
        <v>152.0</v>
      </c>
      <c r="D1181" s="557">
        <v>0.9873</v>
      </c>
      <c r="E1181" s="569">
        <v>56.44</v>
      </c>
      <c r="F1181" s="563">
        <v>20120.0</v>
      </c>
      <c r="G1181" s="557"/>
      <c r="H1181" s="559"/>
      <c r="I1181" s="564">
        <v>12502.0</v>
      </c>
      <c r="J1181" s="565">
        <v>20120.0</v>
      </c>
      <c r="K1181" s="542"/>
      <c r="L1181" s="542"/>
      <c r="M1181" s="542"/>
    </row>
    <row r="1182">
      <c r="A1182" s="570"/>
      <c r="B1182" s="559" t="s">
        <v>221</v>
      </c>
      <c r="C1182" s="568">
        <v>117.0</v>
      </c>
      <c r="D1182" s="557">
        <v>0.9681</v>
      </c>
      <c r="E1182" s="569">
        <v>48.85</v>
      </c>
      <c r="F1182" s="563">
        <v>20117.0</v>
      </c>
      <c r="G1182" s="557">
        <v>-1.0</v>
      </c>
      <c r="H1182" s="559"/>
      <c r="I1182" s="564">
        <v>12500.0</v>
      </c>
      <c r="J1182" s="565">
        <v>20117.0</v>
      </c>
      <c r="K1182" s="542"/>
      <c r="L1182" s="542"/>
      <c r="M1182" s="542"/>
    </row>
    <row r="1183">
      <c r="A1183" s="570"/>
      <c r="B1183" s="559" t="s">
        <v>1662</v>
      </c>
      <c r="C1183" s="568">
        <v>399.0</v>
      </c>
      <c r="D1183" s="557">
        <v>1.0484</v>
      </c>
      <c r="E1183" s="569">
        <v>63.43</v>
      </c>
      <c r="F1183" s="563">
        <v>20100.0</v>
      </c>
      <c r="G1183" s="557"/>
      <c r="H1183" s="559"/>
      <c r="I1183" s="564">
        <v>12490.0</v>
      </c>
      <c r="J1183" s="565">
        <v>20100.0</v>
      </c>
      <c r="K1183" s="542"/>
      <c r="L1183" s="542"/>
      <c r="M1183" s="542"/>
    </row>
    <row r="1184">
      <c r="A1184" s="570"/>
      <c r="B1184" s="559" t="s">
        <v>1745</v>
      </c>
      <c r="C1184" s="568">
        <v>264.0</v>
      </c>
      <c r="D1184" s="557">
        <v>0.9773</v>
      </c>
      <c r="E1184" s="569">
        <v>57.96</v>
      </c>
      <c r="F1184" s="563">
        <v>20000.0</v>
      </c>
      <c r="G1184" s="557"/>
      <c r="H1184" s="559"/>
      <c r="I1184" s="564">
        <v>12427.0</v>
      </c>
      <c r="J1184" s="565">
        <v>20000.0</v>
      </c>
      <c r="K1184" s="542"/>
      <c r="L1184" s="542"/>
      <c r="M1184" s="542"/>
    </row>
    <row r="1185">
      <c r="A1185" s="570"/>
      <c r="B1185" s="559" t="s">
        <v>1858</v>
      </c>
      <c r="C1185" s="568">
        <v>173.0</v>
      </c>
      <c r="D1185" s="557">
        <v>1.0015</v>
      </c>
      <c r="E1185" s="569">
        <v>53.27</v>
      </c>
      <c r="F1185" s="563">
        <v>20000.0</v>
      </c>
      <c r="G1185" s="557"/>
      <c r="H1185" s="559"/>
      <c r="I1185" s="564">
        <v>12427.0</v>
      </c>
      <c r="J1185" s="565">
        <v>20000.0</v>
      </c>
      <c r="K1185" s="542"/>
      <c r="L1185" s="542"/>
      <c r="M1185" s="542"/>
    </row>
    <row r="1186">
      <c r="A1186" s="570"/>
      <c r="B1186" s="559" t="s">
        <v>1890</v>
      </c>
      <c r="C1186" s="568">
        <v>321.0</v>
      </c>
      <c r="D1186" s="557">
        <v>0.9544</v>
      </c>
      <c r="E1186" s="569">
        <v>57.43</v>
      </c>
      <c r="F1186" s="563">
        <v>20000.0</v>
      </c>
      <c r="G1186" s="557"/>
      <c r="H1186" s="559"/>
      <c r="I1186" s="564">
        <v>12427.0</v>
      </c>
      <c r="J1186" s="565">
        <v>20000.0</v>
      </c>
      <c r="K1186" s="542"/>
      <c r="L1186" s="542"/>
      <c r="M1186" s="542"/>
    </row>
    <row r="1187">
      <c r="A1187" s="570"/>
      <c r="B1187" s="559" t="s">
        <v>92</v>
      </c>
      <c r="C1187" s="568">
        <v>321.0</v>
      </c>
      <c r="D1187" s="557">
        <v>0.9846</v>
      </c>
      <c r="E1187" s="569">
        <v>54.36</v>
      </c>
      <c r="F1187" s="563">
        <v>19996.0</v>
      </c>
      <c r="G1187" s="557">
        <v>-1.0</v>
      </c>
      <c r="H1187" s="559"/>
      <c r="I1187" s="564">
        <v>12425.0</v>
      </c>
      <c r="J1187" s="565">
        <v>19996.0</v>
      </c>
      <c r="K1187" s="542"/>
      <c r="L1187" s="542"/>
      <c r="M1187" s="542"/>
    </row>
    <row r="1188">
      <c r="A1188" s="570"/>
      <c r="B1188" s="559" t="s">
        <v>145</v>
      </c>
      <c r="C1188" s="568">
        <v>298.0</v>
      </c>
      <c r="D1188" s="557">
        <v>1.0028</v>
      </c>
      <c r="E1188" s="569">
        <v>57.95</v>
      </c>
      <c r="F1188" s="563">
        <v>19985.0</v>
      </c>
      <c r="G1188" s="557">
        <v>-1.0</v>
      </c>
      <c r="H1188" s="559"/>
      <c r="I1188" s="564">
        <v>12418.0</v>
      </c>
      <c r="J1188" s="565">
        <v>19985.0</v>
      </c>
      <c r="K1188" s="542"/>
      <c r="L1188" s="542"/>
      <c r="M1188" s="542"/>
    </row>
    <row r="1189">
      <c r="A1189" s="570"/>
      <c r="B1189" s="559" t="s">
        <v>519</v>
      </c>
      <c r="C1189" s="568">
        <v>298.0</v>
      </c>
      <c r="D1189" s="557">
        <v>0.9932</v>
      </c>
      <c r="E1189" s="569">
        <v>44.93</v>
      </c>
      <c r="F1189" s="563">
        <v>19978.0</v>
      </c>
      <c r="G1189" s="557">
        <v>-1.0</v>
      </c>
      <c r="H1189" s="559"/>
      <c r="I1189" s="564">
        <v>12414.0</v>
      </c>
      <c r="J1189" s="565">
        <v>19978.0</v>
      </c>
      <c r="K1189" s="542"/>
      <c r="L1189" s="542"/>
      <c r="M1189" s="542"/>
    </row>
    <row r="1190">
      <c r="A1190" s="570"/>
      <c r="B1190" s="559" t="s">
        <v>715</v>
      </c>
      <c r="C1190" s="568">
        <v>307.0</v>
      </c>
      <c r="D1190" s="557">
        <v>0.9775</v>
      </c>
      <c r="E1190" s="569">
        <v>69.35</v>
      </c>
      <c r="F1190" s="563">
        <v>19859.0</v>
      </c>
      <c r="G1190" s="557">
        <v>-1.0</v>
      </c>
      <c r="H1190" s="559"/>
      <c r="I1190" s="564">
        <v>12340.0</v>
      </c>
      <c r="J1190" s="565">
        <v>19859.0</v>
      </c>
      <c r="K1190" s="542"/>
      <c r="L1190" s="542"/>
      <c r="M1190" s="542"/>
    </row>
    <row r="1191">
      <c r="A1191" s="570"/>
      <c r="B1191" s="557"/>
      <c r="C1191" s="557"/>
      <c r="D1191" s="557"/>
      <c r="E1191" s="557"/>
      <c r="F1191" s="563">
        <v>19800.0</v>
      </c>
      <c r="G1191" s="557"/>
      <c r="H1191" s="557">
        <v>0.9727691930024832</v>
      </c>
      <c r="I1191" s="564">
        <v>12303.0</v>
      </c>
      <c r="J1191" s="565">
        <v>19800.0</v>
      </c>
      <c r="K1191" s="542"/>
      <c r="L1191" s="542"/>
      <c r="M1191" s="542"/>
    </row>
    <row r="1192">
      <c r="A1192" s="570"/>
      <c r="B1192" s="559" t="s">
        <v>201</v>
      </c>
      <c r="C1192" s="568">
        <v>183.0</v>
      </c>
      <c r="D1192" s="557">
        <v>0.9649</v>
      </c>
      <c r="E1192" s="569">
        <v>42.4</v>
      </c>
      <c r="F1192" s="563">
        <v>19800.0</v>
      </c>
      <c r="G1192" s="557"/>
      <c r="H1192" s="559"/>
      <c r="I1192" s="564">
        <v>12303.0</v>
      </c>
      <c r="J1192" s="565">
        <v>19800.0</v>
      </c>
      <c r="K1192" s="542"/>
      <c r="L1192" s="542"/>
      <c r="M1192" s="542"/>
    </row>
    <row r="1193">
      <c r="A1193" s="570"/>
      <c r="B1193" s="559" t="s">
        <v>155</v>
      </c>
      <c r="C1193" s="568">
        <v>373.0</v>
      </c>
      <c r="D1193" s="557">
        <v>0.9961</v>
      </c>
      <c r="E1193" s="569">
        <v>70.2</v>
      </c>
      <c r="F1193" s="563">
        <v>19700.0</v>
      </c>
      <c r="G1193" s="557"/>
      <c r="H1193" s="559"/>
      <c r="I1193" s="564">
        <v>12241.0</v>
      </c>
      <c r="J1193" s="565">
        <v>19700.0</v>
      </c>
      <c r="K1193" s="542"/>
      <c r="L1193" s="542"/>
      <c r="M1193" s="542"/>
    </row>
    <row r="1194">
      <c r="A1194" s="570"/>
      <c r="B1194" s="559" t="s">
        <v>1632</v>
      </c>
      <c r="C1194" s="568">
        <v>466.0</v>
      </c>
      <c r="D1194" s="557">
        <v>0.9714</v>
      </c>
      <c r="E1194" s="569">
        <v>56.21</v>
      </c>
      <c r="F1194" s="563">
        <v>19700.0</v>
      </c>
      <c r="G1194" s="557"/>
      <c r="H1194" s="559"/>
      <c r="I1194" s="564">
        <v>12241.0</v>
      </c>
      <c r="J1194" s="565">
        <v>19700.0</v>
      </c>
      <c r="K1194" s="542"/>
      <c r="L1194" s="542"/>
      <c r="M1194" s="542"/>
    </row>
    <row r="1195">
      <c r="A1195" s="570"/>
      <c r="B1195" s="559" t="s">
        <v>428</v>
      </c>
      <c r="C1195" s="568">
        <v>424.0</v>
      </c>
      <c r="D1195" s="557">
        <v>0.9941</v>
      </c>
      <c r="E1195" s="569">
        <v>51.96</v>
      </c>
      <c r="F1195" s="563">
        <v>19692.0</v>
      </c>
      <c r="G1195" s="557">
        <v>-1.0</v>
      </c>
      <c r="H1195" s="559"/>
      <c r="I1195" s="564">
        <v>12236.0</v>
      </c>
      <c r="J1195" s="565">
        <v>19692.0</v>
      </c>
      <c r="K1195" s="542"/>
      <c r="L1195" s="542"/>
      <c r="M1195" s="542"/>
    </row>
    <row r="1196">
      <c r="A1196" s="570"/>
      <c r="B1196" s="559" t="s">
        <v>138</v>
      </c>
      <c r="C1196" s="568">
        <v>487.0</v>
      </c>
      <c r="D1196" s="557">
        <v>0.9965</v>
      </c>
      <c r="E1196" s="569">
        <v>53.59</v>
      </c>
      <c r="F1196" s="563">
        <v>19550.0</v>
      </c>
      <c r="G1196" s="557">
        <v>-1.0</v>
      </c>
      <c r="H1196" s="559"/>
      <c r="I1196" s="564">
        <v>12148.0</v>
      </c>
      <c r="J1196" s="565">
        <v>19550.0</v>
      </c>
      <c r="K1196" s="542"/>
      <c r="L1196" s="542"/>
      <c r="M1196" s="542"/>
    </row>
    <row r="1197">
      <c r="A1197" s="570"/>
      <c r="B1197" s="559" t="s">
        <v>761</v>
      </c>
      <c r="C1197" s="568">
        <v>218.0</v>
      </c>
      <c r="D1197" s="557">
        <v>0.9583</v>
      </c>
      <c r="E1197" s="569">
        <v>59.84</v>
      </c>
      <c r="F1197" s="563">
        <v>19321.0</v>
      </c>
      <c r="G1197" s="557"/>
      <c r="H1197" s="559"/>
      <c r="I1197" s="564">
        <v>12006.0</v>
      </c>
      <c r="J1197" s="565">
        <v>19321.0</v>
      </c>
      <c r="K1197" s="542"/>
      <c r="L1197" s="542"/>
      <c r="M1197" s="542"/>
    </row>
    <row r="1198">
      <c r="A1198" s="570"/>
      <c r="B1198" s="559" t="s">
        <v>253</v>
      </c>
      <c r="C1198" s="568">
        <v>276.0</v>
      </c>
      <c r="D1198" s="557">
        <v>0.9777</v>
      </c>
      <c r="E1198" s="569">
        <v>49.18</v>
      </c>
      <c r="F1198" s="563">
        <v>19312.0</v>
      </c>
      <c r="G1198" s="557">
        <v>-1.0</v>
      </c>
      <c r="H1198" s="559"/>
      <c r="I1198" s="564">
        <v>12000.0</v>
      </c>
      <c r="J1198" s="565">
        <v>19312.0</v>
      </c>
      <c r="K1198" s="542"/>
      <c r="L1198" s="542"/>
      <c r="M1198" s="542"/>
    </row>
    <row r="1199">
      <c r="A1199" s="570"/>
      <c r="B1199" s="559" t="s">
        <v>1560</v>
      </c>
      <c r="C1199" s="568">
        <v>313.0</v>
      </c>
      <c r="D1199" s="557">
        <v>0.9644</v>
      </c>
      <c r="E1199" s="569">
        <v>57.85</v>
      </c>
      <c r="F1199" s="563">
        <v>19308.0</v>
      </c>
      <c r="G1199" s="557"/>
      <c r="H1199" s="559"/>
      <c r="I1199" s="564">
        <v>11997.0</v>
      </c>
      <c r="J1199" s="565">
        <v>19308.0</v>
      </c>
      <c r="K1199" s="542"/>
      <c r="L1199" s="542"/>
      <c r="M1199" s="542"/>
    </row>
    <row r="1200">
      <c r="A1200" s="570"/>
      <c r="B1200" s="557"/>
      <c r="C1200" s="557"/>
      <c r="D1200" s="557"/>
      <c r="E1200" s="557"/>
      <c r="F1200" s="563">
        <v>19300.0</v>
      </c>
      <c r="G1200" s="557"/>
      <c r="H1200" s="557">
        <v>0.9732202733523346</v>
      </c>
      <c r="I1200" s="564">
        <v>11992.0</v>
      </c>
      <c r="J1200" s="565">
        <v>19300.0</v>
      </c>
      <c r="K1200" s="542"/>
      <c r="L1200" s="542"/>
      <c r="M1200" s="542"/>
    </row>
    <row r="1201">
      <c r="A1201" s="570"/>
      <c r="B1201" s="559" t="s">
        <v>1783</v>
      </c>
      <c r="C1201" s="568">
        <v>188.0</v>
      </c>
      <c r="D1201" s="557">
        <v>0.9619</v>
      </c>
      <c r="E1201" s="569">
        <v>57.66</v>
      </c>
      <c r="F1201" s="563">
        <v>19225.0</v>
      </c>
      <c r="G1201" s="557"/>
      <c r="H1201" s="559"/>
      <c r="I1201" s="564">
        <v>11946.0</v>
      </c>
      <c r="J1201" s="565">
        <v>19225.0</v>
      </c>
      <c r="K1201" s="542"/>
      <c r="L1201" s="542"/>
      <c r="M1201" s="542"/>
    </row>
    <row r="1202">
      <c r="A1202" s="570"/>
      <c r="B1202" s="559" t="s">
        <v>761</v>
      </c>
      <c r="C1202" s="568">
        <v>218.0</v>
      </c>
      <c r="D1202" s="557">
        <v>0.9559</v>
      </c>
      <c r="E1202" s="569">
        <v>59.2</v>
      </c>
      <c r="F1202" s="563">
        <v>19091.0</v>
      </c>
      <c r="G1202" s="557"/>
      <c r="H1202" s="559"/>
      <c r="I1202" s="564">
        <v>11863.0</v>
      </c>
      <c r="J1202" s="565">
        <v>19091.0</v>
      </c>
      <c r="K1202" s="542"/>
      <c r="L1202" s="542"/>
      <c r="M1202" s="542"/>
    </row>
    <row r="1203">
      <c r="A1203" s="570"/>
      <c r="B1203" s="559" t="s">
        <v>513</v>
      </c>
      <c r="C1203" s="568">
        <v>178.0</v>
      </c>
      <c r="D1203" s="557">
        <v>0.9847</v>
      </c>
      <c r="E1203" s="569">
        <v>57.62</v>
      </c>
      <c r="F1203" s="563">
        <v>19015.0</v>
      </c>
      <c r="G1203" s="557"/>
      <c r="H1203" s="559"/>
      <c r="I1203" s="564">
        <v>11815.0</v>
      </c>
      <c r="J1203" s="565">
        <v>19015.0</v>
      </c>
      <c r="K1203" s="542"/>
      <c r="L1203" s="542"/>
      <c r="M1203" s="542"/>
    </row>
    <row r="1204">
      <c r="A1204" s="570"/>
      <c r="B1204" s="559" t="s">
        <v>1460</v>
      </c>
      <c r="C1204" s="568">
        <v>495.0</v>
      </c>
      <c r="D1204" s="557">
        <v>0.9724</v>
      </c>
      <c r="E1204" s="569">
        <v>48.5</v>
      </c>
      <c r="F1204" s="563">
        <v>19000.0</v>
      </c>
      <c r="G1204" s="557"/>
      <c r="H1204" s="559"/>
      <c r="I1204" s="564">
        <v>11806.0</v>
      </c>
      <c r="J1204" s="565">
        <v>19000.0</v>
      </c>
      <c r="K1204" s="542"/>
      <c r="L1204" s="542"/>
      <c r="M1204" s="542"/>
    </row>
    <row r="1205">
      <c r="A1205" s="570"/>
      <c r="B1205" s="559" t="s">
        <v>1882</v>
      </c>
      <c r="C1205" s="568">
        <v>226.0</v>
      </c>
      <c r="D1205" s="557">
        <v>0.9683</v>
      </c>
      <c r="E1205" s="569">
        <v>57.82</v>
      </c>
      <c r="F1205" s="563">
        <v>19000.0</v>
      </c>
      <c r="G1205" s="557"/>
      <c r="H1205" s="559"/>
      <c r="I1205" s="564">
        <v>11806.0</v>
      </c>
      <c r="J1205" s="565">
        <v>19000.0</v>
      </c>
      <c r="K1205" s="542"/>
      <c r="L1205" s="542"/>
      <c r="M1205" s="542"/>
    </row>
    <row r="1206">
      <c r="A1206" s="570"/>
      <c r="B1206" s="557"/>
      <c r="C1206" s="557"/>
      <c r="D1206" s="557"/>
      <c r="E1206" s="557"/>
      <c r="F1206" s="563">
        <v>18800.0</v>
      </c>
      <c r="G1206" s="557"/>
      <c r="H1206" s="557">
        <v>0.9736802535784607</v>
      </c>
      <c r="I1206" s="564">
        <v>11682.0</v>
      </c>
      <c r="J1206" s="565">
        <v>18800.0</v>
      </c>
      <c r="K1206" s="542"/>
      <c r="L1206" s="542"/>
      <c r="M1206" s="542"/>
    </row>
    <row r="1207">
      <c r="A1207" s="570"/>
      <c r="B1207" s="559" t="s">
        <v>288</v>
      </c>
      <c r="C1207" s="568">
        <v>355.0</v>
      </c>
      <c r="D1207" s="557">
        <v>0.9531</v>
      </c>
      <c r="E1207" s="569">
        <v>72.39</v>
      </c>
      <c r="F1207" s="563">
        <v>18793.0</v>
      </c>
      <c r="G1207" s="557"/>
      <c r="H1207" s="559"/>
      <c r="I1207" s="564">
        <v>11677.0</v>
      </c>
      <c r="J1207" s="565">
        <v>18793.0</v>
      </c>
      <c r="K1207" s="542"/>
      <c r="L1207" s="542"/>
      <c r="M1207" s="542"/>
    </row>
    <row r="1208">
      <c r="A1208" s="570"/>
      <c r="B1208" s="559" t="s">
        <v>1637</v>
      </c>
      <c r="C1208" s="568">
        <v>149.0</v>
      </c>
      <c r="D1208" s="557">
        <v>0.9877</v>
      </c>
      <c r="E1208" s="569">
        <v>61.89</v>
      </c>
      <c r="F1208" s="563">
        <v>18723.0</v>
      </c>
      <c r="G1208" s="557"/>
      <c r="H1208" s="559"/>
      <c r="I1208" s="564">
        <v>11634.0</v>
      </c>
      <c r="J1208" s="565">
        <v>18723.0</v>
      </c>
      <c r="K1208" s="542"/>
      <c r="L1208" s="542"/>
      <c r="M1208" s="542"/>
    </row>
    <row r="1209">
      <c r="A1209" s="570"/>
      <c r="B1209" s="559" t="s">
        <v>1127</v>
      </c>
      <c r="C1209" s="568">
        <v>69.0</v>
      </c>
      <c r="D1209" s="557">
        <v>0.9373</v>
      </c>
      <c r="E1209" s="569">
        <v>51.43</v>
      </c>
      <c r="F1209" s="563">
        <v>18650.0</v>
      </c>
      <c r="G1209" s="557"/>
      <c r="H1209" s="559"/>
      <c r="I1209" s="564">
        <v>11589.0</v>
      </c>
      <c r="J1209" s="565">
        <v>18650.0</v>
      </c>
      <c r="K1209" s="542"/>
      <c r="L1209" s="542"/>
      <c r="M1209" s="542"/>
    </row>
    <row r="1210">
      <c r="A1210" s="570"/>
      <c r="B1210" s="559" t="s">
        <v>1741</v>
      </c>
      <c r="C1210" s="568">
        <v>133.0</v>
      </c>
      <c r="D1210" s="557">
        <v>0.9255</v>
      </c>
      <c r="E1210" s="569">
        <v>51.25</v>
      </c>
      <c r="F1210" s="563">
        <v>18650.0</v>
      </c>
      <c r="G1210" s="557"/>
      <c r="H1210" s="559"/>
      <c r="I1210" s="564">
        <v>11589.0</v>
      </c>
      <c r="J1210" s="565">
        <v>18650.0</v>
      </c>
      <c r="K1210" s="542"/>
      <c r="L1210" s="542"/>
      <c r="M1210" s="542"/>
    </row>
    <row r="1211">
      <c r="A1211" s="570"/>
      <c r="B1211" s="559" t="s">
        <v>717</v>
      </c>
      <c r="C1211" s="568">
        <v>180.0</v>
      </c>
      <c r="D1211" s="557">
        <v>0.9975</v>
      </c>
      <c r="E1211" s="569">
        <v>47.37</v>
      </c>
      <c r="F1211" s="563">
        <v>18610.0</v>
      </c>
      <c r="G1211" s="557"/>
      <c r="H1211" s="559"/>
      <c r="I1211" s="564">
        <v>11564.0</v>
      </c>
      <c r="J1211" s="565">
        <v>18610.0</v>
      </c>
      <c r="K1211" s="542"/>
      <c r="L1211" s="542"/>
      <c r="M1211" s="542"/>
    </row>
    <row r="1212">
      <c r="A1212" s="570"/>
      <c r="B1212" s="559" t="s">
        <v>1628</v>
      </c>
      <c r="C1212" s="568">
        <v>220.0</v>
      </c>
      <c r="D1212" s="557">
        <v>0.9723</v>
      </c>
      <c r="E1212" s="569">
        <v>49.13</v>
      </c>
      <c r="F1212" s="563">
        <v>18602.0</v>
      </c>
      <c r="G1212" s="557"/>
      <c r="H1212" s="559"/>
      <c r="I1212" s="564">
        <v>11559.0</v>
      </c>
      <c r="J1212" s="565">
        <v>18602.0</v>
      </c>
      <c r="K1212" s="542"/>
      <c r="L1212" s="542"/>
      <c r="M1212" s="542"/>
    </row>
    <row r="1213">
      <c r="A1213" s="570"/>
      <c r="B1213" s="559" t="s">
        <v>739</v>
      </c>
      <c r="C1213" s="568">
        <v>264.0</v>
      </c>
      <c r="D1213" s="557">
        <v>0.9558</v>
      </c>
      <c r="E1213" s="569">
        <v>48.27</v>
      </c>
      <c r="F1213" s="563">
        <v>18565.0</v>
      </c>
      <c r="G1213" s="557">
        <v>-1.0</v>
      </c>
      <c r="H1213" s="559"/>
      <c r="I1213" s="564">
        <v>11536.0</v>
      </c>
      <c r="J1213" s="565">
        <v>18565.0</v>
      </c>
      <c r="K1213" s="542"/>
      <c r="L1213" s="542"/>
      <c r="M1213" s="542"/>
    </row>
    <row r="1214">
      <c r="A1214" s="570"/>
      <c r="B1214" s="559" t="s">
        <v>344</v>
      </c>
      <c r="C1214" s="568">
        <v>191.0</v>
      </c>
      <c r="D1214" s="557">
        <v>0.9411</v>
      </c>
      <c r="E1214" s="569">
        <v>51.68</v>
      </c>
      <c r="F1214" s="563">
        <v>18507.0</v>
      </c>
      <c r="G1214" s="557">
        <v>-1.0</v>
      </c>
      <c r="H1214" s="559"/>
      <c r="I1214" s="564">
        <v>11500.0</v>
      </c>
      <c r="J1214" s="565">
        <v>18507.0</v>
      </c>
      <c r="K1214" s="542"/>
      <c r="L1214" s="542"/>
      <c r="M1214" s="542"/>
    </row>
    <row r="1215">
      <c r="A1215" s="570"/>
      <c r="B1215" s="559" t="s">
        <v>241</v>
      </c>
      <c r="C1215" s="568">
        <v>214.0</v>
      </c>
      <c r="D1215" s="557">
        <v>0.967</v>
      </c>
      <c r="E1215" s="569">
        <v>58.26</v>
      </c>
      <c r="F1215" s="563">
        <v>18500.0</v>
      </c>
      <c r="G1215" s="557"/>
      <c r="H1215" s="559"/>
      <c r="I1215" s="564">
        <v>11495.0</v>
      </c>
      <c r="J1215" s="565">
        <v>18500.0</v>
      </c>
      <c r="K1215" s="542"/>
      <c r="L1215" s="542"/>
      <c r="M1215" s="542"/>
    </row>
    <row r="1216">
      <c r="A1216" s="570"/>
      <c r="B1216" s="559" t="s">
        <v>1646</v>
      </c>
      <c r="C1216" s="568">
        <v>120.0</v>
      </c>
      <c r="D1216" s="557">
        <v>1.0009</v>
      </c>
      <c r="E1216" s="569">
        <v>53.45</v>
      </c>
      <c r="F1216" s="563">
        <v>18500.0</v>
      </c>
      <c r="G1216" s="557"/>
      <c r="H1216" s="559"/>
      <c r="I1216" s="564">
        <v>11495.0</v>
      </c>
      <c r="J1216" s="565">
        <v>18500.0</v>
      </c>
      <c r="K1216" s="542"/>
      <c r="L1216" s="542"/>
      <c r="M1216" s="542"/>
    </row>
    <row r="1217">
      <c r="A1217" s="570"/>
      <c r="B1217" s="559" t="s">
        <v>878</v>
      </c>
      <c r="C1217" s="568">
        <v>144.0</v>
      </c>
      <c r="D1217" s="557">
        <v>0.9875</v>
      </c>
      <c r="E1217" s="569">
        <v>57.98</v>
      </c>
      <c r="F1217" s="563">
        <v>18450.0</v>
      </c>
      <c r="G1217" s="557"/>
      <c r="H1217" s="559"/>
      <c r="I1217" s="564">
        <v>11464.0</v>
      </c>
      <c r="J1217" s="565">
        <v>18450.0</v>
      </c>
      <c r="K1217" s="542"/>
      <c r="L1217" s="542"/>
      <c r="M1217" s="542"/>
    </row>
    <row r="1218">
      <c r="A1218" s="570"/>
      <c r="B1218" s="559" t="s">
        <v>640</v>
      </c>
      <c r="C1218" s="568">
        <v>258.0</v>
      </c>
      <c r="D1218" s="557">
        <v>0.9695</v>
      </c>
      <c r="E1218" s="569">
        <v>53.81</v>
      </c>
      <c r="F1218" s="563">
        <v>18412.0</v>
      </c>
      <c r="G1218" s="557"/>
      <c r="H1218" s="559"/>
      <c r="I1218" s="564">
        <v>11441.0</v>
      </c>
      <c r="J1218" s="565">
        <v>18412.0</v>
      </c>
      <c r="K1218" s="542"/>
      <c r="L1218" s="542"/>
      <c r="M1218" s="542"/>
    </row>
    <row r="1219">
      <c r="A1219" s="570"/>
      <c r="B1219" s="559" t="s">
        <v>348</v>
      </c>
      <c r="C1219" s="568">
        <v>193.0</v>
      </c>
      <c r="D1219" s="557">
        <v>0.9797</v>
      </c>
      <c r="E1219" s="569">
        <v>62.94</v>
      </c>
      <c r="F1219" s="563">
        <v>18355.0</v>
      </c>
      <c r="G1219" s="557"/>
      <c r="H1219" s="559"/>
      <c r="I1219" s="564">
        <v>11405.0</v>
      </c>
      <c r="J1219" s="565">
        <v>18355.0</v>
      </c>
      <c r="K1219" s="542"/>
      <c r="L1219" s="542"/>
      <c r="M1219" s="542"/>
    </row>
    <row r="1220">
      <c r="A1220" s="570"/>
      <c r="B1220" s="557"/>
      <c r="C1220" s="557"/>
      <c r="D1220" s="557"/>
      <c r="E1220" s="557"/>
      <c r="F1220" s="563">
        <v>18300.0</v>
      </c>
      <c r="G1220" s="557"/>
      <c r="H1220" s="557">
        <v>0.9741493460784468</v>
      </c>
      <c r="I1220" s="564">
        <v>11371.0</v>
      </c>
      <c r="J1220" s="565">
        <v>18300.0</v>
      </c>
      <c r="K1220" s="542"/>
      <c r="L1220" s="542"/>
      <c r="M1220" s="542"/>
    </row>
    <row r="1221">
      <c r="A1221" s="570"/>
      <c r="B1221" s="559" t="s">
        <v>1703</v>
      </c>
      <c r="C1221" s="568">
        <v>247.0</v>
      </c>
      <c r="D1221" s="557">
        <v>0.996</v>
      </c>
      <c r="E1221" s="569">
        <v>55.71</v>
      </c>
      <c r="F1221" s="563">
        <v>18300.0</v>
      </c>
      <c r="G1221" s="557"/>
      <c r="H1221" s="559"/>
      <c r="I1221" s="564">
        <v>11371.0</v>
      </c>
      <c r="J1221" s="565">
        <v>18300.0</v>
      </c>
      <c r="K1221" s="542"/>
      <c r="L1221" s="542"/>
      <c r="M1221" s="542"/>
    </row>
    <row r="1222">
      <c r="A1222" s="570"/>
      <c r="B1222" s="559" t="s">
        <v>761</v>
      </c>
      <c r="C1222" s="568">
        <v>205.0</v>
      </c>
      <c r="D1222" s="557">
        <v>0.9632</v>
      </c>
      <c r="E1222" s="569">
        <v>56.47</v>
      </c>
      <c r="F1222" s="563">
        <v>18278.0</v>
      </c>
      <c r="G1222" s="557"/>
      <c r="H1222" s="559"/>
      <c r="I1222" s="564">
        <v>11357.0</v>
      </c>
      <c r="J1222" s="565">
        <v>18278.0</v>
      </c>
      <c r="K1222" s="542"/>
      <c r="L1222" s="542"/>
      <c r="M1222" s="542"/>
    </row>
    <row r="1223">
      <c r="A1223" s="570"/>
      <c r="B1223" s="559" t="s">
        <v>331</v>
      </c>
      <c r="C1223" s="568">
        <v>150.0</v>
      </c>
      <c r="D1223" s="557">
        <v>0.9844</v>
      </c>
      <c r="E1223" s="569">
        <v>54.96</v>
      </c>
      <c r="F1223" s="563">
        <v>18232.0</v>
      </c>
      <c r="G1223" s="557">
        <v>-1.0</v>
      </c>
      <c r="H1223" s="559"/>
      <c r="I1223" s="564">
        <v>11329.0</v>
      </c>
      <c r="J1223" s="565">
        <v>18232.0</v>
      </c>
      <c r="K1223" s="542"/>
      <c r="L1223" s="542"/>
      <c r="M1223" s="542"/>
    </row>
    <row r="1224">
      <c r="A1224" s="570"/>
      <c r="B1224" s="559" t="s">
        <v>192</v>
      </c>
      <c r="C1224" s="568">
        <v>300.0</v>
      </c>
      <c r="D1224" s="557">
        <v>0.9645</v>
      </c>
      <c r="E1224" s="569">
        <v>59.31</v>
      </c>
      <c r="F1224" s="563">
        <v>18200.0</v>
      </c>
      <c r="G1224" s="557"/>
      <c r="H1224" s="559"/>
      <c r="I1224" s="564">
        <v>11309.0</v>
      </c>
      <c r="J1224" s="565">
        <v>18200.0</v>
      </c>
      <c r="K1224" s="542"/>
      <c r="L1224" s="542"/>
      <c r="M1224" s="542"/>
    </row>
    <row r="1225">
      <c r="A1225" s="570"/>
      <c r="B1225" s="559" t="s">
        <v>772</v>
      </c>
      <c r="C1225" s="568">
        <v>239.0</v>
      </c>
      <c r="D1225" s="557">
        <v>0.9542</v>
      </c>
      <c r="E1225" s="569">
        <v>57.91</v>
      </c>
      <c r="F1225" s="563">
        <v>18108.0</v>
      </c>
      <c r="G1225" s="557">
        <v>-1.0</v>
      </c>
      <c r="H1225" s="559"/>
      <c r="I1225" s="564">
        <v>11252.0</v>
      </c>
      <c r="J1225" s="565">
        <v>18108.0</v>
      </c>
      <c r="K1225" s="542"/>
      <c r="L1225" s="542"/>
      <c r="M1225" s="542"/>
    </row>
    <row r="1226">
      <c r="A1226" s="570"/>
      <c r="B1226" s="559" t="s">
        <v>589</v>
      </c>
      <c r="C1226" s="568">
        <v>359.0</v>
      </c>
      <c r="D1226" s="557">
        <v>0.962</v>
      </c>
      <c r="E1226" s="569">
        <v>51.39</v>
      </c>
      <c r="F1226" s="563">
        <v>18000.0</v>
      </c>
      <c r="G1226" s="557"/>
      <c r="H1226" s="559"/>
      <c r="I1226" s="564">
        <v>11185.0</v>
      </c>
      <c r="J1226" s="565">
        <v>18000.0</v>
      </c>
      <c r="K1226" s="542"/>
      <c r="L1226" s="542"/>
      <c r="M1226" s="542"/>
    </row>
    <row r="1227">
      <c r="A1227" s="570"/>
      <c r="B1227" s="559" t="s">
        <v>761</v>
      </c>
      <c r="C1227" s="568">
        <v>205.0</v>
      </c>
      <c r="D1227" s="557">
        <v>0.9608</v>
      </c>
      <c r="E1227" s="569">
        <v>55.58</v>
      </c>
      <c r="F1227" s="563">
        <v>17968.0</v>
      </c>
      <c r="G1227" s="557"/>
      <c r="H1227" s="559"/>
      <c r="I1227" s="564">
        <v>11165.0</v>
      </c>
      <c r="J1227" s="565">
        <v>17968.0</v>
      </c>
      <c r="K1227" s="542"/>
      <c r="L1227" s="542"/>
      <c r="M1227" s="542"/>
    </row>
    <row r="1228">
      <c r="A1228" s="570"/>
      <c r="B1228" s="559" t="s">
        <v>1789</v>
      </c>
      <c r="C1228" s="568">
        <v>219.0</v>
      </c>
      <c r="D1228" s="557">
        <v>1.0037</v>
      </c>
      <c r="E1228" s="569">
        <v>40.35</v>
      </c>
      <c r="F1228" s="563">
        <v>17966.0</v>
      </c>
      <c r="G1228" s="557"/>
      <c r="H1228" s="559"/>
      <c r="I1228" s="564">
        <v>11164.0</v>
      </c>
      <c r="J1228" s="565">
        <v>17966.0</v>
      </c>
      <c r="K1228" s="542"/>
      <c r="L1228" s="542"/>
      <c r="M1228" s="542"/>
    </row>
    <row r="1229">
      <c r="A1229" s="570"/>
      <c r="B1229" s="559" t="s">
        <v>569</v>
      </c>
      <c r="C1229" s="568">
        <v>93.0</v>
      </c>
      <c r="D1229" s="557">
        <v>0.9982</v>
      </c>
      <c r="E1229" s="569">
        <v>53.96</v>
      </c>
      <c r="F1229" s="563">
        <v>17870.0</v>
      </c>
      <c r="G1229" s="557">
        <v>-1.0</v>
      </c>
      <c r="H1229" s="559"/>
      <c r="I1229" s="564">
        <v>11104.0</v>
      </c>
      <c r="J1229" s="565">
        <v>17870.0</v>
      </c>
      <c r="K1229" s="542"/>
      <c r="L1229" s="542"/>
      <c r="M1229" s="542"/>
    </row>
    <row r="1230">
      <c r="A1230" s="570"/>
      <c r="B1230" s="559" t="s">
        <v>761</v>
      </c>
      <c r="C1230" s="568">
        <v>205.0</v>
      </c>
      <c r="D1230" s="557">
        <v>0.9608</v>
      </c>
      <c r="E1230" s="569">
        <v>55.26</v>
      </c>
      <c r="F1230" s="563">
        <v>17865.0</v>
      </c>
      <c r="G1230" s="557"/>
      <c r="H1230" s="559"/>
      <c r="I1230" s="564">
        <v>11101.0</v>
      </c>
      <c r="J1230" s="565">
        <v>17865.0</v>
      </c>
      <c r="K1230" s="542"/>
      <c r="L1230" s="542"/>
      <c r="M1230" s="542"/>
    </row>
    <row r="1231">
      <c r="A1231" s="570"/>
      <c r="B1231" s="557"/>
      <c r="C1231" s="557"/>
      <c r="D1231" s="557"/>
      <c r="E1231" s="557"/>
      <c r="F1231" s="563">
        <v>17800.0</v>
      </c>
      <c r="G1231" s="557"/>
      <c r="H1231" s="557">
        <v>0.9746277683187956</v>
      </c>
      <c r="I1231" s="564">
        <v>11060.0</v>
      </c>
      <c r="J1231" s="565">
        <v>17800.0</v>
      </c>
      <c r="K1231" s="542"/>
      <c r="L1231" s="542"/>
      <c r="M1231" s="542"/>
    </row>
    <row r="1232">
      <c r="A1232" s="570"/>
      <c r="B1232" s="559" t="s">
        <v>218</v>
      </c>
      <c r="C1232" s="568">
        <v>306.0</v>
      </c>
      <c r="D1232" s="557">
        <v>0.9772</v>
      </c>
      <c r="E1232" s="569">
        <v>50.89</v>
      </c>
      <c r="F1232" s="563">
        <v>17800.0</v>
      </c>
      <c r="G1232" s="557"/>
      <c r="H1232" s="559"/>
      <c r="I1232" s="564">
        <v>11060.0</v>
      </c>
      <c r="J1232" s="565">
        <v>17800.0</v>
      </c>
      <c r="K1232" s="542"/>
      <c r="L1232" s="542"/>
      <c r="M1232" s="542"/>
    </row>
    <row r="1233">
      <c r="A1233" s="570"/>
      <c r="B1233" s="559" t="s">
        <v>1627</v>
      </c>
      <c r="C1233" s="568">
        <v>295.0</v>
      </c>
      <c r="D1233" s="557">
        <v>0.9671</v>
      </c>
      <c r="E1233" s="569">
        <v>57.36</v>
      </c>
      <c r="F1233" s="563">
        <v>17800.0</v>
      </c>
      <c r="G1233" s="557"/>
      <c r="H1233" s="559"/>
      <c r="I1233" s="564">
        <v>11060.0</v>
      </c>
      <c r="J1233" s="565">
        <v>17800.0</v>
      </c>
      <c r="K1233" s="542"/>
      <c r="L1233" s="542"/>
      <c r="M1233" s="542"/>
    </row>
    <row r="1234">
      <c r="A1234" s="570"/>
      <c r="B1234" s="559" t="s">
        <v>565</v>
      </c>
      <c r="C1234" s="568">
        <v>244.0</v>
      </c>
      <c r="D1234" s="557">
        <v>1.0201</v>
      </c>
      <c r="E1234" s="569">
        <v>42.03</v>
      </c>
      <c r="F1234" s="563">
        <v>17703.0</v>
      </c>
      <c r="G1234" s="557">
        <v>-1.0</v>
      </c>
      <c r="H1234" s="559"/>
      <c r="I1234" s="564">
        <v>11000.0</v>
      </c>
      <c r="J1234" s="565">
        <v>17703.0</v>
      </c>
      <c r="K1234" s="542"/>
      <c r="L1234" s="542"/>
      <c r="M1234" s="542"/>
    </row>
    <row r="1235">
      <c r="A1235" s="570"/>
      <c r="B1235" s="559" t="s">
        <v>617</v>
      </c>
      <c r="C1235" s="568">
        <v>203.0</v>
      </c>
      <c r="D1235" s="557">
        <v>0.9868</v>
      </c>
      <c r="E1235" s="569">
        <v>37.62</v>
      </c>
      <c r="F1235" s="563">
        <v>17505.0</v>
      </c>
      <c r="G1235" s="557">
        <v>-1.0</v>
      </c>
      <c r="H1235" s="559"/>
      <c r="I1235" s="564">
        <v>10877.0</v>
      </c>
      <c r="J1235" s="565">
        <v>17505.0</v>
      </c>
      <c r="K1235" s="542"/>
      <c r="L1235" s="542"/>
      <c r="M1235" s="542"/>
    </row>
    <row r="1236">
      <c r="A1236" s="570"/>
      <c r="B1236" s="559" t="s">
        <v>513</v>
      </c>
      <c r="C1236" s="568">
        <v>172.0</v>
      </c>
      <c r="D1236" s="557">
        <v>0.9847</v>
      </c>
      <c r="E1236" s="569">
        <v>53.03</v>
      </c>
      <c r="F1236" s="563">
        <v>17500.0</v>
      </c>
      <c r="G1236" s="557"/>
      <c r="H1236" s="559"/>
      <c r="I1236" s="564">
        <v>10874.0</v>
      </c>
      <c r="J1236" s="565">
        <v>17500.0</v>
      </c>
      <c r="K1236" s="542"/>
      <c r="L1236" s="542"/>
      <c r="M1236" s="542"/>
    </row>
    <row r="1237">
      <c r="A1237" s="570"/>
      <c r="B1237" s="559" t="s">
        <v>1703</v>
      </c>
      <c r="C1237" s="568">
        <v>239.0</v>
      </c>
      <c r="D1237" s="557">
        <v>1.0016</v>
      </c>
      <c r="E1237" s="569">
        <v>53.38</v>
      </c>
      <c r="F1237" s="563">
        <v>17500.0</v>
      </c>
      <c r="G1237" s="557"/>
      <c r="H1237" s="559"/>
      <c r="I1237" s="564">
        <v>10874.0</v>
      </c>
      <c r="J1237" s="565">
        <v>17500.0</v>
      </c>
      <c r="K1237" s="542"/>
      <c r="L1237" s="542"/>
      <c r="M1237" s="542"/>
    </row>
    <row r="1238">
      <c r="A1238" s="570"/>
      <c r="B1238" s="559" t="s">
        <v>1878</v>
      </c>
      <c r="C1238" s="568">
        <v>230.0</v>
      </c>
      <c r="D1238" s="557">
        <v>0.9891</v>
      </c>
      <c r="E1238" s="569">
        <v>52.23</v>
      </c>
      <c r="F1238" s="563">
        <v>17500.0</v>
      </c>
      <c r="G1238" s="557"/>
      <c r="H1238" s="559"/>
      <c r="I1238" s="564">
        <v>10874.0</v>
      </c>
      <c r="J1238" s="565">
        <v>17500.0</v>
      </c>
      <c r="K1238" s="542"/>
      <c r="L1238" s="542"/>
      <c r="M1238" s="542"/>
    </row>
    <row r="1239">
      <c r="A1239" s="570"/>
      <c r="B1239" s="559" t="s">
        <v>454</v>
      </c>
      <c r="C1239" s="568">
        <v>244.0</v>
      </c>
      <c r="D1239" s="557">
        <v>0.9656</v>
      </c>
      <c r="E1239" s="569">
        <v>45.47</v>
      </c>
      <c r="F1239" s="563">
        <v>17349.0</v>
      </c>
      <c r="G1239" s="557">
        <v>-1.0</v>
      </c>
      <c r="H1239" s="559"/>
      <c r="I1239" s="564">
        <v>10780.0</v>
      </c>
      <c r="J1239" s="565">
        <v>17349.0</v>
      </c>
      <c r="K1239" s="542"/>
      <c r="L1239" s="542"/>
      <c r="M1239" s="542"/>
    </row>
    <row r="1240">
      <c r="A1240" s="570"/>
      <c r="B1240" s="559" t="s">
        <v>1726</v>
      </c>
      <c r="C1240" s="568">
        <v>172.0</v>
      </c>
      <c r="D1240" s="557">
        <v>0.9701</v>
      </c>
      <c r="E1240" s="569">
        <v>53.33</v>
      </c>
      <c r="F1240" s="563">
        <v>17326.0</v>
      </c>
      <c r="G1240" s="557"/>
      <c r="H1240" s="559"/>
      <c r="I1240" s="564">
        <v>10766.0</v>
      </c>
      <c r="J1240" s="565">
        <v>17326.0</v>
      </c>
      <c r="K1240" s="542"/>
      <c r="L1240" s="542"/>
      <c r="M1240" s="542"/>
    </row>
    <row r="1241">
      <c r="A1241" s="570"/>
      <c r="B1241" s="557"/>
      <c r="C1241" s="557"/>
      <c r="D1241" s="557"/>
      <c r="E1241" s="557"/>
      <c r="F1241" s="563">
        <v>17300.0</v>
      </c>
      <c r="G1241" s="557"/>
      <c r="H1241" s="557">
        <v>0.9751157429558973</v>
      </c>
      <c r="I1241" s="564">
        <v>10750.0</v>
      </c>
      <c r="J1241" s="565">
        <v>17300.0</v>
      </c>
      <c r="K1241" s="542"/>
      <c r="L1241" s="542"/>
      <c r="M1241" s="542"/>
    </row>
    <row r="1242">
      <c r="A1242" s="570"/>
      <c r="B1242" s="559" t="s">
        <v>703</v>
      </c>
      <c r="C1242" s="568">
        <v>108.0</v>
      </c>
      <c r="D1242" s="557">
        <v>0.982</v>
      </c>
      <c r="E1242" s="569">
        <v>49.62</v>
      </c>
      <c r="F1242" s="563">
        <v>17146.0</v>
      </c>
      <c r="G1242" s="557">
        <v>-1.0</v>
      </c>
      <c r="H1242" s="559"/>
      <c r="I1242" s="564">
        <v>10654.0</v>
      </c>
      <c r="J1242" s="565">
        <v>17146.0</v>
      </c>
      <c r="K1242" s="542"/>
      <c r="L1242" s="542"/>
      <c r="M1242" s="542"/>
    </row>
    <row r="1243">
      <c r="A1243" s="570"/>
      <c r="B1243" s="559" t="s">
        <v>1683</v>
      </c>
      <c r="C1243" s="568">
        <v>254.0</v>
      </c>
      <c r="D1243" s="557">
        <v>0.9905</v>
      </c>
      <c r="E1243" s="569">
        <v>57.1</v>
      </c>
      <c r="F1243" s="563">
        <v>17070.0</v>
      </c>
      <c r="G1243" s="557"/>
      <c r="H1243" s="559"/>
      <c r="I1243" s="564">
        <v>10607.0</v>
      </c>
      <c r="J1243" s="565">
        <v>17070.0</v>
      </c>
      <c r="K1243" s="542"/>
      <c r="L1243" s="542"/>
      <c r="M1243" s="542"/>
    </row>
    <row r="1244">
      <c r="A1244" s="570"/>
      <c r="B1244" s="559" t="s">
        <v>513</v>
      </c>
      <c r="C1244" s="568">
        <v>164.0</v>
      </c>
      <c r="D1244" s="557">
        <v>0.9898</v>
      </c>
      <c r="E1244" s="569">
        <v>51.38</v>
      </c>
      <c r="F1244" s="563">
        <v>17000.0</v>
      </c>
      <c r="G1244" s="557"/>
      <c r="H1244" s="559"/>
      <c r="I1244" s="564">
        <v>10563.0</v>
      </c>
      <c r="J1244" s="565">
        <v>17000.0</v>
      </c>
      <c r="K1244" s="542"/>
      <c r="L1244" s="542"/>
      <c r="M1244" s="542"/>
    </row>
    <row r="1245">
      <c r="A1245" s="570"/>
      <c r="B1245" s="559" t="s">
        <v>651</v>
      </c>
      <c r="C1245" s="568">
        <v>521.0</v>
      </c>
      <c r="D1245" s="557">
        <v>1.0</v>
      </c>
      <c r="E1245" s="569">
        <v>63.39</v>
      </c>
      <c r="F1245" s="563">
        <v>16898.0</v>
      </c>
      <c r="G1245" s="557">
        <v>-1.0</v>
      </c>
      <c r="H1245" s="559"/>
      <c r="I1245" s="564">
        <v>10500.0</v>
      </c>
      <c r="J1245" s="565">
        <v>16898.0</v>
      </c>
      <c r="K1245" s="542"/>
      <c r="L1245" s="542"/>
      <c r="M1245" s="542"/>
    </row>
    <row r="1246">
      <c r="A1246" s="570"/>
      <c r="B1246" s="559" t="s">
        <v>1336</v>
      </c>
      <c r="C1246" s="568">
        <v>177.0</v>
      </c>
      <c r="D1246" s="557">
        <v>0.9771</v>
      </c>
      <c r="E1246" s="569">
        <v>44.85</v>
      </c>
      <c r="F1246" s="563">
        <v>16840.0</v>
      </c>
      <c r="G1246" s="557"/>
      <c r="H1246" s="559"/>
      <c r="I1246" s="564">
        <v>10464.0</v>
      </c>
      <c r="J1246" s="565">
        <v>16840.0</v>
      </c>
      <c r="K1246" s="542"/>
      <c r="L1246" s="542"/>
      <c r="M1246" s="542"/>
    </row>
    <row r="1247">
      <c r="A1247" s="570"/>
      <c r="B1247" s="557"/>
      <c r="C1247" s="557"/>
      <c r="D1247" s="557"/>
      <c r="E1247" s="557"/>
      <c r="F1247" s="563">
        <v>16800.0</v>
      </c>
      <c r="G1247" s="557"/>
      <c r="H1247" s="557">
        <v>0.9756134979598882</v>
      </c>
      <c r="I1247" s="564">
        <v>10439.0</v>
      </c>
      <c r="J1247" s="565">
        <v>16800.0</v>
      </c>
      <c r="K1247" s="542"/>
      <c r="L1247" s="542"/>
      <c r="M1247" s="542"/>
    </row>
    <row r="1248">
      <c r="A1248" s="570"/>
      <c r="B1248" s="559" t="s">
        <v>1685</v>
      </c>
      <c r="C1248" s="568">
        <v>305.0</v>
      </c>
      <c r="D1248" s="557">
        <v>0.9769</v>
      </c>
      <c r="E1248" s="569">
        <v>42.06</v>
      </c>
      <c r="F1248" s="563">
        <v>16667.0</v>
      </c>
      <c r="G1248" s="557"/>
      <c r="H1248" s="559"/>
      <c r="I1248" s="564">
        <v>10356.0</v>
      </c>
      <c r="J1248" s="565">
        <v>16667.0</v>
      </c>
      <c r="K1248" s="542"/>
      <c r="L1248" s="542"/>
      <c r="M1248" s="542"/>
    </row>
    <row r="1249">
      <c r="A1249" s="570"/>
      <c r="B1249" s="559" t="s">
        <v>1726</v>
      </c>
      <c r="C1249" s="568">
        <v>158.0</v>
      </c>
      <c r="D1249" s="557">
        <v>0.9499</v>
      </c>
      <c r="E1249" s="569">
        <v>51.32</v>
      </c>
      <c r="F1249" s="563">
        <v>16500.0</v>
      </c>
      <c r="G1249" s="557"/>
      <c r="H1249" s="559"/>
      <c r="I1249" s="564">
        <v>10253.0</v>
      </c>
      <c r="J1249" s="565">
        <v>16500.0</v>
      </c>
      <c r="K1249" s="542"/>
      <c r="L1249" s="542"/>
      <c r="M1249" s="542"/>
    </row>
    <row r="1250">
      <c r="A1250" s="570"/>
      <c r="B1250" s="559" t="s">
        <v>717</v>
      </c>
      <c r="C1250" s="568">
        <v>172.0</v>
      </c>
      <c r="D1250" s="557">
        <v>0.9951</v>
      </c>
      <c r="E1250" s="569">
        <v>41.55</v>
      </c>
      <c r="F1250" s="563">
        <v>16302.0</v>
      </c>
      <c r="G1250" s="557"/>
      <c r="H1250" s="559"/>
      <c r="I1250" s="564">
        <v>10130.0</v>
      </c>
      <c r="J1250" s="565">
        <v>16302.0</v>
      </c>
      <c r="K1250" s="542"/>
      <c r="L1250" s="542"/>
      <c r="M1250" s="542"/>
    </row>
    <row r="1251">
      <c r="A1251" s="570"/>
      <c r="B1251" s="557"/>
      <c r="C1251" s="557"/>
      <c r="D1251" s="557"/>
      <c r="E1251" s="557"/>
      <c r="F1251" s="563">
        <v>16300.0</v>
      </c>
      <c r="G1251" s="557"/>
      <c r="H1251" s="557">
        <v>0.9761212667414636</v>
      </c>
      <c r="I1251" s="564">
        <v>10128.0</v>
      </c>
      <c r="J1251" s="565">
        <v>16300.0</v>
      </c>
      <c r="K1251" s="542"/>
      <c r="L1251" s="542"/>
      <c r="M1251" s="542"/>
    </row>
    <row r="1252">
      <c r="A1252" s="570"/>
      <c r="B1252" s="559" t="s">
        <v>1456</v>
      </c>
      <c r="C1252" s="568">
        <v>245.0</v>
      </c>
      <c r="D1252" s="557">
        <v>0.9978</v>
      </c>
      <c r="E1252" s="569">
        <v>44.02</v>
      </c>
      <c r="F1252" s="563">
        <v>16300.0</v>
      </c>
      <c r="G1252" s="557"/>
      <c r="H1252" s="559"/>
      <c r="I1252" s="564">
        <v>10128.0</v>
      </c>
      <c r="J1252" s="565">
        <v>16300.0</v>
      </c>
      <c r="K1252" s="542"/>
      <c r="L1252" s="542"/>
      <c r="M1252" s="542"/>
    </row>
    <row r="1253">
      <c r="A1253" s="570"/>
      <c r="B1253" s="559" t="s">
        <v>1681</v>
      </c>
      <c r="C1253" s="568">
        <v>405.0</v>
      </c>
      <c r="D1253" s="557">
        <v>0.9799</v>
      </c>
      <c r="E1253" s="569">
        <v>54.9</v>
      </c>
      <c r="F1253" s="563">
        <v>16133.0</v>
      </c>
      <c r="G1253" s="557"/>
      <c r="H1253" s="559"/>
      <c r="I1253" s="564">
        <v>10025.0</v>
      </c>
      <c r="J1253" s="565">
        <v>16133.0</v>
      </c>
      <c r="K1253" s="542"/>
      <c r="L1253" s="542"/>
      <c r="M1253" s="542"/>
    </row>
    <row r="1254">
      <c r="A1254" s="570"/>
      <c r="B1254" s="559" t="s">
        <v>839</v>
      </c>
      <c r="C1254" s="568">
        <v>269.0</v>
      </c>
      <c r="D1254" s="557">
        <v>0.9749</v>
      </c>
      <c r="E1254" s="569">
        <v>32.57</v>
      </c>
      <c r="F1254" s="563">
        <v>16093.0</v>
      </c>
      <c r="G1254" s="557">
        <v>-1.0</v>
      </c>
      <c r="H1254" s="559"/>
      <c r="I1254" s="564">
        <v>10000.0</v>
      </c>
      <c r="J1254" s="565">
        <v>16093.0</v>
      </c>
      <c r="K1254" s="542"/>
      <c r="L1254" s="542"/>
      <c r="M1254" s="542"/>
    </row>
    <row r="1255">
      <c r="A1255" s="570"/>
      <c r="B1255" s="559" t="s">
        <v>163</v>
      </c>
      <c r="C1255" s="568">
        <v>314.0</v>
      </c>
      <c r="D1255" s="557">
        <v>0.9599</v>
      </c>
      <c r="E1255" s="569">
        <v>42.27</v>
      </c>
      <c r="F1255" s="563">
        <v>16045.0</v>
      </c>
      <c r="G1255" s="557"/>
      <c r="H1255" s="559"/>
      <c r="I1255" s="564">
        <v>9970.0</v>
      </c>
      <c r="J1255" s="565">
        <v>16045.0</v>
      </c>
      <c r="K1255" s="542"/>
      <c r="L1255" s="542"/>
      <c r="M1255" s="542"/>
    </row>
    <row r="1256">
      <c r="A1256" s="570"/>
      <c r="B1256" s="559" t="s">
        <v>265</v>
      </c>
      <c r="C1256" s="568">
        <v>331.0</v>
      </c>
      <c r="D1256" s="557">
        <v>0.9721</v>
      </c>
      <c r="E1256" s="569">
        <v>57.21</v>
      </c>
      <c r="F1256" s="563">
        <v>16011.0</v>
      </c>
      <c r="G1256" s="557"/>
      <c r="H1256" s="559"/>
      <c r="I1256" s="564">
        <v>9949.0</v>
      </c>
      <c r="J1256" s="565">
        <v>16011.0</v>
      </c>
      <c r="K1256" s="542"/>
      <c r="L1256" s="542"/>
      <c r="M1256" s="542"/>
    </row>
    <row r="1257">
      <c r="A1257" s="570"/>
      <c r="B1257" s="559" t="s">
        <v>339</v>
      </c>
      <c r="C1257" s="568">
        <v>147.0</v>
      </c>
      <c r="D1257" s="557">
        <v>0.9822</v>
      </c>
      <c r="E1257" s="569">
        <v>55.8</v>
      </c>
      <c r="F1257" s="563">
        <v>15930.0</v>
      </c>
      <c r="G1257" s="557"/>
      <c r="H1257" s="559"/>
      <c r="I1257" s="564">
        <v>9898.0</v>
      </c>
      <c r="J1257" s="565">
        <v>15930.0</v>
      </c>
      <c r="K1257" s="542"/>
      <c r="L1257" s="542"/>
      <c r="M1257" s="542"/>
    </row>
    <row r="1258">
      <c r="A1258" s="570"/>
      <c r="B1258" s="557"/>
      <c r="C1258" s="557"/>
      <c r="D1258" s="557"/>
      <c r="E1258" s="557"/>
      <c r="F1258" s="563">
        <v>15800.0</v>
      </c>
      <c r="G1258" s="557"/>
      <c r="H1258" s="557">
        <v>0.976639288281719</v>
      </c>
      <c r="I1258" s="564">
        <v>9818.0</v>
      </c>
      <c r="J1258" s="565">
        <v>15800.0</v>
      </c>
      <c r="K1258" s="542"/>
      <c r="L1258" s="542"/>
      <c r="M1258" s="542"/>
    </row>
    <row r="1259">
      <c r="A1259" s="570"/>
      <c r="B1259" s="559" t="s">
        <v>1848</v>
      </c>
      <c r="C1259" s="568">
        <v>258.0</v>
      </c>
      <c r="D1259" s="557">
        <v>0.9956</v>
      </c>
      <c r="E1259" s="569">
        <v>39.5</v>
      </c>
      <c r="F1259" s="563">
        <v>15800.0</v>
      </c>
      <c r="G1259" s="557"/>
      <c r="H1259" s="559"/>
      <c r="I1259" s="564">
        <v>9818.0</v>
      </c>
      <c r="J1259" s="565">
        <v>15800.0</v>
      </c>
      <c r="K1259" s="542"/>
      <c r="L1259" s="542"/>
      <c r="M1259" s="542"/>
    </row>
    <row r="1260">
      <c r="A1260" s="570"/>
      <c r="B1260" s="559" t="s">
        <v>300</v>
      </c>
      <c r="C1260" s="568">
        <v>143.0</v>
      </c>
      <c r="D1260" s="557">
        <v>0.9898</v>
      </c>
      <c r="E1260" s="569">
        <v>44.8</v>
      </c>
      <c r="F1260" s="563">
        <v>15772.0</v>
      </c>
      <c r="G1260" s="557"/>
      <c r="H1260" s="559"/>
      <c r="I1260" s="564">
        <v>9800.0</v>
      </c>
      <c r="J1260" s="565">
        <v>15772.0</v>
      </c>
      <c r="K1260" s="542"/>
      <c r="L1260" s="542"/>
      <c r="M1260" s="542"/>
    </row>
    <row r="1261">
      <c r="A1261" s="570"/>
      <c r="B1261" s="559" t="s">
        <v>450</v>
      </c>
      <c r="C1261" s="568">
        <v>249.0</v>
      </c>
      <c r="D1261" s="557">
        <v>0.9487</v>
      </c>
      <c r="E1261" s="569">
        <v>40.22</v>
      </c>
      <c r="F1261" s="563">
        <v>15514.0</v>
      </c>
      <c r="G1261" s="557">
        <v>-1.0</v>
      </c>
      <c r="H1261" s="559"/>
      <c r="I1261" s="564">
        <v>9640.0</v>
      </c>
      <c r="J1261" s="565">
        <v>15514.0</v>
      </c>
      <c r="K1261" s="542"/>
      <c r="L1261" s="542"/>
      <c r="M1261" s="542"/>
    </row>
    <row r="1262">
      <c r="A1262" s="570"/>
      <c r="B1262" s="559" t="s">
        <v>428</v>
      </c>
      <c r="C1262" s="568">
        <v>275.0</v>
      </c>
      <c r="D1262" s="557">
        <v>0.9681</v>
      </c>
      <c r="E1262" s="569">
        <v>42.33</v>
      </c>
      <c r="F1262" s="563">
        <v>15504.0</v>
      </c>
      <c r="G1262" s="557">
        <v>-1.0</v>
      </c>
      <c r="H1262" s="559"/>
      <c r="I1262" s="564">
        <v>9634.0</v>
      </c>
      <c r="J1262" s="565">
        <v>15504.0</v>
      </c>
      <c r="K1262" s="542"/>
      <c r="L1262" s="542"/>
      <c r="M1262" s="542"/>
    </row>
    <row r="1263">
      <c r="A1263" s="570"/>
      <c r="B1263" s="559" t="s">
        <v>761</v>
      </c>
      <c r="C1263" s="568">
        <v>168.0</v>
      </c>
      <c r="D1263" s="557">
        <v>0.9534</v>
      </c>
      <c r="E1263" s="569">
        <v>47.83</v>
      </c>
      <c r="F1263" s="563">
        <v>15471.0</v>
      </c>
      <c r="G1263" s="557"/>
      <c r="H1263" s="559"/>
      <c r="I1263" s="564">
        <v>9613.0</v>
      </c>
      <c r="J1263" s="565">
        <v>15471.0</v>
      </c>
      <c r="K1263" s="542"/>
      <c r="L1263" s="542"/>
      <c r="M1263" s="542"/>
    </row>
    <row r="1264">
      <c r="A1264" s="570"/>
      <c r="B1264" s="559" t="s">
        <v>106</v>
      </c>
      <c r="C1264" s="568">
        <v>416.0</v>
      </c>
      <c r="D1264" s="557">
        <v>0.9423</v>
      </c>
      <c r="E1264" s="569">
        <v>39.78</v>
      </c>
      <c r="F1264" s="563">
        <v>15425.0</v>
      </c>
      <c r="G1264" s="557">
        <v>-1.0</v>
      </c>
      <c r="H1264" s="559"/>
      <c r="I1264" s="564">
        <v>9585.0</v>
      </c>
      <c r="J1264" s="565">
        <v>15425.0</v>
      </c>
      <c r="K1264" s="542"/>
      <c r="L1264" s="542"/>
      <c r="M1264" s="542"/>
    </row>
    <row r="1265">
      <c r="A1265" s="570"/>
      <c r="B1265" s="557"/>
      <c r="C1265" s="557"/>
      <c r="D1265" s="557"/>
      <c r="E1265" s="557"/>
      <c r="F1265" s="563">
        <v>15300.0</v>
      </c>
      <c r="G1265" s="557"/>
      <c r="H1265" s="557">
        <v>0.9771678072650881</v>
      </c>
      <c r="I1265" s="564">
        <v>9507.0</v>
      </c>
      <c r="J1265" s="565">
        <v>15300.0</v>
      </c>
      <c r="K1265" s="542"/>
      <c r="L1265" s="542"/>
      <c r="M1265" s="542"/>
    </row>
    <row r="1266">
      <c r="A1266" s="570"/>
      <c r="B1266" s="559" t="s">
        <v>225</v>
      </c>
      <c r="C1266" s="568">
        <v>317.0</v>
      </c>
      <c r="D1266" s="557">
        <v>0.9961</v>
      </c>
      <c r="E1266" s="569">
        <v>60.55</v>
      </c>
      <c r="F1266" s="563">
        <v>15300.0</v>
      </c>
      <c r="G1266" s="557"/>
      <c r="H1266" s="559"/>
      <c r="I1266" s="564">
        <v>9507.0</v>
      </c>
      <c r="J1266" s="565">
        <v>15300.0</v>
      </c>
      <c r="K1266" s="542"/>
      <c r="L1266" s="542"/>
      <c r="M1266" s="542"/>
    </row>
    <row r="1267">
      <c r="A1267" s="570"/>
      <c r="B1267" s="559" t="s">
        <v>1772</v>
      </c>
      <c r="C1267" s="568">
        <v>185.0</v>
      </c>
      <c r="D1267" s="557">
        <v>0.9863</v>
      </c>
      <c r="E1267" s="569">
        <v>49.49</v>
      </c>
      <c r="F1267" s="563">
        <v>15300.0</v>
      </c>
      <c r="G1267" s="557"/>
      <c r="H1267" s="559"/>
      <c r="I1267" s="564">
        <v>9507.0</v>
      </c>
      <c r="J1267" s="565">
        <v>15300.0</v>
      </c>
      <c r="K1267" s="542"/>
      <c r="L1267" s="542"/>
      <c r="M1267" s="542"/>
    </row>
    <row r="1268">
      <c r="A1268" s="570"/>
      <c r="B1268" s="559" t="s">
        <v>1703</v>
      </c>
      <c r="C1268" s="568">
        <v>215.0</v>
      </c>
      <c r="D1268" s="557">
        <v>0.9973</v>
      </c>
      <c r="E1268" s="569">
        <v>47.0</v>
      </c>
      <c r="F1268" s="563">
        <v>15300.0</v>
      </c>
      <c r="G1268" s="557"/>
      <c r="H1268" s="559"/>
      <c r="I1268" s="564">
        <v>9507.0</v>
      </c>
      <c r="J1268" s="565">
        <v>15300.0</v>
      </c>
      <c r="K1268" s="542"/>
      <c r="L1268" s="542"/>
      <c r="M1268" s="542"/>
    </row>
    <row r="1269">
      <c r="A1269" s="570"/>
      <c r="B1269" s="559" t="s">
        <v>761</v>
      </c>
      <c r="C1269" s="568">
        <v>168.0</v>
      </c>
      <c r="D1269" s="557">
        <v>0.9534</v>
      </c>
      <c r="E1269" s="569">
        <v>46.91</v>
      </c>
      <c r="F1269" s="563">
        <v>15237.0</v>
      </c>
      <c r="G1269" s="557"/>
      <c r="H1269" s="559"/>
      <c r="I1269" s="564">
        <v>9468.0</v>
      </c>
      <c r="J1269" s="565">
        <v>15237.0</v>
      </c>
      <c r="K1269" s="542"/>
      <c r="L1269" s="542"/>
      <c r="M1269" s="542"/>
    </row>
    <row r="1270">
      <c r="A1270" s="570"/>
      <c r="B1270" s="559" t="s">
        <v>331</v>
      </c>
      <c r="C1270" s="568">
        <v>118.0</v>
      </c>
      <c r="D1270" s="557">
        <v>0.9883</v>
      </c>
      <c r="E1270" s="569">
        <v>47.5</v>
      </c>
      <c r="F1270" s="563">
        <v>15179.0</v>
      </c>
      <c r="G1270" s="557">
        <v>-1.0</v>
      </c>
      <c r="H1270" s="559"/>
      <c r="I1270" s="564">
        <v>9432.0</v>
      </c>
      <c r="J1270" s="565">
        <v>15179.0</v>
      </c>
      <c r="K1270" s="542"/>
      <c r="L1270" s="542"/>
      <c r="M1270" s="542"/>
    </row>
    <row r="1271">
      <c r="A1271" s="570"/>
      <c r="B1271" s="559" t="s">
        <v>1726</v>
      </c>
      <c r="C1271" s="568">
        <v>129.0</v>
      </c>
      <c r="D1271" s="557">
        <v>0.9602</v>
      </c>
      <c r="E1271" s="569">
        <v>46.77</v>
      </c>
      <c r="F1271" s="563">
        <v>15058.0</v>
      </c>
      <c r="G1271" s="557"/>
      <c r="H1271" s="559"/>
      <c r="I1271" s="564">
        <v>9357.0</v>
      </c>
      <c r="J1271" s="565">
        <v>15058.0</v>
      </c>
      <c r="K1271" s="542"/>
      <c r="L1271" s="542"/>
      <c r="M1271" s="542"/>
    </row>
    <row r="1272">
      <c r="A1272" s="570"/>
      <c r="B1272" s="559" t="s">
        <v>761</v>
      </c>
      <c r="C1272" s="568">
        <v>168.0</v>
      </c>
      <c r="D1272" s="557">
        <v>0.951</v>
      </c>
      <c r="E1272" s="569">
        <v>46.26</v>
      </c>
      <c r="F1272" s="563">
        <v>15007.0</v>
      </c>
      <c r="G1272" s="557"/>
      <c r="H1272" s="559"/>
      <c r="I1272" s="564">
        <v>9325.0</v>
      </c>
      <c r="J1272" s="565">
        <v>15007.0</v>
      </c>
      <c r="K1272" s="542"/>
      <c r="L1272" s="542"/>
      <c r="M1272" s="542"/>
    </row>
    <row r="1273">
      <c r="A1273" s="570"/>
      <c r="B1273" s="559" t="s">
        <v>1628</v>
      </c>
      <c r="C1273" s="568">
        <v>210.0</v>
      </c>
      <c r="D1273" s="557">
        <v>0.9835</v>
      </c>
      <c r="E1273" s="569">
        <v>39.95</v>
      </c>
      <c r="F1273" s="563">
        <v>15001.0</v>
      </c>
      <c r="G1273" s="557"/>
      <c r="H1273" s="559"/>
      <c r="I1273" s="564">
        <v>9321.0</v>
      </c>
      <c r="J1273" s="565">
        <v>15001.0</v>
      </c>
      <c r="K1273" s="542"/>
      <c r="L1273" s="542"/>
      <c r="M1273" s="542"/>
    </row>
    <row r="1274">
      <c r="A1274" s="570"/>
      <c r="B1274" s="559" t="s">
        <v>1852</v>
      </c>
      <c r="C1274" s="568">
        <v>128.0</v>
      </c>
      <c r="D1274" s="557">
        <v>0.9726</v>
      </c>
      <c r="E1274" s="569">
        <v>43.77</v>
      </c>
      <c r="F1274" s="563">
        <v>15000.0</v>
      </c>
      <c r="G1274" s="557"/>
      <c r="H1274" s="559"/>
      <c r="I1274" s="564">
        <v>9321.0</v>
      </c>
      <c r="J1274" s="565">
        <v>15000.0</v>
      </c>
      <c r="K1274" s="542"/>
      <c r="L1274" s="542"/>
      <c r="M1274" s="542"/>
    </row>
    <row r="1275">
      <c r="A1275" s="570"/>
      <c r="B1275" s="559" t="s">
        <v>1858</v>
      </c>
      <c r="C1275" s="568">
        <v>121.0</v>
      </c>
      <c r="D1275" s="557">
        <v>1.0015</v>
      </c>
      <c r="E1275" s="569">
        <v>41.23</v>
      </c>
      <c r="F1275" s="563">
        <v>15000.0</v>
      </c>
      <c r="G1275" s="557"/>
      <c r="H1275" s="559"/>
      <c r="I1275" s="564">
        <v>9321.0</v>
      </c>
      <c r="J1275" s="565">
        <v>15000.0</v>
      </c>
      <c r="K1275" s="542"/>
      <c r="L1275" s="542"/>
      <c r="M1275" s="542"/>
    </row>
    <row r="1276">
      <c r="A1276" s="570"/>
      <c r="B1276" s="559" t="s">
        <v>1727</v>
      </c>
      <c r="C1276" s="568">
        <v>225.0</v>
      </c>
      <c r="D1276" s="557">
        <v>0.958</v>
      </c>
      <c r="E1276" s="569">
        <v>44.96</v>
      </c>
      <c r="F1276" s="563">
        <v>15000.0</v>
      </c>
      <c r="G1276" s="557"/>
      <c r="H1276" s="559"/>
      <c r="I1276" s="564">
        <v>9321.0</v>
      </c>
      <c r="J1276" s="565">
        <v>15000.0</v>
      </c>
      <c r="K1276" s="542"/>
      <c r="L1276" s="542"/>
      <c r="M1276" s="542"/>
    </row>
    <row r="1277">
      <c r="A1277" s="570"/>
      <c r="B1277" s="559" t="s">
        <v>155</v>
      </c>
      <c r="C1277" s="568">
        <v>303.0</v>
      </c>
      <c r="D1277" s="557">
        <v>0.9926</v>
      </c>
      <c r="E1277" s="569">
        <v>53.27</v>
      </c>
      <c r="F1277" s="563">
        <v>14995.0</v>
      </c>
      <c r="G1277" s="557"/>
      <c r="H1277" s="559"/>
      <c r="I1277" s="564">
        <v>9317.0</v>
      </c>
      <c r="J1277" s="565">
        <v>14995.0</v>
      </c>
      <c r="K1277" s="542"/>
      <c r="L1277" s="542"/>
      <c r="M1277" s="542"/>
    </row>
    <row r="1278">
      <c r="A1278" s="570"/>
      <c r="B1278" s="559" t="s">
        <v>132</v>
      </c>
      <c r="C1278" s="568">
        <v>191.0</v>
      </c>
      <c r="D1278" s="557">
        <v>1.0</v>
      </c>
      <c r="E1278" s="569">
        <v>47.35</v>
      </c>
      <c r="F1278" s="563">
        <v>14977.0</v>
      </c>
      <c r="G1278" s="557"/>
      <c r="H1278" s="559"/>
      <c r="I1278" s="564">
        <v>9306.0</v>
      </c>
      <c r="J1278" s="565">
        <v>14977.0</v>
      </c>
      <c r="K1278" s="542"/>
      <c r="L1278" s="542"/>
      <c r="M1278" s="542"/>
    </row>
    <row r="1279">
      <c r="A1279" s="570"/>
      <c r="B1279" s="559" t="s">
        <v>1615</v>
      </c>
      <c r="C1279" s="568">
        <v>236.0</v>
      </c>
      <c r="D1279" s="557">
        <v>0.9637</v>
      </c>
      <c r="E1279" s="569">
        <v>42.17</v>
      </c>
      <c r="F1279" s="563">
        <v>14950.0</v>
      </c>
      <c r="G1279" s="557"/>
      <c r="H1279" s="559"/>
      <c r="I1279" s="564">
        <v>9289.0</v>
      </c>
      <c r="J1279" s="565">
        <v>14950.0</v>
      </c>
      <c r="K1279" s="542"/>
      <c r="L1279" s="542"/>
      <c r="M1279" s="542"/>
    </row>
    <row r="1280">
      <c r="A1280" s="570"/>
      <c r="B1280" s="559" t="s">
        <v>358</v>
      </c>
      <c r="C1280" s="568">
        <v>221.0</v>
      </c>
      <c r="D1280" s="557">
        <v>0.9722</v>
      </c>
      <c r="E1280" s="569">
        <v>42.5</v>
      </c>
      <c r="F1280" s="563">
        <v>14896.0</v>
      </c>
      <c r="G1280" s="557"/>
      <c r="H1280" s="559"/>
      <c r="I1280" s="564">
        <v>9256.0</v>
      </c>
      <c r="J1280" s="565">
        <v>14896.0</v>
      </c>
      <c r="K1280" s="542"/>
      <c r="L1280" s="542"/>
      <c r="M1280" s="542"/>
    </row>
    <row r="1281">
      <c r="A1281" s="570"/>
      <c r="B1281" s="559" t="s">
        <v>1819</v>
      </c>
      <c r="C1281" s="568">
        <v>962.0</v>
      </c>
      <c r="D1281" s="557">
        <v>0.9873</v>
      </c>
      <c r="E1281" s="569">
        <v>40.55</v>
      </c>
      <c r="F1281" s="563">
        <v>14857.0</v>
      </c>
      <c r="G1281" s="557"/>
      <c r="H1281" s="559"/>
      <c r="I1281" s="564">
        <v>9232.0</v>
      </c>
      <c r="J1281" s="565">
        <v>14857.0</v>
      </c>
      <c r="K1281" s="542"/>
      <c r="L1281" s="542"/>
      <c r="M1281" s="542"/>
    </row>
    <row r="1282">
      <c r="A1282" s="570"/>
      <c r="B1282" s="559" t="s">
        <v>1673</v>
      </c>
      <c r="C1282" s="568"/>
      <c r="D1282" s="557">
        <v>0.9943</v>
      </c>
      <c r="E1282" s="569"/>
      <c r="F1282" s="563">
        <v>14806.0</v>
      </c>
      <c r="G1282" s="557"/>
      <c r="H1282" s="559"/>
      <c r="I1282" s="564">
        <v>9200.0</v>
      </c>
      <c r="J1282" s="565">
        <v>14806.0</v>
      </c>
      <c r="K1282" s="542"/>
      <c r="L1282" s="542"/>
      <c r="M1282" s="542"/>
    </row>
    <row r="1283">
      <c r="A1283" s="570"/>
      <c r="B1283" s="557"/>
      <c r="C1283" s="557"/>
      <c r="D1283" s="557"/>
      <c r="E1283" s="557"/>
      <c r="F1283" s="563">
        <v>14800.0</v>
      </c>
      <c r="G1283" s="557"/>
      <c r="H1283" s="557">
        <v>0.9777070742154552</v>
      </c>
      <c r="I1283" s="564">
        <v>9196.0</v>
      </c>
      <c r="J1283" s="565">
        <v>14800.0</v>
      </c>
      <c r="K1283" s="542"/>
      <c r="L1283" s="542"/>
      <c r="M1283" s="542"/>
    </row>
    <row r="1284">
      <c r="A1284" s="570"/>
      <c r="B1284" s="559" t="s">
        <v>761</v>
      </c>
      <c r="C1284" s="568">
        <v>164.0</v>
      </c>
      <c r="D1284" s="557">
        <v>0.951</v>
      </c>
      <c r="E1284" s="569">
        <v>44.96</v>
      </c>
      <c r="F1284" s="563">
        <v>14775.0</v>
      </c>
      <c r="G1284" s="557"/>
      <c r="H1284" s="559"/>
      <c r="I1284" s="564">
        <v>9181.0</v>
      </c>
      <c r="J1284" s="565">
        <v>14775.0</v>
      </c>
      <c r="K1284" s="542"/>
      <c r="L1284" s="542"/>
      <c r="M1284" s="542"/>
    </row>
    <row r="1285">
      <c r="A1285" s="570"/>
      <c r="B1285" s="559" t="s">
        <v>477</v>
      </c>
      <c r="C1285" s="568">
        <v>299.0</v>
      </c>
      <c r="D1285" s="557">
        <v>0.9873</v>
      </c>
      <c r="E1285" s="569">
        <v>45.25</v>
      </c>
      <c r="F1285" s="563">
        <v>14700.0</v>
      </c>
      <c r="G1285" s="557"/>
      <c r="H1285" s="559"/>
      <c r="I1285" s="564">
        <v>9134.0</v>
      </c>
      <c r="J1285" s="565">
        <v>14700.0</v>
      </c>
      <c r="K1285" s="542"/>
      <c r="L1285" s="542"/>
      <c r="M1285" s="542"/>
    </row>
    <row r="1286">
      <c r="A1286" s="570"/>
      <c r="B1286" s="559" t="s">
        <v>215</v>
      </c>
      <c r="C1286" s="568">
        <v>147.0</v>
      </c>
      <c r="D1286" s="557">
        <v>0.9922</v>
      </c>
      <c r="E1286" s="569">
        <v>37.26</v>
      </c>
      <c r="F1286" s="563">
        <v>14645.0</v>
      </c>
      <c r="G1286" s="557">
        <v>-1.0</v>
      </c>
      <c r="H1286" s="559"/>
      <c r="I1286" s="564">
        <v>9100.0</v>
      </c>
      <c r="J1286" s="565">
        <v>14645.0</v>
      </c>
      <c r="K1286" s="542"/>
      <c r="L1286" s="542"/>
      <c r="M1286" s="542"/>
    </row>
    <row r="1287">
      <c r="A1287" s="570"/>
      <c r="B1287" s="559" t="s">
        <v>640</v>
      </c>
      <c r="C1287" s="568">
        <v>225.0</v>
      </c>
      <c r="D1287" s="557">
        <v>0.9797</v>
      </c>
      <c r="E1287" s="569">
        <v>42.46</v>
      </c>
      <c r="F1287" s="563">
        <v>14472.0</v>
      </c>
      <c r="G1287" s="557"/>
      <c r="H1287" s="559"/>
      <c r="I1287" s="564">
        <v>8992.0</v>
      </c>
      <c r="J1287" s="565">
        <v>14472.0</v>
      </c>
      <c r="K1287" s="542"/>
      <c r="L1287" s="542"/>
      <c r="M1287" s="542"/>
    </row>
    <row r="1288">
      <c r="A1288" s="570"/>
      <c r="B1288" s="557"/>
      <c r="C1288" s="557"/>
      <c r="D1288" s="557"/>
      <c r="E1288" s="557"/>
      <c r="F1288" s="563">
        <v>14300.0</v>
      </c>
      <c r="G1288" s="557"/>
      <c r="H1288" s="557">
        <v>0.9782573456355137</v>
      </c>
      <c r="I1288" s="564">
        <v>8886.0</v>
      </c>
      <c r="J1288" s="565">
        <v>14300.0</v>
      </c>
      <c r="K1288" s="542"/>
      <c r="L1288" s="542"/>
      <c r="M1288" s="542"/>
    </row>
    <row r="1289">
      <c r="A1289" s="570"/>
      <c r="B1289" s="559" t="s">
        <v>288</v>
      </c>
      <c r="C1289" s="568">
        <v>255.0</v>
      </c>
      <c r="D1289" s="557">
        <v>0.9531</v>
      </c>
      <c r="E1289" s="569">
        <v>53.96</v>
      </c>
      <c r="F1289" s="563">
        <v>14267.0</v>
      </c>
      <c r="G1289" s="557"/>
      <c r="H1289" s="559"/>
      <c r="I1289" s="564">
        <v>8865.0</v>
      </c>
      <c r="J1289" s="565">
        <v>14267.0</v>
      </c>
      <c r="K1289" s="542"/>
      <c r="L1289" s="542"/>
      <c r="M1289" s="542"/>
    </row>
    <row r="1290">
      <c r="A1290" s="570"/>
      <c r="B1290" s="559" t="s">
        <v>429</v>
      </c>
      <c r="C1290" s="568">
        <v>186.0</v>
      </c>
      <c r="D1290" s="557">
        <v>0.9898</v>
      </c>
      <c r="E1290" s="569">
        <v>37.23</v>
      </c>
      <c r="F1290" s="563">
        <v>14000.0</v>
      </c>
      <c r="G1290" s="557"/>
      <c r="H1290" s="559"/>
      <c r="I1290" s="564">
        <v>8699.0</v>
      </c>
      <c r="J1290" s="565">
        <v>14000.0</v>
      </c>
      <c r="K1290" s="542"/>
      <c r="L1290" s="542"/>
      <c r="M1290" s="542"/>
    </row>
    <row r="1291">
      <c r="A1291" s="570"/>
      <c r="B1291" s="559" t="s">
        <v>1591</v>
      </c>
      <c r="C1291" s="568">
        <v>279.0</v>
      </c>
      <c r="D1291" s="557">
        <v>0.9326</v>
      </c>
      <c r="E1291" s="569">
        <v>38.15</v>
      </c>
      <c r="F1291" s="563">
        <v>14000.0</v>
      </c>
      <c r="G1291" s="557"/>
      <c r="H1291" s="559"/>
      <c r="I1291" s="564">
        <v>8699.0</v>
      </c>
      <c r="J1291" s="565">
        <v>14000.0</v>
      </c>
      <c r="K1291" s="542"/>
      <c r="L1291" s="542"/>
      <c r="M1291" s="542"/>
    </row>
    <row r="1292">
      <c r="A1292" s="570"/>
      <c r="B1292" s="559" t="s">
        <v>1837</v>
      </c>
      <c r="C1292" s="568">
        <v>148.0</v>
      </c>
      <c r="D1292" s="557">
        <v>1.0149</v>
      </c>
      <c r="E1292" s="569">
        <v>35.11</v>
      </c>
      <c r="F1292" s="563">
        <v>13977.0</v>
      </c>
      <c r="G1292" s="557"/>
      <c r="H1292" s="559"/>
      <c r="I1292" s="564">
        <v>8685.0</v>
      </c>
      <c r="J1292" s="565">
        <v>13977.0</v>
      </c>
      <c r="K1292" s="542"/>
      <c r="L1292" s="542"/>
      <c r="M1292" s="542"/>
    </row>
    <row r="1293">
      <c r="A1293" s="570"/>
      <c r="B1293" s="559" t="s">
        <v>1726</v>
      </c>
      <c r="C1293" s="568">
        <v>101.0</v>
      </c>
      <c r="D1293" s="557">
        <v>0.9564</v>
      </c>
      <c r="E1293" s="569">
        <v>43.4</v>
      </c>
      <c r="F1293" s="563">
        <v>13889.0</v>
      </c>
      <c r="G1293" s="557"/>
      <c r="H1293" s="559"/>
      <c r="I1293" s="564">
        <v>8630.0</v>
      </c>
      <c r="J1293" s="565">
        <v>13889.0</v>
      </c>
      <c r="K1293" s="542"/>
      <c r="L1293" s="542"/>
      <c r="M1293" s="542"/>
    </row>
    <row r="1294">
      <c r="A1294" s="570"/>
      <c r="B1294" s="557"/>
      <c r="C1294" s="557"/>
      <c r="D1294" s="557"/>
      <c r="E1294" s="557"/>
      <c r="F1294" s="563">
        <v>13800.0</v>
      </c>
      <c r="G1294" s="557"/>
      <c r="H1294" s="557">
        <v>0.9788188841494532</v>
      </c>
      <c r="I1294" s="564">
        <v>8575.0</v>
      </c>
      <c r="J1294" s="565">
        <v>13800.0</v>
      </c>
      <c r="K1294" s="542"/>
      <c r="L1294" s="542"/>
      <c r="M1294" s="542"/>
    </row>
    <row r="1295">
      <c r="A1295" s="570"/>
      <c r="B1295" s="559" t="s">
        <v>1874</v>
      </c>
      <c r="C1295" s="568">
        <v>93.0</v>
      </c>
      <c r="D1295" s="557">
        <v>1.011</v>
      </c>
      <c r="E1295" s="569">
        <v>41.27</v>
      </c>
      <c r="F1295" s="563">
        <v>13659.0</v>
      </c>
      <c r="G1295" s="557"/>
      <c r="H1295" s="559"/>
      <c r="I1295" s="564">
        <v>8487.0</v>
      </c>
      <c r="J1295" s="565">
        <v>13659.0</v>
      </c>
      <c r="K1295" s="542"/>
      <c r="L1295" s="542"/>
      <c r="M1295" s="542"/>
    </row>
    <row r="1296">
      <c r="A1296" s="570"/>
      <c r="B1296" s="559" t="s">
        <v>689</v>
      </c>
      <c r="C1296" s="568">
        <v>232.0</v>
      </c>
      <c r="D1296" s="557">
        <v>0.8925</v>
      </c>
      <c r="E1296" s="569"/>
      <c r="F1296" s="563">
        <v>13589.0</v>
      </c>
      <c r="G1296" s="557">
        <v>-1.0</v>
      </c>
      <c r="H1296" s="559"/>
      <c r="I1296" s="564">
        <v>8444.0</v>
      </c>
      <c r="J1296" s="565">
        <v>13589.0</v>
      </c>
      <c r="K1296" s="542"/>
      <c r="L1296" s="542"/>
      <c r="M1296" s="542"/>
    </row>
    <row r="1297">
      <c r="A1297" s="570"/>
      <c r="B1297" s="559" t="s">
        <v>1727</v>
      </c>
      <c r="C1297" s="568">
        <v>188.0</v>
      </c>
      <c r="D1297" s="557">
        <v>0.9646</v>
      </c>
      <c r="E1297" s="569">
        <v>36.97</v>
      </c>
      <c r="F1297" s="563">
        <v>13500.0</v>
      </c>
      <c r="G1297" s="557"/>
      <c r="H1297" s="559"/>
      <c r="I1297" s="564">
        <v>8389.0</v>
      </c>
      <c r="J1297" s="565">
        <v>13500.0</v>
      </c>
      <c r="K1297" s="542"/>
      <c r="L1297" s="542"/>
      <c r="M1297" s="542"/>
    </row>
    <row r="1298">
      <c r="A1298" s="570"/>
      <c r="B1298" s="559" t="s">
        <v>339</v>
      </c>
      <c r="C1298" s="568">
        <v>115.0</v>
      </c>
      <c r="D1298" s="557">
        <v>0.9924</v>
      </c>
      <c r="E1298" s="569">
        <v>46.08</v>
      </c>
      <c r="F1298" s="563">
        <v>13425.0</v>
      </c>
      <c r="G1298" s="557"/>
      <c r="H1298" s="559"/>
      <c r="I1298" s="564">
        <v>8342.0</v>
      </c>
      <c r="J1298" s="565">
        <v>13425.0</v>
      </c>
      <c r="K1298" s="542"/>
      <c r="L1298" s="542"/>
      <c r="M1298" s="542"/>
    </row>
    <row r="1299">
      <c r="A1299" s="570"/>
      <c r="B1299" s="557"/>
      <c r="C1299" s="557"/>
      <c r="D1299" s="557"/>
      <c r="E1299" s="557"/>
      <c r="F1299" s="563">
        <v>13300.0</v>
      </c>
      <c r="G1299" s="557"/>
      <c r="H1299" s="557">
        <v>0.9793919586490493</v>
      </c>
      <c r="I1299" s="564">
        <v>8264.0</v>
      </c>
      <c r="J1299" s="565">
        <v>13300.0</v>
      </c>
      <c r="K1299" s="542"/>
      <c r="L1299" s="542"/>
      <c r="M1299" s="542"/>
    </row>
    <row r="1300">
      <c r="A1300" s="570"/>
      <c r="B1300" s="559" t="s">
        <v>1095</v>
      </c>
      <c r="C1300" s="568"/>
      <c r="D1300" s="557">
        <v>0.9746</v>
      </c>
      <c r="E1300" s="569">
        <v>33.99</v>
      </c>
      <c r="F1300" s="563">
        <v>13200.0</v>
      </c>
      <c r="G1300" s="557"/>
      <c r="H1300" s="559"/>
      <c r="I1300" s="564">
        <v>8202.0</v>
      </c>
      <c r="J1300" s="565">
        <v>13200.0</v>
      </c>
      <c r="K1300" s="542"/>
      <c r="L1300" s="542"/>
      <c r="M1300" s="542"/>
    </row>
    <row r="1301">
      <c r="A1301" s="570"/>
      <c r="B1301" s="559" t="s">
        <v>717</v>
      </c>
      <c r="C1301" s="568">
        <v>163.0</v>
      </c>
      <c r="D1301" s="557">
        <v>0.9975</v>
      </c>
      <c r="E1301" s="569">
        <v>33.48</v>
      </c>
      <c r="F1301" s="563">
        <v>13087.0</v>
      </c>
      <c r="G1301" s="557"/>
      <c r="H1301" s="559"/>
      <c r="I1301" s="564">
        <v>8132.0</v>
      </c>
      <c r="J1301" s="565">
        <v>13087.0</v>
      </c>
      <c r="K1301" s="542"/>
      <c r="L1301" s="542"/>
      <c r="M1301" s="542"/>
    </row>
    <row r="1302">
      <c r="A1302" s="570"/>
      <c r="B1302" s="559" t="s">
        <v>314</v>
      </c>
      <c r="C1302" s="568">
        <v>121.0</v>
      </c>
      <c r="D1302" s="557">
        <v>0.9729</v>
      </c>
      <c r="E1302" s="569">
        <v>32.01</v>
      </c>
      <c r="F1302" s="563">
        <v>13071.0</v>
      </c>
      <c r="G1302" s="557">
        <v>-1.0</v>
      </c>
      <c r="H1302" s="559"/>
      <c r="I1302" s="564">
        <v>8122.0</v>
      </c>
      <c r="J1302" s="565">
        <v>13071.0</v>
      </c>
      <c r="K1302" s="542"/>
      <c r="L1302" s="542"/>
      <c r="M1302" s="542"/>
    </row>
    <row r="1303">
      <c r="A1303" s="570"/>
      <c r="B1303" s="559" t="s">
        <v>661</v>
      </c>
      <c r="C1303" s="568">
        <v>256.0</v>
      </c>
      <c r="D1303" s="557">
        <v>1.0</v>
      </c>
      <c r="E1303" s="569"/>
      <c r="F1303" s="563">
        <v>12875.0</v>
      </c>
      <c r="G1303" s="557">
        <v>-1.0</v>
      </c>
      <c r="H1303" s="559"/>
      <c r="I1303" s="564">
        <v>8000.0</v>
      </c>
      <c r="J1303" s="565">
        <v>12875.0</v>
      </c>
      <c r="K1303" s="542"/>
      <c r="L1303" s="542"/>
      <c r="M1303" s="542"/>
    </row>
    <row r="1304">
      <c r="A1304" s="570"/>
      <c r="B1304" s="557"/>
      <c r="C1304" s="557"/>
      <c r="D1304" s="557"/>
      <c r="E1304" s="557"/>
      <c r="F1304" s="563">
        <v>12800.0</v>
      </c>
      <c r="G1304" s="557"/>
      <c r="H1304" s="557">
        <v>0.9799768444432415</v>
      </c>
      <c r="I1304" s="564">
        <v>7954.0</v>
      </c>
      <c r="J1304" s="565">
        <v>12800.0</v>
      </c>
      <c r="K1304" s="542"/>
      <c r="L1304" s="542"/>
      <c r="M1304" s="542"/>
    </row>
    <row r="1305">
      <c r="A1305" s="570"/>
      <c r="B1305" s="559" t="s">
        <v>331</v>
      </c>
      <c r="C1305" s="568">
        <v>96.0</v>
      </c>
      <c r="D1305" s="557">
        <v>0.9922</v>
      </c>
      <c r="E1305" s="569">
        <v>40.19</v>
      </c>
      <c r="F1305" s="563">
        <v>12575.0</v>
      </c>
      <c r="G1305" s="557">
        <v>-1.0</v>
      </c>
      <c r="H1305" s="559"/>
      <c r="I1305" s="564">
        <v>7814.0</v>
      </c>
      <c r="J1305" s="565">
        <v>12575.0</v>
      </c>
      <c r="K1305" s="542"/>
      <c r="L1305" s="542"/>
      <c r="M1305" s="542"/>
    </row>
    <row r="1306">
      <c r="A1306" s="570"/>
      <c r="B1306" s="559" t="s">
        <v>457</v>
      </c>
      <c r="C1306" s="568">
        <v>168.0</v>
      </c>
      <c r="D1306" s="557">
        <v>0.9847</v>
      </c>
      <c r="E1306" s="569">
        <v>40.45</v>
      </c>
      <c r="F1306" s="563">
        <v>12440.0</v>
      </c>
      <c r="G1306" s="557"/>
      <c r="H1306" s="559"/>
      <c r="I1306" s="564">
        <v>7730.0</v>
      </c>
      <c r="J1306" s="565">
        <v>12440.0</v>
      </c>
      <c r="K1306" s="542"/>
      <c r="L1306" s="542"/>
      <c r="M1306" s="542"/>
    </row>
    <row r="1307">
      <c r="A1307" s="570"/>
      <c r="B1307" s="557"/>
      <c r="C1307" s="557"/>
      <c r="D1307" s="557"/>
      <c r="E1307" s="557"/>
      <c r="F1307" s="563">
        <v>12300.0</v>
      </c>
      <c r="G1307" s="557"/>
      <c r="H1307" s="557">
        <v>0.9805738234112804</v>
      </c>
      <c r="I1307" s="564">
        <v>7643.0</v>
      </c>
      <c r="J1307" s="565">
        <v>12300.0</v>
      </c>
      <c r="K1307" s="542"/>
      <c r="L1307" s="542"/>
      <c r="M1307" s="542"/>
    </row>
    <row r="1308">
      <c r="A1308" s="570"/>
      <c r="B1308" s="559" t="s">
        <v>339</v>
      </c>
      <c r="C1308" s="568">
        <v>110.0</v>
      </c>
      <c r="D1308" s="557">
        <v>0.9949</v>
      </c>
      <c r="E1308" s="569">
        <v>41.82</v>
      </c>
      <c r="F1308" s="563">
        <v>12199.0</v>
      </c>
      <c r="G1308" s="557"/>
      <c r="H1308" s="559"/>
      <c r="I1308" s="564">
        <v>7580.0</v>
      </c>
      <c r="J1308" s="565">
        <v>12199.0</v>
      </c>
      <c r="K1308" s="542"/>
      <c r="L1308" s="542"/>
      <c r="M1308" s="542"/>
    </row>
    <row r="1309">
      <c r="A1309" s="570"/>
      <c r="B1309" s="559" t="s">
        <v>1884</v>
      </c>
      <c r="C1309" s="568">
        <v>124.0</v>
      </c>
      <c r="D1309" s="557">
        <v>0.9785</v>
      </c>
      <c r="E1309" s="569">
        <v>31.75</v>
      </c>
      <c r="F1309" s="563">
        <v>12063.0</v>
      </c>
      <c r="G1309" s="557"/>
      <c r="H1309" s="559"/>
      <c r="I1309" s="564">
        <v>7496.0</v>
      </c>
      <c r="J1309" s="565">
        <v>12063.0</v>
      </c>
      <c r="K1309" s="542"/>
      <c r="L1309" s="542"/>
      <c r="M1309" s="542"/>
    </row>
    <row r="1310">
      <c r="A1310" s="570"/>
      <c r="B1310" s="559" t="s">
        <v>397</v>
      </c>
      <c r="C1310" s="568">
        <v>217.0</v>
      </c>
      <c r="D1310" s="557">
        <v>0.97</v>
      </c>
      <c r="E1310" s="569">
        <v>35.22</v>
      </c>
      <c r="F1310" s="563">
        <v>12000.0</v>
      </c>
      <c r="G1310" s="557"/>
      <c r="H1310" s="559"/>
      <c r="I1310" s="564">
        <v>7456.0</v>
      </c>
      <c r="J1310" s="565">
        <v>12000.0</v>
      </c>
      <c r="K1310" s="542"/>
      <c r="L1310" s="542"/>
      <c r="M1310" s="542"/>
    </row>
    <row r="1311">
      <c r="A1311" s="570"/>
      <c r="B1311" s="559" t="s">
        <v>620</v>
      </c>
      <c r="C1311" s="568">
        <v>189.0</v>
      </c>
      <c r="D1311" s="557">
        <v>1.0127</v>
      </c>
      <c r="E1311" s="569">
        <v>33.55</v>
      </c>
      <c r="F1311" s="563">
        <v>12000.0</v>
      </c>
      <c r="G1311" s="557"/>
      <c r="H1311" s="559"/>
      <c r="I1311" s="564">
        <v>7456.0</v>
      </c>
      <c r="J1311" s="565">
        <v>12000.0</v>
      </c>
      <c r="K1311" s="542"/>
      <c r="L1311" s="542"/>
      <c r="M1311" s="542"/>
    </row>
    <row r="1312">
      <c r="A1312" s="570"/>
      <c r="B1312" s="559" t="s">
        <v>1642</v>
      </c>
      <c r="C1312" s="568">
        <v>208.0</v>
      </c>
      <c r="D1312" s="557">
        <v>1.0043</v>
      </c>
      <c r="E1312" s="569">
        <v>38.09</v>
      </c>
      <c r="F1312" s="563">
        <v>11989.0</v>
      </c>
      <c r="G1312" s="557"/>
      <c r="H1312" s="559"/>
      <c r="I1312" s="564">
        <v>7450.0</v>
      </c>
      <c r="J1312" s="565">
        <v>11989.0</v>
      </c>
      <c r="K1312" s="542"/>
      <c r="L1312" s="542"/>
      <c r="M1312" s="542"/>
    </row>
    <row r="1313">
      <c r="A1313" s="570"/>
      <c r="B1313" s="559" t="s">
        <v>1667</v>
      </c>
      <c r="C1313" s="568">
        <v>200.0</v>
      </c>
      <c r="D1313" s="557">
        <v>1.038</v>
      </c>
      <c r="E1313" s="569">
        <v>31.93</v>
      </c>
      <c r="F1313" s="563">
        <v>11968.0</v>
      </c>
      <c r="G1313" s="557"/>
      <c r="H1313" s="559"/>
      <c r="I1313" s="564">
        <v>7437.0</v>
      </c>
      <c r="J1313" s="565">
        <v>11968.0</v>
      </c>
      <c r="K1313" s="542"/>
      <c r="L1313" s="542"/>
      <c r="M1313" s="542"/>
    </row>
    <row r="1314">
      <c r="A1314" s="570"/>
      <c r="B1314" s="559" t="s">
        <v>92</v>
      </c>
      <c r="C1314" s="568">
        <v>175.0</v>
      </c>
      <c r="D1314" s="557">
        <v>0.9916</v>
      </c>
      <c r="E1314" s="569">
        <v>35.77</v>
      </c>
      <c r="F1314" s="563">
        <v>11896.0</v>
      </c>
      <c r="G1314" s="557">
        <v>-1.0</v>
      </c>
      <c r="H1314" s="559"/>
      <c r="I1314" s="564">
        <v>7392.0</v>
      </c>
      <c r="J1314" s="565">
        <v>11896.0</v>
      </c>
      <c r="K1314" s="542"/>
      <c r="L1314" s="542"/>
      <c r="M1314" s="542"/>
    </row>
    <row r="1315">
      <c r="A1315" s="570"/>
      <c r="B1315" s="557"/>
      <c r="C1315" s="557"/>
      <c r="D1315" s="557"/>
      <c r="E1315" s="557"/>
      <c r="F1315" s="563">
        <v>11800.0</v>
      </c>
      <c r="G1315" s="557"/>
      <c r="H1315" s="557">
        <v>0.9811831841595291</v>
      </c>
      <c r="I1315" s="564">
        <v>7332.0</v>
      </c>
      <c r="J1315" s="565">
        <v>11800.0</v>
      </c>
      <c r="K1315" s="542"/>
      <c r="L1315" s="542"/>
      <c r="M1315" s="542"/>
    </row>
    <row r="1316">
      <c r="A1316" s="570"/>
      <c r="B1316" s="559" t="s">
        <v>761</v>
      </c>
      <c r="C1316" s="568">
        <v>129.0</v>
      </c>
      <c r="D1316" s="557">
        <v>0.9657</v>
      </c>
      <c r="E1316" s="569">
        <v>36.23</v>
      </c>
      <c r="F1316" s="563">
        <v>11743.0</v>
      </c>
      <c r="G1316" s="557"/>
      <c r="H1316" s="559"/>
      <c r="I1316" s="564">
        <v>7297.0</v>
      </c>
      <c r="J1316" s="565">
        <v>11743.0</v>
      </c>
      <c r="K1316" s="542"/>
      <c r="L1316" s="542"/>
      <c r="M1316" s="542"/>
    </row>
    <row r="1317">
      <c r="A1317" s="570"/>
      <c r="B1317" s="559" t="s">
        <v>777</v>
      </c>
      <c r="C1317" s="568">
        <v>245.0</v>
      </c>
      <c r="D1317" s="557">
        <v>0.9801</v>
      </c>
      <c r="E1317" s="569">
        <v>32.05</v>
      </c>
      <c r="F1317" s="563">
        <v>11727.0</v>
      </c>
      <c r="G1317" s="557">
        <v>-1.0</v>
      </c>
      <c r="H1317" s="559"/>
      <c r="I1317" s="564">
        <v>7287.0</v>
      </c>
      <c r="J1317" s="565">
        <v>11727.0</v>
      </c>
      <c r="K1317" s="542"/>
      <c r="L1317" s="542"/>
      <c r="M1317" s="542"/>
    </row>
    <row r="1318">
      <c r="A1318" s="570"/>
      <c r="B1318" s="559" t="s">
        <v>1703</v>
      </c>
      <c r="C1318" s="568">
        <v>156.0</v>
      </c>
      <c r="D1318" s="557">
        <v>0.9973</v>
      </c>
      <c r="E1318" s="569">
        <v>37.07</v>
      </c>
      <c r="F1318" s="563">
        <v>11680.0</v>
      </c>
      <c r="G1318" s="557"/>
      <c r="H1318" s="559"/>
      <c r="I1318" s="564">
        <v>7258.0</v>
      </c>
      <c r="J1318" s="565">
        <v>11680.0</v>
      </c>
      <c r="K1318" s="542"/>
      <c r="L1318" s="542"/>
      <c r="M1318" s="542"/>
    </row>
    <row r="1319">
      <c r="A1319" s="570"/>
      <c r="B1319" s="559" t="s">
        <v>477</v>
      </c>
      <c r="C1319" s="568">
        <v>225.0</v>
      </c>
      <c r="D1319" s="557">
        <v>1.0</v>
      </c>
      <c r="E1319" s="569">
        <v>34.14</v>
      </c>
      <c r="F1319" s="563">
        <v>11500.0</v>
      </c>
      <c r="G1319" s="557"/>
      <c r="H1319" s="559"/>
      <c r="I1319" s="564">
        <v>7146.0</v>
      </c>
      <c r="J1319" s="565">
        <v>11500.0</v>
      </c>
      <c r="K1319" s="542"/>
      <c r="L1319" s="542"/>
      <c r="M1319" s="542"/>
    </row>
    <row r="1320">
      <c r="A1320" s="570"/>
      <c r="B1320" s="559" t="s">
        <v>1882</v>
      </c>
      <c r="C1320" s="568">
        <v>113.0</v>
      </c>
      <c r="D1320" s="557">
        <v>0.9988</v>
      </c>
      <c r="E1320" s="569">
        <v>37.3</v>
      </c>
      <c r="F1320" s="563">
        <v>11500.0</v>
      </c>
      <c r="G1320" s="557"/>
      <c r="H1320" s="559"/>
      <c r="I1320" s="564">
        <v>7146.0</v>
      </c>
      <c r="J1320" s="565">
        <v>11500.0</v>
      </c>
      <c r="K1320" s="542"/>
      <c r="L1320" s="542"/>
      <c r="M1320" s="542"/>
    </row>
    <row r="1321">
      <c r="A1321" s="570"/>
      <c r="B1321" s="559" t="s">
        <v>761</v>
      </c>
      <c r="C1321" s="568">
        <v>128.0</v>
      </c>
      <c r="D1321" s="557">
        <v>0.9681</v>
      </c>
      <c r="E1321" s="569">
        <v>35.29</v>
      </c>
      <c r="F1321" s="563">
        <v>11403.0</v>
      </c>
      <c r="G1321" s="557"/>
      <c r="H1321" s="559"/>
      <c r="I1321" s="564">
        <v>7085.0</v>
      </c>
      <c r="J1321" s="565">
        <v>11403.0</v>
      </c>
      <c r="K1321" s="542"/>
      <c r="L1321" s="542"/>
      <c r="M1321" s="542"/>
    </row>
    <row r="1322">
      <c r="A1322" s="570"/>
      <c r="B1322" s="557"/>
      <c r="C1322" s="557"/>
      <c r="D1322" s="557"/>
      <c r="E1322" s="557"/>
      <c r="F1322" s="563">
        <v>11300.0</v>
      </c>
      <c r="G1322" s="557"/>
      <c r="H1322" s="557">
        <v>0.9818052221820079</v>
      </c>
      <c r="I1322" s="564">
        <v>7021.0</v>
      </c>
      <c r="J1322" s="565">
        <v>11300.0</v>
      </c>
      <c r="K1322" s="542"/>
      <c r="L1322" s="542"/>
      <c r="M1322" s="542"/>
    </row>
    <row r="1323">
      <c r="A1323" s="570"/>
      <c r="B1323" s="559" t="s">
        <v>640</v>
      </c>
      <c r="C1323" s="568">
        <v>197.0</v>
      </c>
      <c r="D1323" s="557">
        <v>0.9873</v>
      </c>
      <c r="E1323" s="569">
        <v>33.27</v>
      </c>
      <c r="F1323" s="563">
        <v>11234.0</v>
      </c>
      <c r="G1323" s="557"/>
      <c r="H1323" s="559"/>
      <c r="I1323" s="564">
        <v>6980.0</v>
      </c>
      <c r="J1323" s="565">
        <v>11234.0</v>
      </c>
      <c r="K1323" s="542"/>
      <c r="L1323" s="542"/>
      <c r="M1323" s="542"/>
    </row>
    <row r="1324">
      <c r="A1324" s="570"/>
      <c r="B1324" s="559" t="s">
        <v>761</v>
      </c>
      <c r="C1324" s="568">
        <v>119.0</v>
      </c>
      <c r="D1324" s="557">
        <v>0.9706</v>
      </c>
      <c r="E1324" s="569">
        <v>34.31</v>
      </c>
      <c r="F1324" s="563">
        <v>11053.0</v>
      </c>
      <c r="G1324" s="557"/>
      <c r="H1324" s="559"/>
      <c r="I1324" s="564">
        <v>6868.0</v>
      </c>
      <c r="J1324" s="565">
        <v>11053.0</v>
      </c>
      <c r="K1324" s="542"/>
      <c r="L1324" s="542"/>
      <c r="M1324" s="542"/>
    </row>
    <row r="1325">
      <c r="A1325" s="570"/>
      <c r="B1325" s="559" t="s">
        <v>511</v>
      </c>
      <c r="C1325" s="568">
        <v>121.0</v>
      </c>
      <c r="D1325" s="557">
        <v>0.9888</v>
      </c>
      <c r="E1325" s="569">
        <v>27.16</v>
      </c>
      <c r="F1325" s="563">
        <v>11042.0</v>
      </c>
      <c r="G1325" s="557">
        <v>-1.0</v>
      </c>
      <c r="H1325" s="559"/>
      <c r="I1325" s="564">
        <v>6861.0</v>
      </c>
      <c r="J1325" s="565">
        <v>11042.0</v>
      </c>
      <c r="K1325" s="542"/>
      <c r="L1325" s="542"/>
      <c r="M1325" s="542"/>
    </row>
    <row r="1326">
      <c r="A1326" s="570"/>
      <c r="B1326" s="559" t="s">
        <v>717</v>
      </c>
      <c r="C1326" s="568">
        <v>139.0</v>
      </c>
      <c r="D1326" s="557">
        <v>1.0</v>
      </c>
      <c r="E1326" s="569">
        <v>27.85</v>
      </c>
      <c r="F1326" s="563">
        <v>10843.0</v>
      </c>
      <c r="G1326" s="557"/>
      <c r="H1326" s="559"/>
      <c r="I1326" s="564">
        <v>6738.0</v>
      </c>
      <c r="J1326" s="565">
        <v>10843.0</v>
      </c>
      <c r="K1326" s="542"/>
      <c r="L1326" s="542"/>
      <c r="M1326" s="542"/>
    </row>
    <row r="1327">
      <c r="A1327" s="570"/>
      <c r="B1327" s="557"/>
      <c r="C1327" s="557"/>
      <c r="D1327" s="557"/>
      <c r="E1327" s="557"/>
      <c r="F1327" s="563">
        <v>10800.0</v>
      </c>
      <c r="G1327" s="557"/>
      <c r="H1327" s="557">
        <v>0.9824402400247698</v>
      </c>
      <c r="I1327" s="564">
        <v>6711.0</v>
      </c>
      <c r="J1327" s="565">
        <v>10800.0</v>
      </c>
      <c r="K1327" s="542"/>
      <c r="L1327" s="542"/>
      <c r="M1327" s="542"/>
    </row>
    <row r="1328">
      <c r="A1328" s="570"/>
      <c r="B1328" s="559" t="s">
        <v>1741</v>
      </c>
      <c r="C1328" s="568">
        <v>69.0</v>
      </c>
      <c r="D1328" s="557">
        <v>0.9491</v>
      </c>
      <c r="E1328" s="569">
        <v>29.21</v>
      </c>
      <c r="F1328" s="563">
        <v>10762.0</v>
      </c>
      <c r="G1328" s="557"/>
      <c r="H1328" s="559"/>
      <c r="I1328" s="564">
        <v>6687.0</v>
      </c>
      <c r="J1328" s="565">
        <v>10762.0</v>
      </c>
      <c r="K1328" s="542"/>
      <c r="L1328" s="542"/>
      <c r="M1328" s="542"/>
    </row>
    <row r="1329">
      <c r="A1329" s="570"/>
      <c r="B1329" s="559" t="s">
        <v>1628</v>
      </c>
      <c r="C1329" s="568">
        <v>151.0</v>
      </c>
      <c r="D1329" s="557">
        <v>0.9992</v>
      </c>
      <c r="E1329" s="569">
        <v>28.18</v>
      </c>
      <c r="F1329" s="563">
        <v>10715.0</v>
      </c>
      <c r="G1329" s="557"/>
      <c r="H1329" s="559"/>
      <c r="I1329" s="564">
        <v>6658.0</v>
      </c>
      <c r="J1329" s="565">
        <v>10715.0</v>
      </c>
      <c r="K1329" s="542"/>
      <c r="L1329" s="542"/>
      <c r="M1329" s="542"/>
    </row>
    <row r="1330">
      <c r="A1330" s="570"/>
      <c r="B1330" s="559" t="s">
        <v>138</v>
      </c>
      <c r="C1330" s="568">
        <v>256.0</v>
      </c>
      <c r="D1330" s="557">
        <v>0.9873</v>
      </c>
      <c r="E1330" s="569">
        <v>29.0</v>
      </c>
      <c r="F1330" s="563">
        <v>10680.0</v>
      </c>
      <c r="G1330" s="557">
        <v>-1.0</v>
      </c>
      <c r="H1330" s="559"/>
      <c r="I1330" s="564">
        <v>6636.0</v>
      </c>
      <c r="J1330" s="565">
        <v>10680.0</v>
      </c>
      <c r="K1330" s="542"/>
      <c r="L1330" s="542"/>
      <c r="M1330" s="542"/>
    </row>
    <row r="1331">
      <c r="A1331" s="570"/>
      <c r="B1331" s="559" t="s">
        <v>279</v>
      </c>
      <c r="C1331" s="568">
        <v>149.0</v>
      </c>
      <c r="D1331" s="557">
        <v>0.9898</v>
      </c>
      <c r="E1331" s="569">
        <v>32.09</v>
      </c>
      <c r="F1331" s="563">
        <v>10526.0</v>
      </c>
      <c r="G1331" s="557"/>
      <c r="H1331" s="559"/>
      <c r="I1331" s="564">
        <v>6541.0</v>
      </c>
      <c r="J1331" s="565">
        <v>10526.0</v>
      </c>
      <c r="K1331" s="542"/>
      <c r="L1331" s="542"/>
      <c r="M1331" s="542"/>
    </row>
    <row r="1332">
      <c r="A1332" s="570"/>
      <c r="B1332" s="559" t="s">
        <v>1884</v>
      </c>
      <c r="C1332" s="568">
        <v>92.0</v>
      </c>
      <c r="D1332" s="557">
        <v>0.9785</v>
      </c>
      <c r="E1332" s="569">
        <v>27.78</v>
      </c>
      <c r="F1332" s="563">
        <v>10500.0</v>
      </c>
      <c r="G1332" s="557"/>
      <c r="H1332" s="559"/>
      <c r="I1332" s="564">
        <v>6524.0</v>
      </c>
      <c r="J1332" s="565">
        <v>10500.0</v>
      </c>
      <c r="K1332" s="542"/>
      <c r="L1332" s="542"/>
      <c r="M1332" s="542"/>
    </row>
    <row r="1333">
      <c r="A1333" s="570"/>
      <c r="B1333" s="557"/>
      <c r="C1333" s="557"/>
      <c r="D1333" s="557"/>
      <c r="E1333" s="557"/>
      <c r="F1333" s="563">
        <v>10300.0</v>
      </c>
      <c r="G1333" s="557"/>
      <c r="H1333" s="557">
        <v>0.9830885474541979</v>
      </c>
      <c r="I1333" s="564">
        <v>6400.0</v>
      </c>
      <c r="J1333" s="565">
        <v>10300.0</v>
      </c>
      <c r="K1333" s="542"/>
      <c r="L1333" s="542"/>
      <c r="M1333" s="542"/>
    </row>
    <row r="1334">
      <c r="A1334" s="570"/>
      <c r="B1334" s="559" t="s">
        <v>1615</v>
      </c>
      <c r="C1334" s="568">
        <v>191.0</v>
      </c>
      <c r="D1334" s="557">
        <v>0.989</v>
      </c>
      <c r="E1334" s="569">
        <v>28.23</v>
      </c>
      <c r="F1334" s="563">
        <v>10239.0</v>
      </c>
      <c r="G1334" s="557"/>
      <c r="H1334" s="559"/>
      <c r="I1334" s="564">
        <v>6362.0</v>
      </c>
      <c r="J1334" s="565">
        <v>10239.0</v>
      </c>
      <c r="K1334" s="542"/>
      <c r="L1334" s="542"/>
      <c r="M1334" s="542"/>
    </row>
    <row r="1335">
      <c r="A1335" s="570"/>
      <c r="B1335" s="559" t="s">
        <v>1761</v>
      </c>
      <c r="C1335" s="568">
        <v>126.0</v>
      </c>
      <c r="D1335" s="557">
        <v>0.9768</v>
      </c>
      <c r="E1335" s="569">
        <v>25.01</v>
      </c>
      <c r="F1335" s="563">
        <v>10025.0</v>
      </c>
      <c r="G1335" s="557"/>
      <c r="H1335" s="559"/>
      <c r="I1335" s="564">
        <v>6229.0</v>
      </c>
      <c r="J1335" s="565">
        <v>10025.0</v>
      </c>
      <c r="K1335" s="542"/>
      <c r="L1335" s="542"/>
      <c r="M1335" s="542"/>
    </row>
    <row r="1336">
      <c r="A1336" s="570"/>
      <c r="B1336" s="559" t="s">
        <v>1632</v>
      </c>
      <c r="C1336" s="568">
        <v>250.0</v>
      </c>
      <c r="D1336" s="557">
        <v>0.9762</v>
      </c>
      <c r="E1336" s="569">
        <v>29.09</v>
      </c>
      <c r="F1336" s="563">
        <v>10001.0</v>
      </c>
      <c r="G1336" s="557"/>
      <c r="H1336" s="559"/>
      <c r="I1336" s="564">
        <v>6214.0</v>
      </c>
      <c r="J1336" s="565">
        <v>10001.0</v>
      </c>
      <c r="K1336" s="542"/>
      <c r="L1336" s="542"/>
      <c r="M1336" s="542"/>
    </row>
    <row r="1337">
      <c r="A1337" s="570"/>
      <c r="B1337" s="559" t="s">
        <v>181</v>
      </c>
      <c r="C1337" s="568">
        <v>224.0</v>
      </c>
      <c r="D1337" s="557">
        <v>0.9924</v>
      </c>
      <c r="E1337" s="569">
        <v>29.28</v>
      </c>
      <c r="F1337" s="563">
        <v>10000.0</v>
      </c>
      <c r="G1337" s="557"/>
      <c r="H1337" s="559"/>
      <c r="I1337" s="564">
        <v>6214.0</v>
      </c>
      <c r="J1337" s="565">
        <v>10000.0</v>
      </c>
      <c r="K1337" s="542"/>
      <c r="L1337" s="542"/>
      <c r="M1337" s="542"/>
    </row>
    <row r="1338">
      <c r="A1338" s="570"/>
      <c r="B1338" s="559" t="s">
        <v>1902</v>
      </c>
      <c r="C1338" s="568">
        <v>132.0</v>
      </c>
      <c r="D1338" s="557">
        <v>1.0</v>
      </c>
      <c r="E1338" s="569">
        <v>32.13</v>
      </c>
      <c r="F1338" s="563">
        <v>10000.0</v>
      </c>
      <c r="G1338" s="557"/>
      <c r="H1338" s="559"/>
      <c r="I1338" s="564">
        <v>6214.0</v>
      </c>
      <c r="J1338" s="565">
        <v>10000.0</v>
      </c>
      <c r="K1338" s="542"/>
      <c r="L1338" s="542"/>
      <c r="M1338" s="542"/>
    </row>
    <row r="1339">
      <c r="A1339" s="570"/>
      <c r="B1339" s="559" t="s">
        <v>1447</v>
      </c>
      <c r="C1339" s="568">
        <v>288.0</v>
      </c>
      <c r="D1339" s="557">
        <v>0.99</v>
      </c>
      <c r="E1339" s="569">
        <v>28.61</v>
      </c>
      <c r="F1339" s="563">
        <v>9934.0</v>
      </c>
      <c r="G1339" s="557"/>
      <c r="H1339" s="559"/>
      <c r="I1339" s="564">
        <v>6173.0</v>
      </c>
      <c r="J1339" s="565">
        <v>9934.0</v>
      </c>
      <c r="K1339" s="542"/>
      <c r="L1339" s="542"/>
      <c r="M1339" s="542"/>
    </row>
    <row r="1340">
      <c r="A1340" s="570"/>
      <c r="B1340" s="559" t="s">
        <v>1751</v>
      </c>
      <c r="C1340" s="568">
        <v>120.0</v>
      </c>
      <c r="D1340" s="557">
        <v>1.0177</v>
      </c>
      <c r="E1340" s="569">
        <v>22.94</v>
      </c>
      <c r="F1340" s="563">
        <v>9911.0</v>
      </c>
      <c r="G1340" s="557"/>
      <c r="H1340" s="559"/>
      <c r="I1340" s="564">
        <v>6158.0</v>
      </c>
      <c r="J1340" s="565">
        <v>9911.0</v>
      </c>
      <c r="K1340" s="542"/>
      <c r="L1340" s="542"/>
      <c r="M1340" s="542"/>
    </row>
    <row r="1341">
      <c r="A1341" s="570"/>
      <c r="B1341" s="557"/>
      <c r="C1341" s="557"/>
      <c r="D1341" s="557"/>
      <c r="E1341" s="557"/>
      <c r="F1341" s="563">
        <v>9800.0</v>
      </c>
      <c r="G1341" s="557"/>
      <c r="H1341" s="557">
        <v>0.9837504616293219</v>
      </c>
      <c r="I1341" s="564">
        <v>6089.0</v>
      </c>
      <c r="J1341" s="565">
        <v>9800.0</v>
      </c>
      <c r="K1341" s="542"/>
      <c r="L1341" s="542"/>
      <c r="M1341" s="542"/>
    </row>
    <row r="1342">
      <c r="A1342" s="570"/>
      <c r="B1342" s="559" t="s">
        <v>331</v>
      </c>
      <c r="C1342" s="568">
        <v>80.0</v>
      </c>
      <c r="D1342" s="557">
        <v>0.9961</v>
      </c>
      <c r="E1342" s="569">
        <v>31.75</v>
      </c>
      <c r="F1342" s="563">
        <v>9757.0</v>
      </c>
      <c r="G1342" s="557">
        <v>-1.0</v>
      </c>
      <c r="H1342" s="559"/>
      <c r="I1342" s="564">
        <v>6063.0</v>
      </c>
      <c r="J1342" s="565">
        <v>9757.0</v>
      </c>
      <c r="K1342" s="542"/>
      <c r="L1342" s="542"/>
      <c r="M1342" s="542"/>
    </row>
    <row r="1343">
      <c r="A1343" s="570"/>
      <c r="B1343" s="559" t="s">
        <v>339</v>
      </c>
      <c r="C1343" s="568">
        <v>73.0</v>
      </c>
      <c r="D1343" s="557">
        <v>0.9974</v>
      </c>
      <c r="E1343" s="569">
        <v>32.44</v>
      </c>
      <c r="F1343" s="563">
        <v>9732.0</v>
      </c>
      <c r="G1343" s="557"/>
      <c r="H1343" s="559"/>
      <c r="I1343" s="564">
        <v>6047.0</v>
      </c>
      <c r="J1343" s="565">
        <v>9732.0</v>
      </c>
      <c r="K1343" s="542"/>
      <c r="L1343" s="542"/>
      <c r="M1343" s="542"/>
    </row>
    <row r="1344">
      <c r="A1344" s="570"/>
      <c r="B1344" s="559" t="s">
        <v>1898</v>
      </c>
      <c r="C1344" s="568">
        <v>99.0</v>
      </c>
      <c r="D1344" s="557">
        <v>0.9918</v>
      </c>
      <c r="E1344" s="569"/>
      <c r="F1344" s="563">
        <v>9695.0</v>
      </c>
      <c r="G1344" s="557"/>
      <c r="H1344" s="559"/>
      <c r="I1344" s="564">
        <v>6024.0</v>
      </c>
      <c r="J1344" s="565">
        <v>9695.0</v>
      </c>
      <c r="K1344" s="542"/>
      <c r="L1344" s="542"/>
      <c r="M1344" s="542"/>
    </row>
    <row r="1345">
      <c r="A1345" s="570"/>
      <c r="B1345" s="559" t="s">
        <v>519</v>
      </c>
      <c r="C1345" s="568">
        <v>154.0</v>
      </c>
      <c r="D1345" s="557">
        <v>1.0229</v>
      </c>
      <c r="E1345" s="569">
        <v>19.79</v>
      </c>
      <c r="F1345" s="563">
        <v>9648.0</v>
      </c>
      <c r="G1345" s="557">
        <v>-1.0</v>
      </c>
      <c r="H1345" s="559"/>
      <c r="I1345" s="564">
        <v>5995.0</v>
      </c>
      <c r="J1345" s="565">
        <v>9648.0</v>
      </c>
      <c r="K1345" s="542"/>
      <c r="L1345" s="542"/>
      <c r="M1345" s="542"/>
    </row>
    <row r="1346">
      <c r="A1346" s="570"/>
      <c r="B1346" s="559" t="s">
        <v>1666</v>
      </c>
      <c r="C1346" s="568">
        <v>108.0</v>
      </c>
      <c r="D1346" s="557">
        <v>0.9561</v>
      </c>
      <c r="E1346" s="569">
        <v>26.3</v>
      </c>
      <c r="F1346" s="563">
        <v>9535.0</v>
      </c>
      <c r="G1346" s="557"/>
      <c r="H1346" s="559"/>
      <c r="I1346" s="564">
        <v>5925.0</v>
      </c>
      <c r="J1346" s="565">
        <v>9535.0</v>
      </c>
      <c r="K1346" s="542"/>
      <c r="L1346" s="542"/>
      <c r="M1346" s="542"/>
    </row>
    <row r="1347">
      <c r="A1347" s="570"/>
      <c r="B1347" s="559" t="s">
        <v>717</v>
      </c>
      <c r="C1347" s="568">
        <v>126.0</v>
      </c>
      <c r="D1347" s="557">
        <v>1.0025</v>
      </c>
      <c r="E1347" s="569">
        <v>24.45</v>
      </c>
      <c r="F1347" s="563">
        <v>9484.0</v>
      </c>
      <c r="G1347" s="557"/>
      <c r="H1347" s="559"/>
      <c r="I1347" s="564">
        <v>5893.0</v>
      </c>
      <c r="J1347" s="565">
        <v>9484.0</v>
      </c>
      <c r="K1347" s="542"/>
      <c r="L1347" s="542"/>
      <c r="M1347" s="542"/>
    </row>
    <row r="1348">
      <c r="A1348" s="570"/>
      <c r="B1348" s="559" t="s">
        <v>454</v>
      </c>
      <c r="C1348" s="568">
        <v>122.0</v>
      </c>
      <c r="D1348" s="557">
        <v>0.9403</v>
      </c>
      <c r="E1348" s="569">
        <v>24.74</v>
      </c>
      <c r="F1348" s="563">
        <v>9318.0</v>
      </c>
      <c r="G1348" s="557">
        <v>-1.0</v>
      </c>
      <c r="H1348" s="559"/>
      <c r="I1348" s="564">
        <v>5790.0</v>
      </c>
      <c r="J1348" s="565">
        <v>9318.0</v>
      </c>
      <c r="K1348" s="542"/>
      <c r="L1348" s="542"/>
      <c r="M1348" s="542"/>
    </row>
    <row r="1349">
      <c r="A1349" s="570"/>
      <c r="B1349" s="557"/>
      <c r="C1349" s="557"/>
      <c r="D1349" s="557"/>
      <c r="E1349" s="557"/>
      <c r="F1349" s="563">
        <v>9300.0</v>
      </c>
      <c r="G1349" s="557"/>
      <c r="H1349" s="557">
        <v>0.9844263072782435</v>
      </c>
      <c r="I1349" s="564">
        <v>5779.0</v>
      </c>
      <c r="J1349" s="565">
        <v>9300.0</v>
      </c>
      <c r="K1349" s="542"/>
      <c r="L1349" s="542"/>
      <c r="M1349" s="542"/>
    </row>
    <row r="1350">
      <c r="A1350" s="570"/>
      <c r="B1350" s="559" t="s">
        <v>1726</v>
      </c>
      <c r="C1350" s="568">
        <v>78.0</v>
      </c>
      <c r="D1350" s="557">
        <v>0.9588</v>
      </c>
      <c r="E1350" s="569">
        <v>26.76</v>
      </c>
      <c r="F1350" s="563">
        <v>9200.0</v>
      </c>
      <c r="G1350" s="557"/>
      <c r="H1350" s="559"/>
      <c r="I1350" s="564">
        <v>5717.0</v>
      </c>
      <c r="J1350" s="565">
        <v>9200.0</v>
      </c>
      <c r="K1350" s="542"/>
      <c r="L1350" s="542"/>
      <c r="M1350" s="542"/>
    </row>
    <row r="1351">
      <c r="A1351" s="570"/>
      <c r="B1351" s="559" t="s">
        <v>1637</v>
      </c>
      <c r="C1351" s="568">
        <v>107.0</v>
      </c>
      <c r="D1351" s="557">
        <v>1.0043</v>
      </c>
      <c r="E1351" s="569">
        <v>29.49</v>
      </c>
      <c r="F1351" s="563">
        <v>9199.0</v>
      </c>
      <c r="G1351" s="557"/>
      <c r="H1351" s="559"/>
      <c r="I1351" s="564">
        <v>5716.0</v>
      </c>
      <c r="J1351" s="565">
        <v>9199.0</v>
      </c>
      <c r="K1351" s="542"/>
      <c r="L1351" s="542"/>
      <c r="M1351" s="542"/>
    </row>
    <row r="1352">
      <c r="A1352" s="570"/>
      <c r="B1352" s="559" t="s">
        <v>288</v>
      </c>
      <c r="C1352" s="568">
        <v>144.0</v>
      </c>
      <c r="D1352" s="557">
        <v>0.9787</v>
      </c>
      <c r="E1352" s="569">
        <v>32.46</v>
      </c>
      <c r="F1352" s="563">
        <v>9161.0</v>
      </c>
      <c r="G1352" s="557"/>
      <c r="H1352" s="559"/>
      <c r="I1352" s="564">
        <v>5692.0</v>
      </c>
      <c r="J1352" s="565">
        <v>9161.0</v>
      </c>
      <c r="K1352" s="542"/>
      <c r="L1352" s="542"/>
      <c r="M1352" s="542"/>
    </row>
    <row r="1353">
      <c r="A1353" s="570"/>
      <c r="B1353" s="559" t="s">
        <v>1656</v>
      </c>
      <c r="C1353" s="568">
        <v>133.0</v>
      </c>
      <c r="D1353" s="557">
        <v>1.0216</v>
      </c>
      <c r="E1353" s="569">
        <v>21.32</v>
      </c>
      <c r="F1353" s="563">
        <v>8900.0</v>
      </c>
      <c r="G1353" s="557"/>
      <c r="H1353" s="559"/>
      <c r="I1353" s="564">
        <v>5530.0</v>
      </c>
      <c r="J1353" s="565">
        <v>8900.0</v>
      </c>
      <c r="K1353" s="542"/>
      <c r="L1353" s="542"/>
      <c r="M1353" s="542"/>
    </row>
    <row r="1354">
      <c r="A1354" s="570"/>
      <c r="B1354" s="559" t="s">
        <v>829</v>
      </c>
      <c r="C1354" s="568">
        <v>154.0</v>
      </c>
      <c r="D1354" s="557">
        <v>0.9761</v>
      </c>
      <c r="E1354" s="569">
        <v>20.33</v>
      </c>
      <c r="F1354" s="563">
        <v>8851.0</v>
      </c>
      <c r="G1354" s="557">
        <v>-1.0</v>
      </c>
      <c r="H1354" s="559"/>
      <c r="I1354" s="564">
        <v>5500.0</v>
      </c>
      <c r="J1354" s="565">
        <v>8851.0</v>
      </c>
      <c r="K1354" s="542"/>
      <c r="L1354" s="542"/>
      <c r="M1354" s="542"/>
    </row>
    <row r="1355">
      <c r="A1355" s="570"/>
      <c r="B1355" s="557"/>
      <c r="C1355" s="557"/>
      <c r="D1355" s="557"/>
      <c r="E1355" s="557"/>
      <c r="F1355" s="563">
        <v>8800.0</v>
      </c>
      <c r="G1355" s="557"/>
      <c r="H1355" s="557">
        <v>0.9851164168787756</v>
      </c>
      <c r="I1355" s="564">
        <v>5468.0</v>
      </c>
      <c r="J1355" s="565">
        <v>8800.0</v>
      </c>
      <c r="K1355" s="542"/>
      <c r="L1355" s="542"/>
      <c r="M1355" s="542"/>
    </row>
    <row r="1356">
      <c r="A1356" s="570"/>
      <c r="B1356" s="559" t="s">
        <v>853</v>
      </c>
      <c r="C1356" s="568">
        <v>202.0</v>
      </c>
      <c r="D1356" s="557">
        <v>0.9895</v>
      </c>
      <c r="E1356" s="569">
        <v>20.61</v>
      </c>
      <c r="F1356" s="563">
        <v>8773.0</v>
      </c>
      <c r="G1356" s="557">
        <v>-1.0</v>
      </c>
      <c r="H1356" s="559"/>
      <c r="I1356" s="564">
        <v>5451.0</v>
      </c>
      <c r="J1356" s="565">
        <v>8773.0</v>
      </c>
      <c r="K1356" s="542"/>
      <c r="L1356" s="542"/>
      <c r="M1356" s="542"/>
    </row>
    <row r="1357">
      <c r="A1357" s="570"/>
      <c r="B1357" s="559" t="s">
        <v>574</v>
      </c>
      <c r="C1357" s="568">
        <v>107.0</v>
      </c>
      <c r="D1357" s="557">
        <v>0.9865</v>
      </c>
      <c r="E1357" s="569">
        <v>27.24</v>
      </c>
      <c r="F1357" s="563">
        <v>8723.0</v>
      </c>
      <c r="G1357" s="557">
        <v>-1.0</v>
      </c>
      <c r="H1357" s="559"/>
      <c r="I1357" s="564">
        <v>5420.0</v>
      </c>
      <c r="J1357" s="565">
        <v>8723.0</v>
      </c>
      <c r="K1357" s="542"/>
      <c r="L1357" s="542"/>
      <c r="M1357" s="542"/>
    </row>
    <row r="1358">
      <c r="A1358" s="570"/>
      <c r="B1358" s="559" t="s">
        <v>1703</v>
      </c>
      <c r="C1358" s="568">
        <v>126.0</v>
      </c>
      <c r="D1358" s="557">
        <v>1.0016</v>
      </c>
      <c r="E1358" s="569">
        <v>27.62</v>
      </c>
      <c r="F1358" s="563">
        <v>8643.0</v>
      </c>
      <c r="G1358" s="557"/>
      <c r="H1358" s="559"/>
      <c r="I1358" s="564">
        <v>5371.0</v>
      </c>
      <c r="J1358" s="565">
        <v>8643.0</v>
      </c>
      <c r="K1358" s="542"/>
      <c r="L1358" s="542"/>
      <c r="M1358" s="542"/>
    </row>
    <row r="1359">
      <c r="A1359" s="570"/>
      <c r="B1359" s="559" t="s">
        <v>1741</v>
      </c>
      <c r="C1359" s="568">
        <v>61.0</v>
      </c>
      <c r="D1359" s="557">
        <v>0.9514</v>
      </c>
      <c r="E1359" s="569">
        <v>23.39</v>
      </c>
      <c r="F1359" s="563">
        <v>8626.0</v>
      </c>
      <c r="G1359" s="557"/>
      <c r="H1359" s="559"/>
      <c r="I1359" s="564">
        <v>5360.0</v>
      </c>
      <c r="J1359" s="565">
        <v>8626.0</v>
      </c>
      <c r="K1359" s="542"/>
      <c r="L1359" s="542"/>
      <c r="M1359" s="542"/>
    </row>
    <row r="1360">
      <c r="A1360" s="570"/>
      <c r="B1360" s="559" t="s">
        <v>1837</v>
      </c>
      <c r="C1360" s="568">
        <v>87.0</v>
      </c>
      <c r="D1360" s="557">
        <v>1.0194</v>
      </c>
      <c r="E1360" s="569">
        <v>22.29</v>
      </c>
      <c r="F1360" s="563">
        <v>8600.0</v>
      </c>
      <c r="G1360" s="557"/>
      <c r="H1360" s="559"/>
      <c r="I1360" s="564">
        <v>5344.0</v>
      </c>
      <c r="J1360" s="565">
        <v>8600.0</v>
      </c>
      <c r="K1360" s="542"/>
      <c r="L1360" s="542"/>
      <c r="M1360" s="542"/>
    </row>
    <row r="1361">
      <c r="A1361" s="570"/>
      <c r="B1361" s="559" t="s">
        <v>241</v>
      </c>
      <c r="C1361" s="568">
        <v>98.0</v>
      </c>
      <c r="D1361" s="557">
        <v>0.9823</v>
      </c>
      <c r="E1361" s="569">
        <v>26.31</v>
      </c>
      <c r="F1361" s="563">
        <v>8598.0</v>
      </c>
      <c r="G1361" s="557"/>
      <c r="H1361" s="559"/>
      <c r="I1361" s="564">
        <v>5343.0</v>
      </c>
      <c r="J1361" s="565">
        <v>8598.0</v>
      </c>
      <c r="K1361" s="542"/>
      <c r="L1361" s="542"/>
      <c r="M1361" s="542"/>
    </row>
    <row r="1362">
      <c r="A1362" s="570"/>
      <c r="B1362" s="559" t="s">
        <v>331</v>
      </c>
      <c r="C1362" s="568">
        <v>66.0</v>
      </c>
      <c r="D1362" s="557">
        <v>1.0</v>
      </c>
      <c r="E1362" s="569">
        <v>28.17</v>
      </c>
      <c r="F1362" s="563">
        <v>8547.0</v>
      </c>
      <c r="G1362" s="557">
        <v>-1.0</v>
      </c>
      <c r="H1362" s="559"/>
      <c r="I1362" s="564">
        <v>5311.0</v>
      </c>
      <c r="J1362" s="565">
        <v>8547.0</v>
      </c>
      <c r="K1362" s="542"/>
      <c r="L1362" s="542"/>
      <c r="M1362" s="542"/>
    </row>
    <row r="1363">
      <c r="A1363" s="570"/>
      <c r="B1363" s="559" t="s">
        <v>513</v>
      </c>
      <c r="C1363" s="568">
        <v>79.0</v>
      </c>
      <c r="D1363" s="557">
        <v>1.005</v>
      </c>
      <c r="E1363" s="569">
        <v>26.98</v>
      </c>
      <c r="F1363" s="563">
        <v>8452.0</v>
      </c>
      <c r="G1363" s="557"/>
      <c r="H1363" s="559"/>
      <c r="I1363" s="564">
        <v>5252.0</v>
      </c>
      <c r="J1363" s="565">
        <v>8452.0</v>
      </c>
      <c r="K1363" s="542"/>
      <c r="L1363" s="542"/>
      <c r="M1363" s="542"/>
    </row>
    <row r="1364">
      <c r="A1364" s="570"/>
      <c r="B1364" s="559" t="s">
        <v>1263</v>
      </c>
      <c r="C1364" s="568">
        <v>99.0</v>
      </c>
      <c r="D1364" s="557">
        <v>0.9444</v>
      </c>
      <c r="E1364" s="569">
        <v>25.02</v>
      </c>
      <c r="F1364" s="563">
        <v>8414.0</v>
      </c>
      <c r="G1364" s="557"/>
      <c r="H1364" s="559"/>
      <c r="I1364" s="564">
        <v>5228.0</v>
      </c>
      <c r="J1364" s="565">
        <v>8414.0</v>
      </c>
      <c r="K1364" s="542"/>
      <c r="L1364" s="542"/>
      <c r="M1364" s="542"/>
    </row>
    <row r="1365">
      <c r="A1365" s="570"/>
      <c r="B1365" s="559" t="s">
        <v>1615</v>
      </c>
      <c r="C1365" s="568">
        <v>176.0</v>
      </c>
      <c r="D1365" s="557">
        <v>0.9845</v>
      </c>
      <c r="E1365" s="569">
        <v>22.63</v>
      </c>
      <c r="F1365" s="563">
        <v>8400.0</v>
      </c>
      <c r="G1365" s="557"/>
      <c r="H1365" s="559"/>
      <c r="I1365" s="564">
        <v>5220.0</v>
      </c>
      <c r="J1365" s="565">
        <v>8400.0</v>
      </c>
      <c r="K1365" s="542"/>
      <c r="L1365" s="542"/>
      <c r="M1365" s="542"/>
    </row>
    <row r="1366">
      <c r="A1366" s="570"/>
      <c r="B1366" s="557"/>
      <c r="C1366" s="557"/>
      <c r="D1366" s="557"/>
      <c r="E1366" s="557"/>
      <c r="F1366" s="563">
        <v>8300.0</v>
      </c>
      <c r="G1366" s="557"/>
      <c r="H1366" s="557">
        <v>0.9858211308433898</v>
      </c>
      <c r="I1366" s="564">
        <v>5157.0</v>
      </c>
      <c r="J1366" s="565">
        <v>8300.0</v>
      </c>
      <c r="K1366" s="542"/>
      <c r="L1366" s="542"/>
      <c r="M1366" s="542"/>
    </row>
    <row r="1367">
      <c r="A1367" s="570"/>
      <c r="B1367" s="559" t="s">
        <v>640</v>
      </c>
      <c r="C1367" s="568">
        <v>179.0</v>
      </c>
      <c r="D1367" s="557">
        <v>0.9974</v>
      </c>
      <c r="E1367" s="569">
        <v>24.73</v>
      </c>
      <c r="F1367" s="563">
        <v>8249.0</v>
      </c>
      <c r="G1367" s="557"/>
      <c r="H1367" s="559"/>
      <c r="I1367" s="564">
        <v>5126.0</v>
      </c>
      <c r="J1367" s="565">
        <v>8249.0</v>
      </c>
      <c r="K1367" s="542"/>
      <c r="L1367" s="542"/>
      <c r="M1367" s="542"/>
    </row>
    <row r="1368">
      <c r="A1368" s="570"/>
      <c r="B1368" s="559" t="s">
        <v>1866</v>
      </c>
      <c r="C1368" s="568">
        <v>200.0</v>
      </c>
      <c r="D1368" s="557">
        <v>1.0059</v>
      </c>
      <c r="E1368" s="569">
        <v>19.3</v>
      </c>
      <c r="F1368" s="563">
        <v>8200.0</v>
      </c>
      <c r="G1368" s="557"/>
      <c r="H1368" s="559"/>
      <c r="I1368" s="564">
        <v>5095.0</v>
      </c>
      <c r="J1368" s="565">
        <v>8200.0</v>
      </c>
      <c r="K1368" s="542"/>
      <c r="L1368" s="542"/>
      <c r="M1368" s="542"/>
    </row>
    <row r="1369">
      <c r="A1369" s="570"/>
      <c r="B1369" s="559" t="s">
        <v>813</v>
      </c>
      <c r="C1369" s="568">
        <v>48.0</v>
      </c>
      <c r="D1369" s="557">
        <v>0.9974</v>
      </c>
      <c r="E1369" s="569">
        <v>23.71</v>
      </c>
      <c r="F1369" s="563">
        <v>8192.0</v>
      </c>
      <c r="G1369" s="557"/>
      <c r="H1369" s="559"/>
      <c r="I1369" s="564">
        <v>5090.0</v>
      </c>
      <c r="J1369" s="565">
        <v>8192.0</v>
      </c>
      <c r="K1369" s="542"/>
      <c r="L1369" s="542"/>
      <c r="M1369" s="542"/>
    </row>
    <row r="1370">
      <c r="A1370" s="570"/>
      <c r="B1370" s="559" t="s">
        <v>839</v>
      </c>
      <c r="C1370" s="568">
        <v>172.0</v>
      </c>
      <c r="D1370" s="557">
        <v>0.9989</v>
      </c>
      <c r="E1370" s="569">
        <v>16.09</v>
      </c>
      <c r="F1370" s="563">
        <v>8047.0</v>
      </c>
      <c r="G1370" s="557">
        <v>-1.0</v>
      </c>
      <c r="H1370" s="559"/>
      <c r="I1370" s="564">
        <v>5000.0</v>
      </c>
      <c r="J1370" s="565">
        <v>8047.0</v>
      </c>
      <c r="K1370" s="542"/>
      <c r="L1370" s="542"/>
      <c r="M1370" s="542"/>
    </row>
    <row r="1371">
      <c r="A1371" s="570"/>
      <c r="B1371" s="559" t="s">
        <v>140</v>
      </c>
      <c r="C1371" s="568">
        <v>91.0</v>
      </c>
      <c r="D1371" s="557">
        <v>0.9847</v>
      </c>
      <c r="E1371" s="569">
        <v>23.82</v>
      </c>
      <c r="F1371" s="563">
        <v>8000.0</v>
      </c>
      <c r="G1371" s="557"/>
      <c r="H1371" s="559"/>
      <c r="I1371" s="564">
        <v>4971.0</v>
      </c>
      <c r="J1371" s="565">
        <v>8000.0</v>
      </c>
      <c r="K1371" s="542"/>
      <c r="L1371" s="542"/>
      <c r="M1371" s="542"/>
    </row>
    <row r="1372">
      <c r="A1372" s="570"/>
      <c r="B1372" s="559" t="s">
        <v>1883</v>
      </c>
      <c r="C1372" s="568">
        <v>76.0</v>
      </c>
      <c r="D1372" s="557">
        <v>0.9947</v>
      </c>
      <c r="E1372" s="569">
        <v>21.58</v>
      </c>
      <c r="F1372" s="563">
        <v>8000.0</v>
      </c>
      <c r="G1372" s="557"/>
      <c r="H1372" s="559"/>
      <c r="I1372" s="564">
        <v>4971.0</v>
      </c>
      <c r="J1372" s="565">
        <v>8000.0</v>
      </c>
      <c r="K1372" s="542"/>
      <c r="L1372" s="542"/>
      <c r="M1372" s="542"/>
    </row>
    <row r="1373">
      <c r="A1373" s="570"/>
      <c r="B1373" s="559" t="s">
        <v>1615</v>
      </c>
      <c r="C1373" s="568">
        <v>169.0</v>
      </c>
      <c r="D1373" s="557">
        <v>0.9819</v>
      </c>
      <c r="E1373" s="569">
        <v>21.36</v>
      </c>
      <c r="F1373" s="563">
        <v>8000.0</v>
      </c>
      <c r="G1373" s="557"/>
      <c r="H1373" s="559"/>
      <c r="I1373" s="564">
        <v>4971.0</v>
      </c>
      <c r="J1373" s="565">
        <v>8000.0</v>
      </c>
      <c r="K1373" s="542"/>
      <c r="L1373" s="542"/>
      <c r="M1373" s="542"/>
    </row>
    <row r="1374">
      <c r="A1374" s="570"/>
      <c r="B1374" s="559" t="s">
        <v>1727</v>
      </c>
      <c r="C1374" s="568">
        <v>93.0</v>
      </c>
      <c r="D1374" s="557">
        <v>0.9823</v>
      </c>
      <c r="E1374" s="569">
        <v>21.71</v>
      </c>
      <c r="F1374" s="563">
        <v>8000.0</v>
      </c>
      <c r="G1374" s="557"/>
      <c r="H1374" s="559"/>
      <c r="I1374" s="564">
        <v>4971.0</v>
      </c>
      <c r="J1374" s="565">
        <v>8000.0</v>
      </c>
      <c r="K1374" s="542"/>
      <c r="L1374" s="542"/>
      <c r="M1374" s="542"/>
    </row>
    <row r="1375">
      <c r="A1375" s="570"/>
      <c r="B1375" s="559" t="s">
        <v>407</v>
      </c>
      <c r="C1375" s="568">
        <v>142.0</v>
      </c>
      <c r="D1375" s="557">
        <v>1.0018</v>
      </c>
      <c r="E1375" s="569">
        <v>18.93</v>
      </c>
      <c r="F1375" s="563">
        <v>7942.0</v>
      </c>
      <c r="G1375" s="557">
        <v>-1.0</v>
      </c>
      <c r="H1375" s="559"/>
      <c r="I1375" s="564">
        <v>4935.0</v>
      </c>
      <c r="J1375" s="565">
        <v>7942.0</v>
      </c>
      <c r="K1375" s="542"/>
      <c r="L1375" s="542"/>
      <c r="M1375" s="542"/>
    </row>
    <row r="1376">
      <c r="A1376" s="570"/>
      <c r="B1376" s="559" t="s">
        <v>761</v>
      </c>
      <c r="C1376" s="568">
        <v>63.0</v>
      </c>
      <c r="D1376" s="557">
        <v>0.9877</v>
      </c>
      <c r="E1376" s="569">
        <v>24.26</v>
      </c>
      <c r="F1376" s="563">
        <v>7882.0</v>
      </c>
      <c r="G1376" s="557"/>
      <c r="H1376" s="559"/>
      <c r="I1376" s="564">
        <v>4898.0</v>
      </c>
      <c r="J1376" s="565">
        <v>7882.0</v>
      </c>
      <c r="K1376" s="542"/>
      <c r="L1376" s="542"/>
      <c r="M1376" s="542"/>
    </row>
    <row r="1377">
      <c r="A1377" s="570"/>
      <c r="B1377" s="557"/>
      <c r="C1377" s="557"/>
      <c r="D1377" s="557"/>
      <c r="E1377" s="557"/>
      <c r="F1377" s="563">
        <v>7800.0</v>
      </c>
      <c r="G1377" s="557"/>
      <c r="H1377" s="557">
        <v>0.9865407977085796</v>
      </c>
      <c r="I1377" s="564">
        <v>4847.0</v>
      </c>
      <c r="J1377" s="565">
        <v>7800.0</v>
      </c>
      <c r="K1377" s="542"/>
      <c r="L1377" s="542"/>
      <c r="M1377" s="542"/>
    </row>
    <row r="1378">
      <c r="A1378" s="570"/>
      <c r="B1378" s="559" t="s">
        <v>1760</v>
      </c>
      <c r="C1378" s="568">
        <v>89.0</v>
      </c>
      <c r="D1378" s="557">
        <v>0.9932</v>
      </c>
      <c r="E1378" s="569">
        <v>25.03</v>
      </c>
      <c r="F1378" s="563">
        <v>7800.0</v>
      </c>
      <c r="G1378" s="557"/>
      <c r="H1378" s="559"/>
      <c r="I1378" s="564">
        <v>4847.0</v>
      </c>
      <c r="J1378" s="565">
        <v>7800.0</v>
      </c>
      <c r="K1378" s="542"/>
      <c r="L1378" s="542"/>
      <c r="M1378" s="542"/>
    </row>
    <row r="1379">
      <c r="A1379" s="570"/>
      <c r="B1379" s="559" t="s">
        <v>314</v>
      </c>
      <c r="C1379" s="568">
        <v>83.0</v>
      </c>
      <c r="D1379" s="557">
        <v>0.9693</v>
      </c>
      <c r="E1379" s="569">
        <v>18.43</v>
      </c>
      <c r="F1379" s="563">
        <v>7557.0</v>
      </c>
      <c r="G1379" s="557">
        <v>-1.0</v>
      </c>
      <c r="H1379" s="559"/>
      <c r="I1379" s="564">
        <v>4696.0</v>
      </c>
      <c r="J1379" s="565">
        <v>7557.0</v>
      </c>
      <c r="K1379" s="542"/>
      <c r="L1379" s="542"/>
      <c r="M1379" s="542"/>
    </row>
    <row r="1380">
      <c r="A1380" s="570"/>
      <c r="B1380" s="559" t="s">
        <v>267</v>
      </c>
      <c r="C1380" s="568">
        <v>118.0</v>
      </c>
      <c r="D1380" s="557">
        <v>0.9753</v>
      </c>
      <c r="E1380" s="569">
        <v>19.33</v>
      </c>
      <c r="F1380" s="563">
        <v>7522.0</v>
      </c>
      <c r="G1380" s="557">
        <v>-1.0</v>
      </c>
      <c r="H1380" s="559"/>
      <c r="I1380" s="564">
        <v>4674.0</v>
      </c>
      <c r="J1380" s="565">
        <v>7522.0</v>
      </c>
      <c r="K1380" s="542"/>
      <c r="L1380" s="542"/>
      <c r="M1380" s="542"/>
    </row>
    <row r="1381">
      <c r="A1381" s="570"/>
      <c r="B1381" s="559" t="s">
        <v>1884</v>
      </c>
      <c r="C1381" s="568">
        <v>47.0</v>
      </c>
      <c r="D1381" s="557">
        <v>0.9785</v>
      </c>
      <c r="E1381" s="569">
        <v>20.05</v>
      </c>
      <c r="F1381" s="563">
        <v>7500.0</v>
      </c>
      <c r="G1381" s="557"/>
      <c r="H1381" s="559"/>
      <c r="I1381" s="564">
        <v>4660.0</v>
      </c>
      <c r="J1381" s="565">
        <v>7500.0</v>
      </c>
      <c r="K1381" s="542"/>
      <c r="L1381" s="542"/>
      <c r="M1381" s="542"/>
    </row>
    <row r="1382">
      <c r="A1382" s="570"/>
      <c r="B1382" s="559" t="s">
        <v>1468</v>
      </c>
      <c r="C1382" s="568">
        <v>150.0</v>
      </c>
      <c r="D1382" s="557">
        <v>0.9632</v>
      </c>
      <c r="E1382" s="569">
        <v>22.67</v>
      </c>
      <c r="F1382" s="563">
        <v>7400.0</v>
      </c>
      <c r="G1382" s="557"/>
      <c r="H1382" s="559"/>
      <c r="I1382" s="564">
        <v>4598.0</v>
      </c>
      <c r="J1382" s="565">
        <v>7400.0</v>
      </c>
      <c r="K1382" s="542"/>
      <c r="L1382" s="542"/>
      <c r="M1382" s="542"/>
    </row>
    <row r="1383">
      <c r="A1383" s="570"/>
      <c r="B1383" s="559" t="s">
        <v>717</v>
      </c>
      <c r="C1383" s="568">
        <v>83.0</v>
      </c>
      <c r="D1383" s="557">
        <v>1.0049</v>
      </c>
      <c r="E1383" s="569">
        <v>19.18</v>
      </c>
      <c r="F1383" s="563">
        <v>7339.0</v>
      </c>
      <c r="G1383" s="557"/>
      <c r="H1383" s="559"/>
      <c r="I1383" s="564">
        <v>4560.0</v>
      </c>
      <c r="J1383" s="565">
        <v>7339.0</v>
      </c>
      <c r="K1383" s="542"/>
      <c r="L1383" s="542"/>
      <c r="M1383" s="542"/>
    </row>
    <row r="1384">
      <c r="A1384" s="570"/>
      <c r="B1384" s="559" t="s">
        <v>566</v>
      </c>
      <c r="C1384" s="568">
        <v>70.0</v>
      </c>
      <c r="D1384" s="557">
        <v>0.9924</v>
      </c>
      <c r="E1384" s="569">
        <v>23.26</v>
      </c>
      <c r="F1384" s="563">
        <v>7330.0</v>
      </c>
      <c r="G1384" s="557"/>
      <c r="H1384" s="559"/>
      <c r="I1384" s="564">
        <v>4555.0</v>
      </c>
      <c r="J1384" s="565">
        <v>7330.0</v>
      </c>
      <c r="K1384" s="542"/>
      <c r="L1384" s="542"/>
      <c r="M1384" s="542"/>
    </row>
    <row r="1385">
      <c r="A1385" s="570"/>
      <c r="B1385" s="557"/>
      <c r="C1385" s="557"/>
      <c r="D1385" s="557"/>
      <c r="E1385" s="557"/>
      <c r="F1385" s="563">
        <v>7300.0</v>
      </c>
      <c r="G1385" s="557"/>
      <c r="H1385" s="557">
        <v>0.9872757743287415</v>
      </c>
      <c r="I1385" s="564">
        <v>4536.0</v>
      </c>
      <c r="J1385" s="565">
        <v>7300.0</v>
      </c>
      <c r="K1385" s="542"/>
      <c r="L1385" s="542"/>
      <c r="M1385" s="542"/>
    </row>
    <row r="1386">
      <c r="A1386" s="570"/>
      <c r="B1386" s="559" t="s">
        <v>1630</v>
      </c>
      <c r="C1386" s="568">
        <v>139.0</v>
      </c>
      <c r="D1386" s="557">
        <v>0.9934</v>
      </c>
      <c r="E1386" s="569">
        <v>15.72</v>
      </c>
      <c r="F1386" s="563">
        <v>7170.0</v>
      </c>
      <c r="G1386" s="557"/>
      <c r="H1386" s="559"/>
      <c r="I1386" s="564">
        <v>4455.0</v>
      </c>
      <c r="J1386" s="565">
        <v>7170.0</v>
      </c>
      <c r="K1386" s="542"/>
      <c r="L1386" s="542"/>
      <c r="M1386" s="542"/>
    </row>
    <row r="1387">
      <c r="A1387" s="570"/>
      <c r="B1387" s="559" t="s">
        <v>1628</v>
      </c>
      <c r="C1387" s="568">
        <v>106.0</v>
      </c>
      <c r="D1387" s="557">
        <v>1.0037</v>
      </c>
      <c r="E1387" s="569">
        <v>18.98</v>
      </c>
      <c r="F1387" s="563">
        <v>7133.0</v>
      </c>
      <c r="G1387" s="557"/>
      <c r="H1387" s="559"/>
      <c r="I1387" s="564">
        <v>4432.0</v>
      </c>
      <c r="J1387" s="565">
        <v>7133.0</v>
      </c>
      <c r="K1387" s="542"/>
      <c r="L1387" s="542"/>
      <c r="M1387" s="542"/>
    </row>
    <row r="1388">
      <c r="A1388" s="570"/>
      <c r="B1388" s="559" t="s">
        <v>84</v>
      </c>
      <c r="C1388" s="568">
        <v>87.0</v>
      </c>
      <c r="D1388" s="557">
        <v>0.9799</v>
      </c>
      <c r="E1388" s="569">
        <v>19.9</v>
      </c>
      <c r="F1388" s="563">
        <v>7100.0</v>
      </c>
      <c r="G1388" s="557"/>
      <c r="H1388" s="559"/>
      <c r="I1388" s="564">
        <v>4412.0</v>
      </c>
      <c r="J1388" s="565">
        <v>7100.0</v>
      </c>
      <c r="K1388" s="542"/>
      <c r="L1388" s="542"/>
      <c r="M1388" s="542"/>
    </row>
    <row r="1389">
      <c r="A1389" s="570"/>
      <c r="B1389" s="559" t="s">
        <v>1629</v>
      </c>
      <c r="C1389" s="568">
        <v>88.0</v>
      </c>
      <c r="D1389" s="557">
        <v>1.0194</v>
      </c>
      <c r="E1389" s="569">
        <v>20.59</v>
      </c>
      <c r="F1389" s="563">
        <v>7080.0</v>
      </c>
      <c r="G1389" s="557"/>
      <c r="H1389" s="559"/>
      <c r="I1389" s="564">
        <v>4399.0</v>
      </c>
      <c r="J1389" s="565">
        <v>7080.0</v>
      </c>
      <c r="K1389" s="542"/>
      <c r="L1389" s="542"/>
      <c r="M1389" s="542"/>
    </row>
    <row r="1390">
      <c r="A1390" s="570"/>
      <c r="B1390" s="559" t="s">
        <v>339</v>
      </c>
      <c r="C1390" s="568">
        <v>54.0</v>
      </c>
      <c r="D1390" s="557">
        <v>0.9974</v>
      </c>
      <c r="E1390" s="569">
        <v>22.78</v>
      </c>
      <c r="F1390" s="563">
        <v>7024.0</v>
      </c>
      <c r="G1390" s="557"/>
      <c r="H1390" s="559"/>
      <c r="I1390" s="564">
        <v>4365.0</v>
      </c>
      <c r="J1390" s="565">
        <v>7024.0</v>
      </c>
      <c r="K1390" s="542"/>
      <c r="L1390" s="542"/>
      <c r="M1390" s="542"/>
    </row>
    <row r="1391">
      <c r="A1391" s="570"/>
      <c r="B1391" s="559" t="s">
        <v>519</v>
      </c>
      <c r="C1391" s="568">
        <v>104.0</v>
      </c>
      <c r="D1391" s="557">
        <v>1.0169</v>
      </c>
      <c r="E1391" s="569">
        <v>14.23</v>
      </c>
      <c r="F1391" s="563">
        <v>6968.0</v>
      </c>
      <c r="G1391" s="557">
        <v>-1.0</v>
      </c>
      <c r="H1391" s="559"/>
      <c r="I1391" s="564">
        <v>4330.0</v>
      </c>
      <c r="J1391" s="565">
        <v>6968.0</v>
      </c>
      <c r="K1391" s="542"/>
      <c r="L1391" s="542"/>
      <c r="M1391" s="542"/>
    </row>
    <row r="1392">
      <c r="A1392" s="570"/>
      <c r="B1392" s="559" t="s">
        <v>885</v>
      </c>
      <c r="C1392" s="568">
        <v>79.0</v>
      </c>
      <c r="D1392" s="557">
        <v>0.9372</v>
      </c>
      <c r="E1392" s="569">
        <v>20.37</v>
      </c>
      <c r="F1392" s="563">
        <v>6950.0</v>
      </c>
      <c r="G1392" s="557"/>
      <c r="H1392" s="559"/>
      <c r="I1392" s="564">
        <v>4319.0</v>
      </c>
      <c r="J1392" s="565">
        <v>6950.0</v>
      </c>
      <c r="K1392" s="542"/>
      <c r="L1392" s="542"/>
      <c r="M1392" s="542"/>
    </row>
    <row r="1393">
      <c r="A1393" s="570"/>
      <c r="B1393" s="559" t="s">
        <v>1825</v>
      </c>
      <c r="C1393" s="568">
        <v>68.0</v>
      </c>
      <c r="D1393" s="557">
        <v>0.9962</v>
      </c>
      <c r="E1393" s="569">
        <v>19.63</v>
      </c>
      <c r="F1393" s="563">
        <v>6900.0</v>
      </c>
      <c r="G1393" s="557"/>
      <c r="H1393" s="559"/>
      <c r="I1393" s="564">
        <v>4287.0</v>
      </c>
      <c r="J1393" s="565">
        <v>6900.0</v>
      </c>
      <c r="K1393" s="542"/>
      <c r="L1393" s="542"/>
      <c r="M1393" s="542"/>
    </row>
    <row r="1394">
      <c r="A1394" s="570"/>
      <c r="B1394" s="559" t="s">
        <v>138</v>
      </c>
      <c r="C1394" s="568">
        <v>143.0</v>
      </c>
      <c r="D1394" s="557">
        <v>0.9873</v>
      </c>
      <c r="E1394" s="569">
        <v>18.73</v>
      </c>
      <c r="F1394" s="563">
        <v>6900.0</v>
      </c>
      <c r="G1394" s="557">
        <v>-1.0</v>
      </c>
      <c r="H1394" s="559"/>
      <c r="I1394" s="564">
        <v>4287.0</v>
      </c>
      <c r="J1394" s="565">
        <v>6900.0</v>
      </c>
      <c r="K1394" s="542"/>
      <c r="L1394" s="542"/>
      <c r="M1394" s="542"/>
    </row>
    <row r="1395">
      <c r="A1395" s="570"/>
      <c r="B1395" s="559" t="s">
        <v>761</v>
      </c>
      <c r="C1395" s="568">
        <v>57.0</v>
      </c>
      <c r="D1395" s="557">
        <v>0.9877</v>
      </c>
      <c r="E1395" s="569">
        <v>21.02</v>
      </c>
      <c r="F1395" s="563">
        <v>6832.0</v>
      </c>
      <c r="G1395" s="557"/>
      <c r="H1395" s="559"/>
      <c r="I1395" s="564">
        <v>4245.0</v>
      </c>
      <c r="J1395" s="565">
        <v>6832.0</v>
      </c>
      <c r="K1395" s="542"/>
      <c r="L1395" s="542"/>
      <c r="M1395" s="542"/>
    </row>
    <row r="1396">
      <c r="A1396" s="570"/>
      <c r="B1396" s="557"/>
      <c r="C1396" s="557"/>
      <c r="D1396" s="557"/>
      <c r="E1396" s="557"/>
      <c r="F1396" s="563">
        <v>6800.0</v>
      </c>
      <c r="G1396" s="557"/>
      <c r="H1396" s="557">
        <v>0.9880264260746839</v>
      </c>
      <c r="I1396" s="564">
        <v>4225.0</v>
      </c>
      <c r="J1396" s="565">
        <v>6800.0</v>
      </c>
      <c r="K1396" s="542"/>
      <c r="L1396" s="542"/>
      <c r="M1396" s="542"/>
    </row>
    <row r="1397">
      <c r="A1397" s="570"/>
      <c r="B1397" s="559" t="s">
        <v>265</v>
      </c>
      <c r="C1397" s="568">
        <v>115.0</v>
      </c>
      <c r="D1397" s="557">
        <v>0.9747</v>
      </c>
      <c r="E1397" s="569">
        <v>21.14</v>
      </c>
      <c r="F1397" s="563">
        <v>6548.0</v>
      </c>
      <c r="G1397" s="557"/>
      <c r="H1397" s="559"/>
      <c r="I1397" s="564">
        <v>4069.0</v>
      </c>
      <c r="J1397" s="565">
        <v>6548.0</v>
      </c>
      <c r="K1397" s="542"/>
      <c r="L1397" s="542"/>
      <c r="M1397" s="542"/>
    </row>
    <row r="1398">
      <c r="A1398" s="570"/>
      <c r="B1398" s="559" t="s">
        <v>1336</v>
      </c>
      <c r="C1398" s="568">
        <v>38.0</v>
      </c>
      <c r="D1398" s="557">
        <v>0.9996</v>
      </c>
      <c r="E1398" s="569">
        <v>16.51</v>
      </c>
      <c r="F1398" s="563">
        <v>6548.0</v>
      </c>
      <c r="G1398" s="557"/>
      <c r="H1398" s="559"/>
      <c r="I1398" s="564">
        <v>4069.0</v>
      </c>
      <c r="J1398" s="565">
        <v>6548.0</v>
      </c>
      <c r="K1398" s="542"/>
      <c r="L1398" s="542"/>
      <c r="M1398" s="542"/>
    </row>
    <row r="1399">
      <c r="A1399" s="570"/>
      <c r="B1399" s="559" t="s">
        <v>1615</v>
      </c>
      <c r="C1399" s="568">
        <v>153.0</v>
      </c>
      <c r="D1399" s="557">
        <v>0.9896</v>
      </c>
      <c r="E1399" s="569">
        <v>17.02</v>
      </c>
      <c r="F1399" s="563">
        <v>6500.0</v>
      </c>
      <c r="G1399" s="557"/>
      <c r="H1399" s="559"/>
      <c r="I1399" s="564">
        <v>4039.0</v>
      </c>
      <c r="J1399" s="565">
        <v>6500.0</v>
      </c>
      <c r="K1399" s="542"/>
      <c r="L1399" s="542"/>
      <c r="M1399" s="542"/>
    </row>
    <row r="1400">
      <c r="A1400" s="570"/>
      <c r="B1400" s="559" t="s">
        <v>1845</v>
      </c>
      <c r="C1400" s="568">
        <v>149.0</v>
      </c>
      <c r="D1400" s="557">
        <v>0.9919</v>
      </c>
      <c r="E1400" s="569">
        <v>17.18</v>
      </c>
      <c r="F1400" s="563">
        <v>6472.0</v>
      </c>
      <c r="G1400" s="557"/>
      <c r="H1400" s="559"/>
      <c r="I1400" s="564">
        <v>4022.0</v>
      </c>
      <c r="J1400" s="565">
        <v>6472.0</v>
      </c>
      <c r="K1400" s="542"/>
      <c r="L1400" s="542"/>
      <c r="M1400" s="542"/>
    </row>
    <row r="1401">
      <c r="A1401" s="570"/>
      <c r="B1401" s="559" t="s">
        <v>1890</v>
      </c>
      <c r="C1401" s="568">
        <v>168.0</v>
      </c>
      <c r="D1401" s="557">
        <v>0.9944</v>
      </c>
      <c r="E1401" s="569">
        <v>20.54</v>
      </c>
      <c r="F1401" s="563">
        <v>6463.0</v>
      </c>
      <c r="G1401" s="557"/>
      <c r="H1401" s="559"/>
      <c r="I1401" s="564">
        <v>4016.0</v>
      </c>
      <c r="J1401" s="565">
        <v>6463.0</v>
      </c>
      <c r="K1401" s="542"/>
      <c r="L1401" s="542"/>
      <c r="M1401" s="542"/>
    </row>
    <row r="1402">
      <c r="A1402" s="570"/>
      <c r="B1402" s="559" t="s">
        <v>1642</v>
      </c>
      <c r="C1402" s="568">
        <v>127.0</v>
      </c>
      <c r="D1402" s="557">
        <v>1.0016</v>
      </c>
      <c r="E1402" s="569">
        <v>18.57</v>
      </c>
      <c r="F1402" s="563">
        <v>6455.0</v>
      </c>
      <c r="G1402" s="557"/>
      <c r="H1402" s="559"/>
      <c r="I1402" s="564">
        <v>4011.0</v>
      </c>
      <c r="J1402" s="565">
        <v>6455.0</v>
      </c>
      <c r="K1402" s="542"/>
      <c r="L1402" s="542"/>
      <c r="M1402" s="542"/>
    </row>
    <row r="1403">
      <c r="A1403" s="570"/>
      <c r="B1403" s="559" t="s">
        <v>1781</v>
      </c>
      <c r="C1403" s="568">
        <v>72.0</v>
      </c>
      <c r="D1403" s="557">
        <v>0.9905</v>
      </c>
      <c r="E1403" s="569">
        <v>16.7</v>
      </c>
      <c r="F1403" s="563">
        <v>6316.0</v>
      </c>
      <c r="G1403" s="557"/>
      <c r="H1403" s="559"/>
      <c r="I1403" s="564">
        <v>3925.0</v>
      </c>
      <c r="J1403" s="565">
        <v>6316.0</v>
      </c>
      <c r="K1403" s="542"/>
      <c r="L1403" s="542"/>
      <c r="M1403" s="542"/>
    </row>
    <row r="1404">
      <c r="A1404" s="570"/>
      <c r="B1404" s="557"/>
      <c r="C1404" s="557"/>
      <c r="D1404" s="557"/>
      <c r="E1404" s="557"/>
      <c r="F1404" s="563">
        <v>6300.0</v>
      </c>
      <c r="G1404" s="557"/>
      <c r="H1404" s="557">
        <v>0.9887931270368736</v>
      </c>
      <c r="I1404" s="564">
        <v>3915.0</v>
      </c>
      <c r="J1404" s="565">
        <v>6300.0</v>
      </c>
      <c r="K1404" s="542"/>
      <c r="L1404" s="542"/>
      <c r="M1404" s="542"/>
    </row>
    <row r="1405">
      <c r="A1405" s="570"/>
      <c r="B1405" s="559" t="s">
        <v>1637</v>
      </c>
      <c r="C1405" s="568">
        <v>84.0</v>
      </c>
      <c r="D1405" s="557">
        <v>1.0182</v>
      </c>
      <c r="E1405" s="569">
        <v>20.24</v>
      </c>
      <c r="F1405" s="563">
        <v>6300.0</v>
      </c>
      <c r="G1405" s="557"/>
      <c r="H1405" s="559"/>
      <c r="I1405" s="564">
        <v>3915.0</v>
      </c>
      <c r="J1405" s="565">
        <v>6300.0</v>
      </c>
      <c r="K1405" s="542"/>
      <c r="L1405" s="542"/>
      <c r="M1405" s="542"/>
    </row>
    <row r="1406">
      <c r="A1406" s="570"/>
      <c r="B1406" s="559" t="s">
        <v>1741</v>
      </c>
      <c r="C1406" s="568">
        <v>35.0</v>
      </c>
      <c r="D1406" s="557">
        <v>0.9514</v>
      </c>
      <c r="E1406" s="569">
        <v>16.82</v>
      </c>
      <c r="F1406" s="563">
        <v>6204.0</v>
      </c>
      <c r="G1406" s="557"/>
      <c r="H1406" s="559"/>
      <c r="I1406" s="564">
        <v>3855.0</v>
      </c>
      <c r="J1406" s="565">
        <v>6204.0</v>
      </c>
      <c r="K1406" s="542"/>
      <c r="L1406" s="542"/>
      <c r="M1406" s="542"/>
    </row>
    <row r="1407">
      <c r="A1407" s="570"/>
      <c r="B1407" s="559" t="s">
        <v>1703</v>
      </c>
      <c r="C1407" s="568">
        <v>95.0</v>
      </c>
      <c r="D1407" s="557">
        <v>1.0016</v>
      </c>
      <c r="E1407" s="569">
        <v>20.12</v>
      </c>
      <c r="F1407" s="563">
        <v>6076.0</v>
      </c>
      <c r="G1407" s="557"/>
      <c r="H1407" s="559"/>
      <c r="I1407" s="564">
        <v>3775.0</v>
      </c>
      <c r="J1407" s="565">
        <v>6076.0</v>
      </c>
      <c r="K1407" s="542"/>
      <c r="L1407" s="542"/>
      <c r="M1407" s="542"/>
    </row>
    <row r="1408">
      <c r="A1408" s="570"/>
      <c r="B1408" s="559" t="s">
        <v>181</v>
      </c>
      <c r="C1408" s="568">
        <v>120.0</v>
      </c>
      <c r="D1408" s="557">
        <v>0.9949</v>
      </c>
      <c r="E1408" s="569">
        <v>16.92</v>
      </c>
      <c r="F1408" s="563">
        <v>6053.0</v>
      </c>
      <c r="G1408" s="557"/>
      <c r="H1408" s="559"/>
      <c r="I1408" s="564">
        <v>3761.0</v>
      </c>
      <c r="J1408" s="565">
        <v>6053.0</v>
      </c>
      <c r="K1408" s="542"/>
      <c r="L1408" s="542"/>
      <c r="M1408" s="542"/>
    </row>
    <row r="1409">
      <c r="A1409" s="570"/>
      <c r="B1409" s="557"/>
      <c r="C1409" s="557"/>
      <c r="D1409" s="557"/>
      <c r="E1409" s="557"/>
      <c r="F1409" s="563">
        <v>6000.0</v>
      </c>
      <c r="G1409" s="557"/>
      <c r="H1409" s="557">
        <v>0.9892610101958249</v>
      </c>
      <c r="I1409" s="564">
        <v>3728.0</v>
      </c>
      <c r="J1409" s="565">
        <v>6000.0</v>
      </c>
      <c r="K1409" s="542"/>
      <c r="L1409" s="542"/>
      <c r="M1409" s="542"/>
    </row>
    <row r="1410">
      <c r="A1410" s="570"/>
      <c r="B1410" s="559" t="s">
        <v>285</v>
      </c>
      <c r="C1410" s="568">
        <v>80.0</v>
      </c>
      <c r="D1410" s="557">
        <v>0.9974</v>
      </c>
      <c r="E1410" s="569">
        <v>18.07</v>
      </c>
      <c r="F1410" s="563">
        <v>6000.0</v>
      </c>
      <c r="G1410" s="557"/>
      <c r="H1410" s="559"/>
      <c r="I1410" s="564">
        <v>3728.0</v>
      </c>
      <c r="J1410" s="565">
        <v>6000.0</v>
      </c>
      <c r="K1410" s="542"/>
      <c r="L1410" s="542"/>
      <c r="M1410" s="542"/>
    </row>
    <row r="1411">
      <c r="A1411" s="570"/>
      <c r="B1411" s="559" t="s">
        <v>761</v>
      </c>
      <c r="C1411" s="568">
        <v>38.0</v>
      </c>
      <c r="D1411" s="557">
        <v>0.9951</v>
      </c>
      <c r="E1411" s="569">
        <v>18.1</v>
      </c>
      <c r="F1411" s="563">
        <v>5903.0</v>
      </c>
      <c r="G1411" s="557"/>
      <c r="H1411" s="559"/>
      <c r="I1411" s="564">
        <v>3668.0</v>
      </c>
      <c r="J1411" s="565">
        <v>5903.0</v>
      </c>
      <c r="K1411" s="542"/>
      <c r="L1411" s="542"/>
      <c r="M1411" s="542"/>
    </row>
    <row r="1412">
      <c r="A1412" s="570"/>
      <c r="B1412" s="559" t="s">
        <v>304</v>
      </c>
      <c r="C1412" s="568">
        <v>257.0</v>
      </c>
      <c r="D1412" s="557">
        <v>0.9999</v>
      </c>
      <c r="E1412" s="569">
        <v>13.75</v>
      </c>
      <c r="F1412" s="563">
        <v>5704.0</v>
      </c>
      <c r="G1412" s="557">
        <v>-1.0</v>
      </c>
      <c r="H1412" s="559"/>
      <c r="I1412" s="564">
        <v>3544.0</v>
      </c>
      <c r="J1412" s="565">
        <v>5704.0</v>
      </c>
      <c r="K1412" s="542"/>
      <c r="L1412" s="542"/>
      <c r="M1412" s="542"/>
    </row>
    <row r="1413">
      <c r="A1413" s="570"/>
      <c r="B1413" s="557"/>
      <c r="C1413" s="557"/>
      <c r="D1413" s="557"/>
      <c r="E1413" s="557"/>
      <c r="F1413" s="563">
        <v>5700.0</v>
      </c>
      <c r="G1413" s="557"/>
      <c r="H1413" s="557">
        <v>0.9897348930876766</v>
      </c>
      <c r="I1413" s="564">
        <v>3542.0</v>
      </c>
      <c r="J1413" s="565">
        <v>5700.0</v>
      </c>
      <c r="K1413" s="542"/>
      <c r="L1413" s="542"/>
      <c r="M1413" s="542"/>
    </row>
    <row r="1414">
      <c r="A1414" s="570"/>
      <c r="B1414" s="559" t="s">
        <v>1111</v>
      </c>
      <c r="C1414" s="568">
        <v>36.0</v>
      </c>
      <c r="D1414" s="557">
        <v>1.0127</v>
      </c>
      <c r="E1414" s="569">
        <v>14.85</v>
      </c>
      <c r="F1414" s="563">
        <v>5650.0</v>
      </c>
      <c r="G1414" s="557"/>
      <c r="H1414" s="559"/>
      <c r="I1414" s="564">
        <v>3511.0</v>
      </c>
      <c r="J1414" s="565">
        <v>5650.0</v>
      </c>
      <c r="K1414" s="542"/>
      <c r="L1414" s="542"/>
      <c r="M1414" s="542"/>
    </row>
    <row r="1415">
      <c r="A1415" s="570"/>
      <c r="B1415" s="559" t="s">
        <v>717</v>
      </c>
      <c r="C1415" s="568">
        <v>72.0</v>
      </c>
      <c r="D1415" s="557">
        <v>1.0049</v>
      </c>
      <c r="E1415" s="569">
        <v>14.72</v>
      </c>
      <c r="F1415" s="563">
        <v>5579.0</v>
      </c>
      <c r="G1415" s="557"/>
      <c r="H1415" s="559"/>
      <c r="I1415" s="564">
        <v>3467.0</v>
      </c>
      <c r="J1415" s="565">
        <v>5579.0</v>
      </c>
      <c r="K1415" s="542"/>
      <c r="L1415" s="542"/>
      <c r="M1415" s="542"/>
    </row>
    <row r="1416">
      <c r="A1416" s="570"/>
      <c r="B1416" s="559" t="s">
        <v>513</v>
      </c>
      <c r="C1416" s="568">
        <v>46.0</v>
      </c>
      <c r="D1416" s="557">
        <v>1.0025</v>
      </c>
      <c r="E1416" s="569">
        <v>17.72</v>
      </c>
      <c r="F1416" s="563">
        <v>5500.0</v>
      </c>
      <c r="G1416" s="557"/>
      <c r="H1416" s="559"/>
      <c r="I1416" s="564">
        <v>3418.0</v>
      </c>
      <c r="J1416" s="565">
        <v>5500.0</v>
      </c>
      <c r="K1416" s="542"/>
      <c r="L1416" s="542"/>
      <c r="M1416" s="542"/>
    </row>
    <row r="1417">
      <c r="A1417" s="570"/>
      <c r="B1417" s="559" t="s">
        <v>457</v>
      </c>
      <c r="C1417" s="568">
        <v>70.0</v>
      </c>
      <c r="D1417" s="557">
        <v>1.0127</v>
      </c>
      <c r="E1417" s="569">
        <v>18.34</v>
      </c>
      <c r="F1417" s="563">
        <v>5500.0</v>
      </c>
      <c r="G1417" s="557"/>
      <c r="H1417" s="559"/>
      <c r="I1417" s="564">
        <v>3418.0</v>
      </c>
      <c r="J1417" s="565">
        <v>5500.0</v>
      </c>
      <c r="K1417" s="542"/>
      <c r="L1417" s="542"/>
      <c r="M1417" s="542"/>
    </row>
    <row r="1418">
      <c r="A1418" s="570"/>
      <c r="B1418" s="559" t="s">
        <v>1866</v>
      </c>
      <c r="C1418" s="568">
        <v>148.0</v>
      </c>
      <c r="D1418" s="557">
        <v>1.0082</v>
      </c>
      <c r="E1418" s="569">
        <v>12.93</v>
      </c>
      <c r="F1418" s="563">
        <v>5500.0</v>
      </c>
      <c r="G1418" s="557"/>
      <c r="H1418" s="559"/>
      <c r="I1418" s="564">
        <v>3418.0</v>
      </c>
      <c r="J1418" s="565">
        <v>5500.0</v>
      </c>
      <c r="K1418" s="542"/>
      <c r="L1418" s="542"/>
      <c r="M1418" s="542"/>
    </row>
    <row r="1419">
      <c r="A1419" s="570"/>
      <c r="B1419" s="559" t="s">
        <v>1741</v>
      </c>
      <c r="C1419" s="568">
        <v>30.0</v>
      </c>
      <c r="D1419" s="557">
        <v>0.9538</v>
      </c>
      <c r="E1419" s="569">
        <v>14.86</v>
      </c>
      <c r="F1419" s="563">
        <v>5488.0</v>
      </c>
      <c r="G1419" s="557"/>
      <c r="H1419" s="559"/>
      <c r="I1419" s="564">
        <v>3410.0</v>
      </c>
      <c r="J1419" s="565">
        <v>5488.0</v>
      </c>
      <c r="K1419" s="542"/>
      <c r="L1419" s="542"/>
      <c r="M1419" s="542"/>
    </row>
    <row r="1420">
      <c r="A1420" s="570"/>
      <c r="B1420" s="559" t="s">
        <v>1827</v>
      </c>
      <c r="C1420" s="568">
        <v>137.0</v>
      </c>
      <c r="D1420" s="557">
        <v>0.9992</v>
      </c>
      <c r="E1420" s="569">
        <v>14.65</v>
      </c>
      <c r="F1420" s="563">
        <v>5444.0</v>
      </c>
      <c r="G1420" s="557"/>
      <c r="H1420" s="559"/>
      <c r="I1420" s="564">
        <v>3383.0</v>
      </c>
      <c r="J1420" s="565">
        <v>5444.0</v>
      </c>
      <c r="K1420" s="542"/>
      <c r="L1420" s="542"/>
      <c r="M1420" s="542"/>
    </row>
    <row r="1421">
      <c r="A1421" s="570"/>
      <c r="B1421" s="557"/>
      <c r="C1421" s="557"/>
      <c r="D1421" s="557"/>
      <c r="E1421" s="557"/>
      <c r="F1421" s="563">
        <v>5400.0</v>
      </c>
      <c r="G1421" s="557"/>
      <c r="H1421" s="557">
        <v>0.9902148612178733</v>
      </c>
      <c r="I1421" s="564">
        <v>3355.0</v>
      </c>
      <c r="J1421" s="565">
        <v>5400.0</v>
      </c>
      <c r="K1421" s="542"/>
      <c r="L1421" s="542"/>
      <c r="M1421" s="542"/>
    </row>
    <row r="1422">
      <c r="A1422" s="570"/>
      <c r="B1422" s="559" t="s">
        <v>640</v>
      </c>
      <c r="C1422" s="568">
        <v>166.0</v>
      </c>
      <c r="D1422" s="557">
        <v>0.9974</v>
      </c>
      <c r="E1422" s="569">
        <v>16.42</v>
      </c>
      <c r="F1422" s="563">
        <v>5249.0</v>
      </c>
      <c r="G1422" s="557"/>
      <c r="H1422" s="559"/>
      <c r="I1422" s="564">
        <v>3262.0</v>
      </c>
      <c r="J1422" s="565">
        <v>5249.0</v>
      </c>
      <c r="K1422" s="542"/>
      <c r="L1422" s="542"/>
      <c r="M1422" s="542"/>
    </row>
    <row r="1423">
      <c r="A1423" s="570"/>
      <c r="B1423" s="559" t="s">
        <v>1468</v>
      </c>
      <c r="C1423" s="568">
        <v>66.0</v>
      </c>
      <c r="D1423" s="557">
        <v>0.9585</v>
      </c>
      <c r="E1423" s="569">
        <v>15.93</v>
      </c>
      <c r="F1423" s="563">
        <v>5165.0</v>
      </c>
      <c r="G1423" s="557"/>
      <c r="H1423" s="559"/>
      <c r="I1423" s="564">
        <v>3209.0</v>
      </c>
      <c r="J1423" s="565">
        <v>5165.0</v>
      </c>
      <c r="K1423" s="542"/>
      <c r="L1423" s="542"/>
      <c r="M1423" s="542"/>
    </row>
    <row r="1424">
      <c r="A1424" s="570"/>
      <c r="B1424" s="557"/>
      <c r="C1424" s="557"/>
      <c r="D1424" s="557"/>
      <c r="E1424" s="557"/>
      <c r="F1424" s="563">
        <v>5100.0</v>
      </c>
      <c r="G1424" s="557"/>
      <c r="H1424" s="557">
        <v>0.990701001310445</v>
      </c>
      <c r="I1424" s="564">
        <v>3169.0</v>
      </c>
      <c r="J1424" s="565">
        <v>5100.0</v>
      </c>
      <c r="K1424" s="542"/>
      <c r="L1424" s="542"/>
      <c r="M1424" s="542"/>
    </row>
    <row r="1425">
      <c r="A1425" s="570"/>
      <c r="B1425" s="559" t="s">
        <v>717</v>
      </c>
      <c r="C1425" s="568">
        <v>59.0</v>
      </c>
      <c r="D1425" s="557">
        <v>1.0049</v>
      </c>
      <c r="E1425" s="569">
        <v>13.29</v>
      </c>
      <c r="F1425" s="563">
        <v>5012.0</v>
      </c>
      <c r="G1425" s="557"/>
      <c r="H1425" s="559"/>
      <c r="I1425" s="564">
        <v>3114.0</v>
      </c>
      <c r="J1425" s="565">
        <v>5012.0</v>
      </c>
      <c r="K1425" s="542"/>
      <c r="L1425" s="542"/>
      <c r="M1425" s="542"/>
    </row>
    <row r="1426">
      <c r="A1426" s="570"/>
      <c r="B1426" s="559" t="s">
        <v>1853</v>
      </c>
      <c r="C1426" s="568">
        <v>37.0</v>
      </c>
      <c r="D1426" s="557">
        <v>0.997</v>
      </c>
      <c r="E1426" s="569">
        <v>14.52</v>
      </c>
      <c r="F1426" s="563">
        <v>4900.0</v>
      </c>
      <c r="G1426" s="557"/>
      <c r="H1426" s="559"/>
      <c r="I1426" s="564">
        <v>3045.0</v>
      </c>
      <c r="J1426" s="565">
        <v>4900.0</v>
      </c>
      <c r="K1426" s="542"/>
      <c r="L1426" s="542"/>
      <c r="M1426" s="542"/>
    </row>
    <row r="1427">
      <c r="A1427" s="570"/>
      <c r="B1427" s="559" t="s">
        <v>699</v>
      </c>
      <c r="C1427" s="568"/>
      <c r="D1427" s="557">
        <v>0.9905</v>
      </c>
      <c r="E1427" s="569">
        <v>12.66</v>
      </c>
      <c r="F1427" s="563">
        <v>4828.0</v>
      </c>
      <c r="G1427" s="557">
        <v>-1.0</v>
      </c>
      <c r="H1427" s="559"/>
      <c r="I1427" s="564">
        <v>3000.0</v>
      </c>
      <c r="J1427" s="565">
        <v>4828.0</v>
      </c>
      <c r="K1427" s="542"/>
      <c r="L1427" s="542"/>
      <c r="M1427" s="542"/>
    </row>
    <row r="1428">
      <c r="A1428" s="570"/>
      <c r="B1428" s="559" t="s">
        <v>739</v>
      </c>
      <c r="C1428" s="568">
        <v>125.0</v>
      </c>
      <c r="D1428" s="557">
        <v>0.9679</v>
      </c>
      <c r="E1428" s="569">
        <v>12.18</v>
      </c>
      <c r="F1428" s="563">
        <v>4828.0</v>
      </c>
      <c r="G1428" s="557">
        <v>-1.0</v>
      </c>
      <c r="H1428" s="559"/>
      <c r="I1428" s="564">
        <v>3000.0</v>
      </c>
      <c r="J1428" s="565">
        <v>4828.0</v>
      </c>
      <c r="K1428" s="542"/>
      <c r="L1428" s="542"/>
      <c r="M1428" s="542"/>
    </row>
    <row r="1429">
      <c r="A1429" s="570"/>
      <c r="B1429" s="559" t="s">
        <v>717</v>
      </c>
      <c r="C1429" s="568">
        <v>54.0</v>
      </c>
      <c r="D1429" s="557">
        <v>1.0025</v>
      </c>
      <c r="E1429" s="569">
        <v>12.91</v>
      </c>
      <c r="F1429" s="563">
        <v>4815.0</v>
      </c>
      <c r="G1429" s="557"/>
      <c r="H1429" s="559"/>
      <c r="I1429" s="564">
        <v>2992.0</v>
      </c>
      <c r="J1429" s="565">
        <v>4815.0</v>
      </c>
      <c r="K1429" s="542"/>
      <c r="L1429" s="542"/>
      <c r="M1429" s="542"/>
    </row>
    <row r="1430">
      <c r="A1430" s="570"/>
      <c r="B1430" s="557"/>
      <c r="C1430" s="557"/>
      <c r="D1430" s="557"/>
      <c r="E1430" s="557"/>
      <c r="F1430" s="563">
        <v>4800.0</v>
      </c>
      <c r="G1430" s="557"/>
      <c r="H1430" s="557">
        <v>0.9911934013253723</v>
      </c>
      <c r="I1430" s="564">
        <v>2983.0</v>
      </c>
      <c r="J1430" s="565">
        <v>4800.0</v>
      </c>
      <c r="K1430" s="542"/>
      <c r="L1430" s="542"/>
      <c r="M1430" s="542"/>
    </row>
    <row r="1431">
      <c r="A1431" s="570"/>
      <c r="B1431" s="559" t="s">
        <v>1845</v>
      </c>
      <c r="C1431" s="568">
        <v>132.0</v>
      </c>
      <c r="D1431" s="557">
        <v>1.0002</v>
      </c>
      <c r="E1431" s="569">
        <v>12.98</v>
      </c>
      <c r="F1431" s="563">
        <v>4781.0</v>
      </c>
      <c r="G1431" s="557"/>
      <c r="H1431" s="559"/>
      <c r="I1431" s="564">
        <v>2971.0</v>
      </c>
      <c r="J1431" s="565">
        <v>4781.0</v>
      </c>
      <c r="K1431" s="542"/>
      <c r="L1431" s="542"/>
      <c r="M1431" s="542"/>
    </row>
    <row r="1432">
      <c r="A1432" s="570"/>
      <c r="B1432" s="559" t="s">
        <v>1263</v>
      </c>
      <c r="C1432" s="568">
        <v>63.0</v>
      </c>
      <c r="D1432" s="557">
        <v>0.9467</v>
      </c>
      <c r="E1432" s="569">
        <v>14.33</v>
      </c>
      <c r="F1432" s="563">
        <v>4761.0</v>
      </c>
      <c r="G1432" s="557"/>
      <c r="H1432" s="559"/>
      <c r="I1432" s="564">
        <v>2958.0</v>
      </c>
      <c r="J1432" s="565">
        <v>4761.0</v>
      </c>
      <c r="K1432" s="542"/>
      <c r="L1432" s="542"/>
      <c r="M1432" s="542"/>
    </row>
    <row r="1433">
      <c r="A1433" s="570"/>
      <c r="B1433" s="559" t="s">
        <v>1615</v>
      </c>
      <c r="C1433" s="568">
        <v>133.0</v>
      </c>
      <c r="D1433" s="557">
        <v>1.0048</v>
      </c>
      <c r="E1433" s="569">
        <v>12.28</v>
      </c>
      <c r="F1433" s="563">
        <v>4752.0</v>
      </c>
      <c r="G1433" s="557"/>
      <c r="H1433" s="559"/>
      <c r="I1433" s="564">
        <v>2953.0</v>
      </c>
      <c r="J1433" s="565">
        <v>4752.0</v>
      </c>
      <c r="K1433" s="542"/>
      <c r="L1433" s="542"/>
      <c r="M1433" s="542"/>
    </row>
    <row r="1434">
      <c r="A1434" s="570"/>
      <c r="B1434" s="559" t="s">
        <v>885</v>
      </c>
      <c r="C1434" s="568">
        <v>57.0</v>
      </c>
      <c r="D1434" s="557">
        <v>0.9419</v>
      </c>
      <c r="E1434" s="569">
        <v>13.87</v>
      </c>
      <c r="F1434" s="563">
        <v>4700.0</v>
      </c>
      <c r="G1434" s="557"/>
      <c r="H1434" s="559"/>
      <c r="I1434" s="564">
        <v>2920.0</v>
      </c>
      <c r="J1434" s="565">
        <v>4700.0</v>
      </c>
      <c r="K1434" s="542"/>
      <c r="L1434" s="542"/>
      <c r="M1434" s="542"/>
    </row>
    <row r="1435">
      <c r="A1435" s="570"/>
      <c r="B1435" s="559" t="s">
        <v>339</v>
      </c>
      <c r="C1435" s="568">
        <v>31.0</v>
      </c>
      <c r="D1435" s="557">
        <v>1.0</v>
      </c>
      <c r="E1435" s="569">
        <v>14.22</v>
      </c>
      <c r="F1435" s="563">
        <v>4517.0</v>
      </c>
      <c r="G1435" s="557"/>
      <c r="H1435" s="559"/>
      <c r="I1435" s="564">
        <v>2807.0</v>
      </c>
      <c r="J1435" s="565">
        <v>4517.0</v>
      </c>
      <c r="K1435" s="542"/>
      <c r="L1435" s="542"/>
      <c r="M1435" s="542"/>
    </row>
    <row r="1436">
      <c r="A1436" s="570"/>
      <c r="B1436" s="559" t="s">
        <v>636</v>
      </c>
      <c r="C1436" s="568">
        <v>46.0</v>
      </c>
      <c r="D1436" s="557">
        <v>0.9919</v>
      </c>
      <c r="E1436" s="569">
        <v>11.72</v>
      </c>
      <c r="F1436" s="563">
        <v>4506.0</v>
      </c>
      <c r="G1436" s="557">
        <v>-1.0</v>
      </c>
      <c r="H1436" s="559"/>
      <c r="I1436" s="564">
        <v>2800.0</v>
      </c>
      <c r="J1436" s="565">
        <v>4506.0</v>
      </c>
      <c r="K1436" s="542"/>
      <c r="L1436" s="542"/>
      <c r="M1436" s="542"/>
    </row>
    <row r="1437">
      <c r="A1437" s="570"/>
      <c r="B1437" s="559" t="s">
        <v>1722</v>
      </c>
      <c r="C1437" s="568">
        <v>96.0</v>
      </c>
      <c r="D1437" s="557">
        <v>1.0127</v>
      </c>
      <c r="E1437" s="569">
        <v>10.39</v>
      </c>
      <c r="F1437" s="563">
        <v>4501.0</v>
      </c>
      <c r="G1437" s="557"/>
      <c r="H1437" s="559"/>
      <c r="I1437" s="564">
        <v>2797.0</v>
      </c>
      <c r="J1437" s="565">
        <v>4501.0</v>
      </c>
      <c r="K1437" s="542"/>
      <c r="L1437" s="542"/>
      <c r="M1437" s="542"/>
    </row>
    <row r="1438">
      <c r="A1438" s="570"/>
      <c r="B1438" s="557"/>
      <c r="C1438" s="557"/>
      <c r="D1438" s="557"/>
      <c r="E1438" s="557"/>
      <c r="F1438" s="563">
        <v>4500.0</v>
      </c>
      <c r="G1438" s="557"/>
      <c r="H1438" s="557">
        <v>0.9916921504762014</v>
      </c>
      <c r="I1438" s="564">
        <v>2796.0</v>
      </c>
      <c r="J1438" s="565">
        <v>4500.0</v>
      </c>
      <c r="K1438" s="542"/>
      <c r="L1438" s="542"/>
      <c r="M1438" s="542"/>
    </row>
    <row r="1439">
      <c r="A1439" s="570"/>
      <c r="B1439" s="559" t="s">
        <v>477</v>
      </c>
      <c r="C1439" s="568">
        <v>74.0</v>
      </c>
      <c r="D1439" s="557">
        <v>1.0</v>
      </c>
      <c r="E1439" s="569">
        <v>14.54</v>
      </c>
      <c r="F1439" s="563">
        <v>4400.0</v>
      </c>
      <c r="G1439" s="557"/>
      <c r="H1439" s="559"/>
      <c r="I1439" s="564">
        <v>2734.0</v>
      </c>
      <c r="J1439" s="565">
        <v>4400.0</v>
      </c>
      <c r="K1439" s="542"/>
      <c r="L1439" s="542"/>
      <c r="M1439" s="542"/>
    </row>
    <row r="1440">
      <c r="A1440" s="570"/>
      <c r="B1440" s="559" t="s">
        <v>1454</v>
      </c>
      <c r="C1440" s="568">
        <v>59.0</v>
      </c>
      <c r="D1440" s="557">
        <v>0.971</v>
      </c>
      <c r="E1440" s="569">
        <v>13.31</v>
      </c>
      <c r="F1440" s="563">
        <v>4400.0</v>
      </c>
      <c r="G1440" s="557"/>
      <c r="H1440" s="559"/>
      <c r="I1440" s="564">
        <v>2734.0</v>
      </c>
      <c r="J1440" s="565">
        <v>4400.0</v>
      </c>
      <c r="K1440" s="542"/>
      <c r="L1440" s="542"/>
      <c r="M1440" s="542"/>
    </row>
    <row r="1441">
      <c r="A1441" s="570"/>
      <c r="B1441" s="559" t="s">
        <v>246</v>
      </c>
      <c r="C1441" s="568">
        <v>114.0</v>
      </c>
      <c r="D1441" s="557">
        <v>0.9949</v>
      </c>
      <c r="E1441" s="569">
        <v>12.23</v>
      </c>
      <c r="F1441" s="563">
        <v>4397.0</v>
      </c>
      <c r="G1441" s="557"/>
      <c r="H1441" s="559"/>
      <c r="I1441" s="564">
        <v>2732.0</v>
      </c>
      <c r="J1441" s="565">
        <v>4397.0</v>
      </c>
      <c r="K1441" s="542"/>
      <c r="L1441" s="542"/>
      <c r="M1441" s="542"/>
    </row>
    <row r="1442">
      <c r="A1442" s="570"/>
      <c r="B1442" s="559" t="s">
        <v>1775</v>
      </c>
      <c r="C1442" s="568">
        <v>136.0</v>
      </c>
      <c r="D1442" s="557">
        <v>1.0015</v>
      </c>
      <c r="E1442" s="569">
        <v>11.67</v>
      </c>
      <c r="F1442" s="563">
        <v>4362.0</v>
      </c>
      <c r="G1442" s="557"/>
      <c r="H1442" s="559"/>
      <c r="I1442" s="564">
        <v>2710.0</v>
      </c>
      <c r="J1442" s="565">
        <v>4362.0</v>
      </c>
      <c r="K1442" s="542"/>
      <c r="L1442" s="542"/>
      <c r="M1442" s="542"/>
    </row>
    <row r="1443">
      <c r="A1443" s="570"/>
      <c r="B1443" s="557"/>
      <c r="C1443" s="557"/>
      <c r="D1443" s="557"/>
      <c r="E1443" s="557"/>
      <c r="F1443" s="563">
        <v>4200.0</v>
      </c>
      <c r="G1443" s="557"/>
      <c r="H1443" s="557">
        <v>0.9921973392479089</v>
      </c>
      <c r="I1443" s="564">
        <v>2610.0</v>
      </c>
      <c r="J1443" s="565">
        <v>4200.0</v>
      </c>
      <c r="K1443" s="542"/>
      <c r="L1443" s="542"/>
      <c r="M1443" s="542"/>
    </row>
    <row r="1444">
      <c r="A1444" s="570"/>
      <c r="B1444" s="559" t="s">
        <v>513</v>
      </c>
      <c r="C1444" s="568">
        <v>33.0</v>
      </c>
      <c r="D1444" s="557">
        <v>0.9975</v>
      </c>
      <c r="E1444" s="569">
        <v>13.17</v>
      </c>
      <c r="F1444" s="563">
        <v>4178.0</v>
      </c>
      <c r="G1444" s="557"/>
      <c r="H1444" s="559"/>
      <c r="I1444" s="564">
        <v>2596.0</v>
      </c>
      <c r="J1444" s="565">
        <v>4178.0</v>
      </c>
      <c r="K1444" s="542"/>
      <c r="L1444" s="542"/>
      <c r="M1444" s="542"/>
    </row>
    <row r="1445">
      <c r="A1445" s="570"/>
      <c r="B1445" s="559" t="s">
        <v>761</v>
      </c>
      <c r="C1445" s="568">
        <v>35.0</v>
      </c>
      <c r="D1445" s="557">
        <v>0.9951</v>
      </c>
      <c r="E1445" s="569">
        <v>13.08</v>
      </c>
      <c r="F1445" s="563">
        <v>4144.0</v>
      </c>
      <c r="G1445" s="557"/>
      <c r="H1445" s="559"/>
      <c r="I1445" s="564">
        <v>2575.0</v>
      </c>
      <c r="J1445" s="565">
        <v>4144.0</v>
      </c>
      <c r="K1445" s="542"/>
      <c r="L1445" s="542"/>
      <c r="M1445" s="542"/>
    </row>
    <row r="1446">
      <c r="A1446" s="570"/>
      <c r="B1446" s="559" t="s">
        <v>1703</v>
      </c>
      <c r="C1446" s="568">
        <v>71.0</v>
      </c>
      <c r="D1446" s="557">
        <v>1.0016</v>
      </c>
      <c r="E1446" s="569">
        <v>13.68</v>
      </c>
      <c r="F1446" s="563">
        <v>4093.0</v>
      </c>
      <c r="G1446" s="557"/>
      <c r="H1446" s="559"/>
      <c r="I1446" s="564">
        <v>2543.0</v>
      </c>
      <c r="J1446" s="565">
        <v>4093.0</v>
      </c>
      <c r="K1446" s="542"/>
      <c r="L1446" s="542"/>
      <c r="M1446" s="542"/>
    </row>
    <row r="1447">
      <c r="A1447" s="570"/>
      <c r="B1447" s="559" t="s">
        <v>1741</v>
      </c>
      <c r="C1447" s="568">
        <v>21.0</v>
      </c>
      <c r="D1447" s="557">
        <v>0.9585</v>
      </c>
      <c r="E1447" s="569">
        <v>10.86</v>
      </c>
      <c r="F1447" s="563">
        <v>4021.0</v>
      </c>
      <c r="G1447" s="557"/>
      <c r="H1447" s="559"/>
      <c r="I1447" s="564">
        <v>2499.0</v>
      </c>
      <c r="J1447" s="565">
        <v>4021.0</v>
      </c>
      <c r="K1447" s="542"/>
      <c r="L1447" s="542"/>
      <c r="M1447" s="542"/>
    </row>
    <row r="1448">
      <c r="A1448" s="570"/>
      <c r="B1448" s="559" t="s">
        <v>1890</v>
      </c>
      <c r="C1448" s="568">
        <v>138.0</v>
      </c>
      <c r="D1448" s="557">
        <v>0.9699</v>
      </c>
      <c r="E1448" s="569">
        <v>10.28</v>
      </c>
      <c r="F1448" s="563">
        <v>4000.0</v>
      </c>
      <c r="G1448" s="557"/>
      <c r="H1448" s="559"/>
      <c r="I1448" s="564">
        <v>2485.0</v>
      </c>
      <c r="J1448" s="565">
        <v>4000.0</v>
      </c>
      <c r="K1448" s="542"/>
      <c r="L1448" s="542"/>
      <c r="M1448" s="542"/>
    </row>
    <row r="1449">
      <c r="A1449" s="570"/>
      <c r="B1449" s="557"/>
      <c r="C1449" s="557"/>
      <c r="D1449" s="557"/>
      <c r="E1449" s="557"/>
      <c r="F1449" s="563">
        <v>3900.0</v>
      </c>
      <c r="G1449" s="557"/>
      <c r="H1449" s="557">
        <v>0.992709059415022</v>
      </c>
      <c r="I1449" s="564">
        <v>2423.0</v>
      </c>
      <c r="J1449" s="565">
        <v>3900.0</v>
      </c>
      <c r="K1449" s="542"/>
      <c r="L1449" s="542"/>
      <c r="M1449" s="542"/>
    </row>
    <row r="1450">
      <c r="A1450" s="570"/>
      <c r="B1450" s="559" t="s">
        <v>1818</v>
      </c>
      <c r="C1450" s="568">
        <v>156.0</v>
      </c>
      <c r="D1450" s="557">
        <v>0.9915</v>
      </c>
      <c r="E1450" s="569">
        <v>13.45</v>
      </c>
      <c r="F1450" s="563">
        <v>3856.0</v>
      </c>
      <c r="G1450" s="557"/>
      <c r="H1450" s="559"/>
      <c r="I1450" s="564">
        <v>2396.0</v>
      </c>
      <c r="J1450" s="565">
        <v>3856.0</v>
      </c>
      <c r="K1450" s="542"/>
      <c r="L1450" s="542"/>
      <c r="M1450" s="542"/>
    </row>
    <row r="1451">
      <c r="A1451" s="570"/>
      <c r="B1451" s="559" t="s">
        <v>257</v>
      </c>
      <c r="C1451" s="568">
        <v>84.0</v>
      </c>
      <c r="D1451" s="557">
        <v>1.0031</v>
      </c>
      <c r="E1451" s="569">
        <v>13.08</v>
      </c>
      <c r="F1451" s="563">
        <v>3800.0</v>
      </c>
      <c r="G1451" s="557">
        <v>-1.0</v>
      </c>
      <c r="H1451" s="559"/>
      <c r="I1451" s="564">
        <v>2361.0</v>
      </c>
      <c r="J1451" s="565">
        <v>3800.0</v>
      </c>
      <c r="K1451" s="542"/>
      <c r="L1451" s="542"/>
      <c r="M1451" s="542"/>
    </row>
    <row r="1452">
      <c r="A1452" s="570"/>
      <c r="B1452" s="559" t="s">
        <v>717</v>
      </c>
      <c r="C1452" s="568">
        <v>42.0</v>
      </c>
      <c r="D1452" s="557">
        <v>1.0049</v>
      </c>
      <c r="E1452" s="569">
        <v>9.95</v>
      </c>
      <c r="F1452" s="563">
        <v>3772.0</v>
      </c>
      <c r="G1452" s="557"/>
      <c r="H1452" s="559"/>
      <c r="I1452" s="564">
        <v>2344.0</v>
      </c>
      <c r="J1452" s="565">
        <v>3772.0</v>
      </c>
      <c r="K1452" s="542"/>
      <c r="L1452" s="542"/>
      <c r="M1452" s="542"/>
    </row>
    <row r="1453">
      <c r="A1453" s="570"/>
      <c r="B1453" s="559" t="s">
        <v>1454</v>
      </c>
      <c r="C1453" s="568">
        <v>48.0</v>
      </c>
      <c r="D1453" s="557">
        <v>0.9766</v>
      </c>
      <c r="E1453" s="569">
        <v>11.16</v>
      </c>
      <c r="F1453" s="563">
        <v>3700.0</v>
      </c>
      <c r="G1453" s="557"/>
      <c r="H1453" s="559"/>
      <c r="I1453" s="564">
        <v>2299.0</v>
      </c>
      <c r="J1453" s="565">
        <v>3700.0</v>
      </c>
      <c r="K1453" s="542"/>
      <c r="L1453" s="542"/>
      <c r="M1453" s="542"/>
    </row>
    <row r="1454">
      <c r="A1454" s="570"/>
      <c r="B1454" s="559" t="s">
        <v>694</v>
      </c>
      <c r="C1454" s="568">
        <v>37.0</v>
      </c>
      <c r="D1454" s="557">
        <v>1.0029</v>
      </c>
      <c r="E1454" s="569"/>
      <c r="F1454" s="563">
        <v>3655.0</v>
      </c>
      <c r="G1454" s="557">
        <v>-1.0</v>
      </c>
      <c r="H1454" s="559"/>
      <c r="I1454" s="564">
        <v>2271.0</v>
      </c>
      <c r="J1454" s="565">
        <v>3655.0</v>
      </c>
      <c r="K1454" s="542"/>
      <c r="L1454" s="542"/>
      <c r="M1454" s="542"/>
    </row>
    <row r="1455">
      <c r="A1455" s="570"/>
      <c r="B1455" s="557"/>
      <c r="C1455" s="557"/>
      <c r="D1455" s="557"/>
      <c r="E1455" s="557"/>
      <c r="F1455" s="563">
        <v>3600.0</v>
      </c>
      <c r="G1455" s="557"/>
      <c r="H1455" s="557">
        <v>0.9932274040599962</v>
      </c>
      <c r="I1455" s="564">
        <v>2237.0</v>
      </c>
      <c r="J1455" s="565">
        <v>3600.0</v>
      </c>
      <c r="K1455" s="542"/>
      <c r="L1455" s="542"/>
      <c r="M1455" s="542"/>
    </row>
    <row r="1456">
      <c r="A1456" s="570"/>
      <c r="B1456" s="559" t="s">
        <v>457</v>
      </c>
      <c r="C1456" s="568">
        <v>34.0</v>
      </c>
      <c r="D1456" s="557">
        <v>1.0</v>
      </c>
      <c r="E1456" s="569">
        <v>12.13</v>
      </c>
      <c r="F1456" s="563">
        <v>3600.0</v>
      </c>
      <c r="G1456" s="557"/>
      <c r="H1456" s="559"/>
      <c r="I1456" s="564">
        <v>2237.0</v>
      </c>
      <c r="J1456" s="565">
        <v>3600.0</v>
      </c>
      <c r="K1456" s="542"/>
      <c r="L1456" s="542"/>
      <c r="M1456" s="542"/>
    </row>
    <row r="1457">
      <c r="A1457" s="570"/>
      <c r="B1457" s="559" t="s">
        <v>1454</v>
      </c>
      <c r="C1457" s="568">
        <v>46.0</v>
      </c>
      <c r="D1457" s="557">
        <v>1.0154</v>
      </c>
      <c r="E1457" s="569">
        <v>10.39</v>
      </c>
      <c r="F1457" s="563">
        <v>3567.0</v>
      </c>
      <c r="G1457" s="557"/>
      <c r="H1457" s="559"/>
      <c r="I1457" s="564">
        <v>2216.0</v>
      </c>
      <c r="J1457" s="565">
        <v>3567.0</v>
      </c>
      <c r="K1457" s="542"/>
      <c r="L1457" s="542"/>
      <c r="M1457" s="542"/>
    </row>
    <row r="1458">
      <c r="A1458" s="570"/>
      <c r="B1458" s="559" t="s">
        <v>843</v>
      </c>
      <c r="C1458" s="568">
        <v>43.0</v>
      </c>
      <c r="D1458" s="557">
        <v>1.0052</v>
      </c>
      <c r="E1458" s="569">
        <v>12.08</v>
      </c>
      <c r="F1458" s="563">
        <v>3503.0</v>
      </c>
      <c r="G1458" s="557"/>
      <c r="H1458" s="559"/>
      <c r="I1458" s="564">
        <v>2177.0</v>
      </c>
      <c r="J1458" s="565">
        <v>3503.0</v>
      </c>
      <c r="K1458" s="542"/>
      <c r="L1458" s="542"/>
      <c r="M1458" s="542"/>
    </row>
    <row r="1459">
      <c r="A1459" s="570"/>
      <c r="B1459" s="559" t="s">
        <v>384</v>
      </c>
      <c r="C1459" s="568">
        <v>81.0</v>
      </c>
      <c r="D1459" s="557">
        <v>0.9929</v>
      </c>
      <c r="E1459" s="569">
        <v>8.75</v>
      </c>
      <c r="F1459" s="563">
        <v>3436.0</v>
      </c>
      <c r="G1459" s="557">
        <v>-1.0</v>
      </c>
      <c r="H1459" s="559"/>
      <c r="I1459" s="564">
        <v>2135.0</v>
      </c>
      <c r="J1459" s="565">
        <v>3436.0</v>
      </c>
      <c r="K1459" s="542"/>
      <c r="L1459" s="542"/>
      <c r="M1459" s="542"/>
    </row>
    <row r="1460">
      <c r="A1460" s="570"/>
      <c r="B1460" s="559" t="s">
        <v>140</v>
      </c>
      <c r="C1460" s="568">
        <v>36.0</v>
      </c>
      <c r="D1460" s="557">
        <v>0.9974</v>
      </c>
      <c r="E1460" s="569">
        <v>9.94</v>
      </c>
      <c r="F1460" s="563">
        <v>3434.0</v>
      </c>
      <c r="G1460" s="557"/>
      <c r="H1460" s="559"/>
      <c r="I1460" s="564">
        <v>2134.0</v>
      </c>
      <c r="J1460" s="565">
        <v>3434.0</v>
      </c>
      <c r="K1460" s="542"/>
      <c r="L1460" s="542"/>
      <c r="M1460" s="542"/>
    </row>
    <row r="1461">
      <c r="A1461" s="570"/>
      <c r="B1461" s="559" t="s">
        <v>407</v>
      </c>
      <c r="C1461" s="568">
        <v>77.0</v>
      </c>
      <c r="D1461" s="557">
        <v>0.991</v>
      </c>
      <c r="E1461" s="569">
        <v>8.3</v>
      </c>
      <c r="F1461" s="563">
        <v>3431.0</v>
      </c>
      <c r="G1461" s="557">
        <v>-1.0</v>
      </c>
      <c r="H1461" s="559"/>
      <c r="I1461" s="564">
        <v>2132.0</v>
      </c>
      <c r="J1461" s="565">
        <v>3431.0</v>
      </c>
      <c r="K1461" s="542"/>
      <c r="L1461" s="542"/>
      <c r="M1461" s="542"/>
    </row>
    <row r="1462">
      <c r="A1462" s="570"/>
      <c r="B1462" s="559" t="s">
        <v>936</v>
      </c>
      <c r="C1462" s="568">
        <v>58.0</v>
      </c>
      <c r="D1462" s="557">
        <v>1.0177</v>
      </c>
      <c r="E1462" s="569">
        <v>9.79</v>
      </c>
      <c r="F1462" s="563">
        <v>3400.0</v>
      </c>
      <c r="G1462" s="557"/>
      <c r="H1462" s="559"/>
      <c r="I1462" s="564">
        <v>2113.0</v>
      </c>
      <c r="J1462" s="565">
        <v>3400.0</v>
      </c>
      <c r="K1462" s="542"/>
      <c r="L1462" s="542"/>
      <c r="M1462" s="542"/>
    </row>
    <row r="1463">
      <c r="A1463" s="570"/>
      <c r="B1463" s="559" t="s">
        <v>1885</v>
      </c>
      <c r="C1463" s="568">
        <v>118.0</v>
      </c>
      <c r="D1463" s="557">
        <v>1.0059</v>
      </c>
      <c r="E1463" s="569">
        <v>8.02</v>
      </c>
      <c r="F1463" s="563">
        <v>3323.0</v>
      </c>
      <c r="G1463" s="557"/>
      <c r="H1463" s="559"/>
      <c r="I1463" s="564">
        <v>2065.0</v>
      </c>
      <c r="J1463" s="565">
        <v>3323.0</v>
      </c>
      <c r="K1463" s="542"/>
      <c r="L1463" s="542"/>
      <c r="M1463" s="542"/>
    </row>
    <row r="1464">
      <c r="A1464" s="570"/>
      <c r="B1464" s="557"/>
      <c r="C1464" s="557"/>
      <c r="D1464" s="557"/>
      <c r="E1464" s="557"/>
      <c r="F1464" s="563">
        <v>3300.0</v>
      </c>
      <c r="G1464" s="557"/>
      <c r="H1464" s="557">
        <v>0.9937524675918558</v>
      </c>
      <c r="I1464" s="564">
        <v>2051.0</v>
      </c>
      <c r="J1464" s="565">
        <v>3300.0</v>
      </c>
      <c r="K1464" s="542"/>
      <c r="L1464" s="542"/>
      <c r="M1464" s="542"/>
    </row>
    <row r="1465">
      <c r="A1465" s="570"/>
      <c r="B1465" s="559" t="s">
        <v>761</v>
      </c>
      <c r="C1465" s="568">
        <v>26.0</v>
      </c>
      <c r="D1465" s="557">
        <v>0.9951</v>
      </c>
      <c r="E1465" s="569">
        <v>10.41</v>
      </c>
      <c r="F1465" s="563">
        <v>3272.0</v>
      </c>
      <c r="G1465" s="557"/>
      <c r="H1465" s="559"/>
      <c r="I1465" s="564">
        <v>2033.0</v>
      </c>
      <c r="J1465" s="565">
        <v>3272.0</v>
      </c>
      <c r="K1465" s="542"/>
      <c r="L1465" s="542"/>
      <c r="M1465" s="542"/>
    </row>
    <row r="1466">
      <c r="A1466" s="570"/>
      <c r="B1466" s="559" t="s">
        <v>1761</v>
      </c>
      <c r="C1466" s="568">
        <v>35.0</v>
      </c>
      <c r="D1466" s="557">
        <v>1.0</v>
      </c>
      <c r="E1466" s="569">
        <v>8.56</v>
      </c>
      <c r="F1466" s="563">
        <v>3272.0</v>
      </c>
      <c r="G1466" s="557"/>
      <c r="H1466" s="559"/>
      <c r="I1466" s="564">
        <v>2033.0</v>
      </c>
      <c r="J1466" s="565">
        <v>3272.0</v>
      </c>
      <c r="K1466" s="542"/>
      <c r="L1466" s="542"/>
      <c r="M1466" s="542"/>
    </row>
    <row r="1467">
      <c r="A1467" s="570"/>
      <c r="B1467" s="559" t="s">
        <v>54</v>
      </c>
      <c r="C1467" s="568">
        <v>18.0</v>
      </c>
      <c r="D1467" s="557">
        <v>1.0074</v>
      </c>
      <c r="E1467" s="569">
        <v>7.79</v>
      </c>
      <c r="F1467" s="563">
        <v>3219.0</v>
      </c>
      <c r="G1467" s="557">
        <v>-1.0</v>
      </c>
      <c r="H1467" s="559"/>
      <c r="I1467" s="564">
        <v>2000.0</v>
      </c>
      <c r="J1467" s="565">
        <v>3219.0</v>
      </c>
      <c r="K1467" s="542"/>
      <c r="L1467" s="542"/>
      <c r="M1467" s="542"/>
    </row>
    <row r="1468">
      <c r="A1468" s="570"/>
      <c r="B1468" s="559" t="s">
        <v>1750</v>
      </c>
      <c r="C1468" s="568">
        <v>109.0</v>
      </c>
      <c r="D1468" s="557">
        <v>1.0101</v>
      </c>
      <c r="E1468" s="569">
        <v>8.96</v>
      </c>
      <c r="F1468" s="563">
        <v>3200.0</v>
      </c>
      <c r="G1468" s="557"/>
      <c r="H1468" s="559"/>
      <c r="I1468" s="564">
        <v>1988.0</v>
      </c>
      <c r="J1468" s="565">
        <v>3200.0</v>
      </c>
      <c r="K1468" s="542"/>
      <c r="L1468" s="542"/>
      <c r="M1468" s="542"/>
    </row>
    <row r="1469">
      <c r="A1469" s="570"/>
      <c r="B1469" s="559" t="s">
        <v>1852</v>
      </c>
      <c r="C1469" s="568">
        <v>37.0</v>
      </c>
      <c r="D1469" s="557">
        <v>0.9488</v>
      </c>
      <c r="E1469" s="569">
        <v>9.75</v>
      </c>
      <c r="F1469" s="563">
        <v>3200.0</v>
      </c>
      <c r="G1469" s="557"/>
      <c r="H1469" s="559"/>
      <c r="I1469" s="564">
        <v>1988.0</v>
      </c>
      <c r="J1469" s="565">
        <v>3200.0</v>
      </c>
      <c r="K1469" s="542"/>
      <c r="L1469" s="542"/>
      <c r="M1469" s="542"/>
    </row>
    <row r="1470">
      <c r="A1470" s="570"/>
      <c r="B1470" s="559" t="s">
        <v>1849</v>
      </c>
      <c r="C1470" s="568">
        <v>69.0</v>
      </c>
      <c r="D1470" s="557">
        <v>1.0026</v>
      </c>
      <c r="E1470" s="569"/>
      <c r="F1470" s="563">
        <v>3200.0</v>
      </c>
      <c r="G1470" s="557"/>
      <c r="H1470" s="559"/>
      <c r="I1470" s="564">
        <v>1988.0</v>
      </c>
      <c r="J1470" s="565">
        <v>3200.0</v>
      </c>
      <c r="K1470" s="542"/>
      <c r="L1470" s="542"/>
      <c r="M1470" s="542"/>
    </row>
    <row r="1471">
      <c r="A1471" s="570"/>
      <c r="B1471" s="559" t="s">
        <v>1893</v>
      </c>
      <c r="C1471" s="568">
        <v>116.0</v>
      </c>
      <c r="D1471" s="557">
        <v>1.0099</v>
      </c>
      <c r="E1471" s="569">
        <v>8.23</v>
      </c>
      <c r="F1471" s="563">
        <v>3177.0</v>
      </c>
      <c r="G1471" s="557"/>
      <c r="H1471" s="559"/>
      <c r="I1471" s="564">
        <v>1974.0</v>
      </c>
      <c r="J1471" s="565">
        <v>3177.0</v>
      </c>
      <c r="K1471" s="542"/>
      <c r="L1471" s="542"/>
      <c r="M1471" s="542"/>
    </row>
    <row r="1472">
      <c r="A1472" s="570"/>
      <c r="B1472" s="559" t="s">
        <v>1615</v>
      </c>
      <c r="C1472" s="568">
        <v>114.0</v>
      </c>
      <c r="D1472" s="557">
        <v>0.9995</v>
      </c>
      <c r="E1472" s="569">
        <v>8.16</v>
      </c>
      <c r="F1472" s="563">
        <v>3164.0</v>
      </c>
      <c r="G1472" s="557"/>
      <c r="H1472" s="559"/>
      <c r="I1472" s="564">
        <v>1966.0</v>
      </c>
      <c r="J1472" s="565">
        <v>3164.0</v>
      </c>
      <c r="K1472" s="542"/>
      <c r="L1472" s="542"/>
      <c r="M1472" s="542"/>
    </row>
    <row r="1473">
      <c r="A1473" s="570"/>
      <c r="B1473" s="559" t="s">
        <v>1703</v>
      </c>
      <c r="C1473" s="568">
        <v>52.0</v>
      </c>
      <c r="D1473" s="557">
        <v>1.0016</v>
      </c>
      <c r="E1473" s="569">
        <v>10.22</v>
      </c>
      <c r="F1473" s="563">
        <v>3032.0</v>
      </c>
      <c r="G1473" s="557"/>
      <c r="H1473" s="559"/>
      <c r="I1473" s="564">
        <v>1884.0</v>
      </c>
      <c r="J1473" s="565">
        <v>3032.0</v>
      </c>
      <c r="K1473" s="542"/>
      <c r="L1473" s="542"/>
      <c r="M1473" s="542"/>
    </row>
    <row r="1474">
      <c r="A1474" s="570"/>
      <c r="B1474" s="557"/>
      <c r="C1474" s="557"/>
      <c r="D1474" s="557"/>
      <c r="E1474" s="557"/>
      <c r="F1474" s="563">
        <v>3000.0</v>
      </c>
      <c r="G1474" s="557"/>
      <c r="H1474" s="557">
        <v>0.9942843457650993</v>
      </c>
      <c r="I1474" s="564">
        <v>1864.0</v>
      </c>
      <c r="J1474" s="565">
        <v>3000.0</v>
      </c>
      <c r="K1474" s="542"/>
      <c r="L1474" s="542"/>
      <c r="M1474" s="542"/>
    </row>
    <row r="1475">
      <c r="A1475" s="570"/>
      <c r="B1475" s="559" t="s">
        <v>1760</v>
      </c>
      <c r="C1475" s="568">
        <v>89.0</v>
      </c>
      <c r="D1475" s="557">
        <v>1.0082</v>
      </c>
      <c r="E1475" s="569">
        <v>10.12</v>
      </c>
      <c r="F1475" s="563">
        <v>3000.0</v>
      </c>
      <c r="G1475" s="557"/>
      <c r="H1475" s="559"/>
      <c r="I1475" s="564">
        <v>1864.0</v>
      </c>
      <c r="J1475" s="565">
        <v>3000.0</v>
      </c>
      <c r="K1475" s="542"/>
      <c r="L1475" s="542"/>
      <c r="M1475" s="542"/>
    </row>
    <row r="1476">
      <c r="A1476" s="570"/>
      <c r="B1476" s="559" t="s">
        <v>1741</v>
      </c>
      <c r="C1476" s="568">
        <v>16.0</v>
      </c>
      <c r="D1476" s="557">
        <v>0.9561</v>
      </c>
      <c r="E1476" s="569">
        <v>7.87</v>
      </c>
      <c r="F1476" s="563">
        <v>2908.0</v>
      </c>
      <c r="G1476" s="557"/>
      <c r="H1476" s="559"/>
      <c r="I1476" s="564">
        <v>1807.0</v>
      </c>
      <c r="J1476" s="565">
        <v>2908.0</v>
      </c>
      <c r="K1476" s="542"/>
      <c r="L1476" s="542"/>
      <c r="M1476" s="542"/>
    </row>
    <row r="1477">
      <c r="A1477" s="570"/>
      <c r="B1477" s="559" t="s">
        <v>1454</v>
      </c>
      <c r="C1477" s="568">
        <v>38.0</v>
      </c>
      <c r="D1477" s="557">
        <v>0.9988</v>
      </c>
      <c r="E1477" s="569">
        <v>8.47</v>
      </c>
      <c r="F1477" s="563">
        <v>2787.0</v>
      </c>
      <c r="G1477" s="557"/>
      <c r="H1477" s="559"/>
      <c r="I1477" s="564">
        <v>1732.0</v>
      </c>
      <c r="J1477" s="565">
        <v>2787.0</v>
      </c>
      <c r="K1477" s="542"/>
      <c r="L1477" s="542"/>
      <c r="M1477" s="542"/>
    </row>
    <row r="1478">
      <c r="A1478" s="570"/>
      <c r="B1478" s="559" t="s">
        <v>1799</v>
      </c>
      <c r="C1478" s="568">
        <v>18.0</v>
      </c>
      <c r="D1478" s="557">
        <v>0.9968</v>
      </c>
      <c r="E1478" s="569">
        <v>8.78</v>
      </c>
      <c r="F1478" s="563">
        <v>2746.0</v>
      </c>
      <c r="G1478" s="557"/>
      <c r="H1478" s="559"/>
      <c r="I1478" s="564">
        <v>1706.0</v>
      </c>
      <c r="J1478" s="565">
        <v>2746.0</v>
      </c>
      <c r="K1478" s="542"/>
      <c r="L1478" s="542"/>
      <c r="M1478" s="542"/>
    </row>
    <row r="1479">
      <c r="A1479" s="570"/>
      <c r="B1479" s="557"/>
      <c r="C1479" s="557"/>
      <c r="D1479" s="557"/>
      <c r="E1479" s="557"/>
      <c r="F1479" s="563">
        <v>2700.0</v>
      </c>
      <c r="G1479" s="557"/>
      <c r="H1479" s="557">
        <v>0.994823135698874</v>
      </c>
      <c r="I1479" s="564">
        <v>1678.0</v>
      </c>
      <c r="J1479" s="565">
        <v>2700.0</v>
      </c>
      <c r="K1479" s="542"/>
      <c r="L1479" s="542"/>
      <c r="M1479" s="542"/>
    </row>
    <row r="1480">
      <c r="A1480" s="570"/>
      <c r="B1480" s="559" t="s">
        <v>480</v>
      </c>
      <c r="C1480" s="568">
        <v>34.0</v>
      </c>
      <c r="D1480" s="557">
        <v>0.9974</v>
      </c>
      <c r="E1480" s="569">
        <v>8.66</v>
      </c>
      <c r="F1480" s="563">
        <v>2650.0</v>
      </c>
      <c r="G1480" s="557"/>
      <c r="H1480" s="559"/>
      <c r="I1480" s="564">
        <v>1647.0</v>
      </c>
      <c r="J1480" s="565">
        <v>2650.0</v>
      </c>
      <c r="K1480" s="542"/>
      <c r="L1480" s="542"/>
      <c r="M1480" s="542"/>
    </row>
    <row r="1481">
      <c r="A1481" s="570"/>
      <c r="B1481" s="559" t="s">
        <v>304</v>
      </c>
      <c r="C1481" s="568">
        <v>214.0</v>
      </c>
      <c r="D1481" s="557">
        <v>1.0063</v>
      </c>
      <c r="E1481" s="569">
        <v>6.3</v>
      </c>
      <c r="F1481" s="563">
        <v>2647.0</v>
      </c>
      <c r="G1481" s="557">
        <v>-1.0</v>
      </c>
      <c r="H1481" s="559"/>
      <c r="I1481" s="564">
        <v>1645.0</v>
      </c>
      <c r="J1481" s="565">
        <v>2647.0</v>
      </c>
      <c r="K1481" s="542"/>
      <c r="L1481" s="542"/>
      <c r="M1481" s="542"/>
    </row>
    <row r="1482">
      <c r="A1482" s="570"/>
      <c r="B1482" s="559" t="s">
        <v>1454</v>
      </c>
      <c r="C1482" s="568">
        <v>36.0</v>
      </c>
      <c r="D1482" s="557">
        <v>0.9738</v>
      </c>
      <c r="E1482" s="569">
        <v>8.08</v>
      </c>
      <c r="F1482" s="563">
        <v>2611.0</v>
      </c>
      <c r="G1482" s="557"/>
      <c r="H1482" s="559"/>
      <c r="I1482" s="564">
        <v>1622.0</v>
      </c>
      <c r="J1482" s="565">
        <v>2611.0</v>
      </c>
      <c r="K1482" s="542"/>
      <c r="L1482" s="542"/>
      <c r="M1482" s="542"/>
    </row>
    <row r="1483">
      <c r="A1483" s="570"/>
      <c r="B1483" s="559" t="s">
        <v>1883</v>
      </c>
      <c r="C1483" s="568">
        <v>34.0</v>
      </c>
      <c r="D1483" s="557">
        <v>1.0082</v>
      </c>
      <c r="E1483" s="569">
        <v>6.51</v>
      </c>
      <c r="F1483" s="563">
        <v>2500.0</v>
      </c>
      <c r="G1483" s="557"/>
      <c r="H1483" s="559"/>
      <c r="I1483" s="564">
        <v>1553.0</v>
      </c>
      <c r="J1483" s="565">
        <v>2500.0</v>
      </c>
      <c r="K1483" s="542"/>
      <c r="L1483" s="542"/>
      <c r="M1483" s="542"/>
    </row>
    <row r="1484">
      <c r="A1484" s="570"/>
      <c r="B1484" s="557"/>
      <c r="C1484" s="557"/>
      <c r="D1484" s="557"/>
      <c r="E1484" s="557"/>
      <c r="F1484" s="563">
        <v>2400.0</v>
      </c>
      <c r="G1484" s="557"/>
      <c r="H1484" s="557">
        <v>0.9953689358964254</v>
      </c>
      <c r="I1484" s="564">
        <v>1491.0</v>
      </c>
      <c r="J1484" s="565">
        <v>2400.0</v>
      </c>
      <c r="K1484" s="542"/>
      <c r="L1484" s="542"/>
      <c r="M1484" s="542"/>
    </row>
    <row r="1485">
      <c r="A1485" s="570"/>
      <c r="B1485" s="559" t="s">
        <v>1775</v>
      </c>
      <c r="C1485" s="568">
        <v>115.0</v>
      </c>
      <c r="D1485" s="557">
        <v>1.0015</v>
      </c>
      <c r="E1485" s="569">
        <v>6.32</v>
      </c>
      <c r="F1485" s="563">
        <v>2361.0</v>
      </c>
      <c r="G1485" s="557"/>
      <c r="H1485" s="559"/>
      <c r="I1485" s="564">
        <v>1467.0</v>
      </c>
      <c r="J1485" s="565">
        <v>2361.0</v>
      </c>
      <c r="K1485" s="542"/>
      <c r="L1485" s="542"/>
      <c r="M1485" s="542"/>
    </row>
    <row r="1486">
      <c r="A1486" s="570"/>
      <c r="B1486" s="559" t="s">
        <v>1637</v>
      </c>
      <c r="C1486" s="568">
        <v>63.0</v>
      </c>
      <c r="D1486" s="557">
        <v>1.0043</v>
      </c>
      <c r="E1486" s="569">
        <v>7.39</v>
      </c>
      <c r="F1486" s="563">
        <v>2359.0</v>
      </c>
      <c r="G1486" s="557"/>
      <c r="H1486" s="559"/>
      <c r="I1486" s="564">
        <v>1466.0</v>
      </c>
      <c r="J1486" s="565">
        <v>2359.0</v>
      </c>
      <c r="K1486" s="542"/>
      <c r="L1486" s="542"/>
      <c r="M1486" s="542"/>
    </row>
    <row r="1487">
      <c r="A1487" s="570"/>
      <c r="B1487" s="559" t="s">
        <v>980</v>
      </c>
      <c r="C1487" s="568">
        <v>39.0</v>
      </c>
      <c r="D1487" s="557">
        <v>1.0021</v>
      </c>
      <c r="E1487" s="569">
        <v>7.86</v>
      </c>
      <c r="F1487" s="563">
        <v>2300.0</v>
      </c>
      <c r="G1487" s="557"/>
      <c r="H1487" s="559"/>
      <c r="I1487" s="564">
        <v>1429.0</v>
      </c>
      <c r="J1487" s="565">
        <v>2300.0</v>
      </c>
      <c r="K1487" s="542"/>
      <c r="L1487" s="542"/>
      <c r="M1487" s="542"/>
    </row>
    <row r="1488">
      <c r="A1488" s="570"/>
      <c r="B1488" s="559" t="s">
        <v>1292</v>
      </c>
      <c r="C1488" s="568">
        <v>63.0</v>
      </c>
      <c r="D1488" s="557">
        <v>0.9395</v>
      </c>
      <c r="E1488" s="569">
        <v>6.38</v>
      </c>
      <c r="F1488" s="563">
        <v>2200.0</v>
      </c>
      <c r="G1488" s="557"/>
      <c r="H1488" s="559"/>
      <c r="I1488" s="564">
        <v>1367.0</v>
      </c>
      <c r="J1488" s="565">
        <v>2200.0</v>
      </c>
      <c r="K1488" s="542"/>
      <c r="L1488" s="542"/>
      <c r="M1488" s="542"/>
    </row>
    <row r="1489">
      <c r="A1489" s="570"/>
      <c r="B1489" s="559" t="s">
        <v>519</v>
      </c>
      <c r="C1489" s="568">
        <v>31.0</v>
      </c>
      <c r="D1489" s="557">
        <v>1.0092</v>
      </c>
      <c r="E1489" s="569">
        <v>4.55</v>
      </c>
      <c r="F1489" s="563">
        <v>2185.0</v>
      </c>
      <c r="G1489" s="557">
        <v>-1.0</v>
      </c>
      <c r="H1489" s="559"/>
      <c r="I1489" s="564">
        <v>1358.0</v>
      </c>
      <c r="J1489" s="565">
        <v>2185.0</v>
      </c>
      <c r="K1489" s="542"/>
      <c r="L1489" s="542"/>
      <c r="M1489" s="542"/>
    </row>
    <row r="1490">
      <c r="A1490" s="570"/>
      <c r="B1490" s="557"/>
      <c r="C1490" s="557"/>
      <c r="D1490" s="557"/>
      <c r="E1490" s="557"/>
      <c r="F1490" s="563">
        <v>2100.0</v>
      </c>
      <c r="G1490" s="557"/>
      <c r="H1490" s="557">
        <v>0.9959218462648217</v>
      </c>
      <c r="I1490" s="564">
        <v>1305.0</v>
      </c>
      <c r="J1490" s="565">
        <v>2100.0</v>
      </c>
      <c r="K1490" s="542"/>
      <c r="L1490" s="542"/>
      <c r="M1490" s="542"/>
    </row>
    <row r="1491">
      <c r="A1491" s="570"/>
      <c r="B1491" s="559" t="s">
        <v>1628</v>
      </c>
      <c r="C1491" s="568">
        <v>30.0</v>
      </c>
      <c r="D1491" s="557">
        <v>1.0037</v>
      </c>
      <c r="E1491" s="569">
        <v>5.69</v>
      </c>
      <c r="F1491" s="563">
        <v>2062.0</v>
      </c>
      <c r="G1491" s="557"/>
      <c r="H1491" s="559"/>
      <c r="I1491" s="564">
        <v>1281.0</v>
      </c>
      <c r="J1491" s="565">
        <v>2062.0</v>
      </c>
      <c r="K1491" s="542"/>
      <c r="L1491" s="542"/>
      <c r="M1491" s="542"/>
    </row>
    <row r="1492">
      <c r="A1492" s="570"/>
      <c r="B1492" s="559" t="s">
        <v>231</v>
      </c>
      <c r="C1492" s="568">
        <v>94.0</v>
      </c>
      <c r="D1492" s="557">
        <v>1.0</v>
      </c>
      <c r="E1492" s="569">
        <v>5.02</v>
      </c>
      <c r="F1492" s="563">
        <v>2000.0</v>
      </c>
      <c r="G1492" s="557"/>
      <c r="H1492" s="559"/>
      <c r="I1492" s="564">
        <v>1243.0</v>
      </c>
      <c r="J1492" s="565">
        <v>2000.0</v>
      </c>
      <c r="K1492" s="542"/>
      <c r="L1492" s="542"/>
      <c r="M1492" s="542"/>
    </row>
    <row r="1493">
      <c r="A1493" s="570"/>
      <c r="B1493" s="559" t="s">
        <v>1883</v>
      </c>
      <c r="C1493" s="568">
        <v>33.0</v>
      </c>
      <c r="D1493" s="557">
        <v>0.997</v>
      </c>
      <c r="E1493" s="569">
        <v>5.19</v>
      </c>
      <c r="F1493" s="563">
        <v>1980.0</v>
      </c>
      <c r="G1493" s="557"/>
      <c r="H1493" s="559"/>
      <c r="I1493" s="564">
        <v>1230.0</v>
      </c>
      <c r="J1493" s="565">
        <v>1980.0</v>
      </c>
      <c r="K1493" s="542"/>
      <c r="L1493" s="542"/>
      <c r="M1493" s="542"/>
    </row>
    <row r="1494">
      <c r="A1494" s="570"/>
      <c r="B1494" s="559" t="s">
        <v>761</v>
      </c>
      <c r="C1494" s="568">
        <v>15.0</v>
      </c>
      <c r="D1494" s="557">
        <v>1.0002</v>
      </c>
      <c r="E1494" s="569">
        <v>6.22</v>
      </c>
      <c r="F1494" s="563">
        <v>1904.0</v>
      </c>
      <c r="G1494" s="557"/>
      <c r="H1494" s="559"/>
      <c r="I1494" s="564">
        <v>1183.0</v>
      </c>
      <c r="J1494" s="565">
        <v>1904.0</v>
      </c>
      <c r="K1494" s="542"/>
      <c r="L1494" s="542"/>
      <c r="M1494" s="542"/>
    </row>
    <row r="1495">
      <c r="A1495" s="570"/>
      <c r="B1495" s="559" t="s">
        <v>717</v>
      </c>
      <c r="C1495" s="568">
        <v>33.0</v>
      </c>
      <c r="D1495" s="557">
        <v>1.0052</v>
      </c>
      <c r="E1495" s="569">
        <v>5.12</v>
      </c>
      <c r="F1495" s="563">
        <v>1875.0</v>
      </c>
      <c r="G1495" s="557"/>
      <c r="H1495" s="559"/>
      <c r="I1495" s="564">
        <v>1165.0</v>
      </c>
      <c r="J1495" s="565">
        <v>1875.0</v>
      </c>
      <c r="K1495" s="542"/>
      <c r="L1495" s="542"/>
      <c r="M1495" s="542"/>
    </row>
    <row r="1496">
      <c r="A1496" s="570"/>
      <c r="B1496" s="557"/>
      <c r="C1496" s="557"/>
      <c r="D1496" s="557"/>
      <c r="E1496" s="557"/>
      <c r="F1496" s="563">
        <v>1800.0</v>
      </c>
      <c r="G1496" s="557"/>
      <c r="H1496" s="557">
        <v>0.996481968134961</v>
      </c>
      <c r="I1496" s="564">
        <v>1118.0</v>
      </c>
      <c r="J1496" s="565">
        <v>1800.0</v>
      </c>
      <c r="K1496" s="542"/>
      <c r="L1496" s="542"/>
      <c r="M1496" s="542"/>
    </row>
    <row r="1497">
      <c r="A1497" s="570"/>
      <c r="B1497" s="559" t="s">
        <v>89</v>
      </c>
      <c r="C1497" s="568">
        <v>22.0</v>
      </c>
      <c r="D1497" s="557">
        <v>0.9883</v>
      </c>
      <c r="E1497" s="569">
        <v>5.36</v>
      </c>
      <c r="F1497" s="563">
        <v>1708.0</v>
      </c>
      <c r="G1497" s="557">
        <v>-1.0</v>
      </c>
      <c r="H1497" s="559"/>
      <c r="I1497" s="564">
        <v>1061.0</v>
      </c>
      <c r="J1497" s="565">
        <v>1708.0</v>
      </c>
      <c r="K1497" s="542"/>
      <c r="L1497" s="542"/>
      <c r="M1497" s="542"/>
    </row>
    <row r="1498">
      <c r="A1498" s="570"/>
      <c r="B1498" s="559" t="s">
        <v>1890</v>
      </c>
      <c r="C1498" s="568">
        <v>105.0</v>
      </c>
      <c r="D1498" s="557">
        <v>0.9945</v>
      </c>
      <c r="E1498" s="569">
        <v>4.61</v>
      </c>
      <c r="F1498" s="563">
        <v>1700.0</v>
      </c>
      <c r="G1498" s="557"/>
      <c r="H1498" s="559"/>
      <c r="I1498" s="564">
        <v>1056.0</v>
      </c>
      <c r="J1498" s="565">
        <v>1700.0</v>
      </c>
      <c r="K1498" s="542"/>
      <c r="L1498" s="542"/>
      <c r="M1498" s="542"/>
    </row>
    <row r="1499">
      <c r="A1499" s="570"/>
      <c r="B1499" s="559" t="s">
        <v>349</v>
      </c>
      <c r="C1499" s="568">
        <v>41.0</v>
      </c>
      <c r="D1499" s="557">
        <v>1.0107</v>
      </c>
      <c r="E1499" s="569">
        <v>3.77</v>
      </c>
      <c r="F1499" s="563">
        <v>1569.0</v>
      </c>
      <c r="G1499" s="557">
        <v>-1.0</v>
      </c>
      <c r="H1499" s="559"/>
      <c r="I1499" s="564">
        <v>975.0</v>
      </c>
      <c r="J1499" s="565">
        <v>1569.0</v>
      </c>
      <c r="K1499" s="542"/>
      <c r="L1499" s="542"/>
      <c r="M1499" s="542"/>
    </row>
    <row r="1500">
      <c r="A1500" s="570"/>
      <c r="B1500" s="559" t="s">
        <v>1821</v>
      </c>
      <c r="C1500" s="568">
        <v>28.0</v>
      </c>
      <c r="D1500" s="557">
        <v>1.0216</v>
      </c>
      <c r="E1500" s="569">
        <v>3.55</v>
      </c>
      <c r="F1500" s="563">
        <v>1512.0</v>
      </c>
      <c r="G1500" s="557"/>
      <c r="H1500" s="559"/>
      <c r="I1500" s="564">
        <v>940.0</v>
      </c>
      <c r="J1500" s="565">
        <v>1512.0</v>
      </c>
      <c r="K1500" s="542"/>
      <c r="L1500" s="542"/>
      <c r="M1500" s="542"/>
    </row>
    <row r="1501">
      <c r="A1501" s="570"/>
      <c r="B1501" s="557"/>
      <c r="C1501" s="557"/>
      <c r="D1501" s="557"/>
      <c r="E1501" s="557"/>
      <c r="F1501" s="563">
        <v>1500.0</v>
      </c>
      <c r="G1501" s="557"/>
      <c r="H1501" s="557">
        <v>0.9970494042818631</v>
      </c>
      <c r="I1501" s="564">
        <v>932.0</v>
      </c>
      <c r="J1501" s="565">
        <v>1500.0</v>
      </c>
      <c r="K1501" s="542"/>
      <c r="L1501" s="542"/>
      <c r="M1501" s="542"/>
    </row>
    <row r="1502">
      <c r="A1502" s="570"/>
      <c r="B1502" s="559" t="s">
        <v>314</v>
      </c>
      <c r="C1502" s="568">
        <v>13.0</v>
      </c>
      <c r="D1502" s="557">
        <v>1.0235</v>
      </c>
      <c r="E1502" s="569">
        <v>3.32</v>
      </c>
      <c r="F1502" s="563">
        <v>1390.0</v>
      </c>
      <c r="G1502" s="557">
        <v>-1.0</v>
      </c>
      <c r="H1502" s="559"/>
      <c r="I1502" s="564">
        <v>864.0</v>
      </c>
      <c r="J1502" s="565">
        <v>1390.0</v>
      </c>
      <c r="K1502" s="542"/>
      <c r="L1502" s="542"/>
      <c r="M1502" s="542"/>
    </row>
    <row r="1503">
      <c r="A1503" s="570"/>
      <c r="B1503" s="559" t="s">
        <v>1898</v>
      </c>
      <c r="C1503" s="568">
        <v>8.0</v>
      </c>
      <c r="D1503" s="557">
        <v>1.0</v>
      </c>
      <c r="E1503" s="569">
        <v>2.61</v>
      </c>
      <c r="F1503" s="563">
        <v>1364.0</v>
      </c>
      <c r="G1503" s="557"/>
      <c r="H1503" s="559"/>
      <c r="I1503" s="564">
        <v>848.0</v>
      </c>
      <c r="J1503" s="565">
        <v>1364.0</v>
      </c>
      <c r="K1503" s="542"/>
      <c r="L1503" s="542"/>
      <c r="M1503" s="542"/>
    </row>
    <row r="1504">
      <c r="A1504" s="570"/>
      <c r="B1504" s="559" t="s">
        <v>1893</v>
      </c>
      <c r="C1504" s="568">
        <v>82.0</v>
      </c>
      <c r="D1504" s="557">
        <v>0.9973</v>
      </c>
      <c r="E1504" s="569">
        <v>3.49</v>
      </c>
      <c r="F1504" s="563">
        <v>1340.0</v>
      </c>
      <c r="G1504" s="557"/>
      <c r="H1504" s="559"/>
      <c r="I1504" s="564">
        <v>833.0</v>
      </c>
      <c r="J1504" s="565">
        <v>1340.0</v>
      </c>
      <c r="K1504" s="542"/>
      <c r="L1504" s="542"/>
      <c r="M1504" s="542"/>
    </row>
    <row r="1505">
      <c r="A1505" s="570"/>
      <c r="B1505" s="559" t="s">
        <v>1632</v>
      </c>
      <c r="C1505" s="568">
        <v>109.0</v>
      </c>
      <c r="D1505" s="557">
        <v>1.0005</v>
      </c>
      <c r="E1505" s="569">
        <v>3.97</v>
      </c>
      <c r="F1505" s="563">
        <v>1330.0</v>
      </c>
      <c r="G1505" s="557"/>
      <c r="H1505" s="559"/>
      <c r="I1505" s="564">
        <v>826.0</v>
      </c>
      <c r="J1505" s="565">
        <v>1330.0</v>
      </c>
      <c r="K1505" s="542"/>
      <c r="L1505" s="542"/>
      <c r="M1505" s="542"/>
    </row>
    <row r="1506">
      <c r="A1506" s="570"/>
      <c r="B1506" s="559" t="s">
        <v>1755</v>
      </c>
      <c r="C1506" s="568">
        <v>21.0</v>
      </c>
      <c r="D1506" s="557">
        <v>1.0261</v>
      </c>
      <c r="E1506" s="569">
        <v>3.57</v>
      </c>
      <c r="F1506" s="563">
        <v>1327.0</v>
      </c>
      <c r="G1506" s="557"/>
      <c r="H1506" s="559"/>
      <c r="I1506" s="564">
        <v>825.0</v>
      </c>
      <c r="J1506" s="565">
        <v>1327.0</v>
      </c>
      <c r="K1506" s="542"/>
      <c r="L1506" s="542"/>
      <c r="M1506" s="542"/>
    </row>
    <row r="1507">
      <c r="A1507" s="570"/>
      <c r="B1507" s="559" t="s">
        <v>1615</v>
      </c>
      <c r="C1507" s="568">
        <v>107.0</v>
      </c>
      <c r="D1507" s="557">
        <v>0.9995</v>
      </c>
      <c r="E1507" s="569">
        <v>3.43</v>
      </c>
      <c r="F1507" s="563">
        <v>1322.0</v>
      </c>
      <c r="G1507" s="557"/>
      <c r="H1507" s="559"/>
      <c r="I1507" s="564">
        <v>821.0</v>
      </c>
      <c r="J1507" s="565">
        <v>1322.0</v>
      </c>
      <c r="K1507" s="542"/>
      <c r="L1507" s="542"/>
      <c r="M1507" s="542"/>
    </row>
    <row r="1508">
      <c r="A1508" s="570"/>
      <c r="B1508" s="559" t="s">
        <v>519</v>
      </c>
      <c r="C1508" s="568">
        <v>17.0</v>
      </c>
      <c r="D1508" s="557">
        <v>1.0092</v>
      </c>
      <c r="E1508" s="569">
        <v>2.71</v>
      </c>
      <c r="F1508" s="563">
        <v>1307.0</v>
      </c>
      <c r="G1508" s="557">
        <v>-1.0</v>
      </c>
      <c r="H1508" s="559"/>
      <c r="I1508" s="564">
        <v>812.0</v>
      </c>
      <c r="J1508" s="565">
        <v>1307.0</v>
      </c>
      <c r="K1508" s="542"/>
      <c r="L1508" s="542"/>
      <c r="M1508" s="542"/>
    </row>
    <row r="1509">
      <c r="A1509" s="570"/>
      <c r="B1509" s="557"/>
      <c r="C1509" s="557"/>
      <c r="D1509" s="557"/>
      <c r="E1509" s="557"/>
      <c r="F1509" s="563">
        <v>1200.0</v>
      </c>
      <c r="G1509" s="557"/>
      <c r="H1509" s="557">
        <v>0.9976242589452499</v>
      </c>
      <c r="I1509" s="564">
        <v>746.0</v>
      </c>
      <c r="J1509" s="565">
        <v>1200.0</v>
      </c>
      <c r="K1509" s="542"/>
      <c r="L1509" s="542"/>
      <c r="M1509" s="542"/>
    </row>
    <row r="1510">
      <c r="A1510" s="570"/>
      <c r="B1510" s="559" t="s">
        <v>1628</v>
      </c>
      <c r="C1510" s="568">
        <v>19.0</v>
      </c>
      <c r="D1510" s="557">
        <v>1.0082</v>
      </c>
      <c r="E1510" s="569">
        <v>3.32</v>
      </c>
      <c r="F1510" s="563">
        <v>1196.0</v>
      </c>
      <c r="G1510" s="557"/>
      <c r="H1510" s="559"/>
      <c r="I1510" s="564">
        <v>743.0</v>
      </c>
      <c r="J1510" s="565">
        <v>1196.0</v>
      </c>
      <c r="K1510" s="542"/>
      <c r="L1510" s="542"/>
      <c r="M1510" s="542"/>
    </row>
    <row r="1511">
      <c r="A1511" s="570"/>
      <c r="B1511" s="559" t="s">
        <v>1622</v>
      </c>
      <c r="C1511" s="568">
        <v>64.0</v>
      </c>
      <c r="D1511" s="557">
        <v>1.0222</v>
      </c>
      <c r="E1511" s="569">
        <v>3.23</v>
      </c>
      <c r="F1511" s="563">
        <v>1186.0</v>
      </c>
      <c r="G1511" s="557"/>
      <c r="H1511" s="559"/>
      <c r="I1511" s="564">
        <v>737.0</v>
      </c>
      <c r="J1511" s="565">
        <v>1186.0</v>
      </c>
      <c r="K1511" s="542"/>
      <c r="L1511" s="542"/>
      <c r="M1511" s="542"/>
    </row>
    <row r="1512">
      <c r="A1512" s="570"/>
      <c r="B1512" s="559" t="s">
        <v>1885</v>
      </c>
      <c r="C1512" s="568">
        <v>75.0</v>
      </c>
      <c r="D1512" s="557">
        <v>0.9992</v>
      </c>
      <c r="E1512" s="569">
        <v>2.73</v>
      </c>
      <c r="F1512" s="563">
        <v>1167.0</v>
      </c>
      <c r="G1512" s="557"/>
      <c r="H1512" s="559"/>
      <c r="I1512" s="564">
        <v>725.0</v>
      </c>
      <c r="J1512" s="565">
        <v>1167.0</v>
      </c>
      <c r="K1512" s="542"/>
      <c r="L1512" s="542"/>
      <c r="M1512" s="542"/>
    </row>
    <row r="1513">
      <c r="A1513" s="570"/>
      <c r="B1513" s="559" t="s">
        <v>339</v>
      </c>
      <c r="C1513" s="568">
        <v>7.0</v>
      </c>
      <c r="D1513" s="557">
        <v>1.0127</v>
      </c>
      <c r="E1513" s="569">
        <v>3.55</v>
      </c>
      <c r="F1513" s="563">
        <v>1136.0</v>
      </c>
      <c r="G1513" s="557"/>
      <c r="H1513" s="559"/>
      <c r="I1513" s="564">
        <v>706.0</v>
      </c>
      <c r="J1513" s="565">
        <v>1136.0</v>
      </c>
      <c r="K1513" s="542"/>
      <c r="L1513" s="542"/>
      <c r="M1513" s="542"/>
    </row>
    <row r="1514">
      <c r="A1514" s="570"/>
      <c r="B1514" s="559" t="s">
        <v>1454</v>
      </c>
      <c r="C1514" s="568">
        <v>20.0</v>
      </c>
      <c r="D1514" s="557">
        <v>0.9738</v>
      </c>
      <c r="E1514" s="569">
        <v>3.12</v>
      </c>
      <c r="F1514" s="563">
        <v>1068.0</v>
      </c>
      <c r="G1514" s="557"/>
      <c r="H1514" s="559"/>
      <c r="I1514" s="564">
        <v>664.0</v>
      </c>
      <c r="J1514" s="565">
        <v>1068.0</v>
      </c>
      <c r="K1514" s="542"/>
      <c r="L1514" s="542"/>
      <c r="M1514" s="542"/>
    </row>
    <row r="1515">
      <c r="A1515" s="570"/>
      <c r="B1515" s="559" t="s">
        <v>1682</v>
      </c>
      <c r="C1515" s="568">
        <v>90.0</v>
      </c>
      <c r="D1515" s="557">
        <v>0.9869</v>
      </c>
      <c r="E1515" s="569">
        <v>2.96</v>
      </c>
      <c r="F1515" s="563">
        <v>1000.0</v>
      </c>
      <c r="G1515" s="557"/>
      <c r="H1515" s="559"/>
      <c r="I1515" s="564">
        <v>621.0</v>
      </c>
      <c r="J1515" s="565">
        <v>1000.0</v>
      </c>
      <c r="K1515" s="542"/>
      <c r="L1515" s="542"/>
      <c r="M1515" s="542"/>
    </row>
    <row r="1516">
      <c r="A1516" s="570"/>
      <c r="B1516" s="559" t="s">
        <v>477</v>
      </c>
      <c r="C1516" s="568">
        <v>17.0</v>
      </c>
      <c r="D1516" s="557">
        <v>1.0</v>
      </c>
      <c r="E1516" s="569">
        <v>3.52</v>
      </c>
      <c r="F1516" s="563">
        <v>980.0</v>
      </c>
      <c r="G1516" s="557"/>
      <c r="H1516" s="559"/>
      <c r="I1516" s="564">
        <v>609.0</v>
      </c>
      <c r="J1516" s="565">
        <v>980.0</v>
      </c>
      <c r="K1516" s="542"/>
      <c r="L1516" s="542"/>
      <c r="M1516" s="542"/>
    </row>
    <row r="1517">
      <c r="A1517" s="570"/>
      <c r="B1517" s="559" t="s">
        <v>457</v>
      </c>
      <c r="C1517" s="568">
        <v>11.0</v>
      </c>
      <c r="D1517" s="557">
        <v>1.0</v>
      </c>
      <c r="E1517" s="569">
        <v>3.2</v>
      </c>
      <c r="F1517" s="563">
        <v>950.0</v>
      </c>
      <c r="G1517" s="557"/>
      <c r="H1517" s="559"/>
      <c r="I1517" s="564">
        <v>590.0</v>
      </c>
      <c r="J1517" s="565">
        <v>950.0</v>
      </c>
      <c r="K1517" s="542"/>
      <c r="L1517" s="542"/>
      <c r="M1517" s="542"/>
    </row>
    <row r="1518">
      <c r="A1518" s="570"/>
      <c r="B1518" s="557"/>
      <c r="C1518" s="557"/>
      <c r="D1518" s="557"/>
      <c r="E1518" s="557"/>
      <c r="F1518" s="563">
        <v>900.0</v>
      </c>
      <c r="G1518" s="557"/>
      <c r="H1518" s="557">
        <v>0.9982066378504205</v>
      </c>
      <c r="I1518" s="564">
        <v>559.0</v>
      </c>
      <c r="J1518" s="565">
        <v>900.0</v>
      </c>
      <c r="K1518" s="542"/>
      <c r="L1518" s="542"/>
      <c r="M1518" s="542"/>
    </row>
    <row r="1519">
      <c r="A1519" s="570"/>
      <c r="B1519" s="559" t="s">
        <v>1454</v>
      </c>
      <c r="C1519" s="568">
        <v>17.0</v>
      </c>
      <c r="D1519" s="557">
        <v>0.9738</v>
      </c>
      <c r="E1519" s="569">
        <v>2.6</v>
      </c>
      <c r="F1519" s="563">
        <v>896.0</v>
      </c>
      <c r="G1519" s="557"/>
      <c r="H1519" s="559"/>
      <c r="I1519" s="564">
        <v>557.0</v>
      </c>
      <c r="J1519" s="565">
        <v>896.0</v>
      </c>
      <c r="K1519" s="542"/>
      <c r="L1519" s="542"/>
      <c r="M1519" s="542"/>
    </row>
    <row r="1520">
      <c r="A1520" s="570"/>
      <c r="B1520" s="559" t="s">
        <v>1775</v>
      </c>
      <c r="C1520" s="568">
        <v>67.0</v>
      </c>
      <c r="D1520" s="557">
        <v>0.988</v>
      </c>
      <c r="E1520" s="569">
        <v>2.32</v>
      </c>
      <c r="F1520" s="563">
        <v>800.0</v>
      </c>
      <c r="G1520" s="557"/>
      <c r="H1520" s="559"/>
      <c r="I1520" s="564">
        <v>497.0</v>
      </c>
      <c r="J1520" s="565">
        <v>800.0</v>
      </c>
      <c r="K1520" s="542"/>
      <c r="L1520" s="542"/>
      <c r="M1520" s="542"/>
    </row>
    <row r="1521">
      <c r="A1521" s="570"/>
      <c r="B1521" s="559" t="s">
        <v>1741</v>
      </c>
      <c r="C1521" s="568">
        <v>3.0</v>
      </c>
      <c r="D1521" s="557">
        <v>0.9561</v>
      </c>
      <c r="E1521" s="569">
        <v>2.01</v>
      </c>
      <c r="F1521" s="563">
        <v>744.0</v>
      </c>
      <c r="G1521" s="557"/>
      <c r="H1521" s="559"/>
      <c r="I1521" s="564">
        <v>462.0</v>
      </c>
      <c r="J1521" s="565">
        <v>744.0</v>
      </c>
      <c r="K1521" s="542"/>
      <c r="L1521" s="542"/>
      <c r="M1521" s="542"/>
    </row>
    <row r="1522">
      <c r="A1522" s="570"/>
      <c r="B1522" s="559" t="s">
        <v>1884</v>
      </c>
      <c r="C1522" s="568">
        <v>12.0</v>
      </c>
      <c r="D1522" s="557">
        <v>0.9785</v>
      </c>
      <c r="E1522" s="569">
        <v>2.01</v>
      </c>
      <c r="F1522" s="563">
        <v>736.0</v>
      </c>
      <c r="G1522" s="557"/>
      <c r="H1522" s="559"/>
      <c r="I1522" s="564">
        <v>457.0</v>
      </c>
      <c r="J1522" s="565">
        <v>736.0</v>
      </c>
      <c r="K1522" s="542"/>
      <c r="L1522" s="542"/>
      <c r="M1522" s="542"/>
    </row>
    <row r="1523">
      <c r="A1523" s="570"/>
      <c r="B1523" s="559" t="s">
        <v>1755</v>
      </c>
      <c r="C1523" s="568">
        <v>10.0</v>
      </c>
      <c r="D1523" s="557">
        <v>1.0126</v>
      </c>
      <c r="E1523" s="569">
        <v>1.82</v>
      </c>
      <c r="F1523" s="563">
        <v>675.0</v>
      </c>
      <c r="G1523" s="557"/>
      <c r="H1523" s="559"/>
      <c r="I1523" s="564">
        <v>419.0</v>
      </c>
      <c r="J1523" s="565">
        <v>675.0</v>
      </c>
      <c r="K1523" s="542"/>
      <c r="L1523" s="542"/>
      <c r="M1523" s="542"/>
    </row>
    <row r="1524">
      <c r="A1524" s="570"/>
      <c r="B1524" s="559" t="s">
        <v>640</v>
      </c>
      <c r="C1524" s="568">
        <v>143.0</v>
      </c>
      <c r="D1524" s="557">
        <v>0.9974</v>
      </c>
      <c r="E1524" s="569">
        <v>2.04</v>
      </c>
      <c r="F1524" s="563">
        <v>649.0</v>
      </c>
      <c r="G1524" s="557"/>
      <c r="H1524" s="559"/>
      <c r="I1524" s="564">
        <v>403.0</v>
      </c>
      <c r="J1524" s="565">
        <v>649.0</v>
      </c>
      <c r="K1524" s="542"/>
      <c r="L1524" s="542"/>
      <c r="M1524" s="542"/>
    </row>
    <row r="1525">
      <c r="A1525" s="570"/>
      <c r="B1525" s="559" t="s">
        <v>187</v>
      </c>
      <c r="C1525" s="568">
        <v>8.0</v>
      </c>
      <c r="D1525" s="557">
        <v>0.989</v>
      </c>
      <c r="E1525" s="569">
        <v>1.65</v>
      </c>
      <c r="F1525" s="563">
        <v>644.0</v>
      </c>
      <c r="G1525" s="557">
        <v>-1.0</v>
      </c>
      <c r="H1525" s="559"/>
      <c r="I1525" s="564">
        <v>400.0</v>
      </c>
      <c r="J1525" s="565">
        <v>644.0</v>
      </c>
      <c r="K1525" s="542"/>
      <c r="L1525" s="542"/>
      <c r="M1525" s="542"/>
    </row>
    <row r="1526">
      <c r="A1526" s="570"/>
      <c r="B1526" s="559" t="s">
        <v>1885</v>
      </c>
      <c r="C1526" s="568">
        <v>68.0</v>
      </c>
      <c r="D1526" s="557">
        <v>1.0037</v>
      </c>
      <c r="E1526" s="569">
        <v>1.46</v>
      </c>
      <c r="F1526" s="563">
        <v>605.0</v>
      </c>
      <c r="G1526" s="557"/>
      <c r="H1526" s="559"/>
      <c r="I1526" s="564">
        <v>376.0</v>
      </c>
      <c r="J1526" s="565">
        <v>605.0</v>
      </c>
      <c r="K1526" s="542"/>
      <c r="L1526" s="542"/>
      <c r="M1526" s="542"/>
    </row>
    <row r="1527">
      <c r="A1527" s="570"/>
      <c r="B1527" s="557"/>
      <c r="C1527" s="557"/>
      <c r="D1527" s="557"/>
      <c r="E1527" s="557"/>
      <c r="F1527" s="563">
        <v>600.0</v>
      </c>
      <c r="G1527" s="557"/>
      <c r="H1527" s="557">
        <v>0.9987966482294226</v>
      </c>
      <c r="I1527" s="564">
        <v>373.0</v>
      </c>
      <c r="J1527" s="565">
        <v>600.0</v>
      </c>
      <c r="K1527" s="542"/>
      <c r="L1527" s="542"/>
      <c r="M1527" s="542"/>
    </row>
    <row r="1528">
      <c r="A1528" s="570"/>
      <c r="B1528" s="559" t="s">
        <v>248</v>
      </c>
      <c r="C1528" s="568">
        <v>47.0</v>
      </c>
      <c r="D1528" s="557">
        <v>0.9832</v>
      </c>
      <c r="E1528" s="569">
        <v>2.25</v>
      </c>
      <c r="F1528" s="563">
        <v>572.0</v>
      </c>
      <c r="G1528" s="557">
        <v>-1.0</v>
      </c>
      <c r="H1528" s="559"/>
      <c r="I1528" s="564">
        <v>355.0</v>
      </c>
      <c r="J1528" s="565">
        <v>572.0</v>
      </c>
      <c r="K1528" s="542"/>
      <c r="L1528" s="542"/>
      <c r="M1528" s="542"/>
    </row>
    <row r="1529">
      <c r="A1529" s="570"/>
      <c r="B1529" s="559" t="s">
        <v>781</v>
      </c>
      <c r="C1529" s="568">
        <v>9.0</v>
      </c>
      <c r="D1529" s="557">
        <v>0.9491</v>
      </c>
      <c r="E1529" s="569">
        <v>1.7</v>
      </c>
      <c r="F1529" s="563">
        <v>550.0</v>
      </c>
      <c r="G1529" s="557"/>
      <c r="H1529" s="559"/>
      <c r="I1529" s="564">
        <v>342.0</v>
      </c>
      <c r="J1529" s="565">
        <v>550.0</v>
      </c>
      <c r="K1529" s="542"/>
      <c r="L1529" s="542"/>
      <c r="M1529" s="542"/>
    </row>
    <row r="1530">
      <c r="A1530" s="570"/>
      <c r="B1530" s="559" t="s">
        <v>1703</v>
      </c>
      <c r="C1530" s="568">
        <v>4.0</v>
      </c>
      <c r="D1530" s="557">
        <v>0.996</v>
      </c>
      <c r="E1530" s="569">
        <v>1.62</v>
      </c>
      <c r="F1530" s="563">
        <v>513.0</v>
      </c>
      <c r="G1530" s="557"/>
      <c r="H1530" s="559"/>
      <c r="I1530" s="564">
        <v>319.0</v>
      </c>
      <c r="J1530" s="565">
        <v>513.0</v>
      </c>
      <c r="K1530" s="542"/>
      <c r="L1530" s="542"/>
      <c r="M1530" s="542"/>
    </row>
    <row r="1531">
      <c r="A1531" s="570"/>
      <c r="B1531" s="559" t="s">
        <v>1836</v>
      </c>
      <c r="C1531" s="568">
        <v>58.0</v>
      </c>
      <c r="D1531" s="557">
        <v>1.0032</v>
      </c>
      <c r="E1531" s="569">
        <v>1.18</v>
      </c>
      <c r="F1531" s="563">
        <v>370.0</v>
      </c>
      <c r="G1531" s="557"/>
      <c r="H1531" s="559"/>
      <c r="I1531" s="564">
        <v>230.0</v>
      </c>
      <c r="J1531" s="565">
        <v>370.0</v>
      </c>
      <c r="K1531" s="542"/>
      <c r="L1531" s="542"/>
      <c r="M1531" s="542"/>
    </row>
    <row r="1532">
      <c r="A1532" s="570"/>
      <c r="B1532" s="559" t="s">
        <v>1884</v>
      </c>
      <c r="C1532" s="568">
        <v>5.0</v>
      </c>
      <c r="D1532" s="557">
        <v>0.9785</v>
      </c>
      <c r="E1532" s="569">
        <v>0.95</v>
      </c>
      <c r="F1532" s="563">
        <v>350.0</v>
      </c>
      <c r="G1532" s="557"/>
      <c r="H1532" s="559"/>
      <c r="I1532" s="564">
        <v>217.0</v>
      </c>
      <c r="J1532" s="565">
        <v>350.0</v>
      </c>
      <c r="K1532" s="542"/>
      <c r="L1532" s="542"/>
      <c r="M1532" s="542"/>
    </row>
    <row r="1533">
      <c r="A1533" s="570"/>
      <c r="B1533" s="559" t="s">
        <v>717</v>
      </c>
      <c r="C1533" s="568">
        <v>9.0</v>
      </c>
      <c r="D1533" s="557">
        <v>1.0027</v>
      </c>
      <c r="E1533" s="569">
        <v>0.92</v>
      </c>
      <c r="F1533" s="563">
        <v>317.0</v>
      </c>
      <c r="G1533" s="557"/>
      <c r="H1533" s="559"/>
      <c r="I1533" s="564">
        <v>197.0</v>
      </c>
      <c r="J1533" s="565">
        <v>317.0</v>
      </c>
      <c r="K1533" s="542"/>
      <c r="L1533" s="542"/>
      <c r="M1533" s="542"/>
    </row>
    <row r="1534">
      <c r="A1534" s="570"/>
      <c r="B1534" s="557"/>
      <c r="C1534" s="557"/>
      <c r="D1534" s="557"/>
      <c r="E1534" s="557"/>
      <c r="F1534" s="563">
        <v>300.0</v>
      </c>
      <c r="G1534" s="557"/>
      <c r="H1534" s="557">
        <v>0.9993943988425253</v>
      </c>
      <c r="I1534" s="564">
        <v>186.0</v>
      </c>
      <c r="J1534" s="565">
        <v>300.0</v>
      </c>
      <c r="K1534" s="542"/>
      <c r="L1534" s="542"/>
      <c r="M1534" s="542"/>
    </row>
    <row r="1535">
      <c r="A1535" s="570"/>
      <c r="B1535" s="559" t="s">
        <v>1166</v>
      </c>
      <c r="C1535" s="568">
        <v>2.0</v>
      </c>
      <c r="D1535" s="557">
        <v>0.9405</v>
      </c>
      <c r="E1535" s="569">
        <v>0.84</v>
      </c>
      <c r="F1535" s="563">
        <v>300.0</v>
      </c>
      <c r="G1535" s="557"/>
      <c r="H1535" s="559"/>
      <c r="I1535" s="564">
        <v>186.0</v>
      </c>
      <c r="J1535" s="565">
        <v>300.0</v>
      </c>
      <c r="K1535" s="542"/>
      <c r="L1535" s="542"/>
      <c r="M1535" s="542"/>
    </row>
    <row r="1536">
      <c r="A1536" s="570"/>
      <c r="B1536" s="559" t="s">
        <v>1858</v>
      </c>
      <c r="C1536" s="568">
        <v>2.0</v>
      </c>
      <c r="D1536" s="557">
        <v>1.0261</v>
      </c>
      <c r="E1536" s="569">
        <v>0.79</v>
      </c>
      <c r="F1536" s="563">
        <v>300.0</v>
      </c>
      <c r="G1536" s="557"/>
      <c r="H1536" s="559"/>
      <c r="I1536" s="564">
        <v>186.0</v>
      </c>
      <c r="J1536" s="565">
        <v>300.0</v>
      </c>
      <c r="K1536" s="542"/>
      <c r="L1536" s="542"/>
      <c r="M1536" s="542"/>
    </row>
    <row r="1537">
      <c r="A1537" s="570"/>
      <c r="B1537" s="559" t="s">
        <v>1043</v>
      </c>
      <c r="C1537" s="568">
        <v>2.0</v>
      </c>
      <c r="D1537" s="557">
        <v>0.9205</v>
      </c>
      <c r="E1537" s="569">
        <v>0.41</v>
      </c>
      <c r="F1537" s="563">
        <v>130.0</v>
      </c>
      <c r="G1537" s="557"/>
      <c r="H1537" s="559"/>
      <c r="I1537" s="564">
        <v>81.0</v>
      </c>
      <c r="J1537" s="565">
        <v>130.0</v>
      </c>
      <c r="K1537" s="542"/>
      <c r="L1537" s="542"/>
      <c r="M1537" s="542"/>
    </row>
    <row r="1538">
      <c r="A1538" s="570"/>
      <c r="B1538" s="559" t="s">
        <v>1820</v>
      </c>
      <c r="C1538" s="568">
        <v>25.0</v>
      </c>
      <c r="D1538" s="557">
        <v>0.9877</v>
      </c>
      <c r="E1538" s="569">
        <v>0.28</v>
      </c>
      <c r="F1538" s="563">
        <v>100.0</v>
      </c>
      <c r="G1538" s="557"/>
      <c r="H1538" s="559"/>
      <c r="I1538" s="564">
        <v>62.0</v>
      </c>
      <c r="J1538" s="565">
        <v>100.0</v>
      </c>
      <c r="K1538" s="542"/>
      <c r="L1538" s="542"/>
      <c r="M1538" s="542"/>
    </row>
    <row r="1539">
      <c r="A1539" s="570"/>
      <c r="B1539" s="559" t="s">
        <v>92</v>
      </c>
      <c r="C1539" s="568">
        <v>2.0</v>
      </c>
      <c r="D1539" s="557">
        <v>1.0022</v>
      </c>
      <c r="E1539" s="569">
        <v>0.25</v>
      </c>
      <c r="F1539" s="563">
        <v>100.0</v>
      </c>
      <c r="G1539" s="557">
        <v>-1.0</v>
      </c>
      <c r="H1539" s="559"/>
      <c r="I1539" s="564">
        <v>62.0</v>
      </c>
      <c r="J1539" s="565">
        <v>100.0</v>
      </c>
      <c r="K1539" s="542"/>
      <c r="L1539" s="542"/>
      <c r="M1539" s="542"/>
    </row>
    <row r="1540">
      <c r="A1540" s="570"/>
      <c r="B1540" s="559" t="s">
        <v>116</v>
      </c>
      <c r="C1540" s="568">
        <v>2.0</v>
      </c>
      <c r="D1540" s="557">
        <v>1.0002</v>
      </c>
      <c r="E1540" s="569">
        <v>0.24</v>
      </c>
      <c r="F1540" s="563">
        <v>80.0</v>
      </c>
      <c r="G1540" s="557">
        <v>-1.0</v>
      </c>
      <c r="H1540" s="559"/>
      <c r="I1540" s="564">
        <v>50.0</v>
      </c>
      <c r="J1540" s="565">
        <v>80.0</v>
      </c>
      <c r="K1540" s="542"/>
      <c r="L1540" s="542"/>
      <c r="M1540" s="542"/>
    </row>
    <row r="1541">
      <c r="A1541" s="570"/>
      <c r="B1541" s="559" t="s">
        <v>143</v>
      </c>
      <c r="C1541" s="568">
        <v>2.0</v>
      </c>
      <c r="D1541" s="557">
        <v>1.0202</v>
      </c>
      <c r="E1541" s="569">
        <v>0.2</v>
      </c>
      <c r="F1541" s="563">
        <v>80.0</v>
      </c>
      <c r="G1541" s="557">
        <v>-1.0</v>
      </c>
      <c r="H1541" s="559"/>
      <c r="I1541" s="564">
        <v>50.0</v>
      </c>
      <c r="J1541" s="565">
        <v>80.0</v>
      </c>
      <c r="K1541" s="542"/>
      <c r="L1541" s="542"/>
      <c r="M1541" s="542"/>
    </row>
    <row r="1542">
      <c r="A1542" s="570"/>
      <c r="B1542" s="559" t="s">
        <v>1633</v>
      </c>
      <c r="C1542" s="568">
        <v>2.0</v>
      </c>
      <c r="D1542" s="557">
        <v>0.9891</v>
      </c>
      <c r="E1542" s="569">
        <v>0.03</v>
      </c>
      <c r="F1542" s="563">
        <v>12.0</v>
      </c>
      <c r="G1542" s="557"/>
      <c r="H1542" s="559"/>
      <c r="I1542" s="564">
        <v>7.0</v>
      </c>
      <c r="J1542" s="565">
        <v>12.0</v>
      </c>
      <c r="K1542" s="542"/>
      <c r="L1542" s="542"/>
      <c r="M1542" s="542"/>
    </row>
    <row r="1543">
      <c r="A1543" s="570"/>
      <c r="B1543" s="557"/>
      <c r="C1543" s="557"/>
      <c r="D1543" s="557"/>
      <c r="E1543" s="557"/>
      <c r="F1543" s="563">
        <v>0.0</v>
      </c>
      <c r="G1543" s="557"/>
      <c r="H1543" s="557">
        <v>1.0</v>
      </c>
      <c r="I1543" s="564">
        <v>0.0</v>
      </c>
      <c r="J1543" s="565">
        <v>0.0</v>
      </c>
      <c r="K1543" s="542"/>
      <c r="L1543" s="542"/>
      <c r="M1543" s="542"/>
    </row>
    <row r="1544">
      <c r="A1544" s="570"/>
      <c r="B1544" s="559"/>
      <c r="C1544" s="568"/>
      <c r="D1544" s="557"/>
      <c r="E1544" s="569"/>
      <c r="F1544" s="563"/>
      <c r="G1544" s="557"/>
      <c r="H1544" s="559"/>
      <c r="I1544" s="564"/>
      <c r="J1544" s="565"/>
      <c r="K1544" s="542"/>
      <c r="L1544" s="542"/>
      <c r="M1544" s="542"/>
    </row>
    <row r="1545">
      <c r="A1545" s="570"/>
      <c r="B1545" s="559"/>
      <c r="C1545" s="568"/>
      <c r="D1545" s="557"/>
      <c r="E1545" s="569"/>
      <c r="F1545" s="563"/>
      <c r="G1545" s="557"/>
      <c r="H1545" s="559"/>
      <c r="I1545" s="564"/>
      <c r="J1545" s="565"/>
      <c r="K1545" s="542"/>
      <c r="L1545" s="542"/>
      <c r="M1545" s="542"/>
    </row>
    <row r="1546">
      <c r="A1546" s="570"/>
      <c r="B1546" s="559"/>
      <c r="C1546" s="568"/>
      <c r="D1546" s="557"/>
      <c r="E1546" s="569"/>
      <c r="F1546" s="563"/>
      <c r="G1546" s="557"/>
      <c r="H1546" s="559"/>
      <c r="I1546" s="564"/>
      <c r="J1546" s="565"/>
      <c r="K1546" s="542"/>
      <c r="L1546" s="542"/>
      <c r="M1546" s="542"/>
    </row>
    <row r="1547">
      <c r="A1547" s="570"/>
      <c r="B1547" s="559"/>
      <c r="C1547" s="568"/>
      <c r="D1547" s="557"/>
      <c r="E1547" s="569"/>
      <c r="F1547" s="563"/>
      <c r="G1547" s="557"/>
      <c r="H1547" s="559"/>
      <c r="I1547" s="564"/>
      <c r="J1547" s="565"/>
      <c r="K1547" s="542"/>
      <c r="L1547" s="542"/>
      <c r="M1547" s="542"/>
    </row>
    <row r="1548">
      <c r="A1548" s="570"/>
      <c r="B1548" s="559"/>
      <c r="C1548" s="568"/>
      <c r="D1548" s="557"/>
      <c r="E1548" s="569"/>
      <c r="F1548" s="563"/>
      <c r="G1548" s="557"/>
      <c r="H1548" s="559"/>
      <c r="I1548" s="564"/>
      <c r="J1548" s="565"/>
      <c r="K1548" s="542"/>
      <c r="L1548" s="542"/>
      <c r="M1548" s="542"/>
    </row>
    <row r="1549">
      <c r="A1549" s="570"/>
      <c r="B1549" s="559"/>
      <c r="C1549" s="568"/>
      <c r="D1549" s="557"/>
      <c r="E1549" s="569"/>
      <c r="F1549" s="563"/>
      <c r="G1549" s="557"/>
      <c r="H1549" s="559"/>
      <c r="I1549" s="564"/>
      <c r="J1549" s="565"/>
      <c r="K1549" s="542"/>
      <c r="L1549" s="542"/>
      <c r="M1549" s="542"/>
    </row>
    <row r="1550">
      <c r="A1550" s="570"/>
      <c r="B1550" s="559"/>
      <c r="C1550" s="568"/>
      <c r="D1550" s="557"/>
      <c r="E1550" s="569"/>
      <c r="F1550" s="563"/>
      <c r="G1550" s="557"/>
      <c r="H1550" s="559"/>
      <c r="I1550" s="564"/>
      <c r="J1550" s="565"/>
      <c r="K1550" s="542"/>
      <c r="L1550" s="542"/>
      <c r="M1550" s="542"/>
    </row>
    <row r="1551">
      <c r="A1551" s="570"/>
      <c r="B1551" s="559"/>
      <c r="C1551" s="568"/>
      <c r="D1551" s="557"/>
      <c r="E1551" s="569"/>
      <c r="F1551" s="563"/>
      <c r="G1551" s="557"/>
      <c r="H1551" s="559"/>
      <c r="I1551" s="564"/>
      <c r="J1551" s="565"/>
      <c r="K1551" s="542"/>
      <c r="L1551" s="542"/>
      <c r="M1551" s="542"/>
    </row>
    <row r="1552">
      <c r="A1552" s="570"/>
      <c r="B1552" s="559"/>
      <c r="C1552" s="568"/>
      <c r="D1552" s="557"/>
      <c r="E1552" s="569"/>
      <c r="F1552" s="563"/>
      <c r="G1552" s="557"/>
      <c r="H1552" s="559"/>
      <c r="I1552" s="564"/>
      <c r="J1552" s="565"/>
      <c r="K1552" s="542"/>
      <c r="L1552" s="542"/>
      <c r="M1552" s="542"/>
    </row>
    <row r="1553">
      <c r="A1553" s="570"/>
      <c r="B1553" s="559"/>
      <c r="C1553" s="568"/>
      <c r="D1553" s="557"/>
      <c r="E1553" s="569"/>
      <c r="F1553" s="563"/>
      <c r="G1553" s="557"/>
      <c r="H1553" s="559"/>
      <c r="I1553" s="564"/>
      <c r="J1553" s="565"/>
      <c r="K1553" s="542"/>
      <c r="L1553" s="542"/>
      <c r="M1553" s="542"/>
    </row>
    <row r="1554">
      <c r="A1554" s="570"/>
      <c r="B1554" s="559"/>
      <c r="C1554" s="568"/>
      <c r="D1554" s="557"/>
      <c r="E1554" s="569"/>
      <c r="F1554" s="563"/>
      <c r="G1554" s="557"/>
      <c r="H1554" s="559"/>
      <c r="I1554" s="564"/>
      <c r="J1554" s="565"/>
      <c r="K1554" s="542"/>
      <c r="L1554" s="542"/>
      <c r="M1554" s="542"/>
    </row>
    <row r="1555">
      <c r="A1555" s="570"/>
      <c r="B1555" s="559"/>
      <c r="C1555" s="568"/>
      <c r="D1555" s="557"/>
      <c r="E1555" s="569"/>
      <c r="F1555" s="563"/>
      <c r="G1555" s="557"/>
      <c r="H1555" s="559"/>
      <c r="I1555" s="564"/>
      <c r="J1555" s="565"/>
      <c r="K1555" s="542"/>
      <c r="L1555" s="542"/>
      <c r="M1555" s="542"/>
    </row>
    <row r="1556">
      <c r="A1556" s="570"/>
      <c r="B1556" s="559"/>
      <c r="C1556" s="568"/>
      <c r="D1556" s="557"/>
      <c r="E1556" s="569"/>
      <c r="F1556" s="563"/>
      <c r="G1556" s="557"/>
      <c r="H1556" s="559"/>
      <c r="I1556" s="564"/>
      <c r="J1556" s="565"/>
      <c r="K1556" s="542"/>
      <c r="L1556" s="542"/>
      <c r="M1556" s="542"/>
    </row>
    <row r="1557">
      <c r="A1557" s="570"/>
      <c r="B1557" s="559"/>
      <c r="C1557" s="568"/>
      <c r="D1557" s="557"/>
      <c r="E1557" s="569"/>
      <c r="F1557" s="563"/>
      <c r="G1557" s="557"/>
      <c r="H1557" s="559"/>
      <c r="I1557" s="564"/>
      <c r="J1557" s="565"/>
      <c r="K1557" s="542"/>
      <c r="L1557" s="542"/>
      <c r="M1557" s="542"/>
    </row>
    <row r="1558">
      <c r="A1558" s="570"/>
      <c r="B1558" s="559"/>
      <c r="C1558" s="568"/>
      <c r="D1558" s="557"/>
      <c r="E1558" s="569"/>
      <c r="F1558" s="563"/>
      <c r="G1558" s="557"/>
      <c r="H1558" s="559"/>
      <c r="I1558" s="564"/>
      <c r="J1558" s="565"/>
      <c r="K1558" s="542"/>
      <c r="L1558" s="542"/>
      <c r="M1558" s="542"/>
    </row>
    <row r="1559">
      <c r="A1559" s="570"/>
      <c r="B1559" s="559"/>
      <c r="C1559" s="568"/>
      <c r="D1559" s="557"/>
      <c r="E1559" s="569"/>
      <c r="F1559" s="563"/>
      <c r="G1559" s="557"/>
      <c r="H1559" s="559"/>
      <c r="I1559" s="564"/>
      <c r="J1559" s="565"/>
      <c r="K1559" s="542"/>
      <c r="L1559" s="542"/>
      <c r="M1559" s="542"/>
    </row>
    <row r="1560">
      <c r="A1560" s="570"/>
      <c r="B1560" s="559"/>
      <c r="C1560" s="568"/>
      <c r="D1560" s="557"/>
      <c r="E1560" s="569"/>
      <c r="F1560" s="563"/>
      <c r="G1560" s="557"/>
      <c r="H1560" s="559"/>
      <c r="I1560" s="564"/>
      <c r="J1560" s="565"/>
      <c r="K1560" s="542"/>
      <c r="L1560" s="542"/>
      <c r="M1560" s="542"/>
    </row>
    <row r="1561">
      <c r="A1561" s="570"/>
      <c r="B1561" s="559"/>
      <c r="C1561" s="568"/>
      <c r="D1561" s="557"/>
      <c r="E1561" s="569"/>
      <c r="F1561" s="563"/>
      <c r="G1561" s="557"/>
      <c r="H1561" s="559"/>
      <c r="I1561" s="564"/>
      <c r="J1561" s="565"/>
      <c r="K1561" s="542"/>
      <c r="L1561" s="542"/>
      <c r="M1561" s="542"/>
    </row>
    <row r="1562">
      <c r="A1562" s="570"/>
      <c r="B1562" s="559"/>
      <c r="C1562" s="568"/>
      <c r="D1562" s="557"/>
      <c r="E1562" s="569"/>
      <c r="F1562" s="563"/>
      <c r="G1562" s="557"/>
      <c r="H1562" s="559"/>
      <c r="I1562" s="564"/>
      <c r="J1562" s="565"/>
      <c r="K1562" s="542"/>
      <c r="L1562" s="542"/>
      <c r="M1562" s="542"/>
    </row>
    <row r="1563">
      <c r="A1563" s="570"/>
      <c r="B1563" s="559"/>
      <c r="C1563" s="568"/>
      <c r="D1563" s="557"/>
      <c r="E1563" s="569"/>
      <c r="F1563" s="563"/>
      <c r="G1563" s="557"/>
      <c r="H1563" s="559"/>
      <c r="I1563" s="564"/>
      <c r="J1563" s="565"/>
      <c r="K1563" s="542"/>
      <c r="L1563" s="542"/>
      <c r="M1563" s="542"/>
    </row>
    <row r="1564">
      <c r="A1564" s="570"/>
      <c r="B1564" s="559"/>
      <c r="C1564" s="568"/>
      <c r="D1564" s="557"/>
      <c r="E1564" s="569"/>
      <c r="F1564" s="563"/>
      <c r="G1564" s="557"/>
      <c r="H1564" s="559"/>
      <c r="I1564" s="564"/>
      <c r="J1564" s="565"/>
      <c r="K1564" s="542"/>
      <c r="L1564" s="542"/>
      <c r="M1564" s="542"/>
    </row>
    <row r="1565">
      <c r="A1565" s="570"/>
      <c r="B1565" s="559"/>
      <c r="C1565" s="568"/>
      <c r="D1565" s="557"/>
      <c r="E1565" s="569"/>
      <c r="F1565" s="563"/>
      <c r="G1565" s="557"/>
      <c r="H1565" s="559"/>
      <c r="I1565" s="564"/>
      <c r="J1565" s="565"/>
      <c r="K1565" s="542"/>
      <c r="L1565" s="542"/>
      <c r="M1565" s="542"/>
    </row>
    <row r="1566">
      <c r="A1566" s="570"/>
      <c r="B1566" s="559"/>
      <c r="C1566" s="568"/>
      <c r="D1566" s="557"/>
      <c r="E1566" s="569"/>
      <c r="F1566" s="563"/>
      <c r="G1566" s="557"/>
      <c r="H1566" s="559"/>
      <c r="I1566" s="564"/>
      <c r="J1566" s="565"/>
      <c r="K1566" s="542"/>
      <c r="L1566" s="542"/>
      <c r="M1566" s="542"/>
    </row>
    <row r="1567">
      <c r="A1567" s="570"/>
      <c r="B1567" s="559"/>
      <c r="C1567" s="568"/>
      <c r="D1567" s="557"/>
      <c r="E1567" s="569"/>
      <c r="F1567" s="563"/>
      <c r="G1567" s="557"/>
      <c r="H1567" s="559"/>
      <c r="I1567" s="564"/>
      <c r="J1567" s="565"/>
      <c r="K1567" s="542"/>
      <c r="L1567" s="542"/>
      <c r="M1567" s="542"/>
    </row>
    <row r="1568">
      <c r="A1568" s="570"/>
      <c r="B1568" s="559"/>
      <c r="C1568" s="568"/>
      <c r="D1568" s="557"/>
      <c r="E1568" s="569"/>
      <c r="F1568" s="563"/>
      <c r="G1568" s="557"/>
      <c r="H1568" s="559"/>
      <c r="I1568" s="564"/>
      <c r="J1568" s="565"/>
      <c r="K1568" s="542"/>
      <c r="L1568" s="542"/>
      <c r="M1568" s="542"/>
    </row>
    <row r="1569">
      <c r="A1569" s="570"/>
      <c r="B1569" s="559"/>
      <c r="C1569" s="568"/>
      <c r="D1569" s="557"/>
      <c r="E1569" s="569"/>
      <c r="F1569" s="563"/>
      <c r="G1569" s="557"/>
      <c r="H1569" s="559"/>
      <c r="I1569" s="564"/>
      <c r="J1569" s="565"/>
      <c r="K1569" s="542"/>
      <c r="L1569" s="542"/>
      <c r="M1569" s="542"/>
    </row>
    <row r="1570">
      <c r="A1570" s="570"/>
      <c r="B1570" s="559"/>
      <c r="C1570" s="568"/>
      <c r="D1570" s="557"/>
      <c r="E1570" s="569"/>
      <c r="F1570" s="563"/>
      <c r="G1570" s="557"/>
      <c r="H1570" s="559"/>
      <c r="I1570" s="564"/>
      <c r="J1570" s="565"/>
      <c r="K1570" s="542"/>
      <c r="L1570" s="542"/>
      <c r="M1570" s="542"/>
    </row>
    <row r="1571">
      <c r="A1571" s="570"/>
      <c r="B1571" s="559"/>
      <c r="C1571" s="568"/>
      <c r="D1571" s="557"/>
      <c r="E1571" s="569"/>
      <c r="F1571" s="563"/>
      <c r="G1571" s="557"/>
      <c r="H1571" s="559"/>
      <c r="I1571" s="564"/>
      <c r="J1571" s="565"/>
      <c r="K1571" s="542"/>
      <c r="L1571" s="542"/>
      <c r="M1571" s="542"/>
    </row>
    <row r="1572">
      <c r="A1572" s="570"/>
      <c r="B1572" s="559"/>
      <c r="C1572" s="568"/>
      <c r="D1572" s="557"/>
      <c r="E1572" s="569"/>
      <c r="F1572" s="563"/>
      <c r="G1572" s="557"/>
      <c r="H1572" s="559"/>
      <c r="I1572" s="564"/>
      <c r="J1572" s="565"/>
      <c r="K1572" s="542"/>
      <c r="L1572" s="542"/>
      <c r="M1572" s="542"/>
    </row>
    <row r="1573">
      <c r="A1573" s="570"/>
      <c r="B1573" s="559"/>
      <c r="C1573" s="568"/>
      <c r="D1573" s="557"/>
      <c r="E1573" s="569"/>
      <c r="F1573" s="563"/>
      <c r="G1573" s="557"/>
      <c r="H1573" s="559"/>
      <c r="I1573" s="564"/>
      <c r="J1573" s="565"/>
      <c r="K1573" s="542"/>
      <c r="L1573" s="542"/>
      <c r="M1573" s="542"/>
    </row>
    <row r="1574">
      <c r="A1574" s="570"/>
      <c r="B1574" s="559"/>
      <c r="C1574" s="568"/>
      <c r="D1574" s="557"/>
      <c r="E1574" s="569"/>
      <c r="F1574" s="563"/>
      <c r="G1574" s="557"/>
      <c r="H1574" s="559"/>
      <c r="I1574" s="564"/>
      <c r="J1574" s="565"/>
      <c r="K1574" s="542"/>
      <c r="L1574" s="542"/>
      <c r="M1574" s="542"/>
    </row>
    <row r="1575">
      <c r="A1575" s="570"/>
      <c r="B1575" s="559"/>
      <c r="C1575" s="568"/>
      <c r="D1575" s="557"/>
      <c r="E1575" s="569"/>
      <c r="F1575" s="563"/>
      <c r="G1575" s="557"/>
      <c r="H1575" s="559"/>
      <c r="I1575" s="564"/>
      <c r="J1575" s="565"/>
      <c r="K1575" s="542"/>
      <c r="L1575" s="542"/>
      <c r="M1575" s="542"/>
    </row>
    <row r="1576">
      <c r="A1576" s="570"/>
      <c r="B1576" s="559"/>
      <c r="C1576" s="568"/>
      <c r="D1576" s="557"/>
      <c r="E1576" s="569"/>
      <c r="F1576" s="563"/>
      <c r="G1576" s="557"/>
      <c r="H1576" s="559"/>
      <c r="I1576" s="564"/>
      <c r="J1576" s="565"/>
      <c r="K1576" s="542"/>
      <c r="L1576" s="542"/>
      <c r="M1576" s="542"/>
    </row>
    <row r="1577">
      <c r="A1577" s="570"/>
      <c r="B1577" s="559"/>
      <c r="C1577" s="568"/>
      <c r="D1577" s="557"/>
      <c r="E1577" s="569"/>
      <c r="F1577" s="563"/>
      <c r="G1577" s="557"/>
      <c r="H1577" s="559"/>
      <c r="I1577" s="564"/>
      <c r="J1577" s="565"/>
      <c r="K1577" s="542"/>
      <c r="L1577" s="542"/>
      <c r="M1577" s="542"/>
    </row>
    <row r="1578">
      <c r="A1578" s="570"/>
      <c r="B1578" s="559"/>
      <c r="C1578" s="568"/>
      <c r="D1578" s="557"/>
      <c r="E1578" s="569"/>
      <c r="F1578" s="563"/>
      <c r="G1578" s="557"/>
      <c r="H1578" s="559"/>
      <c r="I1578" s="564"/>
      <c r="J1578" s="565"/>
      <c r="K1578" s="542"/>
      <c r="L1578" s="542"/>
      <c r="M1578" s="542"/>
    </row>
    <row r="1579">
      <c r="A1579" s="570"/>
      <c r="B1579" s="559"/>
      <c r="C1579" s="568"/>
      <c r="D1579" s="557"/>
      <c r="E1579" s="569"/>
      <c r="F1579" s="563"/>
      <c r="G1579" s="557"/>
      <c r="H1579" s="559"/>
      <c r="I1579" s="564"/>
      <c r="J1579" s="565"/>
      <c r="K1579" s="542"/>
      <c r="L1579" s="542"/>
      <c r="M1579" s="542"/>
    </row>
    <row r="1580">
      <c r="A1580" s="570"/>
      <c r="B1580" s="559"/>
      <c r="C1580" s="568"/>
      <c r="D1580" s="557"/>
      <c r="E1580" s="569"/>
      <c r="F1580" s="563"/>
      <c r="G1580" s="557"/>
      <c r="H1580" s="559"/>
      <c r="I1580" s="564"/>
      <c r="J1580" s="565"/>
      <c r="K1580" s="542"/>
      <c r="L1580" s="542"/>
      <c r="M1580" s="542"/>
    </row>
    <row r="1581">
      <c r="A1581" s="570"/>
      <c r="B1581" s="559"/>
      <c r="C1581" s="568"/>
      <c r="D1581" s="557"/>
      <c r="E1581" s="569"/>
      <c r="F1581" s="563"/>
      <c r="G1581" s="557"/>
      <c r="H1581" s="559"/>
      <c r="I1581" s="564"/>
      <c r="J1581" s="565"/>
      <c r="K1581" s="542"/>
      <c r="L1581" s="542"/>
      <c r="M1581" s="542"/>
    </row>
    <row r="1582">
      <c r="A1582" s="570"/>
      <c r="B1582" s="559"/>
      <c r="C1582" s="568"/>
      <c r="D1582" s="557"/>
      <c r="E1582" s="569"/>
      <c r="F1582" s="563"/>
      <c r="G1582" s="557"/>
      <c r="H1582" s="559"/>
      <c r="I1582" s="564"/>
      <c r="J1582" s="565"/>
      <c r="K1582" s="542"/>
      <c r="L1582" s="542"/>
      <c r="M1582" s="542"/>
    </row>
    <row r="1583">
      <c r="A1583" s="570"/>
      <c r="B1583" s="559"/>
      <c r="C1583" s="568"/>
      <c r="D1583" s="557"/>
      <c r="E1583" s="569"/>
      <c r="F1583" s="563"/>
      <c r="G1583" s="557"/>
      <c r="H1583" s="559"/>
      <c r="I1583" s="564"/>
      <c r="J1583" s="565"/>
      <c r="K1583" s="542"/>
      <c r="L1583" s="542"/>
      <c r="M1583" s="542"/>
    </row>
    <row r="1584">
      <c r="A1584" s="570"/>
      <c r="B1584" s="559"/>
      <c r="C1584" s="568"/>
      <c r="D1584" s="557"/>
      <c r="E1584" s="569"/>
      <c r="F1584" s="563"/>
      <c r="G1584" s="557"/>
      <c r="H1584" s="559"/>
      <c r="I1584" s="564"/>
      <c r="J1584" s="565"/>
      <c r="K1584" s="542"/>
      <c r="L1584" s="542"/>
      <c r="M1584" s="542"/>
    </row>
    <row r="1585">
      <c r="A1585" s="570"/>
      <c r="B1585" s="559"/>
      <c r="C1585" s="568"/>
      <c r="D1585" s="557"/>
      <c r="E1585" s="569"/>
      <c r="F1585" s="563"/>
      <c r="G1585" s="557"/>
      <c r="H1585" s="559"/>
      <c r="I1585" s="564"/>
      <c r="J1585" s="565"/>
      <c r="K1585" s="542"/>
      <c r="L1585" s="542"/>
      <c r="M1585" s="542"/>
    </row>
    <row r="1586">
      <c r="A1586" s="570"/>
      <c r="B1586" s="559"/>
      <c r="C1586" s="568"/>
      <c r="D1586" s="557"/>
      <c r="E1586" s="569"/>
      <c r="F1586" s="563"/>
      <c r="G1586" s="557"/>
      <c r="H1586" s="559"/>
      <c r="I1586" s="564"/>
      <c r="J1586" s="565"/>
      <c r="K1586" s="542"/>
      <c r="L1586" s="542"/>
      <c r="M1586" s="542"/>
    </row>
    <row r="1587">
      <c r="A1587" s="570"/>
      <c r="B1587" s="559"/>
      <c r="C1587" s="568"/>
      <c r="D1587" s="557"/>
      <c r="E1587" s="569"/>
      <c r="F1587" s="563"/>
      <c r="G1587" s="557"/>
      <c r="H1587" s="559"/>
      <c r="I1587" s="564"/>
      <c r="J1587" s="565"/>
      <c r="K1587" s="542"/>
      <c r="L1587" s="542"/>
      <c r="M1587" s="542"/>
    </row>
    <row r="1588">
      <c r="A1588" s="570"/>
      <c r="B1588" s="559"/>
      <c r="C1588" s="568"/>
      <c r="D1588" s="557"/>
      <c r="E1588" s="569"/>
      <c r="F1588" s="563"/>
      <c r="G1588" s="557"/>
      <c r="H1588" s="559"/>
      <c r="I1588" s="564"/>
      <c r="J1588" s="565"/>
      <c r="K1588" s="542"/>
      <c r="L1588" s="542"/>
      <c r="M1588" s="542"/>
    </row>
    <row r="1589">
      <c r="A1589" s="570"/>
      <c r="B1589" s="559"/>
      <c r="C1589" s="568"/>
      <c r="D1589" s="557"/>
      <c r="E1589" s="569"/>
      <c r="F1589" s="563"/>
      <c r="G1589" s="557"/>
      <c r="H1589" s="559"/>
      <c r="I1589" s="564"/>
      <c r="J1589" s="565"/>
      <c r="K1589" s="542"/>
      <c r="L1589" s="542"/>
      <c r="M1589" s="542"/>
    </row>
    <row r="1590">
      <c r="A1590" s="570"/>
      <c r="B1590" s="559"/>
      <c r="C1590" s="568"/>
      <c r="D1590" s="557"/>
      <c r="E1590" s="569"/>
      <c r="F1590" s="563"/>
      <c r="G1590" s="557"/>
      <c r="H1590" s="559"/>
      <c r="I1590" s="564"/>
      <c r="J1590" s="565"/>
      <c r="K1590" s="542"/>
      <c r="L1590" s="542"/>
      <c r="M1590" s="542"/>
    </row>
    <row r="1591">
      <c r="A1591" s="570"/>
      <c r="B1591" s="559"/>
      <c r="C1591" s="568"/>
      <c r="D1591" s="557"/>
      <c r="E1591" s="569"/>
      <c r="F1591" s="563"/>
      <c r="G1591" s="557"/>
      <c r="H1591" s="559"/>
      <c r="I1591" s="564"/>
      <c r="J1591" s="565"/>
      <c r="K1591" s="542"/>
      <c r="L1591" s="542"/>
      <c r="M1591" s="542"/>
    </row>
    <row r="1592">
      <c r="A1592" s="570"/>
      <c r="B1592" s="559"/>
      <c r="C1592" s="568"/>
      <c r="D1592" s="557"/>
      <c r="E1592" s="569"/>
      <c r="F1592" s="563"/>
      <c r="G1592" s="557"/>
      <c r="H1592" s="559"/>
      <c r="I1592" s="564"/>
      <c r="J1592" s="565"/>
      <c r="K1592" s="542"/>
      <c r="L1592" s="542"/>
      <c r="M1592" s="542"/>
    </row>
    <row r="1593">
      <c r="A1593" s="570"/>
      <c r="B1593" s="559"/>
      <c r="C1593" s="568"/>
      <c r="D1593" s="557"/>
      <c r="E1593" s="569"/>
      <c r="F1593" s="563"/>
      <c r="G1593" s="557"/>
      <c r="H1593" s="559"/>
      <c r="I1593" s="564"/>
      <c r="J1593" s="565"/>
      <c r="K1593" s="542"/>
      <c r="L1593" s="542"/>
      <c r="M1593" s="542"/>
    </row>
    <row r="1594">
      <c r="A1594" s="570"/>
      <c r="B1594" s="559"/>
      <c r="C1594" s="568"/>
      <c r="D1594" s="557"/>
      <c r="E1594" s="569"/>
      <c r="F1594" s="563"/>
      <c r="G1594" s="557"/>
      <c r="H1594" s="559"/>
      <c r="I1594" s="564"/>
      <c r="J1594" s="565"/>
      <c r="K1594" s="542"/>
      <c r="L1594" s="542"/>
      <c r="M1594" s="542"/>
    </row>
    <row r="1595">
      <c r="A1595" s="570"/>
      <c r="B1595" s="559"/>
      <c r="C1595" s="568"/>
      <c r="D1595" s="557"/>
      <c r="E1595" s="569"/>
      <c r="F1595" s="563"/>
      <c r="G1595" s="557"/>
      <c r="H1595" s="559"/>
      <c r="I1595" s="564"/>
      <c r="J1595" s="565"/>
      <c r="K1595" s="542"/>
      <c r="L1595" s="542"/>
      <c r="M1595" s="542"/>
    </row>
    <row r="1596">
      <c r="A1596" s="570"/>
      <c r="B1596" s="559"/>
      <c r="C1596" s="568"/>
      <c r="D1596" s="557"/>
      <c r="E1596" s="569"/>
      <c r="F1596" s="563"/>
      <c r="G1596" s="557"/>
      <c r="H1596" s="559"/>
      <c r="I1596" s="564"/>
      <c r="J1596" s="565"/>
      <c r="K1596" s="542"/>
      <c r="L1596" s="542"/>
      <c r="M1596" s="542"/>
    </row>
    <row r="1597">
      <c r="A1597" s="570"/>
      <c r="B1597" s="559"/>
      <c r="C1597" s="568"/>
      <c r="D1597" s="557"/>
      <c r="E1597" s="569"/>
      <c r="F1597" s="563"/>
      <c r="G1597" s="557"/>
      <c r="H1597" s="559"/>
      <c r="I1597" s="564"/>
      <c r="J1597" s="565"/>
      <c r="K1597" s="542"/>
      <c r="L1597" s="542"/>
      <c r="M1597" s="542"/>
    </row>
    <row r="1598">
      <c r="A1598" s="570"/>
      <c r="B1598" s="559"/>
      <c r="C1598" s="568"/>
      <c r="D1598" s="557"/>
      <c r="E1598" s="569"/>
      <c r="F1598" s="563"/>
      <c r="G1598" s="557"/>
      <c r="H1598" s="559"/>
      <c r="I1598" s="564"/>
      <c r="J1598" s="565"/>
      <c r="K1598" s="542"/>
      <c r="L1598" s="542"/>
      <c r="M1598" s="542"/>
    </row>
    <row r="1599">
      <c r="A1599" s="570"/>
      <c r="B1599" s="559"/>
      <c r="C1599" s="568"/>
      <c r="D1599" s="557"/>
      <c r="E1599" s="569"/>
      <c r="F1599" s="563"/>
      <c r="G1599" s="557"/>
      <c r="H1599" s="559"/>
      <c r="I1599" s="564"/>
      <c r="J1599" s="565"/>
      <c r="K1599" s="542"/>
      <c r="L1599" s="542"/>
      <c r="M1599" s="542"/>
    </row>
    <row r="1600">
      <c r="A1600" s="570"/>
      <c r="B1600" s="559"/>
      <c r="C1600" s="568"/>
      <c r="D1600" s="557"/>
      <c r="E1600" s="569"/>
      <c r="F1600" s="563"/>
      <c r="G1600" s="557"/>
      <c r="H1600" s="559"/>
      <c r="I1600" s="564"/>
      <c r="J1600" s="565"/>
      <c r="K1600" s="542"/>
      <c r="L1600" s="542"/>
      <c r="M1600" s="542"/>
    </row>
    <row r="1601">
      <c r="A1601" s="570"/>
      <c r="B1601" s="559"/>
      <c r="C1601" s="568"/>
      <c r="D1601" s="557"/>
      <c r="E1601" s="569"/>
      <c r="F1601" s="563"/>
      <c r="G1601" s="557"/>
      <c r="H1601" s="559"/>
      <c r="I1601" s="564"/>
      <c r="J1601" s="565"/>
      <c r="K1601" s="542"/>
      <c r="L1601" s="542"/>
      <c r="M1601" s="542"/>
    </row>
    <row r="1602">
      <c r="A1602" s="570"/>
      <c r="B1602" s="559"/>
      <c r="C1602" s="568"/>
      <c r="D1602" s="557"/>
      <c r="E1602" s="569"/>
      <c r="F1602" s="563"/>
      <c r="G1602" s="557"/>
      <c r="H1602" s="559"/>
      <c r="I1602" s="564"/>
      <c r="J1602" s="565"/>
      <c r="K1602" s="542"/>
      <c r="L1602" s="542"/>
      <c r="M1602" s="542"/>
    </row>
    <row r="1603">
      <c r="A1603" s="570"/>
      <c r="B1603" s="559"/>
      <c r="C1603" s="568"/>
      <c r="D1603" s="557"/>
      <c r="E1603" s="569"/>
      <c r="F1603" s="563"/>
      <c r="G1603" s="557"/>
      <c r="H1603" s="559"/>
      <c r="I1603" s="564"/>
      <c r="J1603" s="565"/>
      <c r="K1603" s="542"/>
      <c r="L1603" s="542"/>
      <c r="M1603" s="542"/>
    </row>
    <row r="1604">
      <c r="A1604" s="570"/>
      <c r="B1604" s="559"/>
      <c r="C1604" s="568"/>
      <c r="D1604" s="557"/>
      <c r="E1604" s="569"/>
      <c r="F1604" s="563"/>
      <c r="G1604" s="557"/>
      <c r="H1604" s="559"/>
      <c r="I1604" s="564"/>
      <c r="J1604" s="565"/>
      <c r="K1604" s="542"/>
      <c r="L1604" s="542"/>
      <c r="M1604" s="542"/>
    </row>
    <row r="1605">
      <c r="A1605" s="570"/>
      <c r="B1605" s="559"/>
      <c r="C1605" s="568"/>
      <c r="D1605" s="557"/>
      <c r="E1605" s="569"/>
      <c r="F1605" s="563"/>
      <c r="G1605" s="557"/>
      <c r="H1605" s="559"/>
      <c r="I1605" s="564"/>
      <c r="J1605" s="565"/>
      <c r="K1605" s="542"/>
      <c r="L1605" s="542"/>
      <c r="M1605" s="542"/>
    </row>
    <row r="1606">
      <c r="A1606" s="570"/>
      <c r="B1606" s="559"/>
      <c r="C1606" s="568"/>
      <c r="D1606" s="557"/>
      <c r="E1606" s="569"/>
      <c r="F1606" s="563"/>
      <c r="G1606" s="557"/>
      <c r="H1606" s="559"/>
      <c r="I1606" s="564"/>
      <c r="J1606" s="565"/>
      <c r="K1606" s="542"/>
      <c r="L1606" s="542"/>
      <c r="M1606" s="542"/>
    </row>
    <row r="1607">
      <c r="A1607" s="570"/>
      <c r="B1607" s="559"/>
      <c r="C1607" s="568"/>
      <c r="D1607" s="557"/>
      <c r="E1607" s="569"/>
      <c r="F1607" s="563"/>
      <c r="G1607" s="557"/>
      <c r="H1607" s="559"/>
      <c r="I1607" s="564"/>
      <c r="J1607" s="565"/>
      <c r="K1607" s="542"/>
      <c r="L1607" s="542"/>
      <c r="M1607" s="542"/>
    </row>
    <row r="1608">
      <c r="A1608" s="570"/>
      <c r="B1608" s="559"/>
      <c r="C1608" s="568"/>
      <c r="D1608" s="557"/>
      <c r="E1608" s="569"/>
      <c r="F1608" s="563"/>
      <c r="G1608" s="557"/>
      <c r="H1608" s="559"/>
      <c r="I1608" s="564"/>
      <c r="J1608" s="565"/>
      <c r="K1608" s="542"/>
      <c r="L1608" s="542"/>
      <c r="M1608" s="542"/>
    </row>
    <row r="1609">
      <c r="A1609" s="570"/>
      <c r="B1609" s="559"/>
      <c r="C1609" s="568"/>
      <c r="D1609" s="557"/>
      <c r="E1609" s="569"/>
      <c r="F1609" s="563"/>
      <c r="G1609" s="557"/>
      <c r="H1609" s="559"/>
      <c r="I1609" s="564"/>
      <c r="J1609" s="565"/>
      <c r="K1609" s="542"/>
      <c r="L1609" s="542"/>
      <c r="M1609" s="542"/>
    </row>
    <row r="1610">
      <c r="A1610" s="570"/>
      <c r="B1610" s="559"/>
      <c r="C1610" s="568"/>
      <c r="D1610" s="557"/>
      <c r="E1610" s="569"/>
      <c r="F1610" s="563"/>
      <c r="G1610" s="557"/>
      <c r="H1610" s="559"/>
      <c r="I1610" s="564"/>
      <c r="J1610" s="565"/>
      <c r="K1610" s="542"/>
      <c r="L1610" s="542"/>
      <c r="M1610" s="542"/>
    </row>
    <row r="1611">
      <c r="A1611" s="570"/>
      <c r="B1611" s="559"/>
      <c r="C1611" s="568"/>
      <c r="D1611" s="557"/>
      <c r="E1611" s="569"/>
      <c r="F1611" s="563"/>
      <c r="G1611" s="557"/>
      <c r="H1611" s="559"/>
      <c r="I1611" s="564"/>
      <c r="J1611" s="565"/>
      <c r="K1611" s="542"/>
      <c r="L1611" s="542"/>
      <c r="M1611" s="542"/>
    </row>
    <row r="1612">
      <c r="A1612" s="570"/>
      <c r="B1612" s="559"/>
      <c r="C1612" s="568"/>
      <c r="D1612" s="557"/>
      <c r="E1612" s="569"/>
      <c r="F1612" s="563"/>
      <c r="G1612" s="557"/>
      <c r="H1612" s="559"/>
      <c r="I1612" s="564"/>
      <c r="J1612" s="565"/>
      <c r="K1612" s="542"/>
      <c r="L1612" s="542"/>
      <c r="M1612" s="542"/>
    </row>
    <row r="1613">
      <c r="A1613" s="570"/>
      <c r="B1613" s="559"/>
      <c r="C1613" s="568"/>
      <c r="D1613" s="557"/>
      <c r="E1613" s="569"/>
      <c r="F1613" s="563"/>
      <c r="G1613" s="557"/>
      <c r="H1613" s="559"/>
      <c r="I1613" s="564"/>
      <c r="J1613" s="565"/>
      <c r="K1613" s="542"/>
      <c r="L1613" s="542"/>
      <c r="M1613" s="542"/>
    </row>
    <row r="1614">
      <c r="A1614" s="570"/>
      <c r="B1614" s="559"/>
      <c r="C1614" s="568"/>
      <c r="D1614" s="557"/>
      <c r="E1614" s="569"/>
      <c r="F1614" s="563"/>
      <c r="G1614" s="557"/>
      <c r="H1614" s="559"/>
      <c r="I1614" s="564"/>
      <c r="J1614" s="565"/>
      <c r="K1614" s="542"/>
      <c r="L1614" s="542"/>
      <c r="M1614" s="542"/>
    </row>
    <row r="1615">
      <c r="A1615" s="570"/>
      <c r="B1615" s="559"/>
      <c r="C1615" s="568"/>
      <c r="D1615" s="557"/>
      <c r="E1615" s="569"/>
      <c r="F1615" s="563"/>
      <c r="G1615" s="557"/>
      <c r="H1615" s="559"/>
      <c r="I1615" s="564"/>
      <c r="J1615" s="565"/>
      <c r="K1615" s="542"/>
      <c r="L1615" s="542"/>
      <c r="M1615" s="542"/>
    </row>
    <row r="1616">
      <c r="A1616" s="570"/>
      <c r="B1616" s="559"/>
      <c r="C1616" s="568"/>
      <c r="D1616" s="557"/>
      <c r="E1616" s="569"/>
      <c r="F1616" s="563"/>
      <c r="G1616" s="557"/>
      <c r="H1616" s="559"/>
      <c r="I1616" s="564"/>
      <c r="J1616" s="565"/>
      <c r="K1616" s="542"/>
      <c r="L1616" s="542"/>
      <c r="M1616" s="542"/>
    </row>
    <row r="1617">
      <c r="A1617" s="570"/>
      <c r="B1617" s="559"/>
      <c r="C1617" s="568"/>
      <c r="D1617" s="557"/>
      <c r="E1617" s="569"/>
      <c r="F1617" s="563"/>
      <c r="G1617" s="557"/>
      <c r="H1617" s="559"/>
      <c r="I1617" s="564"/>
      <c r="J1617" s="565"/>
      <c r="K1617" s="542"/>
      <c r="L1617" s="542"/>
      <c r="M1617" s="542"/>
    </row>
    <row r="1618">
      <c r="A1618" s="570"/>
      <c r="B1618" s="559"/>
      <c r="C1618" s="568"/>
      <c r="D1618" s="557"/>
      <c r="E1618" s="569"/>
      <c r="F1618" s="563"/>
      <c r="G1618" s="557"/>
      <c r="H1618" s="559"/>
      <c r="I1618" s="564"/>
      <c r="J1618" s="565"/>
      <c r="K1618" s="542"/>
      <c r="L1618" s="542"/>
      <c r="M1618" s="542"/>
    </row>
    <row r="1619">
      <c r="A1619" s="570"/>
      <c r="B1619" s="559"/>
      <c r="C1619" s="568"/>
      <c r="D1619" s="557"/>
      <c r="E1619" s="569"/>
      <c r="F1619" s="563"/>
      <c r="G1619" s="557"/>
      <c r="H1619" s="559"/>
      <c r="I1619" s="564"/>
      <c r="J1619" s="565"/>
      <c r="K1619" s="542"/>
      <c r="L1619" s="542"/>
      <c r="M1619" s="542"/>
    </row>
    <row r="1620">
      <c r="A1620" s="570"/>
      <c r="B1620" s="559"/>
      <c r="C1620" s="568"/>
      <c r="D1620" s="557"/>
      <c r="E1620" s="569"/>
      <c r="F1620" s="563"/>
      <c r="G1620" s="557"/>
      <c r="H1620" s="559"/>
      <c r="I1620" s="564"/>
      <c r="J1620" s="565"/>
      <c r="K1620" s="542"/>
      <c r="L1620" s="542"/>
      <c r="M1620" s="542"/>
    </row>
    <row r="1621">
      <c r="A1621" s="570"/>
      <c r="B1621" s="559"/>
      <c r="C1621" s="568"/>
      <c r="D1621" s="557"/>
      <c r="E1621" s="569"/>
      <c r="F1621" s="563"/>
      <c r="G1621" s="557"/>
      <c r="H1621" s="559"/>
      <c r="I1621" s="564"/>
      <c r="J1621" s="565"/>
      <c r="K1621" s="542"/>
      <c r="L1621" s="542"/>
      <c r="M1621" s="542"/>
    </row>
    <row r="1622">
      <c r="A1622" s="570"/>
      <c r="B1622" s="559"/>
      <c r="C1622" s="568"/>
      <c r="D1622" s="557"/>
      <c r="E1622" s="569"/>
      <c r="F1622" s="563"/>
      <c r="G1622" s="557"/>
      <c r="H1622" s="559"/>
      <c r="I1622" s="564"/>
      <c r="J1622" s="565"/>
      <c r="K1622" s="542"/>
      <c r="L1622" s="542"/>
      <c r="M1622" s="542"/>
    </row>
    <row r="1623">
      <c r="A1623" s="570"/>
      <c r="B1623" s="559"/>
      <c r="C1623" s="568"/>
      <c r="D1623" s="557"/>
      <c r="E1623" s="569"/>
      <c r="F1623" s="563"/>
      <c r="G1623" s="557"/>
      <c r="H1623" s="559"/>
      <c r="I1623" s="564"/>
      <c r="J1623" s="565"/>
      <c r="K1623" s="542"/>
      <c r="L1623" s="542"/>
      <c r="M1623" s="542"/>
    </row>
    <row r="1624">
      <c r="A1624" s="570"/>
      <c r="B1624" s="559"/>
      <c r="C1624" s="568"/>
      <c r="D1624" s="557"/>
      <c r="E1624" s="569"/>
      <c r="F1624" s="563"/>
      <c r="G1624" s="557"/>
      <c r="H1624" s="559"/>
      <c r="I1624" s="564"/>
      <c r="J1624" s="565"/>
      <c r="K1624" s="542"/>
      <c r="L1624" s="542"/>
      <c r="M1624" s="542"/>
    </row>
    <row r="1625">
      <c r="A1625" s="570"/>
      <c r="B1625" s="559"/>
      <c r="C1625" s="568"/>
      <c r="D1625" s="557"/>
      <c r="E1625" s="569"/>
      <c r="F1625" s="563"/>
      <c r="G1625" s="557"/>
      <c r="H1625" s="559"/>
      <c r="I1625" s="564"/>
      <c r="J1625" s="565"/>
      <c r="K1625" s="542"/>
      <c r="L1625" s="542"/>
      <c r="M1625" s="542"/>
    </row>
    <row r="1626">
      <c r="A1626" s="570"/>
      <c r="B1626" s="559"/>
      <c r="C1626" s="568"/>
      <c r="D1626" s="557"/>
      <c r="E1626" s="569"/>
      <c r="F1626" s="563"/>
      <c r="G1626" s="557"/>
      <c r="H1626" s="559"/>
      <c r="I1626" s="564"/>
      <c r="J1626" s="565"/>
      <c r="K1626" s="542"/>
      <c r="L1626" s="542"/>
      <c r="M1626" s="542"/>
    </row>
    <row r="1627">
      <c r="A1627" s="570"/>
      <c r="B1627" s="559"/>
      <c r="C1627" s="568"/>
      <c r="D1627" s="557"/>
      <c r="E1627" s="569"/>
      <c r="F1627" s="563"/>
      <c r="G1627" s="557"/>
      <c r="H1627" s="559"/>
      <c r="I1627" s="564"/>
      <c r="J1627" s="565"/>
      <c r="K1627" s="542"/>
      <c r="L1627" s="542"/>
      <c r="M1627" s="542"/>
    </row>
    <row r="1628">
      <c r="A1628" s="570"/>
      <c r="B1628" s="559"/>
      <c r="C1628" s="568"/>
      <c r="D1628" s="557"/>
      <c r="E1628" s="569"/>
      <c r="F1628" s="563"/>
      <c r="G1628" s="557"/>
      <c r="H1628" s="559"/>
      <c r="I1628" s="564"/>
      <c r="J1628" s="565"/>
      <c r="K1628" s="542"/>
      <c r="L1628" s="542"/>
      <c r="M1628" s="542"/>
    </row>
    <row r="1629">
      <c r="A1629" s="570"/>
      <c r="B1629" s="559"/>
      <c r="C1629" s="568"/>
      <c r="D1629" s="557"/>
      <c r="E1629" s="569"/>
      <c r="F1629" s="563"/>
      <c r="G1629" s="557"/>
      <c r="H1629" s="559"/>
      <c r="I1629" s="564"/>
      <c r="J1629" s="565"/>
      <c r="K1629" s="542"/>
      <c r="L1629" s="542"/>
      <c r="M1629" s="542"/>
    </row>
    <row r="1630">
      <c r="A1630" s="570"/>
      <c r="B1630" s="559"/>
      <c r="C1630" s="568"/>
      <c r="D1630" s="557"/>
      <c r="E1630" s="569"/>
      <c r="F1630" s="563"/>
      <c r="G1630" s="557"/>
      <c r="H1630" s="559"/>
      <c r="I1630" s="564"/>
      <c r="J1630" s="565"/>
      <c r="K1630" s="542"/>
      <c r="L1630" s="542"/>
      <c r="M1630" s="542"/>
    </row>
    <row r="1631">
      <c r="A1631" s="570"/>
      <c r="B1631" s="559"/>
      <c r="C1631" s="568"/>
      <c r="D1631" s="557"/>
      <c r="E1631" s="569"/>
      <c r="F1631" s="563"/>
      <c r="G1631" s="557"/>
      <c r="H1631" s="559"/>
      <c r="I1631" s="564"/>
      <c r="J1631" s="565"/>
      <c r="K1631" s="542"/>
      <c r="L1631" s="542"/>
      <c r="M1631" s="542"/>
    </row>
    <row r="1632">
      <c r="A1632" s="570"/>
      <c r="B1632" s="559"/>
      <c r="C1632" s="568"/>
      <c r="D1632" s="557"/>
      <c r="E1632" s="569"/>
      <c r="F1632" s="563"/>
      <c r="G1632" s="557"/>
      <c r="H1632" s="559"/>
      <c r="I1632" s="564"/>
      <c r="J1632" s="565"/>
      <c r="K1632" s="542"/>
      <c r="L1632" s="542"/>
      <c r="M1632" s="542"/>
    </row>
    <row r="1633">
      <c r="A1633" s="570"/>
      <c r="B1633" s="559"/>
      <c r="C1633" s="568"/>
      <c r="D1633" s="557"/>
      <c r="E1633" s="569"/>
      <c r="F1633" s="563"/>
      <c r="G1633" s="557"/>
      <c r="H1633" s="559"/>
      <c r="I1633" s="564"/>
      <c r="J1633" s="565"/>
      <c r="K1633" s="542"/>
      <c r="L1633" s="542"/>
      <c r="M1633" s="542"/>
    </row>
    <row r="1634">
      <c r="A1634" s="570"/>
      <c r="B1634" s="559"/>
      <c r="C1634" s="568"/>
      <c r="D1634" s="557"/>
      <c r="E1634" s="569"/>
      <c r="F1634" s="563"/>
      <c r="G1634" s="557"/>
      <c r="H1634" s="559"/>
      <c r="I1634" s="564"/>
      <c r="J1634" s="565"/>
      <c r="K1634" s="542"/>
      <c r="L1634" s="542"/>
      <c r="M1634" s="542"/>
    </row>
    <row r="1635">
      <c r="A1635" s="570"/>
      <c r="B1635" s="559"/>
      <c r="C1635" s="568"/>
      <c r="D1635" s="557"/>
      <c r="E1635" s="569"/>
      <c r="F1635" s="563"/>
      <c r="G1635" s="557"/>
      <c r="H1635" s="559"/>
      <c r="I1635" s="564"/>
      <c r="J1635" s="565"/>
      <c r="K1635" s="542"/>
      <c r="L1635" s="542"/>
      <c r="M1635" s="542"/>
    </row>
    <row r="1636">
      <c r="A1636" s="570"/>
      <c r="B1636" s="559"/>
      <c r="C1636" s="568"/>
      <c r="D1636" s="557"/>
      <c r="E1636" s="569"/>
      <c r="F1636" s="563"/>
      <c r="G1636" s="557"/>
      <c r="H1636" s="559"/>
      <c r="I1636" s="564"/>
      <c r="J1636" s="565"/>
      <c r="K1636" s="542"/>
      <c r="L1636" s="542"/>
      <c r="M1636" s="542"/>
    </row>
    <row r="1637">
      <c r="A1637" s="570"/>
      <c r="B1637" s="559"/>
      <c r="C1637" s="568"/>
      <c r="D1637" s="557"/>
      <c r="E1637" s="569"/>
      <c r="F1637" s="563"/>
      <c r="G1637" s="557"/>
      <c r="H1637" s="559"/>
      <c r="I1637" s="564"/>
      <c r="J1637" s="565"/>
      <c r="K1637" s="542"/>
      <c r="L1637" s="542"/>
      <c r="M1637" s="542"/>
    </row>
    <row r="1638">
      <c r="A1638" s="570"/>
      <c r="B1638" s="559"/>
      <c r="C1638" s="568"/>
      <c r="D1638" s="557"/>
      <c r="E1638" s="569"/>
      <c r="F1638" s="563"/>
      <c r="G1638" s="557"/>
      <c r="H1638" s="559"/>
      <c r="I1638" s="564"/>
      <c r="J1638" s="565"/>
      <c r="K1638" s="542"/>
      <c r="L1638" s="542"/>
      <c r="M1638" s="542"/>
    </row>
    <row r="1639">
      <c r="A1639" s="570"/>
      <c r="B1639" s="559"/>
      <c r="C1639" s="568"/>
      <c r="D1639" s="557"/>
      <c r="E1639" s="569"/>
      <c r="F1639" s="563"/>
      <c r="G1639" s="557"/>
      <c r="H1639" s="559"/>
      <c r="I1639" s="564"/>
      <c r="J1639" s="565"/>
      <c r="K1639" s="542"/>
      <c r="L1639" s="542"/>
      <c r="M1639" s="542"/>
    </row>
    <row r="1640">
      <c r="A1640" s="570"/>
      <c r="B1640" s="559"/>
      <c r="C1640" s="568"/>
      <c r="D1640" s="557"/>
      <c r="E1640" s="569"/>
      <c r="F1640" s="563"/>
      <c r="G1640" s="557"/>
      <c r="H1640" s="559"/>
      <c r="I1640" s="564"/>
      <c r="J1640" s="565"/>
      <c r="K1640" s="542"/>
      <c r="L1640" s="542"/>
      <c r="M1640" s="542"/>
    </row>
    <row r="1641">
      <c r="A1641" s="570"/>
      <c r="B1641" s="559"/>
      <c r="C1641" s="568"/>
      <c r="D1641" s="557"/>
      <c r="E1641" s="569"/>
      <c r="F1641" s="563"/>
      <c r="G1641" s="557"/>
      <c r="H1641" s="559"/>
      <c r="I1641" s="564"/>
      <c r="J1641" s="565"/>
      <c r="K1641" s="542"/>
      <c r="L1641" s="542"/>
      <c r="M1641" s="542"/>
    </row>
    <row r="1642">
      <c r="A1642" s="570"/>
      <c r="B1642" s="559"/>
      <c r="C1642" s="568"/>
      <c r="D1642" s="557"/>
      <c r="E1642" s="569"/>
      <c r="F1642" s="563"/>
      <c r="G1642" s="557"/>
      <c r="H1642" s="559"/>
      <c r="I1642" s="564"/>
      <c r="J1642" s="565"/>
      <c r="K1642" s="542"/>
      <c r="L1642" s="542"/>
      <c r="M1642" s="542"/>
    </row>
    <row r="1643">
      <c r="A1643" s="570"/>
      <c r="B1643" s="559"/>
      <c r="C1643" s="568"/>
      <c r="D1643" s="557"/>
      <c r="E1643" s="569"/>
      <c r="F1643" s="563"/>
      <c r="G1643" s="557"/>
      <c r="H1643" s="559"/>
      <c r="I1643" s="564"/>
      <c r="J1643" s="565"/>
      <c r="K1643" s="542"/>
      <c r="L1643" s="542"/>
      <c r="M1643" s="542"/>
    </row>
    <row r="1644">
      <c r="A1644" s="570"/>
      <c r="B1644" s="559"/>
      <c r="C1644" s="568"/>
      <c r="D1644" s="557"/>
      <c r="E1644" s="569"/>
      <c r="F1644" s="563"/>
      <c r="G1644" s="557"/>
      <c r="H1644" s="559"/>
      <c r="I1644" s="564"/>
      <c r="J1644" s="565"/>
      <c r="K1644" s="542"/>
      <c r="L1644" s="542"/>
      <c r="M1644" s="542"/>
    </row>
    <row r="1645">
      <c r="A1645" s="570"/>
      <c r="B1645" s="559"/>
      <c r="C1645" s="568"/>
      <c r="D1645" s="557"/>
      <c r="E1645" s="569"/>
      <c r="F1645" s="563"/>
      <c r="G1645" s="557"/>
      <c r="H1645" s="559"/>
      <c r="I1645" s="564"/>
      <c r="J1645" s="565"/>
      <c r="K1645" s="542"/>
      <c r="L1645" s="542"/>
      <c r="M1645" s="542"/>
    </row>
    <row r="1646">
      <c r="A1646" s="570"/>
      <c r="B1646" s="559"/>
      <c r="C1646" s="568"/>
      <c r="D1646" s="557"/>
      <c r="E1646" s="569"/>
      <c r="F1646" s="563"/>
      <c r="G1646" s="557"/>
      <c r="H1646" s="559"/>
      <c r="I1646" s="564"/>
      <c r="J1646" s="565"/>
      <c r="K1646" s="542"/>
      <c r="L1646" s="542"/>
      <c r="M1646" s="542"/>
    </row>
    <row r="1647">
      <c r="A1647" s="570"/>
      <c r="B1647" s="559"/>
      <c r="C1647" s="568"/>
      <c r="D1647" s="557"/>
      <c r="E1647" s="569"/>
      <c r="F1647" s="563"/>
      <c r="G1647" s="557"/>
      <c r="H1647" s="559"/>
      <c r="I1647" s="564"/>
      <c r="J1647" s="565"/>
      <c r="K1647" s="542"/>
      <c r="L1647" s="542"/>
      <c r="M1647" s="542"/>
    </row>
    <row r="1648">
      <c r="A1648" s="570"/>
      <c r="B1648" s="559"/>
      <c r="C1648" s="568"/>
      <c r="D1648" s="557"/>
      <c r="E1648" s="569"/>
      <c r="F1648" s="563"/>
      <c r="G1648" s="557"/>
      <c r="H1648" s="559"/>
      <c r="I1648" s="564"/>
      <c r="J1648" s="565"/>
      <c r="K1648" s="542"/>
      <c r="L1648" s="542"/>
      <c r="M1648" s="542"/>
    </row>
    <row r="1649">
      <c r="A1649" s="570"/>
      <c r="B1649" s="559"/>
      <c r="C1649" s="568"/>
      <c r="D1649" s="557"/>
      <c r="E1649" s="569"/>
      <c r="F1649" s="563"/>
      <c r="G1649" s="557"/>
      <c r="H1649" s="559"/>
      <c r="I1649" s="564"/>
      <c r="J1649" s="565"/>
      <c r="K1649" s="542"/>
      <c r="L1649" s="542"/>
      <c r="M1649" s="542"/>
    </row>
    <row r="1650">
      <c r="A1650" s="570"/>
      <c r="B1650" s="559"/>
      <c r="C1650" s="568"/>
      <c r="D1650" s="557"/>
      <c r="E1650" s="569"/>
      <c r="F1650" s="563"/>
      <c r="G1650" s="557"/>
      <c r="H1650" s="559"/>
      <c r="I1650" s="564"/>
      <c r="J1650" s="565"/>
      <c r="K1650" s="542"/>
      <c r="L1650" s="542"/>
      <c r="M1650" s="542"/>
    </row>
    <row r="1651">
      <c r="A1651" s="570"/>
      <c r="B1651" s="559"/>
      <c r="C1651" s="568"/>
      <c r="D1651" s="557"/>
      <c r="E1651" s="569"/>
      <c r="F1651" s="563"/>
      <c r="G1651" s="557"/>
      <c r="H1651" s="559"/>
      <c r="I1651" s="564"/>
      <c r="J1651" s="565"/>
      <c r="K1651" s="542"/>
      <c r="L1651" s="542"/>
      <c r="M1651" s="542"/>
    </row>
    <row r="1652">
      <c r="A1652" s="570"/>
      <c r="B1652" s="559"/>
      <c r="C1652" s="568"/>
      <c r="D1652" s="557"/>
      <c r="E1652" s="569"/>
      <c r="F1652" s="563"/>
      <c r="G1652" s="557"/>
      <c r="H1652" s="559"/>
      <c r="I1652" s="564"/>
      <c r="J1652" s="565"/>
      <c r="K1652" s="542"/>
      <c r="L1652" s="542"/>
      <c r="M1652" s="542"/>
    </row>
    <row r="1653">
      <c r="A1653" s="570"/>
      <c r="B1653" s="559"/>
      <c r="C1653" s="568"/>
      <c r="D1653" s="557"/>
      <c r="E1653" s="569"/>
      <c r="F1653" s="563"/>
      <c r="G1653" s="557"/>
      <c r="H1653" s="559"/>
      <c r="I1653" s="564"/>
      <c r="J1653" s="565"/>
      <c r="K1653" s="542"/>
      <c r="L1653" s="542"/>
      <c r="M1653" s="542"/>
    </row>
    <row r="1654">
      <c r="A1654" s="570"/>
      <c r="B1654" s="559"/>
      <c r="C1654" s="568"/>
      <c r="D1654" s="557"/>
      <c r="E1654" s="569"/>
      <c r="F1654" s="563"/>
      <c r="G1654" s="557"/>
      <c r="H1654" s="559"/>
      <c r="I1654" s="564"/>
      <c r="J1654" s="565"/>
      <c r="K1654" s="542"/>
      <c r="L1654" s="542"/>
      <c r="M1654" s="542"/>
    </row>
    <row r="1655">
      <c r="A1655" s="570"/>
      <c r="B1655" s="559"/>
      <c r="C1655" s="568"/>
      <c r="D1655" s="557"/>
      <c r="E1655" s="569"/>
      <c r="F1655" s="563"/>
      <c r="G1655" s="557"/>
      <c r="H1655" s="559"/>
      <c r="I1655" s="564"/>
      <c r="J1655" s="565"/>
      <c r="K1655" s="542"/>
      <c r="L1655" s="542"/>
      <c r="M1655" s="542"/>
    </row>
    <row r="1656">
      <c r="A1656" s="570"/>
      <c r="B1656" s="559"/>
      <c r="C1656" s="568"/>
      <c r="D1656" s="557"/>
      <c r="E1656" s="569"/>
      <c r="F1656" s="563"/>
      <c r="G1656" s="557"/>
      <c r="H1656" s="559"/>
      <c r="I1656" s="564"/>
      <c r="J1656" s="565"/>
      <c r="K1656" s="542"/>
      <c r="L1656" s="542"/>
      <c r="M1656" s="542"/>
    </row>
    <row r="1657">
      <c r="A1657" s="570"/>
      <c r="B1657" s="559"/>
      <c r="C1657" s="568"/>
      <c r="D1657" s="557"/>
      <c r="E1657" s="569"/>
      <c r="F1657" s="563"/>
      <c r="G1657" s="557"/>
      <c r="H1657" s="559"/>
      <c r="I1657" s="564"/>
      <c r="J1657" s="565"/>
      <c r="K1657" s="542"/>
      <c r="L1657" s="542"/>
      <c r="M1657" s="542"/>
    </row>
    <row r="1658">
      <c r="A1658" s="570"/>
      <c r="B1658" s="559"/>
      <c r="C1658" s="568"/>
      <c r="D1658" s="557"/>
      <c r="E1658" s="569"/>
      <c r="F1658" s="563"/>
      <c r="G1658" s="557"/>
      <c r="H1658" s="559"/>
      <c r="I1658" s="564"/>
      <c r="J1658" s="565"/>
      <c r="K1658" s="542"/>
      <c r="L1658" s="542"/>
      <c r="M1658" s="542"/>
    </row>
    <row r="1659">
      <c r="A1659" s="570"/>
      <c r="B1659" s="559"/>
      <c r="C1659" s="568"/>
      <c r="D1659" s="557"/>
      <c r="E1659" s="569"/>
      <c r="F1659" s="563"/>
      <c r="G1659" s="557"/>
      <c r="H1659" s="559"/>
      <c r="I1659" s="564"/>
      <c r="J1659" s="565"/>
      <c r="K1659" s="542"/>
      <c r="L1659" s="542"/>
      <c r="M1659" s="542"/>
    </row>
    <row r="1660">
      <c r="A1660" s="570"/>
      <c r="B1660" s="559"/>
      <c r="C1660" s="568"/>
      <c r="D1660" s="557"/>
      <c r="E1660" s="569"/>
      <c r="F1660" s="563"/>
      <c r="G1660" s="557"/>
      <c r="H1660" s="559"/>
      <c r="I1660" s="564"/>
      <c r="J1660" s="565"/>
      <c r="K1660" s="542"/>
      <c r="L1660" s="542"/>
      <c r="M1660" s="542"/>
    </row>
    <row r="1661">
      <c r="A1661" s="570"/>
      <c r="B1661" s="559"/>
      <c r="C1661" s="568"/>
      <c r="D1661" s="557"/>
      <c r="E1661" s="569"/>
      <c r="F1661" s="563"/>
      <c r="G1661" s="557"/>
      <c r="H1661" s="559"/>
      <c r="I1661" s="564"/>
      <c r="J1661" s="565"/>
      <c r="K1661" s="542"/>
      <c r="L1661" s="542"/>
      <c r="M1661" s="542"/>
    </row>
    <row r="1662">
      <c r="A1662" s="570"/>
      <c r="B1662" s="559"/>
      <c r="C1662" s="568"/>
      <c r="D1662" s="557"/>
      <c r="E1662" s="569"/>
      <c r="F1662" s="563"/>
      <c r="G1662" s="557"/>
      <c r="H1662" s="559"/>
      <c r="I1662" s="564"/>
      <c r="J1662" s="565"/>
      <c r="K1662" s="542"/>
      <c r="L1662" s="542"/>
      <c r="M1662" s="542"/>
    </row>
    <row r="1663">
      <c r="A1663" s="570"/>
      <c r="B1663" s="559"/>
      <c r="C1663" s="559"/>
      <c r="D1663" s="559"/>
      <c r="E1663" s="559"/>
      <c r="F1663" s="563"/>
      <c r="G1663" s="559"/>
      <c r="H1663" s="559"/>
      <c r="I1663" s="564"/>
      <c r="J1663" s="565"/>
      <c r="K1663" s="542"/>
      <c r="L1663" s="542"/>
      <c r="M1663" s="542"/>
    </row>
    <row r="1664">
      <c r="A1664" s="570"/>
      <c r="B1664" s="559"/>
      <c r="C1664" s="559"/>
      <c r="D1664" s="559"/>
      <c r="E1664" s="559"/>
      <c r="F1664" s="563"/>
      <c r="G1664" s="559"/>
      <c r="H1664" s="559"/>
      <c r="I1664" s="564"/>
      <c r="J1664" s="565"/>
      <c r="K1664" s="542"/>
      <c r="L1664" s="542"/>
      <c r="M1664" s="542"/>
    </row>
    <row r="1665">
      <c r="A1665" s="570"/>
      <c r="B1665" s="559"/>
      <c r="C1665" s="559"/>
      <c r="D1665" s="559"/>
      <c r="E1665" s="559"/>
      <c r="F1665" s="563"/>
      <c r="G1665" s="559"/>
      <c r="H1665" s="559"/>
      <c r="I1665" s="564"/>
      <c r="J1665" s="565"/>
      <c r="K1665" s="542"/>
      <c r="L1665" s="542"/>
      <c r="M1665" s="542"/>
    </row>
    <row r="1666">
      <c r="A1666" s="570"/>
      <c r="B1666" s="559"/>
      <c r="C1666" s="559"/>
      <c r="D1666" s="559"/>
      <c r="E1666" s="559"/>
      <c r="F1666" s="563"/>
      <c r="G1666" s="559"/>
      <c r="H1666" s="559"/>
      <c r="I1666" s="564"/>
      <c r="J1666" s="565"/>
      <c r="K1666" s="542"/>
      <c r="L1666" s="542"/>
      <c r="M1666" s="542"/>
    </row>
    <row r="1667">
      <c r="A1667" s="570"/>
      <c r="B1667" s="559"/>
      <c r="C1667" s="559"/>
      <c r="D1667" s="559"/>
      <c r="E1667" s="559"/>
      <c r="F1667" s="563"/>
      <c r="G1667" s="559"/>
      <c r="H1667" s="559"/>
      <c r="I1667" s="564"/>
      <c r="J1667" s="565"/>
      <c r="K1667" s="542"/>
      <c r="L1667" s="542"/>
      <c r="M1667" s="542"/>
    </row>
    <row r="1668">
      <c r="A1668" s="570"/>
      <c r="B1668" s="559"/>
      <c r="C1668" s="559"/>
      <c r="D1668" s="559"/>
      <c r="E1668" s="559"/>
      <c r="F1668" s="563"/>
      <c r="G1668" s="559"/>
      <c r="H1668" s="559"/>
      <c r="I1668" s="564"/>
      <c r="J1668" s="565"/>
      <c r="K1668" s="542"/>
      <c r="L1668" s="542"/>
      <c r="M1668" s="542"/>
    </row>
    <row r="1669">
      <c r="A1669" s="570"/>
      <c r="B1669" s="559"/>
      <c r="C1669" s="559"/>
      <c r="D1669" s="559"/>
      <c r="E1669" s="559"/>
      <c r="F1669" s="563"/>
      <c r="G1669" s="559"/>
      <c r="H1669" s="559"/>
      <c r="I1669" s="564"/>
      <c r="J1669" s="565"/>
      <c r="K1669" s="542"/>
      <c r="L1669" s="542"/>
      <c r="M1669" s="542"/>
    </row>
    <row r="1670">
      <c r="A1670" s="570"/>
      <c r="B1670" s="559"/>
      <c r="C1670" s="559"/>
      <c r="D1670" s="559"/>
      <c r="E1670" s="559"/>
      <c r="F1670" s="563"/>
      <c r="G1670" s="559"/>
      <c r="H1670" s="559"/>
      <c r="I1670" s="564"/>
      <c r="J1670" s="565"/>
      <c r="K1670" s="542"/>
      <c r="L1670" s="542"/>
      <c r="M1670" s="542"/>
    </row>
    <row r="1671">
      <c r="A1671" s="570"/>
      <c r="B1671" s="559"/>
      <c r="C1671" s="559"/>
      <c r="D1671" s="559"/>
      <c r="E1671" s="559"/>
      <c r="F1671" s="563"/>
      <c r="G1671" s="559"/>
      <c r="H1671" s="559"/>
      <c r="I1671" s="564"/>
      <c r="J1671" s="565"/>
      <c r="K1671" s="542"/>
      <c r="L1671" s="542"/>
      <c r="M1671" s="542"/>
    </row>
    <row r="1672">
      <c r="A1672" s="570"/>
      <c r="B1672" s="559"/>
      <c r="C1672" s="559"/>
      <c r="D1672" s="559"/>
      <c r="E1672" s="559"/>
      <c r="F1672" s="563"/>
      <c r="G1672" s="559"/>
      <c r="H1672" s="559"/>
      <c r="I1672" s="564"/>
      <c r="J1672" s="565"/>
      <c r="K1672" s="542"/>
      <c r="L1672" s="542"/>
      <c r="M1672" s="542"/>
    </row>
    <row r="1673">
      <c r="A1673" s="570"/>
      <c r="B1673" s="559"/>
      <c r="C1673" s="559"/>
      <c r="D1673" s="559"/>
      <c r="E1673" s="559"/>
      <c r="F1673" s="563"/>
      <c r="G1673" s="559"/>
      <c r="H1673" s="559"/>
      <c r="I1673" s="564"/>
      <c r="J1673" s="565"/>
      <c r="K1673" s="542"/>
      <c r="L1673" s="542"/>
      <c r="M1673" s="542"/>
    </row>
    <row r="1674">
      <c r="A1674" s="570"/>
      <c r="B1674" s="559"/>
      <c r="C1674" s="559"/>
      <c r="D1674" s="559"/>
      <c r="E1674" s="559"/>
      <c r="F1674" s="563"/>
      <c r="G1674" s="559"/>
      <c r="H1674" s="559"/>
      <c r="I1674" s="564"/>
      <c r="J1674" s="565"/>
      <c r="K1674" s="542"/>
      <c r="L1674" s="542"/>
      <c r="M1674" s="542"/>
    </row>
    <row r="1675">
      <c r="A1675" s="570"/>
      <c r="B1675" s="559"/>
      <c r="C1675" s="559"/>
      <c r="D1675" s="559"/>
      <c r="E1675" s="559"/>
      <c r="F1675" s="563"/>
      <c r="G1675" s="559"/>
      <c r="H1675" s="559"/>
      <c r="I1675" s="564"/>
      <c r="J1675" s="565"/>
      <c r="K1675" s="542"/>
      <c r="L1675" s="542"/>
      <c r="M1675" s="542"/>
    </row>
    <row r="1676">
      <c r="A1676" s="570"/>
      <c r="B1676" s="559"/>
      <c r="C1676" s="559"/>
      <c r="D1676" s="559"/>
      <c r="E1676" s="559"/>
      <c r="F1676" s="563"/>
      <c r="G1676" s="559"/>
      <c r="H1676" s="559"/>
      <c r="I1676" s="564"/>
      <c r="J1676" s="565"/>
      <c r="K1676" s="542"/>
      <c r="L1676" s="542"/>
      <c r="M1676" s="542"/>
    </row>
    <row r="1677">
      <c r="A1677" s="570"/>
      <c r="B1677" s="559"/>
      <c r="C1677" s="559"/>
      <c r="D1677" s="559"/>
      <c r="E1677" s="559"/>
      <c r="F1677" s="563"/>
      <c r="G1677" s="559"/>
      <c r="H1677" s="559"/>
      <c r="I1677" s="564"/>
      <c r="J1677" s="565"/>
      <c r="K1677" s="542"/>
      <c r="L1677" s="542"/>
      <c r="M1677" s="542"/>
    </row>
    <row r="1678">
      <c r="A1678" s="570"/>
      <c r="B1678" s="559"/>
      <c r="C1678" s="559"/>
      <c r="D1678" s="559"/>
      <c r="E1678" s="559"/>
      <c r="F1678" s="563"/>
      <c r="G1678" s="559"/>
      <c r="H1678" s="559"/>
      <c r="I1678" s="564"/>
      <c r="J1678" s="565"/>
      <c r="K1678" s="542"/>
      <c r="L1678" s="542"/>
      <c r="M1678" s="542"/>
    </row>
    <row r="1679">
      <c r="A1679" s="570"/>
      <c r="B1679" s="559"/>
      <c r="C1679" s="559"/>
      <c r="D1679" s="559"/>
      <c r="E1679" s="559"/>
      <c r="F1679" s="563"/>
      <c r="G1679" s="559"/>
      <c r="H1679" s="559"/>
      <c r="I1679" s="564"/>
      <c r="J1679" s="565"/>
      <c r="K1679" s="542"/>
      <c r="L1679" s="542"/>
      <c r="M1679" s="542"/>
    </row>
    <row r="1680">
      <c r="A1680" s="570"/>
      <c r="B1680" s="559"/>
      <c r="C1680" s="559"/>
      <c r="D1680" s="559"/>
      <c r="E1680" s="559"/>
      <c r="F1680" s="563"/>
      <c r="G1680" s="559"/>
      <c r="H1680" s="559"/>
      <c r="I1680" s="564"/>
      <c r="J1680" s="565"/>
      <c r="K1680" s="542"/>
      <c r="L1680" s="542"/>
      <c r="M1680" s="542"/>
    </row>
    <row r="1681">
      <c r="A1681" s="570"/>
      <c r="B1681" s="559"/>
      <c r="C1681" s="559"/>
      <c r="D1681" s="559"/>
      <c r="E1681" s="559"/>
      <c r="F1681" s="563"/>
      <c r="G1681" s="559"/>
      <c r="H1681" s="559"/>
      <c r="I1681" s="564"/>
      <c r="J1681" s="565"/>
      <c r="K1681" s="542"/>
      <c r="L1681" s="542"/>
      <c r="M1681" s="542"/>
    </row>
    <row r="1682">
      <c r="A1682" s="570"/>
      <c r="B1682" s="559"/>
      <c r="C1682" s="559"/>
      <c r="D1682" s="559"/>
      <c r="E1682" s="559"/>
      <c r="F1682" s="563"/>
      <c r="G1682" s="559"/>
      <c r="H1682" s="559"/>
      <c r="I1682" s="564"/>
      <c r="J1682" s="565"/>
      <c r="K1682" s="542"/>
      <c r="L1682" s="542"/>
      <c r="M1682" s="542"/>
    </row>
    <row r="1683">
      <c r="A1683" s="570"/>
      <c r="B1683" s="559"/>
      <c r="C1683" s="559"/>
      <c r="D1683" s="559"/>
      <c r="E1683" s="559"/>
      <c r="F1683" s="563"/>
      <c r="G1683" s="559"/>
      <c r="H1683" s="559"/>
      <c r="I1683" s="564"/>
      <c r="J1683" s="565"/>
      <c r="K1683" s="542"/>
      <c r="L1683" s="542"/>
      <c r="M1683" s="542"/>
    </row>
    <row r="1684">
      <c r="A1684" s="570"/>
      <c r="B1684" s="559"/>
      <c r="C1684" s="559"/>
      <c r="D1684" s="559"/>
      <c r="E1684" s="559"/>
      <c r="F1684" s="563"/>
      <c r="G1684" s="559"/>
      <c r="H1684" s="559"/>
      <c r="I1684" s="564"/>
      <c r="J1684" s="565"/>
      <c r="K1684" s="542"/>
      <c r="L1684" s="542"/>
      <c r="M1684" s="542"/>
    </row>
    <row r="1685">
      <c r="A1685" s="570"/>
      <c r="B1685" s="559"/>
      <c r="C1685" s="559"/>
      <c r="D1685" s="559"/>
      <c r="E1685" s="559"/>
      <c r="F1685" s="563"/>
      <c r="G1685" s="559"/>
      <c r="H1685" s="559"/>
      <c r="I1685" s="564"/>
      <c r="J1685" s="565"/>
      <c r="K1685" s="542"/>
      <c r="L1685" s="542"/>
      <c r="M1685" s="542"/>
    </row>
    <row r="1686">
      <c r="A1686" s="570"/>
      <c r="B1686" s="559"/>
      <c r="C1686" s="559"/>
      <c r="D1686" s="559"/>
      <c r="E1686" s="559"/>
      <c r="F1686" s="563"/>
      <c r="G1686" s="559"/>
      <c r="H1686" s="559"/>
      <c r="I1686" s="564"/>
      <c r="J1686" s="565"/>
      <c r="K1686" s="542"/>
      <c r="L1686" s="542"/>
      <c r="M1686" s="542"/>
    </row>
    <row r="1687">
      <c r="A1687" s="570"/>
      <c r="B1687" s="559"/>
      <c r="C1687" s="559"/>
      <c r="D1687" s="559"/>
      <c r="E1687" s="559"/>
      <c r="F1687" s="563"/>
      <c r="G1687" s="559"/>
      <c r="H1687" s="559"/>
      <c r="I1687" s="564"/>
      <c r="J1687" s="565"/>
      <c r="K1687" s="542"/>
      <c r="L1687" s="542"/>
      <c r="M1687" s="542"/>
    </row>
    <row r="1688">
      <c r="A1688" s="570"/>
      <c r="B1688" s="559"/>
      <c r="C1688" s="559"/>
      <c r="D1688" s="559"/>
      <c r="E1688" s="559"/>
      <c r="F1688" s="563"/>
      <c r="G1688" s="559"/>
      <c r="H1688" s="559"/>
      <c r="I1688" s="564"/>
      <c r="J1688" s="565"/>
      <c r="K1688" s="542"/>
      <c r="L1688" s="542"/>
      <c r="M1688" s="542"/>
    </row>
    <row r="1689">
      <c r="A1689" s="570"/>
      <c r="B1689" s="559"/>
      <c r="C1689" s="559"/>
      <c r="D1689" s="559"/>
      <c r="E1689" s="559"/>
      <c r="F1689" s="563"/>
      <c r="G1689" s="559"/>
      <c r="H1689" s="559"/>
      <c r="I1689" s="564"/>
      <c r="J1689" s="565"/>
      <c r="K1689" s="542"/>
      <c r="L1689" s="542"/>
      <c r="M1689" s="542"/>
    </row>
    <row r="1690">
      <c r="A1690" s="570"/>
      <c r="B1690" s="559"/>
      <c r="C1690" s="559"/>
      <c r="D1690" s="559"/>
      <c r="E1690" s="559"/>
      <c r="F1690" s="563"/>
      <c r="G1690" s="559"/>
      <c r="H1690" s="559"/>
      <c r="I1690" s="564"/>
      <c r="J1690" s="565"/>
      <c r="K1690" s="542"/>
      <c r="L1690" s="542"/>
      <c r="M1690" s="542"/>
    </row>
    <row r="1691">
      <c r="A1691" s="570"/>
      <c r="B1691" s="559"/>
      <c r="C1691" s="559"/>
      <c r="D1691" s="559"/>
      <c r="E1691" s="559"/>
      <c r="F1691" s="563"/>
      <c r="G1691" s="559"/>
      <c r="H1691" s="559"/>
      <c r="I1691" s="564"/>
      <c r="J1691" s="565"/>
      <c r="K1691" s="542"/>
      <c r="L1691" s="542"/>
      <c r="M1691" s="542"/>
    </row>
    <row r="1692">
      <c r="A1692" s="570"/>
      <c r="B1692" s="559"/>
      <c r="C1692" s="559"/>
      <c r="D1692" s="559"/>
      <c r="E1692" s="559"/>
      <c r="F1692" s="563"/>
      <c r="G1692" s="559"/>
      <c r="H1692" s="559"/>
      <c r="I1692" s="564"/>
      <c r="J1692" s="565"/>
      <c r="K1692" s="542"/>
      <c r="L1692" s="542"/>
      <c r="M1692" s="542"/>
    </row>
    <row r="1693">
      <c r="A1693" s="570"/>
      <c r="B1693" s="559"/>
      <c r="C1693" s="559"/>
      <c r="D1693" s="559"/>
      <c r="E1693" s="559"/>
      <c r="F1693" s="563"/>
      <c r="G1693" s="559"/>
      <c r="H1693" s="559"/>
      <c r="I1693" s="564"/>
      <c r="J1693" s="565"/>
      <c r="K1693" s="542"/>
      <c r="L1693" s="542"/>
      <c r="M1693" s="542"/>
    </row>
    <row r="1694">
      <c r="A1694" s="570"/>
      <c r="B1694" s="559"/>
      <c r="C1694" s="559"/>
      <c r="D1694" s="559"/>
      <c r="E1694" s="559"/>
      <c r="F1694" s="563"/>
      <c r="G1694" s="559"/>
      <c r="H1694" s="559"/>
      <c r="I1694" s="564"/>
      <c r="J1694" s="565"/>
      <c r="K1694" s="542"/>
      <c r="L1694" s="542"/>
      <c r="M1694" s="542"/>
    </row>
    <row r="1695">
      <c r="A1695" s="570"/>
      <c r="B1695" s="559"/>
      <c r="C1695" s="559"/>
      <c r="D1695" s="559"/>
      <c r="E1695" s="559"/>
      <c r="F1695" s="563"/>
      <c r="G1695" s="559"/>
      <c r="H1695" s="559"/>
      <c r="I1695" s="564"/>
      <c r="J1695" s="565"/>
      <c r="K1695" s="542"/>
      <c r="L1695" s="542"/>
      <c r="M1695" s="542"/>
    </row>
    <row r="1696">
      <c r="A1696" s="570"/>
      <c r="B1696" s="559"/>
      <c r="C1696" s="559"/>
      <c r="D1696" s="559"/>
      <c r="E1696" s="559"/>
      <c r="F1696" s="563"/>
      <c r="G1696" s="559"/>
      <c r="H1696" s="559"/>
      <c r="I1696" s="564"/>
      <c r="J1696" s="565"/>
      <c r="K1696" s="542"/>
      <c r="L1696" s="542"/>
      <c r="M1696" s="542"/>
    </row>
    <row r="1697">
      <c r="A1697" s="570"/>
      <c r="B1697" s="559"/>
      <c r="C1697" s="559"/>
      <c r="D1697" s="559"/>
      <c r="E1697" s="559"/>
      <c r="F1697" s="563"/>
      <c r="G1697" s="559"/>
      <c r="H1697" s="559"/>
      <c r="I1697" s="564"/>
      <c r="J1697" s="565"/>
      <c r="K1697" s="542"/>
      <c r="L1697" s="542"/>
      <c r="M1697" s="542"/>
    </row>
    <row r="1698">
      <c r="A1698" s="570"/>
      <c r="B1698" s="559"/>
      <c r="C1698" s="559"/>
      <c r="D1698" s="559"/>
      <c r="E1698" s="559"/>
      <c r="F1698" s="563"/>
      <c r="G1698" s="559"/>
      <c r="H1698" s="559"/>
      <c r="I1698" s="564"/>
      <c r="J1698" s="565"/>
      <c r="K1698" s="542"/>
      <c r="L1698" s="542"/>
      <c r="M1698" s="542"/>
    </row>
    <row r="1699">
      <c r="A1699" s="570"/>
      <c r="B1699" s="559"/>
      <c r="C1699" s="559"/>
      <c r="D1699" s="559"/>
      <c r="E1699" s="559"/>
      <c r="F1699" s="563"/>
      <c r="G1699" s="559"/>
      <c r="H1699" s="559"/>
      <c r="I1699" s="564"/>
      <c r="J1699" s="565"/>
      <c r="K1699" s="542"/>
      <c r="L1699" s="542"/>
      <c r="M1699" s="542"/>
    </row>
    <row r="1700">
      <c r="A1700" s="570"/>
      <c r="B1700" s="559"/>
      <c r="C1700" s="559"/>
      <c r="D1700" s="559"/>
      <c r="E1700" s="559"/>
      <c r="F1700" s="563"/>
      <c r="G1700" s="559"/>
      <c r="H1700" s="559"/>
      <c r="I1700" s="564"/>
      <c r="J1700" s="565"/>
      <c r="K1700" s="542"/>
      <c r="L1700" s="542"/>
      <c r="M1700" s="542"/>
    </row>
    <row r="1701">
      <c r="A1701" s="570"/>
      <c r="B1701" s="559"/>
      <c r="C1701" s="559"/>
      <c r="D1701" s="559"/>
      <c r="E1701" s="559"/>
      <c r="F1701" s="563"/>
      <c r="G1701" s="559"/>
      <c r="H1701" s="559"/>
      <c r="I1701" s="564"/>
      <c r="J1701" s="565"/>
      <c r="K1701" s="542"/>
      <c r="L1701" s="542"/>
      <c r="M1701" s="542"/>
    </row>
    <row r="1702">
      <c r="A1702" s="570"/>
      <c r="B1702" s="559"/>
      <c r="C1702" s="559"/>
      <c r="D1702" s="559"/>
      <c r="E1702" s="559"/>
      <c r="F1702" s="563"/>
      <c r="G1702" s="559"/>
      <c r="H1702" s="559"/>
      <c r="I1702" s="564"/>
      <c r="J1702" s="565"/>
      <c r="K1702" s="542"/>
      <c r="L1702" s="542"/>
      <c r="M1702" s="542"/>
    </row>
    <row r="1703">
      <c r="A1703" s="570"/>
      <c r="B1703" s="559"/>
      <c r="C1703" s="559"/>
      <c r="D1703" s="559"/>
      <c r="E1703" s="559"/>
      <c r="F1703" s="563"/>
      <c r="G1703" s="559"/>
      <c r="H1703" s="559"/>
      <c r="I1703" s="564"/>
      <c r="J1703" s="565"/>
      <c r="K1703" s="542"/>
      <c r="L1703" s="542"/>
      <c r="M1703" s="542"/>
    </row>
    <row r="1704">
      <c r="A1704" s="570"/>
      <c r="B1704" s="559"/>
      <c r="C1704" s="559"/>
      <c r="D1704" s="559"/>
      <c r="E1704" s="559"/>
      <c r="F1704" s="563"/>
      <c r="G1704" s="559"/>
      <c r="H1704" s="559"/>
      <c r="I1704" s="564"/>
      <c r="J1704" s="565"/>
      <c r="K1704" s="542"/>
      <c r="L1704" s="542"/>
      <c r="M1704" s="542"/>
    </row>
    <row r="1705">
      <c r="A1705" s="570"/>
      <c r="B1705" s="559"/>
      <c r="C1705" s="559"/>
      <c r="D1705" s="559"/>
      <c r="E1705" s="559"/>
      <c r="F1705" s="563"/>
      <c r="G1705" s="559"/>
      <c r="H1705" s="559"/>
      <c r="I1705" s="564"/>
      <c r="J1705" s="565"/>
      <c r="K1705" s="542"/>
      <c r="L1705" s="542"/>
      <c r="M1705" s="542"/>
    </row>
    <row r="1706">
      <c r="A1706" s="570"/>
      <c r="B1706" s="559"/>
      <c r="C1706" s="559"/>
      <c r="D1706" s="559"/>
      <c r="E1706" s="559"/>
      <c r="F1706" s="563"/>
      <c r="G1706" s="559"/>
      <c r="H1706" s="559"/>
      <c r="I1706" s="564"/>
      <c r="J1706" s="565"/>
      <c r="K1706" s="542"/>
      <c r="L1706" s="542"/>
      <c r="M1706" s="542"/>
    </row>
    <row r="1707">
      <c r="A1707" s="570"/>
      <c r="B1707" s="559"/>
      <c r="C1707" s="559"/>
      <c r="D1707" s="559"/>
      <c r="E1707" s="559"/>
      <c r="F1707" s="563"/>
      <c r="G1707" s="559"/>
      <c r="H1707" s="559"/>
      <c r="I1707" s="564"/>
      <c r="J1707" s="565"/>
      <c r="K1707" s="542"/>
      <c r="L1707" s="542"/>
      <c r="M1707" s="542"/>
    </row>
    <row r="1708">
      <c r="A1708" s="570"/>
      <c r="B1708" s="559"/>
      <c r="C1708" s="559"/>
      <c r="D1708" s="559"/>
      <c r="E1708" s="559"/>
      <c r="F1708" s="563"/>
      <c r="G1708" s="559"/>
      <c r="H1708" s="559"/>
      <c r="I1708" s="564"/>
      <c r="J1708" s="565"/>
      <c r="K1708" s="542"/>
      <c r="L1708" s="542"/>
      <c r="M1708" s="542"/>
    </row>
    <row r="1709">
      <c r="A1709" s="570"/>
      <c r="B1709" s="559"/>
      <c r="C1709" s="559"/>
      <c r="D1709" s="559"/>
      <c r="E1709" s="559"/>
      <c r="F1709" s="563"/>
      <c r="G1709" s="559"/>
      <c r="H1709" s="559"/>
      <c r="I1709" s="564"/>
      <c r="J1709" s="565"/>
      <c r="K1709" s="542"/>
      <c r="L1709" s="542"/>
      <c r="M1709" s="542"/>
    </row>
    <row r="1710">
      <c r="A1710" s="570"/>
      <c r="B1710" s="559"/>
      <c r="C1710" s="559"/>
      <c r="D1710" s="559"/>
      <c r="E1710" s="559"/>
      <c r="F1710" s="563"/>
      <c r="G1710" s="559"/>
      <c r="H1710" s="559"/>
      <c r="I1710" s="564"/>
      <c r="J1710" s="565"/>
      <c r="K1710" s="542"/>
      <c r="L1710" s="542"/>
      <c r="M1710" s="542"/>
    </row>
    <row r="1711">
      <c r="A1711" s="570"/>
      <c r="B1711" s="559"/>
      <c r="C1711" s="559"/>
      <c r="D1711" s="559"/>
      <c r="E1711" s="559"/>
      <c r="F1711" s="563"/>
      <c r="G1711" s="559"/>
      <c r="H1711" s="559"/>
      <c r="I1711" s="564"/>
      <c r="J1711" s="565"/>
      <c r="K1711" s="542"/>
      <c r="L1711" s="542"/>
      <c r="M1711" s="542"/>
    </row>
    <row r="1712">
      <c r="A1712" s="570"/>
      <c r="B1712" s="559"/>
      <c r="C1712" s="559"/>
      <c r="D1712" s="559"/>
      <c r="E1712" s="559"/>
      <c r="F1712" s="563"/>
      <c r="G1712" s="559"/>
      <c r="H1712" s="559"/>
      <c r="I1712" s="564"/>
      <c r="J1712" s="565"/>
      <c r="K1712" s="542"/>
      <c r="L1712" s="542"/>
      <c r="M1712" s="542"/>
    </row>
    <row r="1713">
      <c r="A1713" s="570"/>
      <c r="B1713" s="559"/>
      <c r="C1713" s="559"/>
      <c r="D1713" s="559"/>
      <c r="E1713" s="559"/>
      <c r="F1713" s="563"/>
      <c r="G1713" s="559"/>
      <c r="H1713" s="559"/>
      <c r="I1713" s="564"/>
      <c r="J1713" s="565"/>
      <c r="K1713" s="542"/>
      <c r="L1713" s="542"/>
      <c r="M1713" s="542"/>
    </row>
    <row r="1714">
      <c r="A1714" s="570"/>
      <c r="B1714" s="559"/>
      <c r="C1714" s="559"/>
      <c r="D1714" s="559"/>
      <c r="E1714" s="559"/>
      <c r="F1714" s="563"/>
      <c r="G1714" s="559"/>
      <c r="H1714" s="559"/>
      <c r="I1714" s="564"/>
      <c r="J1714" s="565"/>
      <c r="K1714" s="542"/>
      <c r="L1714" s="542"/>
      <c r="M1714" s="542"/>
    </row>
    <row r="1715">
      <c r="A1715" s="570"/>
      <c r="B1715" s="559"/>
      <c r="C1715" s="559"/>
      <c r="D1715" s="559"/>
      <c r="E1715" s="559"/>
      <c r="F1715" s="563"/>
      <c r="G1715" s="559"/>
      <c r="H1715" s="559"/>
      <c r="I1715" s="564"/>
      <c r="J1715" s="565"/>
      <c r="K1715" s="542"/>
      <c r="L1715" s="542"/>
      <c r="M1715" s="542"/>
    </row>
    <row r="1716">
      <c r="A1716" s="570"/>
      <c r="B1716" s="559"/>
      <c r="C1716" s="559"/>
      <c r="D1716" s="559"/>
      <c r="E1716" s="559"/>
      <c r="F1716" s="563"/>
      <c r="G1716" s="559"/>
      <c r="H1716" s="559"/>
      <c r="I1716" s="564"/>
      <c r="J1716" s="565"/>
      <c r="K1716" s="542"/>
      <c r="L1716" s="542"/>
      <c r="M1716" s="542"/>
    </row>
    <row r="1717">
      <c r="A1717" s="570"/>
      <c r="B1717" s="559"/>
      <c r="C1717" s="559"/>
      <c r="D1717" s="559"/>
      <c r="E1717" s="559"/>
      <c r="F1717" s="563"/>
      <c r="G1717" s="559"/>
      <c r="H1717" s="559"/>
      <c r="I1717" s="564"/>
      <c r="J1717" s="565"/>
      <c r="K1717" s="542"/>
      <c r="L1717" s="542"/>
      <c r="M1717" s="542"/>
    </row>
    <row r="1718">
      <c r="A1718" s="570"/>
      <c r="B1718" s="559"/>
      <c r="C1718" s="559"/>
      <c r="D1718" s="559"/>
      <c r="E1718" s="559"/>
      <c r="F1718" s="563"/>
      <c r="G1718" s="559"/>
      <c r="H1718" s="559"/>
      <c r="I1718" s="564"/>
      <c r="J1718" s="565"/>
      <c r="K1718" s="542"/>
      <c r="L1718" s="542"/>
      <c r="M1718" s="542"/>
    </row>
    <row r="1719">
      <c r="A1719" s="570"/>
      <c r="B1719" s="559"/>
      <c r="C1719" s="559"/>
      <c r="D1719" s="559"/>
      <c r="E1719" s="559"/>
      <c r="F1719" s="563"/>
      <c r="G1719" s="559"/>
      <c r="H1719" s="559"/>
      <c r="I1719" s="564"/>
      <c r="J1719" s="565"/>
      <c r="K1719" s="542"/>
      <c r="L1719" s="542"/>
      <c r="M1719" s="542"/>
    </row>
    <row r="1720">
      <c r="A1720" s="570"/>
      <c r="B1720" s="559"/>
      <c r="C1720" s="559"/>
      <c r="D1720" s="559"/>
      <c r="E1720" s="559"/>
      <c r="F1720" s="563"/>
      <c r="G1720" s="559"/>
      <c r="H1720" s="559"/>
      <c r="I1720" s="564"/>
      <c r="J1720" s="565"/>
      <c r="K1720" s="542"/>
      <c r="L1720" s="542"/>
      <c r="M1720" s="542"/>
    </row>
    <row r="1721">
      <c r="A1721" s="570"/>
      <c r="B1721" s="559"/>
      <c r="C1721" s="559"/>
      <c r="D1721" s="559"/>
      <c r="E1721" s="559"/>
      <c r="F1721" s="563"/>
      <c r="G1721" s="559"/>
      <c r="H1721" s="559"/>
      <c r="I1721" s="564"/>
      <c r="J1721" s="565"/>
      <c r="K1721" s="542"/>
      <c r="L1721" s="542"/>
      <c r="M1721" s="542"/>
    </row>
    <row r="1722">
      <c r="A1722" s="570"/>
      <c r="B1722" s="559"/>
      <c r="C1722" s="559"/>
      <c r="D1722" s="559"/>
      <c r="E1722" s="559"/>
      <c r="F1722" s="563"/>
      <c r="G1722" s="559"/>
      <c r="H1722" s="559"/>
      <c r="I1722" s="564"/>
      <c r="J1722" s="565"/>
      <c r="K1722" s="542"/>
      <c r="L1722" s="542"/>
      <c r="M1722" s="542"/>
    </row>
    <row r="1723">
      <c r="A1723" s="570"/>
      <c r="B1723" s="559"/>
      <c r="C1723" s="559"/>
      <c r="D1723" s="559"/>
      <c r="E1723" s="559"/>
      <c r="F1723" s="563"/>
      <c r="G1723" s="559"/>
      <c r="H1723" s="559"/>
      <c r="I1723" s="564"/>
      <c r="J1723" s="565"/>
      <c r="K1723" s="542"/>
      <c r="L1723" s="542"/>
      <c r="M1723" s="542"/>
    </row>
    <row r="1724">
      <c r="A1724" s="570"/>
      <c r="B1724" s="559"/>
      <c r="C1724" s="559"/>
      <c r="D1724" s="559"/>
      <c r="E1724" s="559"/>
      <c r="F1724" s="563"/>
      <c r="G1724" s="559"/>
      <c r="H1724" s="559"/>
      <c r="I1724" s="564"/>
      <c r="J1724" s="565"/>
      <c r="K1724" s="542"/>
      <c r="L1724" s="542"/>
      <c r="M1724" s="542"/>
    </row>
    <row r="1725">
      <c r="A1725" s="570"/>
      <c r="B1725" s="559"/>
      <c r="C1725" s="559"/>
      <c r="D1725" s="559"/>
      <c r="E1725" s="559"/>
      <c r="F1725" s="563"/>
      <c r="G1725" s="559"/>
      <c r="H1725" s="559"/>
      <c r="I1725" s="564"/>
      <c r="J1725" s="565"/>
      <c r="K1725" s="542"/>
      <c r="L1725" s="542"/>
      <c r="M1725" s="542"/>
    </row>
    <row r="1726">
      <c r="A1726" s="570"/>
      <c r="B1726" s="559"/>
      <c r="C1726" s="559"/>
      <c r="D1726" s="559"/>
      <c r="E1726" s="559"/>
      <c r="F1726" s="563"/>
      <c r="G1726" s="559"/>
      <c r="H1726" s="559"/>
      <c r="I1726" s="564"/>
      <c r="J1726" s="565"/>
      <c r="K1726" s="542"/>
      <c r="L1726" s="542"/>
      <c r="M1726" s="542"/>
    </row>
    <row r="1727">
      <c r="A1727" s="570"/>
      <c r="B1727" s="559"/>
      <c r="C1727" s="559"/>
      <c r="D1727" s="559"/>
      <c r="E1727" s="559"/>
      <c r="F1727" s="563"/>
      <c r="G1727" s="559"/>
      <c r="H1727" s="559"/>
      <c r="I1727" s="564"/>
      <c r="J1727" s="565"/>
      <c r="K1727" s="542"/>
      <c r="L1727" s="542"/>
      <c r="M1727" s="542"/>
    </row>
    <row r="1728">
      <c r="A1728" s="570"/>
      <c r="B1728" s="559"/>
      <c r="C1728" s="559"/>
      <c r="D1728" s="559"/>
      <c r="E1728" s="559"/>
      <c r="F1728" s="563"/>
      <c r="G1728" s="559"/>
      <c r="H1728" s="559"/>
      <c r="I1728" s="564"/>
      <c r="J1728" s="565"/>
      <c r="K1728" s="542"/>
      <c r="L1728" s="542"/>
      <c r="M1728" s="542"/>
    </row>
    <row r="1729">
      <c r="A1729" s="570"/>
      <c r="B1729" s="559"/>
      <c r="C1729" s="559"/>
      <c r="D1729" s="559"/>
      <c r="E1729" s="559"/>
      <c r="F1729" s="563"/>
      <c r="G1729" s="559"/>
      <c r="H1729" s="559"/>
      <c r="I1729" s="564"/>
      <c r="J1729" s="565"/>
      <c r="K1729" s="542"/>
      <c r="L1729" s="542"/>
      <c r="M1729" s="542"/>
    </row>
    <row r="1730">
      <c r="A1730" s="570"/>
      <c r="B1730" s="559"/>
      <c r="C1730" s="559"/>
      <c r="D1730" s="559"/>
      <c r="E1730" s="559"/>
      <c r="F1730" s="563"/>
      <c r="G1730" s="559"/>
      <c r="H1730" s="559"/>
      <c r="I1730" s="564"/>
      <c r="J1730" s="565"/>
      <c r="K1730" s="542"/>
      <c r="L1730" s="542"/>
      <c r="M1730" s="542"/>
    </row>
    <row r="1731">
      <c r="A1731" s="570"/>
      <c r="B1731" s="559"/>
      <c r="C1731" s="559"/>
      <c r="D1731" s="559"/>
      <c r="E1731" s="559"/>
      <c r="F1731" s="563"/>
      <c r="G1731" s="559"/>
      <c r="H1731" s="559"/>
      <c r="I1731" s="564"/>
      <c r="J1731" s="565"/>
      <c r="K1731" s="542"/>
      <c r="L1731" s="542"/>
      <c r="M1731" s="542"/>
    </row>
    <row r="1732">
      <c r="A1732" s="570"/>
      <c r="B1732" s="559"/>
      <c r="C1732" s="559"/>
      <c r="D1732" s="559"/>
      <c r="E1732" s="559"/>
      <c r="F1732" s="563"/>
      <c r="G1732" s="559"/>
      <c r="H1732" s="559"/>
      <c r="I1732" s="564"/>
      <c r="J1732" s="565"/>
      <c r="K1732" s="542"/>
      <c r="L1732" s="542"/>
      <c r="M1732" s="542"/>
    </row>
    <row r="1733">
      <c r="A1733" s="570"/>
      <c r="B1733" s="559"/>
      <c r="C1733" s="559"/>
      <c r="D1733" s="559"/>
      <c r="E1733" s="559"/>
      <c r="F1733" s="563"/>
      <c r="G1733" s="559"/>
      <c r="H1733" s="559"/>
      <c r="I1733" s="564"/>
      <c r="J1733" s="565"/>
      <c r="K1733" s="542"/>
      <c r="L1733" s="542"/>
      <c r="M1733" s="542"/>
    </row>
    <row r="1734">
      <c r="A1734" s="570"/>
      <c r="B1734" s="559"/>
      <c r="C1734" s="559"/>
      <c r="D1734" s="559"/>
      <c r="E1734" s="559"/>
      <c r="F1734" s="563"/>
      <c r="G1734" s="559"/>
      <c r="H1734" s="559"/>
      <c r="I1734" s="564"/>
      <c r="J1734" s="565"/>
      <c r="K1734" s="542"/>
      <c r="L1734" s="542"/>
      <c r="M1734" s="542"/>
    </row>
    <row r="1735">
      <c r="A1735" s="570"/>
      <c r="B1735" s="559"/>
      <c r="C1735" s="559"/>
      <c r="D1735" s="559"/>
      <c r="E1735" s="559"/>
      <c r="F1735" s="563"/>
      <c r="G1735" s="559"/>
      <c r="H1735" s="559"/>
      <c r="I1735" s="564"/>
      <c r="J1735" s="565"/>
      <c r="K1735" s="542"/>
      <c r="L1735" s="542"/>
      <c r="M1735" s="542"/>
    </row>
    <row r="1736">
      <c r="A1736" s="570"/>
      <c r="B1736" s="559"/>
      <c r="C1736" s="559"/>
      <c r="D1736" s="559"/>
      <c r="E1736" s="559"/>
      <c r="F1736" s="563"/>
      <c r="G1736" s="559"/>
      <c r="H1736" s="559"/>
      <c r="I1736" s="564"/>
      <c r="J1736" s="565"/>
      <c r="K1736" s="542"/>
      <c r="L1736" s="542"/>
      <c r="M1736" s="542"/>
    </row>
    <row r="1737">
      <c r="A1737" s="570"/>
      <c r="B1737" s="559"/>
      <c r="C1737" s="559"/>
      <c r="D1737" s="559"/>
      <c r="E1737" s="559"/>
      <c r="F1737" s="563"/>
      <c r="G1737" s="559"/>
      <c r="H1737" s="559"/>
      <c r="I1737" s="564"/>
      <c r="J1737" s="565"/>
      <c r="K1737" s="542"/>
      <c r="L1737" s="542"/>
      <c r="M1737" s="542"/>
    </row>
    <row r="1738">
      <c r="A1738" s="570"/>
      <c r="B1738" s="559"/>
      <c r="C1738" s="559"/>
      <c r="D1738" s="559"/>
      <c r="E1738" s="559"/>
      <c r="F1738" s="563"/>
      <c r="G1738" s="559"/>
      <c r="H1738" s="559"/>
      <c r="I1738" s="564"/>
      <c r="J1738" s="565"/>
      <c r="K1738" s="542"/>
      <c r="L1738" s="542"/>
      <c r="M1738" s="542"/>
    </row>
    <row r="1739">
      <c r="A1739" s="570"/>
      <c r="B1739" s="559"/>
      <c r="C1739" s="559"/>
      <c r="D1739" s="559"/>
      <c r="E1739" s="559"/>
      <c r="F1739" s="563"/>
      <c r="G1739" s="559"/>
      <c r="H1739" s="559"/>
      <c r="I1739" s="564"/>
      <c r="J1739" s="565"/>
      <c r="K1739" s="542"/>
      <c r="L1739" s="542"/>
      <c r="M1739" s="542"/>
    </row>
    <row r="1740">
      <c r="A1740" s="570"/>
      <c r="B1740" s="559"/>
      <c r="C1740" s="559"/>
      <c r="D1740" s="559"/>
      <c r="E1740" s="559"/>
      <c r="F1740" s="563"/>
      <c r="G1740" s="559"/>
      <c r="H1740" s="559"/>
      <c r="I1740" s="564"/>
      <c r="J1740" s="565"/>
      <c r="K1740" s="542"/>
      <c r="L1740" s="542"/>
      <c r="M1740" s="542"/>
    </row>
    <row r="1741">
      <c r="A1741" s="570"/>
      <c r="B1741" s="559"/>
      <c r="C1741" s="559"/>
      <c r="D1741" s="559"/>
      <c r="E1741" s="559"/>
      <c r="F1741" s="563"/>
      <c r="G1741" s="559"/>
      <c r="H1741" s="559"/>
      <c r="I1741" s="564"/>
      <c r="J1741" s="565"/>
      <c r="K1741" s="542"/>
      <c r="L1741" s="542"/>
      <c r="M1741" s="542"/>
    </row>
    <row r="1742">
      <c r="A1742" s="570"/>
      <c r="B1742" s="559"/>
      <c r="C1742" s="559"/>
      <c r="D1742" s="559"/>
      <c r="E1742" s="559"/>
      <c r="F1742" s="563"/>
      <c r="G1742" s="559"/>
      <c r="H1742" s="559"/>
      <c r="I1742" s="564"/>
      <c r="J1742" s="565"/>
      <c r="K1742" s="542"/>
      <c r="L1742" s="542"/>
      <c r="M1742" s="542"/>
    </row>
    <row r="1743">
      <c r="A1743" s="570"/>
      <c r="B1743" s="559"/>
      <c r="C1743" s="559"/>
      <c r="D1743" s="559"/>
      <c r="E1743" s="559"/>
      <c r="F1743" s="563"/>
      <c r="G1743" s="559"/>
      <c r="H1743" s="559"/>
      <c r="I1743" s="564"/>
      <c r="J1743" s="565"/>
      <c r="K1743" s="542"/>
      <c r="L1743" s="542"/>
      <c r="M1743" s="542"/>
    </row>
    <row r="1744">
      <c r="A1744" s="570"/>
      <c r="B1744" s="559"/>
      <c r="C1744" s="559"/>
      <c r="D1744" s="559"/>
      <c r="E1744" s="559"/>
      <c r="F1744" s="563"/>
      <c r="G1744" s="559"/>
      <c r="H1744" s="559"/>
      <c r="I1744" s="564"/>
      <c r="J1744" s="565"/>
      <c r="K1744" s="542"/>
      <c r="L1744" s="542"/>
      <c r="M1744" s="542"/>
    </row>
    <row r="1745">
      <c r="A1745" s="570"/>
      <c r="B1745" s="559"/>
      <c r="C1745" s="559"/>
      <c r="D1745" s="559"/>
      <c r="E1745" s="559"/>
      <c r="F1745" s="563"/>
      <c r="G1745" s="559"/>
      <c r="H1745" s="559"/>
      <c r="I1745" s="564"/>
      <c r="J1745" s="565"/>
      <c r="K1745" s="542"/>
      <c r="L1745" s="542"/>
      <c r="M1745" s="542"/>
    </row>
    <row r="1746">
      <c r="A1746" s="570"/>
      <c r="B1746" s="559"/>
      <c r="C1746" s="559"/>
      <c r="D1746" s="559"/>
      <c r="E1746" s="559"/>
      <c r="F1746" s="563"/>
      <c r="G1746" s="559"/>
      <c r="H1746" s="559"/>
      <c r="I1746" s="564"/>
      <c r="J1746" s="565"/>
      <c r="K1746" s="542"/>
      <c r="L1746" s="542"/>
      <c r="M1746" s="542"/>
    </row>
    <row r="1747">
      <c r="A1747" s="570"/>
      <c r="B1747" s="559"/>
      <c r="C1747" s="559"/>
      <c r="D1747" s="559"/>
      <c r="E1747" s="559"/>
      <c r="F1747" s="563"/>
      <c r="G1747" s="559"/>
      <c r="H1747" s="559"/>
      <c r="I1747" s="564"/>
      <c r="J1747" s="565"/>
      <c r="K1747" s="542"/>
      <c r="L1747" s="542"/>
      <c r="M1747" s="542"/>
    </row>
    <row r="1748">
      <c r="A1748" s="570"/>
      <c r="B1748" s="559"/>
      <c r="C1748" s="559"/>
      <c r="D1748" s="559"/>
      <c r="E1748" s="559"/>
      <c r="F1748" s="563"/>
      <c r="G1748" s="559"/>
      <c r="H1748" s="559"/>
      <c r="I1748" s="564"/>
      <c r="J1748" s="565"/>
      <c r="K1748" s="542"/>
      <c r="L1748" s="542"/>
      <c r="M1748" s="542"/>
    </row>
    <row r="1749">
      <c r="A1749" s="570"/>
      <c r="B1749" s="559"/>
      <c r="C1749" s="559"/>
      <c r="D1749" s="559"/>
      <c r="E1749" s="559"/>
      <c r="F1749" s="563"/>
      <c r="G1749" s="559"/>
      <c r="H1749" s="559"/>
      <c r="I1749" s="564"/>
      <c r="J1749" s="565"/>
      <c r="K1749" s="542"/>
      <c r="L1749" s="542"/>
      <c r="M1749" s="542"/>
    </row>
    <row r="1750">
      <c r="A1750" s="570"/>
      <c r="B1750" s="559"/>
      <c r="C1750" s="559"/>
      <c r="D1750" s="559"/>
      <c r="E1750" s="559"/>
      <c r="F1750" s="563"/>
      <c r="G1750" s="559"/>
      <c r="H1750" s="559"/>
      <c r="I1750" s="564"/>
      <c r="J1750" s="565"/>
      <c r="K1750" s="542"/>
      <c r="L1750" s="542"/>
      <c r="M1750" s="542"/>
    </row>
    <row r="1751">
      <c r="A1751" s="570"/>
      <c r="B1751" s="559"/>
      <c r="C1751" s="559"/>
      <c r="D1751" s="559"/>
      <c r="E1751" s="559"/>
      <c r="F1751" s="563"/>
      <c r="G1751" s="559"/>
      <c r="H1751" s="559"/>
      <c r="I1751" s="564"/>
      <c r="J1751" s="565"/>
      <c r="K1751" s="542"/>
      <c r="L1751" s="542"/>
      <c r="M1751" s="542"/>
    </row>
    <row r="1752">
      <c r="A1752" s="570"/>
      <c r="B1752" s="559"/>
      <c r="C1752" s="559"/>
      <c r="D1752" s="559"/>
      <c r="E1752" s="559"/>
      <c r="F1752" s="563"/>
      <c r="G1752" s="559"/>
      <c r="H1752" s="559"/>
      <c r="I1752" s="564"/>
      <c r="J1752" s="565"/>
      <c r="K1752" s="542"/>
      <c r="L1752" s="542"/>
      <c r="M1752" s="542"/>
    </row>
    <row r="1753">
      <c r="A1753" s="570"/>
      <c r="B1753" s="559"/>
      <c r="C1753" s="559"/>
      <c r="D1753" s="559"/>
      <c r="E1753" s="559"/>
      <c r="F1753" s="563"/>
      <c r="G1753" s="559"/>
      <c r="H1753" s="559"/>
      <c r="I1753" s="564"/>
      <c r="J1753" s="565"/>
      <c r="K1753" s="542"/>
      <c r="L1753" s="542"/>
      <c r="M1753" s="542"/>
    </row>
    <row r="1754">
      <c r="A1754" s="570"/>
      <c r="B1754" s="559"/>
      <c r="C1754" s="559"/>
      <c r="D1754" s="559"/>
      <c r="E1754" s="559"/>
      <c r="F1754" s="563"/>
      <c r="G1754" s="559"/>
      <c r="H1754" s="559"/>
      <c r="I1754" s="564"/>
      <c r="J1754" s="565"/>
      <c r="K1754" s="542"/>
      <c r="L1754" s="542"/>
      <c r="M1754" s="542"/>
    </row>
    <row r="1755">
      <c r="A1755" s="570"/>
      <c r="B1755" s="559"/>
      <c r="C1755" s="559"/>
      <c r="D1755" s="559"/>
      <c r="E1755" s="559"/>
      <c r="F1755" s="563"/>
      <c r="G1755" s="559"/>
      <c r="H1755" s="559"/>
      <c r="I1755" s="564"/>
      <c r="J1755" s="565"/>
      <c r="K1755" s="542"/>
      <c r="L1755" s="542"/>
      <c r="M1755" s="542"/>
    </row>
    <row r="1756">
      <c r="A1756" s="570"/>
      <c r="B1756" s="559"/>
      <c r="C1756" s="559"/>
      <c r="D1756" s="559"/>
      <c r="E1756" s="559"/>
      <c r="F1756" s="563"/>
      <c r="G1756" s="559"/>
      <c r="H1756" s="559"/>
      <c r="I1756" s="564"/>
      <c r="J1756" s="565"/>
      <c r="K1756" s="542"/>
      <c r="L1756" s="542"/>
      <c r="M1756" s="542"/>
    </row>
    <row r="1757">
      <c r="A1757" s="570"/>
      <c r="B1757" s="559"/>
      <c r="C1757" s="559"/>
      <c r="D1757" s="559"/>
      <c r="E1757" s="559"/>
      <c r="F1757" s="563"/>
      <c r="G1757" s="559"/>
      <c r="H1757" s="559"/>
      <c r="I1757" s="564"/>
      <c r="J1757" s="565"/>
      <c r="K1757" s="542"/>
      <c r="L1757" s="542"/>
      <c r="M1757" s="542"/>
    </row>
    <row r="1758">
      <c r="A1758" s="570"/>
      <c r="B1758" s="559"/>
      <c r="C1758" s="559"/>
      <c r="D1758" s="559"/>
      <c r="E1758" s="559"/>
      <c r="F1758" s="563"/>
      <c r="G1758" s="559"/>
      <c r="H1758" s="559"/>
      <c r="I1758" s="564"/>
      <c r="J1758" s="565"/>
      <c r="K1758" s="542"/>
      <c r="L1758" s="542"/>
      <c r="M1758" s="542"/>
    </row>
    <row r="1759">
      <c r="A1759" s="570"/>
      <c r="B1759" s="559"/>
      <c r="C1759" s="559"/>
      <c r="D1759" s="559"/>
      <c r="E1759" s="559"/>
      <c r="F1759" s="563"/>
      <c r="G1759" s="559"/>
      <c r="H1759" s="559"/>
      <c r="I1759" s="564"/>
      <c r="J1759" s="565"/>
      <c r="K1759" s="542"/>
      <c r="L1759" s="542"/>
      <c r="M1759" s="542"/>
    </row>
    <row r="1760">
      <c r="A1760" s="570"/>
      <c r="B1760" s="559"/>
      <c r="C1760" s="559"/>
      <c r="D1760" s="559"/>
      <c r="E1760" s="559"/>
      <c r="F1760" s="563"/>
      <c r="G1760" s="559"/>
      <c r="H1760" s="559"/>
      <c r="I1760" s="564"/>
      <c r="J1760" s="565"/>
      <c r="K1760" s="542"/>
      <c r="L1760" s="542"/>
      <c r="M1760" s="542"/>
    </row>
    <row r="1761">
      <c r="A1761" s="570"/>
      <c r="B1761" s="559"/>
      <c r="C1761" s="559"/>
      <c r="D1761" s="559"/>
      <c r="E1761" s="559"/>
      <c r="F1761" s="563"/>
      <c r="G1761" s="559"/>
      <c r="H1761" s="559"/>
      <c r="I1761" s="564"/>
      <c r="J1761" s="565"/>
      <c r="K1761" s="542"/>
      <c r="L1761" s="542"/>
      <c r="M1761" s="542"/>
    </row>
  </sheetData>
  <mergeCells count="8">
    <mergeCell ref="F1:F2"/>
    <mergeCell ref="D1:D2"/>
    <mergeCell ref="E1:E2"/>
    <mergeCell ref="C1:C2"/>
    <mergeCell ref="B1:B2"/>
    <mergeCell ref="A1:A2"/>
    <mergeCell ref="I1:I2"/>
    <mergeCell ref="G1:G2"/>
  </mergeCells>
  <drawing r:id="rId1"/>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8.86"/>
    <col customWidth="1" min="2" max="2" width="19.86"/>
    <col customWidth="1" min="3" max="3" width="3.57"/>
    <col customWidth="1" min="4" max="4" width="17.14"/>
    <col customWidth="1" min="5" max="11" width="14.57"/>
    <col customWidth="1" min="12" max="12" width="17.0"/>
    <col customWidth="1" min="13" max="17" width="13.0"/>
    <col customWidth="1" min="18" max="18" width="6.29"/>
    <col customWidth="1" min="19" max="22" width="13.0"/>
    <col customWidth="1" min="23" max="23" width="8.0"/>
    <col customWidth="1" min="24" max="30" width="20.14"/>
    <col customWidth="1" min="31" max="31" width="21.86"/>
    <col customWidth="1" min="45" max="45" width="5.86"/>
    <col customWidth="1" min="49" max="49" width="5.57"/>
    <col customWidth="1" min="55" max="55" width="4.86"/>
  </cols>
  <sheetData>
    <row r="1" ht="16.5" customHeight="1">
      <c r="A1" s="599">
        <f>IF(MIN(AZ14,AZ34,AZ54)=AZ14,AU10,IF(MIN(AZ14,AZ34,AZ54)=AZ34,AU30,IF(MIN(AZ14,AZ34,AZ54)=AZ54,AU50)))</f>
        <v>21200</v>
      </c>
      <c r="B1" s="600" t="s">
        <v>1959</v>
      </c>
      <c r="C1" s="601"/>
      <c r="D1" s="602" t="s">
        <v>1961</v>
      </c>
      <c r="E1" s="602"/>
      <c r="F1" s="602"/>
      <c r="G1" s="602"/>
      <c r="H1" s="602"/>
      <c r="I1" s="602"/>
      <c r="J1" s="602"/>
      <c r="K1" s="603"/>
      <c r="L1" s="604"/>
      <c r="M1" s="605" t="s">
        <v>56</v>
      </c>
      <c r="N1" s="606" t="s">
        <v>55</v>
      </c>
      <c r="O1" s="606" t="s">
        <v>638</v>
      </c>
      <c r="P1" s="607" t="s">
        <v>60</v>
      </c>
      <c r="Q1" s="607" t="s">
        <v>1964</v>
      </c>
      <c r="R1" s="608"/>
      <c r="S1" s="609" t="s">
        <v>1965</v>
      </c>
      <c r="T1" s="28"/>
      <c r="U1" s="28"/>
      <c r="V1" s="28"/>
      <c r="W1" s="608"/>
      <c r="X1" s="610" t="s">
        <v>1966</v>
      </c>
      <c r="Y1" s="611" t="s">
        <v>1968</v>
      </c>
      <c r="Z1" s="613" t="s">
        <v>1969</v>
      </c>
      <c r="AA1" s="614" t="s">
        <v>1971</v>
      </c>
      <c r="AB1" s="615" t="s">
        <v>1973</v>
      </c>
      <c r="AC1" s="616" t="s">
        <v>1974</v>
      </c>
      <c r="AD1" s="309"/>
      <c r="AE1" s="617" t="s">
        <v>1975</v>
      </c>
      <c r="AF1" s="618" t="s">
        <v>1976</v>
      </c>
      <c r="AG1" s="28"/>
      <c r="AH1" s="28"/>
      <c r="AI1" s="28"/>
      <c r="AJ1" s="619"/>
      <c r="AK1" s="620" t="s">
        <v>1978</v>
      </c>
      <c r="AL1" s="621">
        <f t="shared" ref="AL1:AR1" si="1">COLUMN()</f>
        <v>38</v>
      </c>
      <c r="AM1" s="622">
        <f t="shared" si="1"/>
        <v>39</v>
      </c>
      <c r="AN1" s="623">
        <f t="shared" si="1"/>
        <v>40</v>
      </c>
      <c r="AO1" s="623">
        <f t="shared" si="1"/>
        <v>41</v>
      </c>
      <c r="AP1" s="622">
        <f t="shared" si="1"/>
        <v>42</v>
      </c>
      <c r="AQ1" s="621">
        <f t="shared" si="1"/>
        <v>43</v>
      </c>
      <c r="AR1" s="623">
        <f t="shared" si="1"/>
        <v>44</v>
      </c>
      <c r="AS1" s="624"/>
      <c r="AT1" s="624"/>
      <c r="AU1" s="624"/>
      <c r="AV1" s="624"/>
      <c r="AW1" s="624"/>
      <c r="AX1" s="625"/>
      <c r="AY1" s="625"/>
      <c r="AZ1" s="625"/>
      <c r="BA1" s="625"/>
      <c r="BB1" s="625"/>
      <c r="BC1" s="624"/>
      <c r="BD1" s="624"/>
      <c r="BE1" s="624"/>
    </row>
    <row r="2" ht="16.5" customHeight="1">
      <c r="A2" s="626">
        <v>21200.0</v>
      </c>
      <c r="B2" s="627" t="s">
        <v>1982</v>
      </c>
      <c r="C2" s="601"/>
      <c r="D2" s="628" t="s">
        <v>1983</v>
      </c>
      <c r="E2" s="628"/>
      <c r="F2" s="628"/>
      <c r="G2" s="628"/>
      <c r="H2" s="628"/>
      <c r="I2" s="628"/>
      <c r="J2" s="628"/>
      <c r="K2" s="603"/>
      <c r="L2" s="604"/>
      <c r="M2" s="629" t="s">
        <v>1985</v>
      </c>
      <c r="N2" s="630" t="s">
        <v>1985</v>
      </c>
      <c r="O2" s="630" t="s">
        <v>1986</v>
      </c>
      <c r="P2" s="630" t="s">
        <v>1986</v>
      </c>
      <c r="Q2" s="631"/>
      <c r="R2" s="632"/>
      <c r="S2" s="607" t="s">
        <v>1987</v>
      </c>
      <c r="T2" s="633">
        <f>round((sum(T7:T1501)-max(T7:T1501)-min(T7:T1501))/(count(T7:T1501)-2))</f>
        <v>0</v>
      </c>
      <c r="U2" s="607" t="s">
        <v>1987</v>
      </c>
      <c r="V2" s="633">
        <f>round((sum(V7:V1501)-max(V7:V1501)-min(V7:V1501))/(count(V7:V1501)-2))</f>
        <v>0</v>
      </c>
      <c r="W2" s="634"/>
      <c r="X2" s="316"/>
      <c r="Y2" s="314"/>
      <c r="Z2" s="314"/>
      <c r="AA2" s="315"/>
      <c r="AB2" s="315"/>
      <c r="AC2" s="315"/>
      <c r="AD2" s="316"/>
      <c r="AE2" s="314"/>
      <c r="AF2" s="635">
        <v>0.0</v>
      </c>
      <c r="AG2" s="638">
        <f t="array" ref="AG2:AG386">if(AF2:AF386="",,$AU$27-AF2:AF386/($AU$28*100)+$AU$29*exp(-AF2:AF386/$AU$30))</f>
        <v>1</v>
      </c>
      <c r="AH2" s="640">
        <v>1.0</v>
      </c>
      <c r="AI2" s="641"/>
      <c r="AJ2" s="642" t="s">
        <v>1991</v>
      </c>
      <c r="AK2" s="644" t="s">
        <v>1993</v>
      </c>
      <c r="AL2" s="644" t="s">
        <v>19</v>
      </c>
      <c r="AM2" s="645" t="s">
        <v>1994</v>
      </c>
      <c r="AN2" s="644" t="s">
        <v>1995</v>
      </c>
      <c r="AO2" s="644" t="s">
        <v>19</v>
      </c>
      <c r="AP2" s="646" t="s">
        <v>1994</v>
      </c>
      <c r="AQ2" s="644" t="s">
        <v>19</v>
      </c>
      <c r="AR2" s="647" t="s">
        <v>1994</v>
      </c>
      <c r="AS2" s="624"/>
      <c r="AT2" s="624"/>
      <c r="AU2" s="624"/>
      <c r="AV2" s="624"/>
      <c r="AW2" s="648"/>
      <c r="AX2" s="650" t="s">
        <v>1997</v>
      </c>
      <c r="AY2" s="344"/>
      <c r="AZ2" s="344"/>
      <c r="BA2" s="344"/>
      <c r="BB2" s="322"/>
      <c r="BC2" s="624"/>
      <c r="BD2" s="624"/>
      <c r="BE2" s="624"/>
    </row>
    <row r="3" ht="16.5" customHeight="1">
      <c r="A3" s="651" t="s">
        <v>1998</v>
      </c>
      <c r="C3" s="601"/>
      <c r="D3" s="652" t="s">
        <v>1999</v>
      </c>
      <c r="E3" s="652"/>
      <c r="F3" s="652"/>
      <c r="G3" s="652"/>
      <c r="H3" s="652"/>
      <c r="I3" s="652"/>
      <c r="J3" s="652"/>
      <c r="K3" s="603"/>
      <c r="L3" s="604"/>
      <c r="M3" s="629" t="s">
        <v>2000</v>
      </c>
      <c r="N3" s="630" t="s">
        <v>2001</v>
      </c>
      <c r="O3" s="630" t="s">
        <v>2000</v>
      </c>
      <c r="P3" s="630" t="s">
        <v>2001</v>
      </c>
      <c r="Q3" s="653" t="s">
        <v>2002</v>
      </c>
      <c r="R3" s="654"/>
      <c r="S3" s="655" t="str">
        <f>"Column "&amp;char(64+column(M1))&amp;" last updated on:"</f>
        <v>Column M last updated on:</v>
      </c>
      <c r="T3" s="24"/>
      <c r="U3" s="656" t="str">
        <f>"Column "&amp;char(64+column(P1))&amp;" last updated on:"</f>
        <v>Column P last updated on:</v>
      </c>
      <c r="V3" s="309"/>
      <c r="X3" s="316"/>
      <c r="Y3" s="314"/>
      <c r="Z3" s="314"/>
      <c r="AA3" s="315"/>
      <c r="AB3" s="315"/>
      <c r="AC3" s="315"/>
      <c r="AD3" s="316"/>
      <c r="AE3" s="314"/>
      <c r="AF3" s="657">
        <f t="shared" ref="AF3:AF23" si="2">AF2+300</f>
        <v>300</v>
      </c>
      <c r="AG3" s="658">
        <v>0.9993943988425253</v>
      </c>
      <c r="AH3" s="659">
        <f t="shared" ref="AH3:AH386" si="3">if(AG3="","",min(AG$2:AG3))</f>
        <v>0.9993943988</v>
      </c>
      <c r="AI3" s="641"/>
      <c r="AJ3" s="660">
        <f>IF(COUNT(AL3:AN3)=3,ROW(),)</f>
        <v>3</v>
      </c>
      <c r="AK3" s="661">
        <f t="array" ref="AK3:AL1277">sort({'Asia Pacific &amp; Europe (excl UK)'!$S$4:$S1501,'Asia Pacific &amp; Europe (excl UK)'!$AP$4:$AP1501;Canada!$S$4:$S1501,Canada!$AP$4:$AP1501;UK!$S$4:$S1501,UK!$AP$4:$AP1501;USA!$S$4:$S1501,USA!$AP$4:$AP1501},2,False)</f>
        <v>0.901</v>
      </c>
      <c r="AL3" s="662">
        <v>276500.0</v>
      </c>
      <c r="AM3" s="663">
        <f t="array" ref="AM3:AM1501">IF(ISBLANK(AL3:AL1501),,exp(-AL3:AL1501/$AU$10)-1)</f>
        <v>-0.9999984191</v>
      </c>
      <c r="AN3" s="664">
        <f t="array" ref="AN3:AN1501">IF(ISBLANK(AK3:AK1501),,AK3:AK1501-1)</f>
        <v>-0.099</v>
      </c>
      <c r="AO3" s="665">
        <f t="array" ref="AO3:AO1501">AL3:AL1501</f>
        <v>276500</v>
      </c>
      <c r="AP3" s="663">
        <f t="array" ref="AP3:AP1501">IF(ISBLANK(AL3:AL1501),,exp(-AL3:AL1501/$AU$30)-1)</f>
        <v>-0.9999978336</v>
      </c>
      <c r="AQ3" s="665">
        <f t="array" ref="AQ3:AQ1501">AL3:AL1501</f>
        <v>276500</v>
      </c>
      <c r="AR3" s="666">
        <f t="array" ref="AR3:AR1501">IF(ISBLANK(AL3:AL1501),,exp(-AL3:AL1501/$AU$50)-1)</f>
        <v>-0.9999970742</v>
      </c>
      <c r="AS3" s="624"/>
      <c r="AT3" s="624"/>
      <c r="AU3" s="624"/>
      <c r="AV3" s="624"/>
      <c r="AW3" s="648"/>
      <c r="AX3" s="667" t="s">
        <v>2021</v>
      </c>
      <c r="BB3" s="316"/>
      <c r="BC3" s="668"/>
      <c r="BD3" s="624"/>
      <c r="BE3" s="624"/>
    </row>
    <row r="4" ht="16.5" customHeight="1">
      <c r="A4" s="601"/>
      <c r="B4" s="601"/>
      <c r="C4" s="601"/>
      <c r="D4" s="669" t="s">
        <v>2023</v>
      </c>
      <c r="E4" s="669"/>
      <c r="F4" s="669"/>
      <c r="G4" s="669"/>
      <c r="H4" s="669"/>
      <c r="I4" s="669"/>
      <c r="J4" s="669"/>
      <c r="K4" s="603"/>
      <c r="L4" s="670" t="s">
        <v>103</v>
      </c>
      <c r="M4" s="630">
        <v>267.0</v>
      </c>
      <c r="N4" s="671">
        <f t="shared" ref="N4:N28" si="4">if(isnumber(value(M4)),round(convert(M4,"mi","km")),"unknown")</f>
        <v>430</v>
      </c>
      <c r="O4" s="671">
        <f t="shared" ref="O4:O28" si="5">if(isnumber(value(P4)),round(convert(P4,"km","mi")),"unknown")</f>
        <v>249</v>
      </c>
      <c r="P4" s="630">
        <v>400.0</v>
      </c>
      <c r="Q4" s="672">
        <v>77500.0</v>
      </c>
      <c r="R4" s="632"/>
      <c r="S4" s="673">
        <v>42994.0</v>
      </c>
      <c r="T4" s="24"/>
      <c r="U4" s="673">
        <v>42994.0</v>
      </c>
      <c r="V4" s="24"/>
      <c r="W4" s="674"/>
      <c r="X4" s="675" t="s">
        <v>2028</v>
      </c>
      <c r="Y4" s="28"/>
      <c r="Z4" s="314"/>
      <c r="AA4" s="321"/>
      <c r="AB4" s="315"/>
      <c r="AC4" s="321"/>
      <c r="AD4" s="322"/>
      <c r="AE4" s="314"/>
      <c r="AF4" s="657">
        <f t="shared" si="2"/>
        <v>600</v>
      </c>
      <c r="AG4" s="658">
        <v>0.9987966482294226</v>
      </c>
      <c r="AH4" s="659">
        <f t="shared" si="3"/>
        <v>0.9987966482</v>
      </c>
      <c r="AI4" s="641"/>
      <c r="AJ4" s="660">
        <f t="shared" ref="AJ4:AJ1000" si="6">IF(AND(Isnumber(AJ3),COUNT(AL4:AN4)=3),ROW(),)</f>
        <v>4</v>
      </c>
      <c r="AK4" s="676">
        <v>0.9213</v>
      </c>
      <c r="AL4" s="662">
        <v>269000.0</v>
      </c>
      <c r="AM4" s="677">
        <v>-0.9999977287247093</v>
      </c>
      <c r="AN4" s="678">
        <v>-0.07869999999999999</v>
      </c>
      <c r="AO4" s="662">
        <v>269000.0</v>
      </c>
      <c r="AP4" s="679">
        <v>-0.9999969141371426</v>
      </c>
      <c r="AQ4" s="662">
        <v>269000.0</v>
      </c>
      <c r="AR4" s="680">
        <v>-0.9999958661995324</v>
      </c>
      <c r="AS4" s="624"/>
      <c r="AT4" s="624"/>
      <c r="AU4" s="624"/>
      <c r="AV4" s="624"/>
      <c r="AW4" s="648"/>
      <c r="AX4" s="315"/>
      <c r="BB4" s="316"/>
      <c r="BC4" s="668"/>
      <c r="BD4" s="624"/>
      <c r="BE4" s="624"/>
    </row>
    <row r="5" ht="16.5" customHeight="1">
      <c r="A5" s="601"/>
      <c r="B5" s="601"/>
      <c r="C5" s="601"/>
      <c r="D5" s="681" t="s">
        <v>2032</v>
      </c>
      <c r="E5" s="682"/>
      <c r="F5" s="682"/>
      <c r="G5" s="682"/>
      <c r="H5" s="682"/>
      <c r="I5" s="682"/>
      <c r="J5" s="682"/>
      <c r="K5" s="603"/>
      <c r="L5" s="683" t="s">
        <v>109</v>
      </c>
      <c r="M5" s="684">
        <v>210.0</v>
      </c>
      <c r="N5" s="671">
        <f t="shared" si="4"/>
        <v>338</v>
      </c>
      <c r="O5" s="671">
        <f t="shared" si="5"/>
        <v>180</v>
      </c>
      <c r="P5" s="684">
        <v>289.0</v>
      </c>
      <c r="Q5" s="685">
        <v>58500.0</v>
      </c>
      <c r="R5" s="632"/>
      <c r="S5" s="686"/>
      <c r="T5" s="24"/>
      <c r="U5" s="609" t="s">
        <v>2035</v>
      </c>
      <c r="V5" s="24"/>
      <c r="W5" s="632"/>
      <c r="X5" s="687" t="s">
        <v>127</v>
      </c>
      <c r="Y5" s="688">
        <f>365</f>
        <v>365</v>
      </c>
      <c r="Z5" s="689">
        <v>0.5</v>
      </c>
      <c r="AA5" s="683" t="s">
        <v>281</v>
      </c>
      <c r="AB5" s="685">
        <v>5.0</v>
      </c>
      <c r="AC5" s="653" t="s">
        <v>2036</v>
      </c>
      <c r="AD5" s="690">
        <f>400/395</f>
        <v>1.012658228</v>
      </c>
      <c r="AE5" s="630">
        <v>3.2</v>
      </c>
      <c r="AF5" s="657">
        <f t="shared" si="2"/>
        <v>900</v>
      </c>
      <c r="AG5" s="658">
        <v>0.9982066378504205</v>
      </c>
      <c r="AH5" s="659">
        <f t="shared" si="3"/>
        <v>0.9982066379</v>
      </c>
      <c r="AI5" s="641"/>
      <c r="AJ5" s="660">
        <f t="shared" si="6"/>
        <v>5</v>
      </c>
      <c r="AK5" s="676">
        <v>0.9365</v>
      </c>
      <c r="AL5" s="662">
        <v>251200.0</v>
      </c>
      <c r="AM5" s="677">
        <v>-0.9999946331300715</v>
      </c>
      <c r="AN5" s="678">
        <v>-0.0635</v>
      </c>
      <c r="AO5" s="662">
        <v>251200.0</v>
      </c>
      <c r="AP5" s="679">
        <v>-0.9999928547060286</v>
      </c>
      <c r="AQ5" s="662">
        <v>251200.0</v>
      </c>
      <c r="AR5" s="680">
        <v>-0.999990611611201</v>
      </c>
      <c r="AS5" s="624"/>
      <c r="AT5" s="625"/>
      <c r="AU5" s="625"/>
      <c r="AV5" s="625"/>
      <c r="AW5" s="648"/>
      <c r="AX5" s="321"/>
      <c r="AY5" s="344"/>
      <c r="AZ5" s="344"/>
      <c r="BA5" s="344"/>
      <c r="BB5" s="322"/>
      <c r="BC5" s="668"/>
      <c r="BD5" s="625"/>
      <c r="BE5" s="625"/>
    </row>
    <row r="6" ht="16.5" customHeight="1">
      <c r="A6" s="692"/>
      <c r="B6" s="692"/>
      <c r="C6" s="692"/>
      <c r="D6" s="694" t="s">
        <v>2038</v>
      </c>
      <c r="K6" s="603"/>
      <c r="L6" s="683" t="s">
        <v>250</v>
      </c>
      <c r="M6" s="684">
        <v>222.0</v>
      </c>
      <c r="N6" s="671">
        <f t="shared" si="4"/>
        <v>357</v>
      </c>
      <c r="O6" s="671">
        <f t="shared" si="5"/>
        <v>207</v>
      </c>
      <c r="P6" s="684">
        <v>333.0</v>
      </c>
      <c r="Q6" s="685">
        <v>58500.0</v>
      </c>
      <c r="R6" s="632"/>
      <c r="S6" s="695"/>
      <c r="T6" s="609" t="s">
        <v>2040</v>
      </c>
      <c r="U6" s="274"/>
      <c r="V6" s="696" t="s">
        <v>2041</v>
      </c>
      <c r="W6" s="632"/>
      <c r="X6" s="687" t="s">
        <v>80</v>
      </c>
      <c r="Y6" s="688">
        <f>104</f>
        <v>104</v>
      </c>
      <c r="Z6" s="689">
        <v>0.6</v>
      </c>
      <c r="AA6" s="683" t="s">
        <v>196</v>
      </c>
      <c r="AB6" s="685">
        <v>0.0</v>
      </c>
      <c r="AC6" s="653" t="s">
        <v>908</v>
      </c>
      <c r="AD6" s="690">
        <f>400/396</f>
        <v>1.01010101</v>
      </c>
      <c r="AE6" s="603"/>
      <c r="AF6" s="657">
        <f t="shared" si="2"/>
        <v>1200</v>
      </c>
      <c r="AG6" s="658">
        <v>0.9976242589452499</v>
      </c>
      <c r="AH6" s="659">
        <f t="shared" si="3"/>
        <v>0.9976242589</v>
      </c>
      <c r="AI6" s="641"/>
      <c r="AJ6" s="660">
        <f t="shared" si="6"/>
        <v>6</v>
      </c>
      <c r="AK6" s="676">
        <v>0.9365</v>
      </c>
      <c r="AL6" s="662">
        <v>251000.0</v>
      </c>
      <c r="AM6" s="677">
        <v>-0.9999945810249455</v>
      </c>
      <c r="AN6" s="678">
        <v>-0.0635</v>
      </c>
      <c r="AO6" s="662">
        <v>251000.0</v>
      </c>
      <c r="AP6" s="679">
        <v>-0.9999927869786284</v>
      </c>
      <c r="AQ6" s="662">
        <v>251000.0</v>
      </c>
      <c r="AR6" s="680">
        <v>-0.9999905246822932</v>
      </c>
      <c r="AS6" s="648"/>
      <c r="AT6" s="697" t="s">
        <v>2043</v>
      </c>
      <c r="AU6" s="698" t="s">
        <v>2045</v>
      </c>
      <c r="AV6" s="699" t="s">
        <v>2047</v>
      </c>
      <c r="AW6" s="648"/>
      <c r="AX6" s="700"/>
      <c r="AY6" s="701" t="s">
        <v>2048</v>
      </c>
      <c r="AZ6" s="702">
        <f>MIN(AJ:AJ)</f>
        <v>3</v>
      </c>
      <c r="BA6" s="703" t="s">
        <v>2049</v>
      </c>
      <c r="BB6" s="704" t="str">
        <f>ADDRESS(AZ6,AN1,4)&amp;":"&amp;ADDRESS(AZ8,AN1,4)</f>
        <v>AN3:AN1000</v>
      </c>
      <c r="BC6" s="705"/>
      <c r="BD6" s="706">
        <f>-1/(AZ10+AZ11)/100</f>
        <v>71034.79176</v>
      </c>
      <c r="BE6" s="707" t="s">
        <v>2052</v>
      </c>
    </row>
    <row r="7" ht="16.5" customHeight="1">
      <c r="A7" s="692"/>
      <c r="B7" s="692"/>
      <c r="C7" s="692"/>
      <c r="K7" s="603"/>
      <c r="L7" s="683" t="s">
        <v>870</v>
      </c>
      <c r="M7" s="630">
        <v>234.0</v>
      </c>
      <c r="N7" s="671">
        <f t="shared" si="4"/>
        <v>377</v>
      </c>
      <c r="O7" s="671">
        <f t="shared" si="5"/>
        <v>224</v>
      </c>
      <c r="P7" s="684">
        <v>360.0</v>
      </c>
      <c r="Q7" s="685">
        <v>68800.0</v>
      </c>
      <c r="R7" s="632"/>
      <c r="S7" s="708" t="str">
        <f>IFERROR(__xludf.DUMMYFUNCTION("iferror(query({USA!$B$4:$B1501,USA!$F$4:$F1501,USA!$AM$4:$AM1501},""select Col1,avg(Col3) where Col3&gt;180 and Col2='""&amp;S5&amp;""' group by Col1 label avg(Col3)'' "",0))"),"")</f>
        <v/>
      </c>
      <c r="T7" s="709"/>
      <c r="U7" s="708" t="str">
        <f>IFERROR(__xludf.DUMMYFUNCTION("iferror(query({'Asia Pacific &amp; Europe (excl UK)'!$B$4:$B1501,'Asia Pacific &amp; Europe (excl UK)'!$F$4:$F1501,'Asia Pacific &amp; Europe (excl UK)'!$AM$4:$AM1501},""select Col1,avg(Col3) where Col3&gt;180 and Col2='""&amp;S5&amp;""' group by Col1 label avg(Col3)'' "",0))"),"")</f>
        <v/>
      </c>
      <c r="V7" s="710"/>
      <c r="W7" s="632"/>
      <c r="X7" s="687" t="s">
        <v>67</v>
      </c>
      <c r="Y7" s="688">
        <f>52</f>
        <v>52</v>
      </c>
      <c r="Z7" s="689">
        <v>0.7</v>
      </c>
      <c r="AA7" s="683" t="s">
        <v>2056</v>
      </c>
      <c r="AB7" s="685">
        <v>1.0</v>
      </c>
      <c r="AC7" s="711"/>
      <c r="AD7" s="711"/>
      <c r="AE7" s="712"/>
      <c r="AF7" s="657">
        <f t="shared" si="2"/>
        <v>1500</v>
      </c>
      <c r="AG7" s="658">
        <v>0.9970494042818631</v>
      </c>
      <c r="AH7" s="659">
        <f t="shared" si="3"/>
        <v>0.9970494043</v>
      </c>
      <c r="AI7" s="641"/>
      <c r="AJ7" s="660">
        <f t="shared" si="6"/>
        <v>7</v>
      </c>
      <c r="AK7" s="676">
        <v>0.9123</v>
      </c>
      <c r="AL7" s="662">
        <v>248884.0</v>
      </c>
      <c r="AM7" s="677">
        <v>-0.9999939977829131</v>
      </c>
      <c r="AN7" s="678">
        <v>-0.0877</v>
      </c>
      <c r="AO7" s="662">
        <v>248884.0</v>
      </c>
      <c r="AP7" s="679">
        <v>-0.9999920298824863</v>
      </c>
      <c r="AQ7" s="662">
        <v>248884.0</v>
      </c>
      <c r="AR7" s="680">
        <v>-0.9999895541810048</v>
      </c>
      <c r="AS7" s="648"/>
      <c r="AT7" s="698" t="s">
        <v>2058</v>
      </c>
      <c r="AU7" s="713">
        <f>1-AU9</f>
        <v>0.9606966158</v>
      </c>
      <c r="AV7" s="714">
        <f>AV9</f>
        <v>0.001621551939</v>
      </c>
      <c r="AW7" s="648"/>
      <c r="AX7" s="700"/>
      <c r="AY7" s="322"/>
      <c r="AZ7" s="322"/>
      <c r="BA7" s="322"/>
      <c r="BB7" s="322"/>
      <c r="BC7" s="715"/>
      <c r="BD7" s="706">
        <f>-1/(AZ10-AZ11)/100</f>
        <v>56003.83823</v>
      </c>
      <c r="BE7" s="707" t="s">
        <v>2060</v>
      </c>
    </row>
    <row r="8" ht="16.5" customHeight="1">
      <c r="A8" s="692"/>
      <c r="B8" s="692"/>
      <c r="C8" s="692"/>
      <c r="K8" s="603"/>
      <c r="L8" s="683" t="s">
        <v>118</v>
      </c>
      <c r="M8" s="684">
        <v>243.0</v>
      </c>
      <c r="N8" s="671">
        <f t="shared" si="4"/>
        <v>391</v>
      </c>
      <c r="O8" s="671">
        <f t="shared" si="5"/>
        <v>227</v>
      </c>
      <c r="P8" s="684">
        <v>365.0</v>
      </c>
      <c r="Q8" s="685">
        <v>68800.0</v>
      </c>
      <c r="R8" s="632"/>
      <c r="S8" s="696"/>
      <c r="T8" s="716"/>
      <c r="U8" s="717"/>
      <c r="V8" s="718"/>
      <c r="W8" s="632"/>
      <c r="X8" s="687" t="s">
        <v>65</v>
      </c>
      <c r="Y8" s="688">
        <f>24</f>
        <v>24</v>
      </c>
      <c r="Z8" s="689">
        <v>0.8</v>
      </c>
      <c r="AA8" s="683" t="s">
        <v>2062</v>
      </c>
      <c r="AB8" s="685">
        <v>2.0</v>
      </c>
      <c r="AC8" s="711"/>
      <c r="AD8" s="711"/>
      <c r="AE8" s="712"/>
      <c r="AF8" s="657">
        <f t="shared" si="2"/>
        <v>1800</v>
      </c>
      <c r="AG8" s="658">
        <v>0.996481968134961</v>
      </c>
      <c r="AH8" s="659">
        <f t="shared" si="3"/>
        <v>0.9964819681</v>
      </c>
      <c r="AI8" s="641"/>
      <c r="AJ8" s="660">
        <f t="shared" si="6"/>
        <v>8</v>
      </c>
      <c r="AK8" s="676">
        <v>0.9315</v>
      </c>
      <c r="AL8" s="662">
        <v>246000.0</v>
      </c>
      <c r="AM8" s="677">
        <v>-0.9999931004748738</v>
      </c>
      <c r="AN8" s="678">
        <v>-0.0685</v>
      </c>
      <c r="AO8" s="662">
        <v>246000.0</v>
      </c>
      <c r="AP8" s="679">
        <v>-0.9999908684360939</v>
      </c>
      <c r="AQ8" s="662">
        <v>246000.0</v>
      </c>
      <c r="AR8" s="680">
        <v>-0.9999880694178984</v>
      </c>
      <c r="AS8" s="648"/>
      <c r="AT8" s="698" t="s">
        <v>2063</v>
      </c>
      <c r="AU8" s="719">
        <f>-1/AZ10/100</f>
        <v>62630.099</v>
      </c>
      <c r="AV8" s="699" t="s">
        <v>2065</v>
      </c>
      <c r="AW8" s="648"/>
      <c r="AX8" s="700"/>
      <c r="AY8" s="701" t="s">
        <v>2066</v>
      </c>
      <c r="AZ8" s="702">
        <f>MAX(AJ:AJ)</f>
        <v>1000</v>
      </c>
      <c r="BA8" s="703" t="s">
        <v>2067</v>
      </c>
      <c r="BB8" s="704" t="str">
        <f>ADDRESS(AZ6,AL1,4)&amp;":"&amp;ADDRESS(AZ8,AM1,4)</f>
        <v>AL3:AM1000</v>
      </c>
      <c r="BC8" s="648"/>
      <c r="BD8" s="706">
        <f>-1/AZ10/100</f>
        <v>62630.099</v>
      </c>
      <c r="BE8" s="707" t="s">
        <v>2070</v>
      </c>
      <c r="BF8" s="338"/>
      <c r="BG8" s="338"/>
    </row>
    <row r="9" ht="16.5" customHeight="1">
      <c r="A9" s="692"/>
      <c r="B9" s="692"/>
      <c r="C9" s="692"/>
      <c r="K9" s="603"/>
      <c r="L9" s="683" t="s">
        <v>629</v>
      </c>
      <c r="M9" s="630">
        <v>249.0</v>
      </c>
      <c r="N9" s="671">
        <f t="shared" si="4"/>
        <v>401</v>
      </c>
      <c r="O9" s="671">
        <f t="shared" si="5"/>
        <v>240</v>
      </c>
      <c r="P9" s="684">
        <v>386.0</v>
      </c>
      <c r="Q9" s="685">
        <v>72600.0</v>
      </c>
      <c r="R9" s="632"/>
      <c r="S9" s="696"/>
      <c r="T9" s="716"/>
      <c r="U9" s="696"/>
      <c r="V9" s="716"/>
      <c r="W9" s="632"/>
      <c r="X9" s="687" t="s">
        <v>64</v>
      </c>
      <c r="Y9" s="688">
        <f>12</f>
        <v>12</v>
      </c>
      <c r="Z9" s="689">
        <v>0.9</v>
      </c>
      <c r="AA9" s="683" t="s">
        <v>2071</v>
      </c>
      <c r="AB9" s="685">
        <v>3.0</v>
      </c>
      <c r="AC9" s="654"/>
      <c r="AD9" s="654"/>
      <c r="AE9" s="712"/>
      <c r="AF9" s="657">
        <f t="shared" si="2"/>
        <v>2100</v>
      </c>
      <c r="AG9" s="658">
        <v>0.9959218462648217</v>
      </c>
      <c r="AH9" s="659">
        <f t="shared" si="3"/>
        <v>0.9959218463</v>
      </c>
      <c r="AI9" s="641"/>
      <c r="AJ9" s="660">
        <f t="shared" si="6"/>
        <v>9</v>
      </c>
      <c r="AK9" s="676">
        <v>0.9289</v>
      </c>
      <c r="AL9" s="662">
        <v>240000.0</v>
      </c>
      <c r="AM9" s="677">
        <v>-0.9999907806212056</v>
      </c>
      <c r="AN9" s="678">
        <v>-0.07110000000000005</v>
      </c>
      <c r="AO9" s="662">
        <v>240000.0</v>
      </c>
      <c r="AP9" s="679">
        <v>-0.9999878812257507</v>
      </c>
      <c r="AQ9" s="662">
        <v>240000.0</v>
      </c>
      <c r="AR9" s="680">
        <v>-0.9999842694807946</v>
      </c>
      <c r="AS9" s="648"/>
      <c r="AT9" s="698" t="s">
        <v>2073</v>
      </c>
      <c r="AU9" s="720">
        <f>AY10</f>
        <v>0.03930338422</v>
      </c>
      <c r="AV9" s="721">
        <f>AY11</f>
        <v>0.001621551939</v>
      </c>
      <c r="AW9" s="648"/>
      <c r="AX9" s="700"/>
      <c r="AY9" s="322"/>
      <c r="AZ9" s="322"/>
      <c r="BA9" s="322"/>
      <c r="BB9" s="322"/>
      <c r="BC9" s="648"/>
      <c r="BD9" s="722">
        <f>BD8-BD7</f>
        <v>6626.260769</v>
      </c>
      <c r="BE9" s="707" t="s">
        <v>2075</v>
      </c>
      <c r="BF9" s="338"/>
      <c r="BG9" s="338"/>
    </row>
    <row r="10" ht="16.5" customHeight="1">
      <c r="A10" s="692"/>
      <c r="B10" s="692"/>
      <c r="C10" s="692"/>
      <c r="K10" s="603"/>
      <c r="L10" s="683" t="s">
        <v>675</v>
      </c>
      <c r="M10" s="630">
        <v>262.0</v>
      </c>
      <c r="N10" s="671">
        <f t="shared" si="4"/>
        <v>422</v>
      </c>
      <c r="O10" s="671">
        <f t="shared" si="5"/>
        <v>241</v>
      </c>
      <c r="P10" s="685">
        <v>388.0</v>
      </c>
      <c r="Q10" s="685">
        <v>72600.0</v>
      </c>
      <c r="R10" s="632"/>
      <c r="S10" s="696"/>
      <c r="T10" s="716"/>
      <c r="U10" s="696"/>
      <c r="V10" s="716"/>
      <c r="W10" s="632"/>
      <c r="X10" s="687" t="s">
        <v>69</v>
      </c>
      <c r="Y10" s="688">
        <f>6</f>
        <v>6</v>
      </c>
      <c r="Z10" s="689">
        <v>1.0</v>
      </c>
      <c r="AA10" s="683" t="s">
        <v>2076</v>
      </c>
      <c r="AB10" s="685">
        <v>4.0</v>
      </c>
      <c r="AC10" s="632"/>
      <c r="AD10" s="632"/>
      <c r="AE10" s="712"/>
      <c r="AF10" s="657">
        <f t="shared" si="2"/>
        <v>2400</v>
      </c>
      <c r="AG10" s="658">
        <v>0.9953689358964254</v>
      </c>
      <c r="AH10" s="659">
        <f t="shared" si="3"/>
        <v>0.9953689359</v>
      </c>
      <c r="AI10" s="641"/>
      <c r="AJ10" s="660">
        <f t="shared" si="6"/>
        <v>10</v>
      </c>
      <c r="AK10" s="676">
        <v>0.9187</v>
      </c>
      <c r="AL10" s="662">
        <v>235000.0</v>
      </c>
      <c r="AM10" s="677">
        <v>-0.9999882617404583</v>
      </c>
      <c r="AN10" s="678">
        <v>-0.08130000000000004</v>
      </c>
      <c r="AO10" s="662">
        <v>235000.0</v>
      </c>
      <c r="AP10" s="679">
        <v>-0.999984657835348</v>
      </c>
      <c r="AQ10" s="662">
        <v>235000.0</v>
      </c>
      <c r="AR10" s="680">
        <v>-0.9999801933553377</v>
      </c>
      <c r="AS10" s="648"/>
      <c r="AT10" s="698" t="s">
        <v>2078</v>
      </c>
      <c r="AU10" s="723">
        <f>AU30-500</f>
        <v>20700</v>
      </c>
      <c r="AV10" s="724" t="s">
        <v>2079</v>
      </c>
      <c r="AW10" s="648"/>
      <c r="AX10" s="700"/>
      <c r="AY10" s="725">
        <f t="array" ref="AY10:BA14">LINEST(indirect(BB6),indirect(BB8),FALSE,TRUE)</f>
        <v>0.03930338422</v>
      </c>
      <c r="AZ10" s="726">
        <v>-1.596676384033754E-7</v>
      </c>
      <c r="BA10" s="723">
        <v>0.0</v>
      </c>
      <c r="BB10" s="727"/>
      <c r="BC10" s="648"/>
      <c r="BD10" s="722">
        <f>BD6-BD8</f>
        <v>8404.692763</v>
      </c>
      <c r="BE10" s="728" t="s">
        <v>2083</v>
      </c>
      <c r="BF10" s="338"/>
      <c r="BG10" s="338"/>
    </row>
    <row r="11" ht="16.5" customHeight="1">
      <c r="A11" s="692"/>
      <c r="B11" s="692"/>
      <c r="C11" s="692"/>
      <c r="K11" s="603"/>
      <c r="L11" s="683" t="s">
        <v>59</v>
      </c>
      <c r="M11" s="684">
        <v>269.0</v>
      </c>
      <c r="N11" s="671">
        <f t="shared" si="4"/>
        <v>433</v>
      </c>
      <c r="O11" s="671">
        <f t="shared" si="5"/>
        <v>248</v>
      </c>
      <c r="P11" s="684">
        <v>399.0</v>
      </c>
      <c r="Q11" s="672">
        <v>77500.0</v>
      </c>
      <c r="R11" s="632"/>
      <c r="S11" s="696"/>
      <c r="T11" s="716"/>
      <c r="U11" s="696"/>
      <c r="V11" s="716"/>
      <c r="W11" s="632"/>
      <c r="X11" s="687" t="s">
        <v>66</v>
      </c>
      <c r="Y11" s="688">
        <f>1.5</f>
        <v>1.5</v>
      </c>
      <c r="Z11" s="729"/>
      <c r="AA11" s="683" t="s">
        <v>909</v>
      </c>
      <c r="AB11" s="685">
        <v>5.0</v>
      </c>
      <c r="AC11" s="632"/>
      <c r="AD11" s="632"/>
      <c r="AE11" s="712"/>
      <c r="AF11" s="657">
        <f t="shared" si="2"/>
        <v>2700</v>
      </c>
      <c r="AG11" s="658">
        <v>0.994823135698874</v>
      </c>
      <c r="AH11" s="659">
        <f t="shared" si="3"/>
        <v>0.9948231357</v>
      </c>
      <c r="AI11" s="641"/>
      <c r="AJ11" s="660">
        <f t="shared" si="6"/>
        <v>11</v>
      </c>
      <c r="AK11" s="676">
        <v>0.9137</v>
      </c>
      <c r="AL11" s="662">
        <v>230000.0</v>
      </c>
      <c r="AM11" s="677">
        <v>-0.9999850546614752</v>
      </c>
      <c r="AN11" s="678">
        <v>-0.08630000000000004</v>
      </c>
      <c r="AO11" s="662">
        <v>230000.0</v>
      </c>
      <c r="AP11" s="679">
        <v>-0.9999805770772385</v>
      </c>
      <c r="AQ11" s="662">
        <v>230000.0</v>
      </c>
      <c r="AR11" s="680">
        <v>-0.9999750610156185</v>
      </c>
      <c r="AS11" s="648"/>
      <c r="AT11" s="707" t="s">
        <v>2085</v>
      </c>
      <c r="AU11" s="730" t="str">
        <f>IF(MIN($AZ$14,$AZ$34,$AZ$54)=$AZ$14,"Yes","No")</f>
        <v>No</v>
      </c>
      <c r="AV11" s="731"/>
      <c r="AW11" s="648"/>
      <c r="AX11" s="700"/>
      <c r="AY11" s="726">
        <v>0.001621551939310033</v>
      </c>
      <c r="AZ11" s="726">
        <v>1.8891551755114845E-8</v>
      </c>
      <c r="BA11" s="726" t="e">
        <v>#N/A</v>
      </c>
      <c r="BB11" s="727"/>
      <c r="BC11" s="648"/>
      <c r="BD11" s="732">
        <f>AVERAGE(BD9:BD10)</f>
        <v>7515.476766</v>
      </c>
      <c r="BE11" s="707" t="s">
        <v>2088</v>
      </c>
      <c r="BF11" s="338"/>
      <c r="BG11" s="338"/>
    </row>
    <row r="12" ht="16.5" customHeight="1">
      <c r="A12" s="692"/>
      <c r="B12" s="692"/>
      <c r="C12" s="692"/>
      <c r="K12" s="603"/>
      <c r="L12" s="683" t="s">
        <v>79</v>
      </c>
      <c r="M12" s="684">
        <v>269.0</v>
      </c>
      <c r="N12" s="671">
        <f t="shared" si="4"/>
        <v>433</v>
      </c>
      <c r="O12" s="671">
        <f t="shared" si="5"/>
        <v>248</v>
      </c>
      <c r="P12" s="684">
        <v>399.0</v>
      </c>
      <c r="Q12" s="672">
        <v>77500.0</v>
      </c>
      <c r="R12" s="632"/>
      <c r="S12" s="696"/>
      <c r="T12" s="716"/>
      <c r="U12" s="696"/>
      <c r="V12" s="716"/>
      <c r="W12" s="632"/>
      <c r="X12" s="687" t="s">
        <v>68</v>
      </c>
      <c r="Y12" s="688">
        <f>0</f>
        <v>0</v>
      </c>
      <c r="Z12" s="729"/>
      <c r="AA12" s="683" t="s">
        <v>1138</v>
      </c>
      <c r="AB12" s="685">
        <v>6.0</v>
      </c>
      <c r="AC12" s="632"/>
      <c r="AD12" s="632"/>
      <c r="AE12" s="712"/>
      <c r="AF12" s="657">
        <f t="shared" si="2"/>
        <v>3000</v>
      </c>
      <c r="AG12" s="658">
        <v>0.9942843457650993</v>
      </c>
      <c r="AH12" s="659">
        <f t="shared" si="3"/>
        <v>0.9942843458</v>
      </c>
      <c r="AI12" s="641"/>
      <c r="AJ12" s="660">
        <f t="shared" si="6"/>
        <v>12</v>
      </c>
      <c r="AK12" s="676">
        <v>0.9048</v>
      </c>
      <c r="AL12" s="662">
        <v>222000.0</v>
      </c>
      <c r="AM12" s="677">
        <v>-0.9999780037303678</v>
      </c>
      <c r="AN12" s="678">
        <v>-0.09519999999999995</v>
      </c>
      <c r="AO12" s="662">
        <v>222000.0</v>
      </c>
      <c r="AP12" s="679">
        <v>-0.9999716730840933</v>
      </c>
      <c r="AQ12" s="662">
        <v>222000.0</v>
      </c>
      <c r="AR12" s="680">
        <v>-0.9999639431877922</v>
      </c>
      <c r="AS12" s="624"/>
      <c r="AT12" s="624"/>
      <c r="AU12" s="624"/>
      <c r="AV12" s="624"/>
      <c r="AW12" s="648"/>
      <c r="AX12" s="733" t="s">
        <v>2090</v>
      </c>
      <c r="AY12" s="726">
        <v>0.8169598239234703</v>
      </c>
      <c r="AZ12" s="726">
        <v>0.020927599333449</v>
      </c>
      <c r="BA12" s="726" t="e">
        <v>#N/A</v>
      </c>
      <c r="BB12" s="727"/>
      <c r="BC12" s="624"/>
      <c r="BD12" s="624"/>
      <c r="BE12" s="624"/>
      <c r="BF12" s="338"/>
      <c r="BG12" s="338"/>
    </row>
    <row r="13" ht="16.5" customHeight="1">
      <c r="A13" s="692"/>
      <c r="B13" s="692"/>
      <c r="C13" s="692"/>
      <c r="K13" s="603"/>
      <c r="L13" s="683" t="s">
        <v>57</v>
      </c>
      <c r="M13" s="684">
        <v>269.0</v>
      </c>
      <c r="N13" s="671">
        <f t="shared" si="4"/>
        <v>433</v>
      </c>
      <c r="O13" s="671">
        <f t="shared" si="5"/>
        <v>248</v>
      </c>
      <c r="P13" s="684">
        <v>399.0</v>
      </c>
      <c r="Q13" s="672">
        <v>77500.0</v>
      </c>
      <c r="R13" s="632"/>
      <c r="S13" s="696"/>
      <c r="T13" s="716"/>
      <c r="U13" s="696"/>
      <c r="V13" s="716"/>
      <c r="W13" s="632"/>
      <c r="X13" s="734"/>
      <c r="Y13" s="735"/>
      <c r="Z13" s="729"/>
      <c r="AA13" s="683" t="s">
        <v>1233</v>
      </c>
      <c r="AB13" s="685">
        <v>7.0</v>
      </c>
      <c r="AC13" s="632"/>
      <c r="AD13" s="632"/>
      <c r="AE13" s="712"/>
      <c r="AF13" s="657">
        <f t="shared" si="2"/>
        <v>3300</v>
      </c>
      <c r="AG13" s="658">
        <v>0.9937524675918558</v>
      </c>
      <c r="AH13" s="659">
        <f t="shared" si="3"/>
        <v>0.9937524676</v>
      </c>
      <c r="AI13" s="641"/>
      <c r="AJ13" s="660">
        <f t="shared" si="6"/>
        <v>13</v>
      </c>
      <c r="AK13" s="676">
        <v>0.9086</v>
      </c>
      <c r="AL13" s="662">
        <v>211500.0</v>
      </c>
      <c r="AM13" s="677">
        <v>-0.9999634705328662</v>
      </c>
      <c r="AN13" s="678">
        <v>-0.09140000000000004</v>
      </c>
      <c r="AO13" s="662">
        <v>211500.0</v>
      </c>
      <c r="AP13" s="679">
        <v>-0.9999535165905167</v>
      </c>
      <c r="AQ13" s="662">
        <v>211500.0</v>
      </c>
      <c r="AR13" s="680">
        <v>-0.9999415035084367</v>
      </c>
      <c r="AS13" s="624"/>
      <c r="AT13" s="624"/>
      <c r="AU13" s="624"/>
      <c r="AV13" s="624"/>
      <c r="AW13" s="648"/>
      <c r="AX13" s="733" t="s">
        <v>2094</v>
      </c>
      <c r="AY13" s="726">
        <v>2222.7141660079296</v>
      </c>
      <c r="AZ13" s="726">
        <v>996.0</v>
      </c>
      <c r="BA13" s="726" t="e">
        <v>#N/A</v>
      </c>
      <c r="BB13" s="727"/>
      <c r="BC13" s="624"/>
      <c r="BD13" s="624"/>
      <c r="BE13" s="624"/>
      <c r="BF13" s="338"/>
      <c r="BG13" s="338"/>
    </row>
    <row r="14" ht="16.5" customHeight="1">
      <c r="A14" s="692"/>
      <c r="B14" s="692"/>
      <c r="C14" s="692"/>
      <c r="K14" s="603"/>
      <c r="L14" s="683" t="s">
        <v>86</v>
      </c>
      <c r="M14" s="684">
        <v>273.0</v>
      </c>
      <c r="N14" s="671">
        <f t="shared" si="4"/>
        <v>439</v>
      </c>
      <c r="O14" s="671">
        <f t="shared" si="5"/>
        <v>267</v>
      </c>
      <c r="P14" s="684">
        <v>430.0</v>
      </c>
      <c r="Q14" s="672">
        <v>77500.0</v>
      </c>
      <c r="R14" s="632"/>
      <c r="S14" s="696"/>
      <c r="T14" s="716"/>
      <c r="U14" s="696"/>
      <c r="V14" s="716"/>
      <c r="W14" s="632"/>
      <c r="X14" s="734"/>
      <c r="Y14" s="735"/>
      <c r="Z14" s="729"/>
      <c r="AA14" s="683" t="s">
        <v>1585</v>
      </c>
      <c r="AB14" s="685">
        <v>8.0</v>
      </c>
      <c r="AC14" s="736"/>
      <c r="AD14" s="654"/>
      <c r="AE14" s="711"/>
      <c r="AF14" s="657">
        <f t="shared" si="2"/>
        <v>3600</v>
      </c>
      <c r="AG14" s="658">
        <v>0.9932274040599962</v>
      </c>
      <c r="AH14" s="659">
        <f t="shared" si="3"/>
        <v>0.9932274041</v>
      </c>
      <c r="AI14" s="641"/>
      <c r="AJ14" s="660">
        <f t="shared" si="6"/>
        <v>14</v>
      </c>
      <c r="AK14" s="676">
        <v>0.9299</v>
      </c>
      <c r="AL14" s="662">
        <v>203582.0</v>
      </c>
      <c r="AM14" s="677">
        <v>-0.9999464491681469</v>
      </c>
      <c r="AN14" s="678">
        <v>-0.07010000000000005</v>
      </c>
      <c r="AO14" s="662">
        <v>203582.0</v>
      </c>
      <c r="AP14" s="679">
        <v>-0.9999324690487607</v>
      </c>
      <c r="AQ14" s="662">
        <v>203582.0</v>
      </c>
      <c r="AR14" s="680">
        <v>-0.9999157446918674</v>
      </c>
      <c r="AS14" s="624"/>
      <c r="AT14" s="624"/>
      <c r="AU14" s="624"/>
      <c r="AV14" s="624"/>
      <c r="AW14" s="648"/>
      <c r="AX14" s="700"/>
      <c r="AY14" s="726">
        <v>1.9469394137940759</v>
      </c>
      <c r="AZ14" s="726">
        <v>0.4362125562059295</v>
      </c>
      <c r="BA14" s="726" t="e">
        <v>#N/A</v>
      </c>
      <c r="BB14" s="727"/>
      <c r="BC14" s="624"/>
      <c r="BD14" s="624"/>
      <c r="BE14" s="624"/>
      <c r="BF14" s="338"/>
      <c r="BG14" s="338"/>
    </row>
    <row r="15" ht="16.5" customHeight="1">
      <c r="A15" s="692"/>
      <c r="B15" s="692"/>
      <c r="C15" s="692"/>
      <c r="K15" s="603"/>
      <c r="L15" s="683" t="s">
        <v>90</v>
      </c>
      <c r="M15" s="684">
        <v>256.0</v>
      </c>
      <c r="N15" s="671">
        <f t="shared" si="4"/>
        <v>412</v>
      </c>
      <c r="O15" s="671">
        <f t="shared" si="5"/>
        <v>254</v>
      </c>
      <c r="P15" s="684">
        <v>408.0</v>
      </c>
      <c r="Q15" s="672">
        <v>77500.0</v>
      </c>
      <c r="R15" s="632"/>
      <c r="S15" s="696"/>
      <c r="T15" s="716"/>
      <c r="U15" s="696"/>
      <c r="V15" s="716"/>
      <c r="W15" s="632"/>
      <c r="X15" s="734"/>
      <c r="Y15" s="735"/>
      <c r="Z15" s="729"/>
      <c r="AA15" s="683" t="s">
        <v>2097</v>
      </c>
      <c r="AB15" s="685">
        <v>9.0</v>
      </c>
      <c r="AC15" s="736"/>
      <c r="AD15" s="736"/>
      <c r="AE15" s="711"/>
      <c r="AF15" s="657">
        <f t="shared" si="2"/>
        <v>3900</v>
      </c>
      <c r="AG15" s="658">
        <v>0.992709059415022</v>
      </c>
      <c r="AH15" s="659">
        <f t="shared" si="3"/>
        <v>0.9927090594</v>
      </c>
      <c r="AI15" s="641"/>
      <c r="AJ15" s="660">
        <f t="shared" si="6"/>
        <v>15</v>
      </c>
      <c r="AK15" s="676">
        <v>0.9348</v>
      </c>
      <c r="AL15" s="662">
        <v>202506.0</v>
      </c>
      <c r="AM15" s="677">
        <v>-0.9999435919427558</v>
      </c>
      <c r="AN15" s="678">
        <v>-0.06520000000000004</v>
      </c>
      <c r="AO15" s="662">
        <v>202506.0</v>
      </c>
      <c r="AP15" s="679">
        <v>-0.9999289530627502</v>
      </c>
      <c r="AQ15" s="662">
        <v>202506.0</v>
      </c>
      <c r="AR15" s="680">
        <v>-0.9999114615584725</v>
      </c>
      <c r="AS15" s="737"/>
      <c r="AT15" s="624"/>
      <c r="AU15" s="624"/>
      <c r="AV15" s="624"/>
      <c r="AW15" s="648"/>
      <c r="AX15" s="700"/>
      <c r="AY15" s="727"/>
      <c r="AZ15" s="726" t="s">
        <v>2098</v>
      </c>
      <c r="BA15" s="727"/>
      <c r="BB15" s="727"/>
      <c r="BC15" s="624"/>
      <c r="BD15" s="624"/>
      <c r="BE15" s="624"/>
    </row>
    <row r="16" ht="16.5" customHeight="1">
      <c r="A16" s="692"/>
      <c r="B16" s="692"/>
      <c r="C16" s="692"/>
      <c r="K16" s="603"/>
      <c r="L16" s="683" t="s">
        <v>319</v>
      </c>
      <c r="M16" s="685">
        <v>280.0</v>
      </c>
      <c r="N16" s="671">
        <f t="shared" si="4"/>
        <v>451</v>
      </c>
      <c r="O16" s="671">
        <f t="shared" si="5"/>
        <v>264</v>
      </c>
      <c r="P16" s="684">
        <v>425.0</v>
      </c>
      <c r="Q16" s="685">
        <v>81800.0</v>
      </c>
      <c r="R16" s="632"/>
      <c r="S16" s="696"/>
      <c r="T16" s="716"/>
      <c r="U16" s="696"/>
      <c r="V16" s="716"/>
      <c r="W16" s="632"/>
      <c r="X16" s="734"/>
      <c r="Y16" s="735"/>
      <c r="Z16" s="729"/>
      <c r="AA16" s="683" t="s">
        <v>2099</v>
      </c>
      <c r="AB16" s="685">
        <v>10.0</v>
      </c>
      <c r="AC16" s="736"/>
      <c r="AD16" s="736"/>
      <c r="AE16" s="711"/>
      <c r="AF16" s="657">
        <f t="shared" si="2"/>
        <v>4200</v>
      </c>
      <c r="AG16" s="658">
        <v>0.9921973392479089</v>
      </c>
      <c r="AH16" s="659">
        <f t="shared" si="3"/>
        <v>0.9921973392</v>
      </c>
      <c r="AI16" s="641"/>
      <c r="AJ16" s="660">
        <f t="shared" si="6"/>
        <v>16</v>
      </c>
      <c r="AK16" s="676">
        <v>0.9315</v>
      </c>
      <c r="AL16" s="662">
        <v>201000.0</v>
      </c>
      <c r="AM16" s="677">
        <v>-0.9999393350785657</v>
      </c>
      <c r="AN16" s="678">
        <v>-0.0685</v>
      </c>
      <c r="AO16" s="662">
        <v>201000.0</v>
      </c>
      <c r="AP16" s="679">
        <v>-0.9999237224636699</v>
      </c>
      <c r="AQ16" s="662">
        <v>201000.0</v>
      </c>
      <c r="AR16" s="680">
        <v>-0.9999050986674723</v>
      </c>
      <c r="AS16" s="624"/>
      <c r="AT16" s="624"/>
      <c r="AU16" s="624"/>
      <c r="AV16" s="624"/>
      <c r="AW16" s="624"/>
      <c r="AX16" s="624"/>
      <c r="AY16" s="624"/>
      <c r="AZ16" s="624"/>
      <c r="BA16" s="624"/>
      <c r="BB16" s="624"/>
      <c r="BC16" s="624"/>
      <c r="BD16" s="624"/>
      <c r="BE16" s="624"/>
    </row>
    <row r="17" ht="16.5" customHeight="1">
      <c r="A17" s="692"/>
      <c r="B17" s="692"/>
      <c r="C17" s="692"/>
      <c r="K17" s="711"/>
      <c r="L17" s="683" t="s">
        <v>316</v>
      </c>
      <c r="M17" s="684">
        <v>280.0</v>
      </c>
      <c r="N17" s="671">
        <f t="shared" si="4"/>
        <v>451</v>
      </c>
      <c r="O17" s="671">
        <f t="shared" si="5"/>
        <v>268</v>
      </c>
      <c r="P17" s="684">
        <v>432.0</v>
      </c>
      <c r="Q17" s="685">
        <v>81800.0</v>
      </c>
      <c r="R17" s="632"/>
      <c r="S17" s="696"/>
      <c r="T17" s="716"/>
      <c r="U17" s="696"/>
      <c r="V17" s="716"/>
      <c r="W17" s="632"/>
      <c r="X17" s="734"/>
      <c r="Y17" s="735"/>
      <c r="Z17" s="729"/>
      <c r="AA17" s="683" t="s">
        <v>2101</v>
      </c>
      <c r="AB17" s="685">
        <v>11.0</v>
      </c>
      <c r="AC17" s="736"/>
      <c r="AD17" s="736"/>
      <c r="AE17" s="711"/>
      <c r="AF17" s="657">
        <f t="shared" si="2"/>
        <v>4500</v>
      </c>
      <c r="AG17" s="658">
        <v>0.9916921504762014</v>
      </c>
      <c r="AH17" s="659">
        <f t="shared" si="3"/>
        <v>0.9916921505</v>
      </c>
      <c r="AI17" s="641"/>
      <c r="AJ17" s="660">
        <f t="shared" si="6"/>
        <v>17</v>
      </c>
      <c r="AK17" s="676">
        <v>0.9289</v>
      </c>
      <c r="AL17" s="662">
        <v>200000.0</v>
      </c>
      <c r="AM17" s="677">
        <v>-0.9999363324630172</v>
      </c>
      <c r="AN17" s="678">
        <v>-0.07110000000000005</v>
      </c>
      <c r="AO17" s="662">
        <v>200000.0</v>
      </c>
      <c r="AP17" s="679">
        <v>-0.9999200382581179</v>
      </c>
      <c r="AQ17" s="662">
        <v>200000.0</v>
      </c>
      <c r="AR17" s="680">
        <v>-0.9999006230002331</v>
      </c>
      <c r="AS17" s="624"/>
      <c r="AT17" s="624"/>
      <c r="AU17" s="624"/>
      <c r="AV17" s="624"/>
      <c r="AW17" s="624"/>
      <c r="AX17" s="624"/>
      <c r="AY17" s="624"/>
      <c r="AZ17" s="624"/>
      <c r="BA17" s="624"/>
      <c r="BB17" s="624"/>
      <c r="BC17" s="624"/>
      <c r="BD17" s="624"/>
      <c r="BE17" s="624"/>
    </row>
    <row r="18" ht="16.5" customHeight="1">
      <c r="A18" s="692"/>
      <c r="B18" s="692"/>
      <c r="C18" s="692"/>
      <c r="K18" s="711"/>
      <c r="L18" s="683" t="s">
        <v>305</v>
      </c>
      <c r="M18" s="684">
        <v>295.0</v>
      </c>
      <c r="N18" s="671">
        <f t="shared" si="4"/>
        <v>475</v>
      </c>
      <c r="O18" s="671">
        <f t="shared" si="5"/>
        <v>281</v>
      </c>
      <c r="P18" s="684">
        <v>452.0</v>
      </c>
      <c r="Q18" s="685">
        <v>81800.0</v>
      </c>
      <c r="R18" s="632"/>
      <c r="S18" s="696"/>
      <c r="T18" s="716"/>
      <c r="U18" s="696"/>
      <c r="V18" s="716"/>
      <c r="W18" s="632"/>
      <c r="X18" s="734"/>
      <c r="Y18" s="735"/>
      <c r="Z18" s="729"/>
      <c r="AA18" s="683" t="s">
        <v>2103</v>
      </c>
      <c r="AB18" s="685">
        <v>12.0</v>
      </c>
      <c r="AC18" s="736"/>
      <c r="AD18" s="736"/>
      <c r="AE18" s="711"/>
      <c r="AF18" s="657">
        <f t="shared" si="2"/>
        <v>4800</v>
      </c>
      <c r="AG18" s="658">
        <v>0.9911934013253723</v>
      </c>
      <c r="AH18" s="659">
        <f t="shared" si="3"/>
        <v>0.9911934013</v>
      </c>
      <c r="AI18" s="641"/>
      <c r="AJ18" s="660">
        <f t="shared" si="6"/>
        <v>18</v>
      </c>
      <c r="AK18" s="676">
        <v>0.9373</v>
      </c>
      <c r="AL18" s="662">
        <v>196476.0</v>
      </c>
      <c r="AM18" s="677">
        <v>-0.9999245163289737</v>
      </c>
      <c r="AN18" s="678">
        <v>-0.06269999999999998</v>
      </c>
      <c r="AO18" s="662">
        <v>196476.0</v>
      </c>
      <c r="AP18" s="679">
        <v>-0.999905577942208</v>
      </c>
      <c r="AQ18" s="662">
        <v>196476.0</v>
      </c>
      <c r="AR18" s="680">
        <v>-0.9998831002173053</v>
      </c>
      <c r="AS18" s="624"/>
      <c r="AT18" s="624"/>
      <c r="AU18" s="624"/>
      <c r="AV18" s="624"/>
      <c r="AW18" s="624"/>
      <c r="AX18" s="624"/>
      <c r="AY18" s="624"/>
      <c r="AZ18" s="624"/>
      <c r="BA18" s="624"/>
      <c r="BB18" s="624"/>
      <c r="BC18" s="624"/>
      <c r="BD18" s="624"/>
      <c r="BE18" s="624"/>
    </row>
    <row r="19" ht="16.5" customHeight="1">
      <c r="A19" s="692"/>
      <c r="B19" s="692"/>
      <c r="C19" s="692"/>
      <c r="K19" s="711"/>
      <c r="L19" s="683" t="s">
        <v>619</v>
      </c>
      <c r="M19" s="684">
        <v>274.0</v>
      </c>
      <c r="N19" s="671">
        <f t="shared" si="4"/>
        <v>441</v>
      </c>
      <c r="O19" s="671">
        <f t="shared" si="5"/>
        <v>259</v>
      </c>
      <c r="P19" s="684">
        <v>417.0</v>
      </c>
      <c r="Q19" s="685">
        <v>81800.0</v>
      </c>
      <c r="R19" s="632"/>
      <c r="S19" s="696"/>
      <c r="T19" s="716"/>
      <c r="U19" s="696"/>
      <c r="V19" s="716"/>
      <c r="W19" s="632"/>
      <c r="X19" s="734"/>
      <c r="Y19" s="735"/>
      <c r="Z19" s="729"/>
      <c r="AA19" s="683" t="s">
        <v>2104</v>
      </c>
      <c r="AB19" s="685">
        <v>13.0</v>
      </c>
      <c r="AC19" s="736"/>
      <c r="AD19" s="736"/>
      <c r="AE19" s="711"/>
      <c r="AF19" s="657">
        <f t="shared" si="2"/>
        <v>5100</v>
      </c>
      <c r="AG19" s="658">
        <v>0.990701001310445</v>
      </c>
      <c r="AH19" s="659">
        <f t="shared" si="3"/>
        <v>0.9907010013</v>
      </c>
      <c r="AI19" s="641"/>
      <c r="AJ19" s="660">
        <f t="shared" si="6"/>
        <v>19</v>
      </c>
      <c r="AK19" s="676">
        <v>0.9398</v>
      </c>
      <c r="AL19" s="662">
        <v>187618.0</v>
      </c>
      <c r="AM19" s="677">
        <v>-0.9998842029534134</v>
      </c>
      <c r="AN19" s="678">
        <v>-0.06020000000000003</v>
      </c>
      <c r="AO19" s="662">
        <v>187618.0</v>
      </c>
      <c r="AP19" s="679">
        <v>-0.9998566047365067</v>
      </c>
      <c r="AQ19" s="662">
        <v>187618.0</v>
      </c>
      <c r="AR19" s="680">
        <v>-0.9998241696210161</v>
      </c>
      <c r="AS19" s="624"/>
      <c r="AT19" s="624"/>
      <c r="AU19" s="624"/>
      <c r="AV19" s="624"/>
      <c r="AW19" s="624"/>
      <c r="AX19" s="624"/>
      <c r="AY19" s="624"/>
      <c r="AZ19" s="624"/>
      <c r="BA19" s="624"/>
      <c r="BB19" s="624"/>
      <c r="BC19" s="624"/>
      <c r="BD19" s="624"/>
      <c r="BE19" s="624"/>
    </row>
    <row r="20" ht="16.5" customHeight="1">
      <c r="A20" s="692"/>
      <c r="B20" s="692"/>
      <c r="C20" s="692"/>
      <c r="K20" s="711"/>
      <c r="L20" s="683" t="s">
        <v>914</v>
      </c>
      <c r="M20" s="630">
        <v>335.0</v>
      </c>
      <c r="N20" s="671">
        <f t="shared" si="4"/>
        <v>539</v>
      </c>
      <c r="O20" s="671">
        <f t="shared" si="5"/>
        <v>327</v>
      </c>
      <c r="P20" s="738">
        <f>HYPERLINK("https://youtu.be/5_VL_76BoC8?t=89",526)</f>
        <v>526</v>
      </c>
      <c r="Q20" s="685">
        <v>98400.0</v>
      </c>
      <c r="R20" s="632"/>
      <c r="S20" s="696"/>
      <c r="T20" s="716"/>
      <c r="U20" s="696"/>
      <c r="V20" s="716"/>
      <c r="W20" s="632"/>
      <c r="X20" s="734"/>
      <c r="Y20" s="735"/>
      <c r="Z20" s="729"/>
      <c r="AA20" s="683" t="s">
        <v>2107</v>
      </c>
      <c r="AB20" s="685">
        <v>14.0</v>
      </c>
      <c r="AC20" s="736"/>
      <c r="AD20" s="736"/>
      <c r="AE20" s="711"/>
      <c r="AF20" s="657">
        <f t="shared" si="2"/>
        <v>5400</v>
      </c>
      <c r="AG20" s="658">
        <v>0.9902148612178733</v>
      </c>
      <c r="AH20" s="659">
        <f t="shared" si="3"/>
        <v>0.9902148612</v>
      </c>
      <c r="AI20" s="641"/>
      <c r="AJ20" s="660">
        <f t="shared" si="6"/>
        <v>20</v>
      </c>
      <c r="AK20" s="676">
        <v>0.9543</v>
      </c>
      <c r="AL20" s="662">
        <v>187612.0</v>
      </c>
      <c r="AM20" s="677">
        <v>-0.9998841693841872</v>
      </c>
      <c r="AN20" s="678">
        <v>-0.04569999999999996</v>
      </c>
      <c r="AO20" s="662">
        <v>187612.0</v>
      </c>
      <c r="AP20" s="679">
        <v>-0.9998565641471981</v>
      </c>
      <c r="AQ20" s="662">
        <v>187612.0</v>
      </c>
      <c r="AR20" s="680">
        <v>-0.9998241209975995</v>
      </c>
      <c r="AS20" s="624"/>
      <c r="AT20" s="624"/>
      <c r="AU20" s="624"/>
      <c r="AV20" s="624"/>
      <c r="AW20" s="624"/>
      <c r="AX20" s="624"/>
      <c r="AY20" s="624"/>
      <c r="AZ20" s="624"/>
      <c r="BA20" s="624"/>
      <c r="BB20" s="624"/>
      <c r="BC20" s="624"/>
      <c r="BD20" s="624"/>
      <c r="BE20" s="624"/>
    </row>
    <row r="21" ht="16.5" customHeight="1">
      <c r="A21" s="692"/>
      <c r="B21" s="692"/>
      <c r="C21" s="692"/>
      <c r="K21" s="711"/>
      <c r="L21" s="683" t="s">
        <v>921</v>
      </c>
      <c r="M21" s="630">
        <v>317.0</v>
      </c>
      <c r="N21" s="671">
        <f t="shared" si="4"/>
        <v>510</v>
      </c>
      <c r="O21" s="671">
        <f t="shared" si="5"/>
        <v>303</v>
      </c>
      <c r="P21" s="684">
        <v>488.0</v>
      </c>
      <c r="Q21" s="685">
        <v>98400.0</v>
      </c>
      <c r="R21" s="632"/>
      <c r="S21" s="696"/>
      <c r="T21" s="716"/>
      <c r="U21" s="696"/>
      <c r="V21" s="716"/>
      <c r="W21" s="632"/>
      <c r="X21" s="734"/>
      <c r="Y21" s="735"/>
      <c r="Z21" s="729"/>
      <c r="AA21" s="683" t="s">
        <v>2108</v>
      </c>
      <c r="AB21" s="685">
        <v>15.0</v>
      </c>
      <c r="AC21" s="736"/>
      <c r="AD21" s="736"/>
      <c r="AE21" s="711"/>
      <c r="AF21" s="657">
        <f t="shared" si="2"/>
        <v>5700</v>
      </c>
      <c r="AG21" s="658">
        <v>0.9897348930876766</v>
      </c>
      <c r="AH21" s="659">
        <f t="shared" si="3"/>
        <v>0.9897348931</v>
      </c>
      <c r="AI21" s="641"/>
      <c r="AJ21" s="660">
        <f t="shared" si="6"/>
        <v>21</v>
      </c>
      <c r="AK21" s="676">
        <v>0.9315</v>
      </c>
      <c r="AL21" s="662">
        <v>186254.0</v>
      </c>
      <c r="AM21" s="677">
        <v>-0.9998763156469629</v>
      </c>
      <c r="AN21" s="678">
        <v>-0.0685</v>
      </c>
      <c r="AO21" s="662">
        <v>186254.0</v>
      </c>
      <c r="AP21" s="679">
        <v>-0.9998470754717577</v>
      </c>
      <c r="AQ21" s="662">
        <v>186254.0</v>
      </c>
      <c r="AR21" s="680">
        <v>-0.9998127626773294</v>
      </c>
      <c r="AS21" s="624"/>
      <c r="AT21" s="624"/>
      <c r="AU21" s="624"/>
      <c r="AV21" s="624"/>
      <c r="AW21" s="624"/>
      <c r="AX21" s="625"/>
      <c r="AY21" s="625"/>
      <c r="AZ21" s="625"/>
      <c r="BA21" s="625"/>
      <c r="BB21" s="625"/>
      <c r="BC21" s="624"/>
      <c r="BD21" s="624"/>
      <c r="BE21" s="624"/>
    </row>
    <row r="22" ht="16.5" customHeight="1">
      <c r="A22" s="692"/>
      <c r="B22" s="692"/>
      <c r="C22" s="692"/>
      <c r="K22" s="711"/>
      <c r="L22" s="683" t="s">
        <v>258</v>
      </c>
      <c r="M22" s="630">
        <v>200.0</v>
      </c>
      <c r="N22" s="671">
        <f t="shared" si="4"/>
        <v>322</v>
      </c>
      <c r="O22" s="671" t="str">
        <f t="shared" si="5"/>
        <v>unknown</v>
      </c>
      <c r="P22" s="630" t="s">
        <v>908</v>
      </c>
      <c r="Q22" s="685">
        <v>62400.0</v>
      </c>
      <c r="R22" s="632"/>
      <c r="S22" s="696"/>
      <c r="T22" s="716"/>
      <c r="U22" s="696"/>
      <c r="V22" s="716"/>
      <c r="W22" s="632"/>
      <c r="X22" s="734"/>
      <c r="Y22" s="735"/>
      <c r="Z22" s="729"/>
      <c r="AA22" s="683" t="s">
        <v>2112</v>
      </c>
      <c r="AB22" s="685">
        <v>16.0</v>
      </c>
      <c r="AC22" s="736"/>
      <c r="AD22" s="736"/>
      <c r="AE22" s="711"/>
      <c r="AF22" s="657">
        <f t="shared" si="2"/>
        <v>6000</v>
      </c>
      <c r="AG22" s="658">
        <v>0.9892610101958249</v>
      </c>
      <c r="AH22" s="659">
        <f t="shared" si="3"/>
        <v>0.9892610102</v>
      </c>
      <c r="AI22" s="641"/>
      <c r="AJ22" s="660">
        <f t="shared" si="6"/>
        <v>22</v>
      </c>
      <c r="AK22" s="676">
        <v>0.9289</v>
      </c>
      <c r="AL22" s="662">
        <v>183000.0</v>
      </c>
      <c r="AM22" s="677">
        <v>-0.9998552611842026</v>
      </c>
      <c r="AN22" s="678">
        <v>-0.07110000000000005</v>
      </c>
      <c r="AO22" s="662">
        <v>183000.0</v>
      </c>
      <c r="AP22" s="679">
        <v>-0.9998217057837091</v>
      </c>
      <c r="AQ22" s="662">
        <v>183000.0</v>
      </c>
      <c r="AR22" s="680">
        <v>-0.9997824712916</v>
      </c>
      <c r="AS22" s="624"/>
      <c r="AT22" s="624"/>
      <c r="AU22" s="624"/>
      <c r="AV22" s="624"/>
      <c r="AW22" s="648"/>
      <c r="AX22" s="739" t="s">
        <v>2113</v>
      </c>
      <c r="AY22" s="344"/>
      <c r="AZ22" s="344"/>
      <c r="BA22" s="344"/>
      <c r="BB22" s="322"/>
      <c r="BC22" s="624"/>
      <c r="BD22" s="624"/>
      <c r="BE22" s="624"/>
    </row>
    <row r="23" ht="16.5" customHeight="1">
      <c r="A23" s="692"/>
      <c r="B23" s="692"/>
      <c r="C23" s="692"/>
      <c r="K23" s="711"/>
      <c r="L23" s="740" t="s">
        <v>926</v>
      </c>
      <c r="M23" s="630">
        <v>220.0</v>
      </c>
      <c r="N23" s="671">
        <f t="shared" si="4"/>
        <v>354</v>
      </c>
      <c r="O23" s="671" t="str">
        <f t="shared" si="5"/>
        <v>unknown</v>
      </c>
      <c r="P23" s="630" t="s">
        <v>908</v>
      </c>
      <c r="Q23" s="685">
        <v>68800.0</v>
      </c>
      <c r="R23" s="632"/>
      <c r="S23" s="696"/>
      <c r="T23" s="716"/>
      <c r="U23" s="696"/>
      <c r="V23" s="716"/>
      <c r="W23" s="632"/>
      <c r="X23" s="734"/>
      <c r="Y23" s="735"/>
      <c r="Z23" s="729"/>
      <c r="AA23" s="683" t="s">
        <v>2115</v>
      </c>
      <c r="AB23" s="685">
        <v>17.0</v>
      </c>
      <c r="AC23" s="736"/>
      <c r="AD23" s="736"/>
      <c r="AE23" s="711"/>
      <c r="AF23" s="657">
        <f t="shared" si="2"/>
        <v>6300</v>
      </c>
      <c r="AG23" s="658">
        <v>0.9887931270368736</v>
      </c>
      <c r="AH23" s="659">
        <f t="shared" si="3"/>
        <v>0.988793127</v>
      </c>
      <c r="AI23" s="641"/>
      <c r="AJ23" s="660">
        <f t="shared" si="6"/>
        <v>23</v>
      </c>
      <c r="AK23" s="676">
        <v>0.9148</v>
      </c>
      <c r="AL23" s="662">
        <v>180600.0</v>
      </c>
      <c r="AM23" s="677">
        <v>-0.999837468329721</v>
      </c>
      <c r="AN23" s="678">
        <v>-0.08520000000000005</v>
      </c>
      <c r="AO23" s="662">
        <v>180600.0</v>
      </c>
      <c r="AP23" s="679">
        <v>-0.9998003346663058</v>
      </c>
      <c r="AQ23" s="662">
        <v>180600.0</v>
      </c>
      <c r="AR23" s="680">
        <v>-0.9997570319598187</v>
      </c>
      <c r="AS23" s="624"/>
      <c r="AT23" s="624"/>
      <c r="AU23" s="624"/>
      <c r="AV23" s="624"/>
      <c r="AW23" s="648"/>
      <c r="AX23" s="667" t="s">
        <v>2021</v>
      </c>
      <c r="BB23" s="316"/>
      <c r="BC23" s="624"/>
      <c r="BD23" s="624"/>
      <c r="BE23" s="624"/>
    </row>
    <row r="24" ht="16.5" customHeight="1">
      <c r="A24" s="692"/>
      <c r="B24" s="692"/>
      <c r="C24" s="692"/>
      <c r="K24" s="711"/>
      <c r="L24" s="683" t="s">
        <v>929</v>
      </c>
      <c r="M24" s="630">
        <v>237.0</v>
      </c>
      <c r="N24" s="671">
        <f t="shared" si="4"/>
        <v>381</v>
      </c>
      <c r="O24" s="671" t="str">
        <f t="shared" si="5"/>
        <v>unknown</v>
      </c>
      <c r="P24" s="630" t="s">
        <v>908</v>
      </c>
      <c r="Q24" s="685">
        <v>72600.0</v>
      </c>
      <c r="R24" s="327"/>
      <c r="S24" s="695"/>
      <c r="T24" s="710"/>
      <c r="U24" s="695"/>
      <c r="V24" s="710"/>
      <c r="W24" s="327"/>
      <c r="X24" s="741"/>
      <c r="Y24" s="741"/>
      <c r="Z24" s="741"/>
      <c r="AA24" s="683" t="s">
        <v>2118</v>
      </c>
      <c r="AB24" s="685">
        <v>18.0</v>
      </c>
      <c r="AC24" s="736"/>
      <c r="AD24" s="736"/>
      <c r="AE24" s="711"/>
      <c r="AF24" s="742">
        <f t="shared" ref="AF24:AF54" si="7">AF23+500</f>
        <v>6800</v>
      </c>
      <c r="AG24" s="658">
        <v>0.9880264260746839</v>
      </c>
      <c r="AH24" s="659">
        <f t="shared" si="3"/>
        <v>0.9880264261</v>
      </c>
      <c r="AI24" s="641"/>
      <c r="AJ24" s="660">
        <f t="shared" si="6"/>
        <v>24</v>
      </c>
      <c r="AK24" s="676">
        <v>0.9336</v>
      </c>
      <c r="AL24" s="662">
        <v>179281.0</v>
      </c>
      <c r="AM24" s="677">
        <v>-0.9998267747650973</v>
      </c>
      <c r="AN24" s="678">
        <v>-0.06640000000000001</v>
      </c>
      <c r="AO24" s="662">
        <v>179281.0</v>
      </c>
      <c r="AP24" s="679">
        <v>-0.9997875175037108</v>
      </c>
      <c r="AQ24" s="662">
        <v>179281.0</v>
      </c>
      <c r="AR24" s="680">
        <v>-0.9997418054622849</v>
      </c>
      <c r="AS24" s="624"/>
      <c r="AT24" s="624"/>
      <c r="AU24" s="624"/>
      <c r="AV24" s="624"/>
      <c r="AW24" s="648"/>
      <c r="AX24" s="315"/>
      <c r="BB24" s="316"/>
      <c r="BC24" s="624"/>
      <c r="BD24" s="624"/>
      <c r="BE24" s="624"/>
    </row>
    <row r="25" ht="16.5" customHeight="1">
      <c r="A25" s="692"/>
      <c r="B25" s="692"/>
      <c r="C25" s="692"/>
      <c r="K25" s="711"/>
      <c r="L25" s="740" t="s">
        <v>683</v>
      </c>
      <c r="M25" s="684">
        <v>260.0</v>
      </c>
      <c r="N25" s="671">
        <f t="shared" si="4"/>
        <v>418</v>
      </c>
      <c r="O25" s="671">
        <f t="shared" si="5"/>
        <v>252</v>
      </c>
      <c r="P25" s="685">
        <v>405.0</v>
      </c>
      <c r="Q25" s="685">
        <v>81800.0</v>
      </c>
      <c r="R25" s="327"/>
      <c r="S25" s="695"/>
      <c r="T25" s="710"/>
      <c r="U25" s="695"/>
      <c r="V25" s="710"/>
      <c r="W25" s="327"/>
      <c r="X25" s="741"/>
      <c r="Y25" s="741"/>
      <c r="Z25" s="741"/>
      <c r="AA25" s="683" t="s">
        <v>2123</v>
      </c>
      <c r="AB25" s="685">
        <v>19.0</v>
      </c>
      <c r="AC25" s="736"/>
      <c r="AD25" s="736"/>
      <c r="AE25" s="711"/>
      <c r="AF25" s="742">
        <f t="shared" si="7"/>
        <v>7300</v>
      </c>
      <c r="AG25" s="658">
        <v>0.9872757743287415</v>
      </c>
      <c r="AH25" s="659">
        <f t="shared" si="3"/>
        <v>0.9872757743</v>
      </c>
      <c r="AI25" s="641"/>
      <c r="AJ25" s="660">
        <f t="shared" si="6"/>
        <v>25</v>
      </c>
      <c r="AK25" s="676">
        <v>0.9223</v>
      </c>
      <c r="AL25" s="662">
        <v>176157.0</v>
      </c>
      <c r="AM25" s="677">
        <v>-0.9997985561750878</v>
      </c>
      <c r="AN25" s="678">
        <v>-0.07769999999999999</v>
      </c>
      <c r="AO25" s="662">
        <v>176157.0</v>
      </c>
      <c r="AP25" s="679">
        <v>-0.9997537818072691</v>
      </c>
      <c r="AQ25" s="662">
        <v>176157.0</v>
      </c>
      <c r="AR25" s="680">
        <v>-0.9997018262242692</v>
      </c>
      <c r="AS25" s="624"/>
      <c r="AT25" s="625"/>
      <c r="AU25" s="625"/>
      <c r="AV25" s="625"/>
      <c r="AW25" s="648"/>
      <c r="AX25" s="321"/>
      <c r="AY25" s="344"/>
      <c r="AZ25" s="344"/>
      <c r="BA25" s="344"/>
      <c r="BB25" s="322"/>
      <c r="BC25" s="624"/>
      <c r="BD25" s="625"/>
      <c r="BE25" s="625"/>
    </row>
    <row r="26" ht="16.5" customHeight="1">
      <c r="A26" s="692"/>
      <c r="B26" s="692"/>
      <c r="C26" s="692"/>
      <c r="K26" s="711"/>
      <c r="L26" s="740" t="s">
        <v>950</v>
      </c>
      <c r="M26" s="630">
        <v>250.0</v>
      </c>
      <c r="N26" s="671">
        <f t="shared" si="4"/>
        <v>402</v>
      </c>
      <c r="O26" s="671">
        <f t="shared" si="5"/>
        <v>239</v>
      </c>
      <c r="P26" s="738">
        <f>HYPERLINK("https://youtu.be/Ij6NTait0F0?t=144",384)</f>
        <v>384</v>
      </c>
      <c r="Q26" s="685">
        <v>81800.0</v>
      </c>
      <c r="R26" s="327"/>
      <c r="S26" s="695"/>
      <c r="T26" s="710"/>
      <c r="U26" s="695"/>
      <c r="V26" s="710"/>
      <c r="W26" s="327"/>
      <c r="X26" s="741"/>
      <c r="Y26" s="741"/>
      <c r="Z26" s="741"/>
      <c r="AA26" s="683" t="s">
        <v>1658</v>
      </c>
      <c r="AB26" s="685">
        <v>20.0</v>
      </c>
      <c r="AC26" s="736"/>
      <c r="AD26" s="736"/>
      <c r="AE26" s="711"/>
      <c r="AF26" s="742">
        <f t="shared" si="7"/>
        <v>7800</v>
      </c>
      <c r="AG26" s="658">
        <v>0.9865407977085796</v>
      </c>
      <c r="AH26" s="659">
        <f t="shared" si="3"/>
        <v>0.9865407977</v>
      </c>
      <c r="AI26" s="641"/>
      <c r="AJ26" s="660">
        <f t="shared" si="6"/>
        <v>26</v>
      </c>
      <c r="AK26" s="676">
        <v>0.9524</v>
      </c>
      <c r="AL26" s="662">
        <v>172871.0</v>
      </c>
      <c r="AM26" s="677">
        <v>-0.9997639002183392</v>
      </c>
      <c r="AN26" s="678">
        <v>-0.047599999999999976</v>
      </c>
      <c r="AO26" s="662">
        <v>172871.0</v>
      </c>
      <c r="AP26" s="679">
        <v>-0.999712501367089</v>
      </c>
      <c r="AQ26" s="662">
        <v>172871.0</v>
      </c>
      <c r="AR26" s="680">
        <v>-0.9996530762455441</v>
      </c>
      <c r="AS26" s="648"/>
      <c r="AT26" s="697" t="s">
        <v>2043</v>
      </c>
      <c r="AU26" s="698" t="s">
        <v>2045</v>
      </c>
      <c r="AV26" s="699" t="s">
        <v>2047</v>
      </c>
      <c r="AW26" s="648"/>
      <c r="AX26" s="743"/>
      <c r="AY26" s="744" t="s">
        <v>2048</v>
      </c>
      <c r="AZ26" s="745">
        <f>MIN(AJ:AJ)</f>
        <v>3</v>
      </c>
      <c r="BA26" s="746" t="s">
        <v>2049</v>
      </c>
      <c r="BB26" s="747" t="str">
        <f>ADDRESS(AZ6,AN1,4)&amp;":"&amp;ADDRESS(AZ8,AN1,4)</f>
        <v>AN3:AN1000</v>
      </c>
      <c r="BC26" s="648"/>
      <c r="BD26" s="706">
        <f>-1/(AZ30+AZ31)/100</f>
        <v>72831.41364</v>
      </c>
      <c r="BE26" s="707" t="s">
        <v>2052</v>
      </c>
    </row>
    <row r="27" ht="16.5" customHeight="1">
      <c r="K27" s="711"/>
      <c r="L27" s="683" t="s">
        <v>939</v>
      </c>
      <c r="M27" s="630">
        <v>295.0</v>
      </c>
      <c r="N27" s="671">
        <f t="shared" si="4"/>
        <v>475</v>
      </c>
      <c r="O27" s="671">
        <f t="shared" si="5"/>
        <v>281</v>
      </c>
      <c r="P27" s="684">
        <v>453.0</v>
      </c>
      <c r="Q27" s="685">
        <v>98400.0</v>
      </c>
      <c r="R27" s="736"/>
      <c r="S27" s="748"/>
      <c r="T27" s="749"/>
      <c r="U27" s="748"/>
      <c r="V27" s="749"/>
      <c r="W27" s="736"/>
      <c r="X27" s="750"/>
      <c r="Y27" s="750"/>
      <c r="Z27" s="736"/>
      <c r="AA27" s="683" t="s">
        <v>2134</v>
      </c>
      <c r="AB27" s="685">
        <v>21.0</v>
      </c>
      <c r="AC27" s="736"/>
      <c r="AD27" s="736"/>
      <c r="AE27" s="711"/>
      <c r="AF27" s="742">
        <f t="shared" si="7"/>
        <v>8300</v>
      </c>
      <c r="AG27" s="658">
        <v>0.9858211308433898</v>
      </c>
      <c r="AH27" s="659">
        <f t="shared" si="3"/>
        <v>0.9858211308</v>
      </c>
      <c r="AI27" s="641"/>
      <c r="AJ27" s="660">
        <f t="shared" si="6"/>
        <v>27</v>
      </c>
      <c r="AK27" s="676">
        <v>0.9264</v>
      </c>
      <c r="AL27" s="662">
        <v>172000.0</v>
      </c>
      <c r="AM27" s="677">
        <v>-0.9997537538084852</v>
      </c>
      <c r="AN27" s="678">
        <v>-0.0736</v>
      </c>
      <c r="AO27" s="662">
        <v>172000.0</v>
      </c>
      <c r="AP27" s="679">
        <v>-0.9997004435109984</v>
      </c>
      <c r="AQ27" s="662">
        <v>172000.0</v>
      </c>
      <c r="AR27" s="680">
        <v>-0.9996388680959203</v>
      </c>
      <c r="AS27" s="648"/>
      <c r="AT27" s="698" t="s">
        <v>2058</v>
      </c>
      <c r="AU27" s="713">
        <f>1-AU29</f>
        <v>0.9602380738</v>
      </c>
      <c r="AV27" s="714">
        <f>AV29</f>
        <v>0.001640432227</v>
      </c>
      <c r="AW27" s="648"/>
      <c r="AX27" s="743"/>
      <c r="AY27" s="322"/>
      <c r="AZ27" s="322"/>
      <c r="BA27" s="322"/>
      <c r="BB27" s="322"/>
      <c r="BC27" s="648"/>
      <c r="BD27" s="706">
        <f>-1/(AZ30-AZ31)/100</f>
        <v>57035.70214</v>
      </c>
      <c r="BE27" s="707" t="s">
        <v>2060</v>
      </c>
    </row>
    <row r="28" ht="16.5" customHeight="1">
      <c r="A28" s="751"/>
      <c r="B28" s="751"/>
      <c r="C28" s="751"/>
      <c r="D28" s="752" t="s">
        <v>2136</v>
      </c>
      <c r="E28" s="28"/>
      <c r="F28" s="28"/>
      <c r="G28" s="28"/>
      <c r="H28" s="28"/>
      <c r="I28" s="28"/>
      <c r="J28" s="28"/>
      <c r="K28" s="24"/>
      <c r="L28" s="683" t="s">
        <v>954</v>
      </c>
      <c r="M28" s="630">
        <v>289.0</v>
      </c>
      <c r="N28" s="671">
        <f t="shared" si="4"/>
        <v>465</v>
      </c>
      <c r="O28" s="671" t="str">
        <f t="shared" si="5"/>
        <v>unknown</v>
      </c>
      <c r="P28" s="630" t="s">
        <v>908</v>
      </c>
      <c r="Q28" s="685">
        <v>98400.0</v>
      </c>
      <c r="R28" s="736"/>
      <c r="S28" s="748"/>
      <c r="T28" s="749"/>
      <c r="U28" s="748"/>
      <c r="V28" s="749"/>
      <c r="W28" s="736"/>
      <c r="X28" s="736"/>
      <c r="Y28" s="736"/>
      <c r="Z28" s="736"/>
      <c r="AA28" s="683" t="s">
        <v>2138</v>
      </c>
      <c r="AB28" s="685">
        <v>22.0</v>
      </c>
      <c r="AC28" s="736"/>
      <c r="AD28" s="736"/>
      <c r="AE28" s="711"/>
      <c r="AF28" s="742">
        <f t="shared" si="7"/>
        <v>8800</v>
      </c>
      <c r="AG28" s="658">
        <v>0.9851164168787756</v>
      </c>
      <c r="AH28" s="659">
        <f t="shared" si="3"/>
        <v>0.9851164169</v>
      </c>
      <c r="AI28" s="641"/>
      <c r="AJ28" s="660">
        <f t="shared" si="6"/>
        <v>28</v>
      </c>
      <c r="AK28" s="676">
        <v>0.9616</v>
      </c>
      <c r="AL28" s="662">
        <v>171941.0</v>
      </c>
      <c r="AM28" s="677">
        <v>-0.9997530509461717</v>
      </c>
      <c r="AN28" s="678">
        <v>-0.03839999999999999</v>
      </c>
      <c r="AO28" s="662">
        <v>171941.0</v>
      </c>
      <c r="AP28" s="679">
        <v>-0.999699608678499</v>
      </c>
      <c r="AQ28" s="662">
        <v>171941.0</v>
      </c>
      <c r="AR28" s="680">
        <v>-0.9996378848805262</v>
      </c>
      <c r="AS28" s="648"/>
      <c r="AT28" s="698" t="s">
        <v>2063</v>
      </c>
      <c r="AU28" s="719">
        <f>-1/AZ30/100</f>
        <v>63972.94327</v>
      </c>
      <c r="AV28" s="699" t="s">
        <v>2065</v>
      </c>
      <c r="AW28" s="648"/>
      <c r="AX28" s="743"/>
      <c r="AY28" s="744" t="s">
        <v>2066</v>
      </c>
      <c r="AZ28" s="745">
        <f>MAX(AJ:AJ)</f>
        <v>1000</v>
      </c>
      <c r="BA28" s="746" t="s">
        <v>2067</v>
      </c>
      <c r="BB28" s="747" t="str">
        <f>ADDRESS(AZ6,AO1,4)&amp;":"&amp;ADDRESS(AZ8,AP1,4)</f>
        <v>AO3:AP1000</v>
      </c>
      <c r="BC28" s="648"/>
      <c r="BD28" s="706">
        <f>-1/AZ30/100</f>
        <v>63972.94327</v>
      </c>
      <c r="BE28" s="707" t="s">
        <v>2070</v>
      </c>
    </row>
    <row r="29" ht="16.5" customHeight="1">
      <c r="A29" s="753"/>
      <c r="B29" s="753"/>
      <c r="C29" s="753"/>
      <c r="D29" s="754" t="s">
        <v>1569</v>
      </c>
      <c r="E29" s="755" t="s">
        <v>2141</v>
      </c>
      <c r="F29" s="756" t="s">
        <v>2143</v>
      </c>
      <c r="G29" s="28"/>
      <c r="H29" s="28"/>
      <c r="I29" s="28"/>
      <c r="J29" s="28"/>
      <c r="K29" s="24"/>
      <c r="L29" s="757"/>
      <c r="M29" s="758"/>
      <c r="N29" s="653"/>
      <c r="O29" s="758"/>
      <c r="P29" s="758"/>
      <c r="Q29" s="758"/>
      <c r="R29" s="736"/>
      <c r="S29" s="748"/>
      <c r="T29" s="749"/>
      <c r="U29" s="748"/>
      <c r="V29" s="749"/>
      <c r="W29" s="736"/>
      <c r="X29" s="736"/>
      <c r="Y29" s="736"/>
      <c r="Z29" s="736"/>
      <c r="AA29" s="683" t="s">
        <v>2145</v>
      </c>
      <c r="AB29" s="685">
        <v>23.0</v>
      </c>
      <c r="AC29" s="736"/>
      <c r="AD29" s="736"/>
      <c r="AE29" s="711"/>
      <c r="AF29" s="742">
        <f t="shared" si="7"/>
        <v>9300</v>
      </c>
      <c r="AG29" s="658">
        <v>0.9844263072782435</v>
      </c>
      <c r="AH29" s="659">
        <f t="shared" si="3"/>
        <v>0.9844263073</v>
      </c>
      <c r="AI29" s="641"/>
      <c r="AJ29" s="660">
        <f t="shared" si="6"/>
        <v>29</v>
      </c>
      <c r="AK29" s="676">
        <v>0.9148</v>
      </c>
      <c r="AL29" s="662">
        <v>171735.0</v>
      </c>
      <c r="AM29" s="677">
        <v>-0.999750581116432</v>
      </c>
      <c r="AN29" s="678">
        <v>-0.08520000000000005</v>
      </c>
      <c r="AO29" s="662">
        <v>171735.0</v>
      </c>
      <c r="AP29" s="679">
        <v>-0.9996966755542178</v>
      </c>
      <c r="AQ29" s="662">
        <v>171735.0</v>
      </c>
      <c r="AR29" s="680">
        <v>-0.9996344309215626</v>
      </c>
      <c r="AS29" s="648"/>
      <c r="AT29" s="698" t="s">
        <v>2073</v>
      </c>
      <c r="AU29" s="720">
        <f>AY30</f>
        <v>0.03976192615</v>
      </c>
      <c r="AV29" s="721">
        <f>AY31</f>
        <v>0.001640432227</v>
      </c>
      <c r="AW29" s="648"/>
      <c r="AX29" s="743"/>
      <c r="AY29" s="322"/>
      <c r="AZ29" s="322"/>
      <c r="BA29" s="322"/>
      <c r="BB29" s="322"/>
      <c r="BC29" s="648"/>
      <c r="BD29" s="722">
        <f>BD28-BD27</f>
        <v>6937.241121</v>
      </c>
      <c r="BE29" s="707" t="s">
        <v>2075</v>
      </c>
    </row>
    <row r="30" ht="16.5" customHeight="1">
      <c r="A30" s="753"/>
      <c r="B30" s="753"/>
      <c r="C30" s="753"/>
      <c r="D30" s="319"/>
      <c r="E30" s="319"/>
      <c r="F30" s="759" t="s">
        <v>15</v>
      </c>
      <c r="G30" s="759" t="s">
        <v>2147</v>
      </c>
      <c r="H30" s="759" t="s">
        <v>957</v>
      </c>
      <c r="I30" s="759" t="s">
        <v>2148</v>
      </c>
      <c r="J30" s="760" t="s">
        <v>2149</v>
      </c>
      <c r="K30" s="760" t="s">
        <v>2151</v>
      </c>
      <c r="L30" s="757"/>
      <c r="M30" s="758"/>
      <c r="N30" s="653"/>
      <c r="O30" s="758"/>
      <c r="P30" s="758"/>
      <c r="Q30" s="758"/>
      <c r="R30" s="736"/>
      <c r="S30" s="748"/>
      <c r="T30" s="749"/>
      <c r="U30" s="748"/>
      <c r="V30" s="749"/>
      <c r="W30" s="736"/>
      <c r="X30" s="736"/>
      <c r="Y30" s="736"/>
      <c r="Z30" s="736"/>
      <c r="AA30" s="683" t="s">
        <v>320</v>
      </c>
      <c r="AB30" s="685">
        <v>24.0</v>
      </c>
      <c r="AC30" s="736"/>
      <c r="AD30" s="736"/>
      <c r="AE30" s="711"/>
      <c r="AF30" s="742">
        <f t="shared" si="7"/>
        <v>9800</v>
      </c>
      <c r="AG30" s="658">
        <v>0.9837504616293219</v>
      </c>
      <c r="AH30" s="659">
        <f t="shared" si="3"/>
        <v>0.9837504616</v>
      </c>
      <c r="AI30" s="641"/>
      <c r="AJ30" s="660">
        <f t="shared" si="6"/>
        <v>30</v>
      </c>
      <c r="AK30" s="676">
        <v>0.9628</v>
      </c>
      <c r="AL30" s="662">
        <v>169000.0</v>
      </c>
      <c r="AM30" s="677">
        <v>-0.9997153502861194</v>
      </c>
      <c r="AN30" s="678">
        <v>-0.03720000000000001</v>
      </c>
      <c r="AO30" s="662">
        <v>169000.0</v>
      </c>
      <c r="AP30" s="679">
        <v>-0.9996549075180414</v>
      </c>
      <c r="AQ30" s="662">
        <v>169000.0</v>
      </c>
      <c r="AR30" s="680">
        <v>-0.9995853262258221</v>
      </c>
      <c r="AS30" s="648"/>
      <c r="AT30" s="698" t="s">
        <v>2078</v>
      </c>
      <c r="AU30" s="761">
        <f>$A$2</f>
        <v>21200</v>
      </c>
      <c r="AV30" s="724" t="s">
        <v>2079</v>
      </c>
      <c r="AW30" s="648"/>
      <c r="AX30" s="743"/>
      <c r="AY30" s="725">
        <f t="array" ref="AY30:BA34">LINEST(indirect(BB26),indirect(BB28),FALSE,TRUE)</f>
        <v>0.03976192615</v>
      </c>
      <c r="AZ30" s="762">
        <v>-1.5631608441913908E-7</v>
      </c>
      <c r="BA30" s="761">
        <v>0.0</v>
      </c>
      <c r="BB30" s="763"/>
      <c r="BC30" s="648"/>
      <c r="BD30" s="722">
        <f>BD26-BD28</f>
        <v>8858.470372</v>
      </c>
      <c r="BE30" s="728" t="s">
        <v>2083</v>
      </c>
    </row>
    <row r="31" ht="16.5" customHeight="1">
      <c r="A31" s="764"/>
      <c r="B31" s="764"/>
      <c r="C31" s="764"/>
      <c r="D31" s="765">
        <v>42305.0</v>
      </c>
      <c r="E31" s="766">
        <v>0.8631944444444445</v>
      </c>
      <c r="F31" s="767" t="s">
        <v>56</v>
      </c>
      <c r="G31" s="768">
        <v>1.0</v>
      </c>
      <c r="H31" s="769" t="s">
        <v>54</v>
      </c>
      <c r="I31" s="536" t="s">
        <v>27</v>
      </c>
      <c r="J31" s="770"/>
      <c r="K31" s="770" t="s">
        <v>2158</v>
      </c>
      <c r="L31" s="757"/>
      <c r="M31" s="758"/>
      <c r="N31" s="653"/>
      <c r="O31" s="758"/>
      <c r="P31" s="758"/>
      <c r="Q31" s="758"/>
      <c r="R31" s="736"/>
      <c r="S31" s="748"/>
      <c r="T31" s="749"/>
      <c r="U31" s="748"/>
      <c r="V31" s="749"/>
      <c r="W31" s="736"/>
      <c r="X31" s="736"/>
      <c r="Y31" s="736"/>
      <c r="Z31" s="736"/>
      <c r="AA31" s="683" t="s">
        <v>2159</v>
      </c>
      <c r="AB31" s="685">
        <v>-1.0</v>
      </c>
      <c r="AC31" s="736"/>
      <c r="AD31" s="736"/>
      <c r="AE31" s="711"/>
      <c r="AF31" s="742">
        <f t="shared" si="7"/>
        <v>10300</v>
      </c>
      <c r="AG31" s="658">
        <v>0.9830885474541979</v>
      </c>
      <c r="AH31" s="659">
        <f t="shared" si="3"/>
        <v>0.9830885475</v>
      </c>
      <c r="AI31" s="641"/>
      <c r="AJ31" s="660">
        <f t="shared" si="6"/>
        <v>31</v>
      </c>
      <c r="AK31" s="676">
        <v>0.9289</v>
      </c>
      <c r="AL31" s="662">
        <v>165000.0</v>
      </c>
      <c r="AM31" s="677">
        <v>-0.9996546715251067</v>
      </c>
      <c r="AN31" s="678">
        <v>-0.07110000000000005</v>
      </c>
      <c r="AO31" s="662">
        <v>165000.0</v>
      </c>
      <c r="AP31" s="679">
        <v>-0.99958324784606</v>
      </c>
      <c r="AQ31" s="662">
        <v>165000.0</v>
      </c>
      <c r="AR31" s="680">
        <v>-0.9995013901520889</v>
      </c>
      <c r="AS31" s="648"/>
      <c r="AT31" s="707" t="s">
        <v>2085</v>
      </c>
      <c r="AU31" s="730" t="str">
        <f>IF(MIN($AZ$14,$AZ$34,$AZ$54)=$AZ$34,"Yes","No")</f>
        <v>Yes</v>
      </c>
      <c r="AV31" s="731"/>
      <c r="AW31" s="648"/>
      <c r="AX31" s="743"/>
      <c r="AY31" s="762">
        <v>0.001640432227348545</v>
      </c>
      <c r="AZ31" s="762">
        <v>1.901269429402507E-8</v>
      </c>
      <c r="BA31" s="762" t="e">
        <v>#N/A</v>
      </c>
      <c r="BB31" s="763"/>
      <c r="BC31" s="648"/>
      <c r="BD31" s="732">
        <f>AVERAGE(BD29:BD30)</f>
        <v>7897.855747</v>
      </c>
      <c r="BE31" s="707" t="s">
        <v>2088</v>
      </c>
    </row>
    <row r="32" ht="16.5" customHeight="1">
      <c r="A32" s="764"/>
      <c r="B32" s="764"/>
      <c r="C32" s="764"/>
      <c r="D32" s="765">
        <v>42350.0</v>
      </c>
      <c r="E32" s="766">
        <v>0.8965277777777778</v>
      </c>
      <c r="F32" s="767" t="s">
        <v>60</v>
      </c>
      <c r="G32" s="768">
        <v>67.0</v>
      </c>
      <c r="H32" s="767" t="s">
        <v>218</v>
      </c>
      <c r="I32" s="536" t="s">
        <v>2161</v>
      </c>
      <c r="J32" s="771">
        <v>42005.0</v>
      </c>
      <c r="K32" s="771">
        <v>42020.0</v>
      </c>
      <c r="L32" s="757"/>
      <c r="M32" s="758"/>
      <c r="N32" s="653"/>
      <c r="O32" s="758"/>
      <c r="P32" s="758"/>
      <c r="Q32" s="758"/>
      <c r="R32" s="736"/>
      <c r="S32" s="748"/>
      <c r="T32" s="749"/>
      <c r="U32" s="748"/>
      <c r="V32" s="749"/>
      <c r="W32" s="736"/>
      <c r="X32" s="736"/>
      <c r="Y32" s="736"/>
      <c r="Z32" s="736"/>
      <c r="AA32" s="683" t="s">
        <v>2163</v>
      </c>
      <c r="AB32" s="685">
        <v>-2.0</v>
      </c>
      <c r="AC32" s="736"/>
      <c r="AD32" s="736"/>
      <c r="AE32" s="711"/>
      <c r="AF32" s="742">
        <f t="shared" si="7"/>
        <v>10800</v>
      </c>
      <c r="AG32" s="658">
        <v>0.9824402400247698</v>
      </c>
      <c r="AH32" s="659">
        <f t="shared" si="3"/>
        <v>0.98244024</v>
      </c>
      <c r="AI32" s="641"/>
      <c r="AJ32" s="660">
        <f t="shared" si="6"/>
        <v>32</v>
      </c>
      <c r="AK32" s="676">
        <v>0.9411</v>
      </c>
      <c r="AL32" s="662">
        <v>160728.0</v>
      </c>
      <c r="AM32" s="677">
        <v>-0.9995755166099128</v>
      </c>
      <c r="AN32" s="678">
        <v>-0.05889999999999995</v>
      </c>
      <c r="AO32" s="662">
        <v>160728.0</v>
      </c>
      <c r="AP32" s="679">
        <v>-0.9994902088540989</v>
      </c>
      <c r="AQ32" s="662">
        <v>160728.0</v>
      </c>
      <c r="AR32" s="680">
        <v>-0.9993929019674075</v>
      </c>
      <c r="AS32" s="624"/>
      <c r="AT32" s="624"/>
      <c r="AU32" s="624"/>
      <c r="AV32" s="624"/>
      <c r="AW32" s="648"/>
      <c r="AX32" s="772" t="s">
        <v>2090</v>
      </c>
      <c r="AY32" s="762">
        <v>0.8169629633839286</v>
      </c>
      <c r="AZ32" s="762">
        <v>0.020927419860139566</v>
      </c>
      <c r="BA32" s="762" t="e">
        <v>#N/A</v>
      </c>
      <c r="BB32" s="763"/>
      <c r="BC32" s="624"/>
      <c r="BD32" s="624"/>
      <c r="BE32" s="624"/>
    </row>
    <row r="33" ht="16.5" customHeight="1">
      <c r="A33" s="764"/>
      <c r="B33" s="764"/>
      <c r="C33" s="764"/>
      <c r="D33" s="765">
        <v>42350.0</v>
      </c>
      <c r="E33" s="766">
        <v>0.8951388888888889</v>
      </c>
      <c r="F33" s="767" t="s">
        <v>60</v>
      </c>
      <c r="G33" s="768">
        <v>187.0</v>
      </c>
      <c r="H33" s="767" t="s">
        <v>761</v>
      </c>
      <c r="I33" s="767" t="s">
        <v>18</v>
      </c>
      <c r="J33" s="770" t="s">
        <v>90</v>
      </c>
      <c r="K33" s="770" t="s">
        <v>319</v>
      </c>
      <c r="L33" s="757"/>
      <c r="M33" s="758"/>
      <c r="N33" s="653"/>
      <c r="O33" s="758"/>
      <c r="P33" s="758"/>
      <c r="Q33" s="758"/>
      <c r="R33" s="736"/>
      <c r="S33" s="748"/>
      <c r="T33" s="749"/>
      <c r="U33" s="748"/>
      <c r="V33" s="749"/>
      <c r="W33" s="736"/>
      <c r="X33" s="736"/>
      <c r="Y33" s="736"/>
      <c r="Z33" s="736"/>
      <c r="AA33" s="683" t="s">
        <v>2165</v>
      </c>
      <c r="AB33" s="685">
        <v>-3.0</v>
      </c>
      <c r="AC33" s="736"/>
      <c r="AD33" s="736"/>
      <c r="AE33" s="711"/>
      <c r="AF33" s="742">
        <f t="shared" si="7"/>
        <v>11300</v>
      </c>
      <c r="AG33" s="658">
        <v>0.9818052221820079</v>
      </c>
      <c r="AH33" s="659">
        <f t="shared" si="3"/>
        <v>0.9818052222</v>
      </c>
      <c r="AI33" s="641"/>
      <c r="AJ33" s="660">
        <f t="shared" si="6"/>
        <v>33</v>
      </c>
      <c r="AK33" s="676">
        <v>0.9355</v>
      </c>
      <c r="AL33" s="662">
        <v>159750.0</v>
      </c>
      <c r="AM33" s="677">
        <v>-0.9995549799872546</v>
      </c>
      <c r="AN33" s="678">
        <v>-0.0645</v>
      </c>
      <c r="AO33" s="662">
        <v>159750.0</v>
      </c>
      <c r="AP33" s="679">
        <v>-0.9994661402310698</v>
      </c>
      <c r="AQ33" s="662">
        <v>159750.0</v>
      </c>
      <c r="AR33" s="680">
        <v>-0.9993649146458204</v>
      </c>
      <c r="AS33" s="624"/>
      <c r="AT33" s="624"/>
      <c r="AU33" s="624"/>
      <c r="AV33" s="624"/>
      <c r="AW33" s="648"/>
      <c r="AX33" s="772" t="s">
        <v>2094</v>
      </c>
      <c r="AY33" s="762">
        <v>2222.7608318341486</v>
      </c>
      <c r="AZ33" s="762">
        <v>996.0</v>
      </c>
      <c r="BA33" s="762" t="e">
        <v>#N/A</v>
      </c>
      <c r="BB33" s="763"/>
      <c r="BC33" s="624"/>
      <c r="BD33" s="624"/>
      <c r="BE33" s="624"/>
    </row>
    <row r="34" ht="16.5" customHeight="1">
      <c r="A34" s="764"/>
      <c r="B34" s="764"/>
      <c r="C34" s="764"/>
      <c r="D34" s="765">
        <v>42370.0</v>
      </c>
      <c r="E34" s="766">
        <v>0.8083333333333333</v>
      </c>
      <c r="F34" s="767" t="s">
        <v>56</v>
      </c>
      <c r="G34" s="768">
        <v>1.0</v>
      </c>
      <c r="H34" s="769" t="s">
        <v>54</v>
      </c>
      <c r="I34" s="767" t="s">
        <v>18</v>
      </c>
      <c r="J34" s="770" t="s">
        <v>59</v>
      </c>
      <c r="K34" s="770" t="s">
        <v>118</v>
      </c>
      <c r="L34" s="757"/>
      <c r="M34" s="758"/>
      <c r="N34" s="653"/>
      <c r="O34" s="758"/>
      <c r="P34" s="758"/>
      <c r="Q34" s="758"/>
      <c r="R34" s="736"/>
      <c r="S34" s="748"/>
      <c r="T34" s="749"/>
      <c r="U34" s="748"/>
      <c r="V34" s="749"/>
      <c r="W34" s="736"/>
      <c r="X34" s="736"/>
      <c r="Y34" s="736"/>
      <c r="Z34" s="736"/>
      <c r="AA34" s="683" t="s">
        <v>2166</v>
      </c>
      <c r="AB34" s="685">
        <v>-4.0</v>
      </c>
      <c r="AC34" s="736"/>
      <c r="AD34" s="736"/>
      <c r="AE34" s="711"/>
      <c r="AF34" s="742">
        <f t="shared" si="7"/>
        <v>11800</v>
      </c>
      <c r="AG34" s="658">
        <v>0.9811831841595291</v>
      </c>
      <c r="AH34" s="659">
        <f t="shared" si="3"/>
        <v>0.9811831842</v>
      </c>
      <c r="AI34" s="641"/>
      <c r="AJ34" s="660">
        <f t="shared" si="6"/>
        <v>34</v>
      </c>
      <c r="AK34" s="676">
        <v>0.9223</v>
      </c>
      <c r="AL34" s="662">
        <v>158400.0</v>
      </c>
      <c r="AM34" s="677">
        <v>-0.9995249896254658</v>
      </c>
      <c r="AN34" s="678">
        <v>-0.07769999999999999</v>
      </c>
      <c r="AO34" s="662">
        <v>158400.0</v>
      </c>
      <c r="AP34" s="679">
        <v>-0.9994310386846362</v>
      </c>
      <c r="AQ34" s="662">
        <v>158400.0</v>
      </c>
      <c r="AR34" s="680">
        <v>-0.9993241498448738</v>
      </c>
      <c r="AS34" s="624"/>
      <c r="AT34" s="624"/>
      <c r="AU34" s="624"/>
      <c r="AV34" s="624"/>
      <c r="AW34" s="648"/>
      <c r="AX34" s="743"/>
      <c r="AY34" s="762">
        <v>1.9469468956054516</v>
      </c>
      <c r="AZ34" s="762">
        <v>0.43620507439455375</v>
      </c>
      <c r="BA34" s="762" t="e">
        <v>#N/A</v>
      </c>
      <c r="BB34" s="763"/>
      <c r="BC34" s="624"/>
      <c r="BD34" s="624"/>
      <c r="BE34" s="624"/>
    </row>
    <row r="35" ht="16.5" customHeight="1">
      <c r="A35" s="764"/>
      <c r="B35" s="764"/>
      <c r="C35" s="764"/>
      <c r="D35" s="765">
        <v>42377.0</v>
      </c>
      <c r="E35" s="766">
        <v>0.5513888888888889</v>
      </c>
      <c r="F35" s="767" t="s">
        <v>60</v>
      </c>
      <c r="G35" s="768">
        <v>8.0</v>
      </c>
      <c r="H35" s="773" t="s">
        <v>132</v>
      </c>
      <c r="I35" s="767" t="s">
        <v>18</v>
      </c>
      <c r="J35" s="774" t="s">
        <v>57</v>
      </c>
      <c r="K35" s="774" t="s">
        <v>109</v>
      </c>
      <c r="L35" s="757"/>
      <c r="M35" s="758"/>
      <c r="N35" s="653"/>
      <c r="O35" s="758"/>
      <c r="P35" s="758"/>
      <c r="Q35" s="758"/>
      <c r="R35" s="736"/>
      <c r="S35" s="748"/>
      <c r="T35" s="749"/>
      <c r="U35" s="748"/>
      <c r="V35" s="749"/>
      <c r="W35" s="736"/>
      <c r="X35" s="736"/>
      <c r="Y35" s="736"/>
      <c r="Z35" s="736"/>
      <c r="AA35" s="683"/>
      <c r="AB35" s="685"/>
      <c r="AC35" s="736"/>
      <c r="AD35" s="736"/>
      <c r="AE35" s="711"/>
      <c r="AF35" s="742">
        <f t="shared" si="7"/>
        <v>12300</v>
      </c>
      <c r="AG35" s="658">
        <v>0.9805738234112804</v>
      </c>
      <c r="AH35" s="659">
        <f t="shared" si="3"/>
        <v>0.9805738234</v>
      </c>
      <c r="AI35" s="641"/>
      <c r="AJ35" s="660">
        <f t="shared" si="6"/>
        <v>35</v>
      </c>
      <c r="AK35" s="676">
        <v>0.939</v>
      </c>
      <c r="AL35" s="662">
        <v>157556.0</v>
      </c>
      <c r="AM35" s="677">
        <v>-0.9995052217948354</v>
      </c>
      <c r="AN35" s="678">
        <v>-0.061000000000000054</v>
      </c>
      <c r="AO35" s="662">
        <v>157556.0</v>
      </c>
      <c r="AP35" s="679">
        <v>-0.9994079306546074</v>
      </c>
      <c r="AQ35" s="662">
        <v>157556.0</v>
      </c>
      <c r="AR35" s="680">
        <v>-0.9992973454361841</v>
      </c>
      <c r="AS35" s="624"/>
      <c r="AT35" s="624"/>
      <c r="AU35" s="624"/>
      <c r="AV35" s="624"/>
      <c r="AW35" s="648"/>
      <c r="AX35" s="743"/>
      <c r="AY35" s="763"/>
      <c r="AZ35" s="762" t="s">
        <v>2098</v>
      </c>
      <c r="BA35" s="763"/>
      <c r="BB35" s="763"/>
      <c r="BC35" s="624"/>
      <c r="BD35" s="624"/>
      <c r="BE35" s="624"/>
    </row>
    <row r="36" ht="16.5" customHeight="1">
      <c r="A36" s="764"/>
      <c r="B36" s="764"/>
      <c r="C36" s="764"/>
      <c r="D36" s="765">
        <v>42380.0</v>
      </c>
      <c r="E36" s="766">
        <v>0.9701388888888889</v>
      </c>
      <c r="F36" s="767" t="s">
        <v>60</v>
      </c>
      <c r="G36" s="768">
        <v>124.0</v>
      </c>
      <c r="H36" s="769" t="s">
        <v>541</v>
      </c>
      <c r="I36" s="767" t="s">
        <v>18</v>
      </c>
      <c r="J36" s="774" t="s">
        <v>57</v>
      </c>
      <c r="K36" s="774" t="s">
        <v>619</v>
      </c>
      <c r="L36" s="757"/>
      <c r="M36" s="758"/>
      <c r="N36" s="653"/>
      <c r="O36" s="758"/>
      <c r="P36" s="758"/>
      <c r="Q36" s="758"/>
      <c r="R36" s="736"/>
      <c r="S36" s="748"/>
      <c r="T36" s="749"/>
      <c r="U36" s="748"/>
      <c r="V36" s="749"/>
      <c r="W36" s="736"/>
      <c r="X36" s="736"/>
      <c r="Y36" s="736"/>
      <c r="Z36" s="736"/>
      <c r="AA36" s="683"/>
      <c r="AB36" s="685"/>
      <c r="AC36" s="736"/>
      <c r="AD36" s="736"/>
      <c r="AE36" s="711"/>
      <c r="AF36" s="742">
        <f t="shared" si="7"/>
        <v>12800</v>
      </c>
      <c r="AG36" s="658">
        <v>0.9799768444432415</v>
      </c>
      <c r="AH36" s="659">
        <f t="shared" si="3"/>
        <v>0.9799768444</v>
      </c>
      <c r="AI36" s="641"/>
      <c r="AJ36" s="660">
        <f t="shared" si="6"/>
        <v>36</v>
      </c>
      <c r="AK36" s="676">
        <v>0.9424</v>
      </c>
      <c r="AL36" s="662">
        <v>156500.0</v>
      </c>
      <c r="AM36" s="677">
        <v>-0.9994793260216627</v>
      </c>
      <c r="AN36" s="678">
        <v>-0.057599999999999985</v>
      </c>
      <c r="AO36" s="662">
        <v>156500.0</v>
      </c>
      <c r="AP36" s="679">
        <v>-0.9993776920378129</v>
      </c>
      <c r="AQ36" s="662">
        <v>156500.0</v>
      </c>
      <c r="AR36" s="680">
        <v>-0.9992623060835997</v>
      </c>
      <c r="AS36" s="624"/>
      <c r="AT36" s="624"/>
      <c r="AU36" s="624"/>
      <c r="AV36" s="624"/>
      <c r="AW36" s="624"/>
      <c r="AX36" s="624"/>
      <c r="AY36" s="624"/>
      <c r="AZ36" s="624"/>
      <c r="BA36" s="624"/>
      <c r="BB36" s="624"/>
      <c r="BC36" s="624"/>
      <c r="BD36" s="624"/>
      <c r="BE36" s="624"/>
    </row>
    <row r="37" ht="16.5" customHeight="1">
      <c r="A37" s="764"/>
      <c r="B37" s="764"/>
      <c r="C37" s="764"/>
      <c r="D37" s="765">
        <v>42387.0</v>
      </c>
      <c r="E37" s="766">
        <v>0.5131944444444444</v>
      </c>
      <c r="F37" s="767" t="s">
        <v>56</v>
      </c>
      <c r="G37" s="768">
        <v>1.0</v>
      </c>
      <c r="H37" s="769" t="s">
        <v>54</v>
      </c>
      <c r="I37" s="767" t="s">
        <v>18</v>
      </c>
      <c r="J37" s="770" t="s">
        <v>59</v>
      </c>
      <c r="K37" s="775" t="s">
        <v>305</v>
      </c>
      <c r="L37" s="757"/>
      <c r="M37" s="758"/>
      <c r="N37" s="758"/>
      <c r="O37" s="758"/>
      <c r="P37" s="758"/>
      <c r="Q37" s="758"/>
      <c r="R37" s="736"/>
      <c r="S37" s="748"/>
      <c r="T37" s="749"/>
      <c r="U37" s="748"/>
      <c r="V37" s="749"/>
      <c r="W37" s="736"/>
      <c r="X37" s="736"/>
      <c r="Y37" s="736"/>
      <c r="Z37" s="736"/>
      <c r="AA37" s="683"/>
      <c r="AB37" s="685"/>
      <c r="AC37" s="736"/>
      <c r="AD37" s="736"/>
      <c r="AE37" s="711"/>
      <c r="AF37" s="742">
        <f t="shared" si="7"/>
        <v>13300</v>
      </c>
      <c r="AG37" s="658">
        <v>0.9793919586490493</v>
      </c>
      <c r="AH37" s="659">
        <f t="shared" si="3"/>
        <v>0.9793919586</v>
      </c>
      <c r="AI37" s="641"/>
      <c r="AJ37" s="660">
        <f t="shared" si="6"/>
        <v>37</v>
      </c>
      <c r="AK37" s="676">
        <v>0.901</v>
      </c>
      <c r="AL37" s="662">
        <v>156486.0</v>
      </c>
      <c r="AM37" s="677">
        <v>-0.9994789737559004</v>
      </c>
      <c r="AN37" s="678">
        <v>-0.09899999999999998</v>
      </c>
      <c r="AO37" s="662">
        <v>156486.0</v>
      </c>
      <c r="AP37" s="679">
        <v>-0.999377280944001</v>
      </c>
      <c r="AQ37" s="662">
        <v>156486.0</v>
      </c>
      <c r="AR37" s="680">
        <v>-0.9992618299984813</v>
      </c>
      <c r="AS37" s="624"/>
      <c r="AT37" s="624"/>
      <c r="AU37" s="624"/>
      <c r="AV37" s="624"/>
      <c r="AW37" s="624"/>
      <c r="AX37" s="624"/>
      <c r="AY37" s="624"/>
      <c r="AZ37" s="624"/>
      <c r="BA37" s="624"/>
      <c r="BB37" s="624"/>
      <c r="BC37" s="624"/>
      <c r="BD37" s="624"/>
      <c r="BE37" s="624"/>
    </row>
    <row r="38" ht="16.5" customHeight="1">
      <c r="A38" s="776"/>
      <c r="B38" s="776"/>
      <c r="C38" s="776"/>
      <c r="D38" s="765">
        <v>42415.0</v>
      </c>
      <c r="E38" s="766">
        <v>0.8777777777777778</v>
      </c>
      <c r="F38" s="767" t="s">
        <v>60</v>
      </c>
      <c r="G38" s="768">
        <v>217.0</v>
      </c>
      <c r="H38" s="767" t="s">
        <v>761</v>
      </c>
      <c r="I38" s="767" t="s">
        <v>18</v>
      </c>
      <c r="J38" s="770" t="s">
        <v>90</v>
      </c>
      <c r="K38" s="770" t="s">
        <v>619</v>
      </c>
      <c r="L38" s="757"/>
      <c r="M38" s="758"/>
      <c r="N38" s="758"/>
      <c r="O38" s="758"/>
      <c r="P38" s="758"/>
      <c r="Q38" s="758"/>
      <c r="R38" s="736"/>
      <c r="S38" s="748"/>
      <c r="T38" s="749"/>
      <c r="U38" s="748"/>
      <c r="V38" s="749"/>
      <c r="W38" s="736"/>
      <c r="X38" s="736"/>
      <c r="Y38" s="736"/>
      <c r="Z38" s="736"/>
      <c r="AA38" s="683"/>
      <c r="AB38" s="685"/>
      <c r="AC38" s="736"/>
      <c r="AD38" s="736"/>
      <c r="AE38" s="711"/>
      <c r="AF38" s="742">
        <f t="shared" si="7"/>
        <v>13800</v>
      </c>
      <c r="AG38" s="658">
        <v>0.9788188841494532</v>
      </c>
      <c r="AH38" s="659">
        <f t="shared" si="3"/>
        <v>0.9788188841</v>
      </c>
      <c r="AI38" s="641"/>
      <c r="AJ38" s="660">
        <f t="shared" si="6"/>
        <v>38</v>
      </c>
      <c r="AK38" s="676">
        <v>0.9441</v>
      </c>
      <c r="AL38" s="662">
        <v>156115.0</v>
      </c>
      <c r="AM38" s="677">
        <v>-0.9994695513709752</v>
      </c>
      <c r="AN38" s="678">
        <v>-0.05589999999999995</v>
      </c>
      <c r="AO38" s="662">
        <v>156115.0</v>
      </c>
      <c r="AP38" s="679">
        <v>-0.9993662874479927</v>
      </c>
      <c r="AQ38" s="662">
        <v>156115.0</v>
      </c>
      <c r="AR38" s="680">
        <v>-0.999249101171762</v>
      </c>
      <c r="AS38" s="624"/>
      <c r="AT38" s="624"/>
      <c r="AU38" s="624"/>
      <c r="AV38" s="624"/>
      <c r="AW38" s="624"/>
      <c r="AX38" s="624"/>
      <c r="AY38" s="624"/>
      <c r="AZ38" s="624"/>
      <c r="BA38" s="624"/>
      <c r="BB38" s="624"/>
      <c r="BC38" s="624"/>
      <c r="BD38" s="624"/>
      <c r="BE38" s="624"/>
    </row>
    <row r="39" ht="16.5" customHeight="1">
      <c r="A39" s="776"/>
      <c r="B39" s="776"/>
      <c r="C39" s="776"/>
      <c r="D39" s="765">
        <v>42444.0</v>
      </c>
      <c r="E39" s="766">
        <v>0.5152777777777777</v>
      </c>
      <c r="F39" s="767" t="s">
        <v>60</v>
      </c>
      <c r="G39" s="768">
        <v>14.0</v>
      </c>
      <c r="H39" s="769" t="s">
        <v>177</v>
      </c>
      <c r="I39" s="767" t="s">
        <v>18</v>
      </c>
      <c r="J39" s="777" t="s">
        <v>103</v>
      </c>
      <c r="K39" s="770" t="s">
        <v>59</v>
      </c>
      <c r="L39" s="757"/>
      <c r="M39" s="758"/>
      <c r="N39" s="758"/>
      <c r="O39" s="758"/>
      <c r="P39" s="758"/>
      <c r="Q39" s="758"/>
      <c r="R39" s="736"/>
      <c r="S39" s="748"/>
      <c r="T39" s="749"/>
      <c r="U39" s="748"/>
      <c r="V39" s="749"/>
      <c r="W39" s="736"/>
      <c r="X39" s="736"/>
      <c r="Y39" s="736"/>
      <c r="Z39" s="736"/>
      <c r="AA39" s="778"/>
      <c r="AB39" s="685"/>
      <c r="AC39" s="736"/>
      <c r="AD39" s="736"/>
      <c r="AE39" s="711"/>
      <c r="AF39" s="742">
        <f t="shared" si="7"/>
        <v>14300</v>
      </c>
      <c r="AG39" s="658">
        <v>0.9782573456355137</v>
      </c>
      <c r="AH39" s="659">
        <f t="shared" si="3"/>
        <v>0.9782573456</v>
      </c>
      <c r="AI39" s="641"/>
      <c r="AJ39" s="660">
        <f t="shared" si="6"/>
        <v>39</v>
      </c>
      <c r="AK39" s="676">
        <v>0.9061</v>
      </c>
      <c r="AL39" s="662">
        <v>155000.0</v>
      </c>
      <c r="AM39" s="677">
        <v>-0.9994401953673173</v>
      </c>
      <c r="AN39" s="678">
        <v>-0.09389999999999998</v>
      </c>
      <c r="AO39" s="662">
        <v>155000.0</v>
      </c>
      <c r="AP39" s="679">
        <v>-0.9993320657081214</v>
      </c>
      <c r="AQ39" s="662">
        <v>155000.0</v>
      </c>
      <c r="AR39" s="680">
        <v>-0.99920950967688</v>
      </c>
      <c r="AS39" s="624"/>
      <c r="AT39" s="624"/>
      <c r="AU39" s="624"/>
      <c r="AV39" s="624"/>
      <c r="AW39" s="624"/>
      <c r="AX39" s="624"/>
      <c r="AY39" s="624"/>
      <c r="AZ39" s="624"/>
      <c r="BA39" s="624"/>
      <c r="BB39" s="624"/>
      <c r="BC39" s="624"/>
      <c r="BD39" s="624"/>
      <c r="BE39" s="624"/>
    </row>
    <row r="40" ht="16.5" customHeight="1">
      <c r="A40" s="776"/>
      <c r="B40" s="776"/>
      <c r="C40" s="776"/>
      <c r="D40" s="765">
        <v>42444.0</v>
      </c>
      <c r="E40" s="766">
        <v>0.5159722222222223</v>
      </c>
      <c r="F40" s="767" t="s">
        <v>60</v>
      </c>
      <c r="G40" s="768">
        <v>11.0</v>
      </c>
      <c r="H40" s="769" t="s">
        <v>155</v>
      </c>
      <c r="I40" s="767" t="s">
        <v>18</v>
      </c>
      <c r="J40" s="770" t="s">
        <v>109</v>
      </c>
      <c r="K40" s="770" t="s">
        <v>59</v>
      </c>
      <c r="L40" s="757"/>
      <c r="M40" s="758"/>
      <c r="N40" s="758"/>
      <c r="O40" s="758"/>
      <c r="P40" s="758"/>
      <c r="Q40" s="758"/>
      <c r="R40" s="736"/>
      <c r="S40" s="748"/>
      <c r="T40" s="749"/>
      <c r="U40" s="748"/>
      <c r="V40" s="749"/>
      <c r="W40" s="736"/>
      <c r="X40" s="736"/>
      <c r="Y40" s="736"/>
      <c r="Z40" s="736"/>
      <c r="AA40" s="683" t="s">
        <v>379</v>
      </c>
      <c r="AB40" s="685">
        <v>3.0</v>
      </c>
      <c r="AC40" s="736"/>
      <c r="AD40" s="736"/>
      <c r="AE40" s="711"/>
      <c r="AF40" s="742">
        <f t="shared" si="7"/>
        <v>14800</v>
      </c>
      <c r="AG40" s="658">
        <v>0.9777070742154552</v>
      </c>
      <c r="AH40" s="659">
        <f t="shared" si="3"/>
        <v>0.9777070742</v>
      </c>
      <c r="AI40" s="641"/>
      <c r="AJ40" s="660">
        <f t="shared" si="6"/>
        <v>40</v>
      </c>
      <c r="AK40" s="676">
        <v>0.9162</v>
      </c>
      <c r="AL40" s="662">
        <v>154610.0</v>
      </c>
      <c r="AM40" s="677">
        <v>-0.9994295483403771</v>
      </c>
      <c r="AN40" s="678">
        <v>-0.08379999999999999</v>
      </c>
      <c r="AO40" s="662">
        <v>154610.0</v>
      </c>
      <c r="AP40" s="679">
        <v>-0.9993196645198574</v>
      </c>
      <c r="AQ40" s="662">
        <v>154610.0</v>
      </c>
      <c r="AR40" s="680">
        <v>-0.9991951742733584</v>
      </c>
      <c r="AS40" s="624"/>
      <c r="AT40" s="624"/>
      <c r="AU40" s="624"/>
      <c r="AV40" s="624"/>
      <c r="AW40" s="624"/>
      <c r="AX40" s="624"/>
      <c r="AY40" s="624"/>
      <c r="AZ40" s="624"/>
      <c r="BA40" s="624"/>
      <c r="BB40" s="624"/>
      <c r="BC40" s="624"/>
      <c r="BD40" s="624"/>
      <c r="BE40" s="624"/>
    </row>
    <row r="41" ht="16.5" customHeight="1">
      <c r="D41" s="779"/>
      <c r="E41" s="766"/>
      <c r="F41" s="767"/>
      <c r="G41" s="768"/>
      <c r="H41" s="769"/>
      <c r="I41" s="536"/>
      <c r="J41" s="770"/>
      <c r="K41" s="770"/>
      <c r="L41" s="780"/>
      <c r="M41" s="781"/>
      <c r="N41" s="782"/>
      <c r="O41" s="782"/>
      <c r="P41" s="782"/>
      <c r="Q41" s="758"/>
      <c r="R41" s="736"/>
      <c r="S41" s="748"/>
      <c r="T41" s="749"/>
      <c r="U41" s="748"/>
      <c r="V41" s="749"/>
      <c r="W41" s="736"/>
      <c r="X41" s="736"/>
      <c r="Y41" s="736"/>
      <c r="Z41" s="736"/>
      <c r="AA41" s="683" t="s">
        <v>196</v>
      </c>
      <c r="AB41" s="685">
        <v>0.0</v>
      </c>
      <c r="AC41" s="711"/>
      <c r="AD41" s="736"/>
      <c r="AE41" s="736"/>
      <c r="AF41" s="742">
        <f t="shared" si="7"/>
        <v>15300</v>
      </c>
      <c r="AG41" s="658">
        <v>0.9771678072650881</v>
      </c>
      <c r="AH41" s="659">
        <f t="shared" si="3"/>
        <v>0.9771678073</v>
      </c>
      <c r="AI41" s="641"/>
      <c r="AJ41" s="660">
        <f t="shared" si="6"/>
        <v>41</v>
      </c>
      <c r="AK41" s="676">
        <v>0.9273</v>
      </c>
      <c r="AL41" s="662">
        <v>154000.0</v>
      </c>
      <c r="AM41" s="677">
        <v>-0.9994124877884647</v>
      </c>
      <c r="AN41" s="678">
        <v>-0.07269999999999999</v>
      </c>
      <c r="AO41" s="662">
        <v>154000.0</v>
      </c>
      <c r="AP41" s="679">
        <v>-0.9992998044770313</v>
      </c>
      <c r="AQ41" s="662">
        <v>154000.0</v>
      </c>
      <c r="AR41" s="680">
        <v>-0.99917222915038</v>
      </c>
      <c r="AS41" s="624"/>
      <c r="AT41" s="624"/>
      <c r="AU41" s="624"/>
      <c r="AV41" s="624"/>
      <c r="AW41" s="624"/>
      <c r="AX41" s="625"/>
      <c r="AY41" s="625"/>
      <c r="AZ41" s="625"/>
      <c r="BA41" s="625"/>
      <c r="BB41" s="625"/>
      <c r="BC41" s="624"/>
      <c r="BD41" s="624"/>
      <c r="BE41" s="624"/>
    </row>
    <row r="42" ht="16.5" customHeight="1">
      <c r="D42" s="779"/>
      <c r="E42" s="766"/>
      <c r="F42" s="767"/>
      <c r="G42" s="768"/>
      <c r="H42" s="769"/>
      <c r="I42" s="536"/>
      <c r="J42" s="770"/>
      <c r="K42" s="770"/>
      <c r="L42" s="780"/>
      <c r="M42" s="781"/>
      <c r="N42" s="782"/>
      <c r="O42" s="782"/>
      <c r="P42" s="782"/>
      <c r="Q42" s="758"/>
      <c r="R42" s="736"/>
      <c r="S42" s="748"/>
      <c r="T42" s="749"/>
      <c r="U42" s="748"/>
      <c r="V42" s="749"/>
      <c r="W42" s="736"/>
      <c r="X42" s="736"/>
      <c r="Y42" s="736"/>
      <c r="Z42" s="736"/>
      <c r="AA42" s="683" t="s">
        <v>2176</v>
      </c>
      <c r="AB42" s="685">
        <v>1.0</v>
      </c>
      <c r="AC42" s="711"/>
      <c r="AD42" s="736"/>
      <c r="AE42" s="736"/>
      <c r="AF42" s="742">
        <f t="shared" si="7"/>
        <v>15800</v>
      </c>
      <c r="AG42" s="658">
        <v>0.976639288281719</v>
      </c>
      <c r="AH42" s="659">
        <f t="shared" si="3"/>
        <v>0.9766392883</v>
      </c>
      <c r="AI42" s="641"/>
      <c r="AJ42" s="660">
        <f t="shared" si="6"/>
        <v>42</v>
      </c>
      <c r="AK42" s="676">
        <v>0.9637</v>
      </c>
      <c r="AL42" s="662">
        <v>152888.0</v>
      </c>
      <c r="AM42" s="677">
        <v>-0.9993800636334609</v>
      </c>
      <c r="AN42" s="678">
        <v>-0.0363</v>
      </c>
      <c r="AO42" s="662">
        <v>152888.0</v>
      </c>
      <c r="AP42" s="679">
        <v>-0.9992620969519558</v>
      </c>
      <c r="AQ42" s="662">
        <v>152888.0</v>
      </c>
      <c r="AR42" s="680">
        <v>-0.9991287050057697</v>
      </c>
      <c r="AS42" s="624"/>
      <c r="AT42" s="624"/>
      <c r="AU42" s="624"/>
      <c r="AV42" s="624"/>
      <c r="AW42" s="648"/>
      <c r="AX42" s="650" t="s">
        <v>2177</v>
      </c>
      <c r="AY42" s="344"/>
      <c r="AZ42" s="344"/>
      <c r="BA42" s="344"/>
      <c r="BB42" s="322"/>
      <c r="BC42" s="624"/>
      <c r="BD42" s="624"/>
      <c r="BE42" s="624"/>
    </row>
    <row r="43" ht="16.5" customHeight="1">
      <c r="D43" s="779"/>
      <c r="E43" s="766"/>
      <c r="F43" s="767"/>
      <c r="G43" s="768"/>
      <c r="H43" s="769"/>
      <c r="I43" s="536"/>
      <c r="J43" s="770"/>
      <c r="K43" s="770"/>
      <c r="L43" s="780"/>
      <c r="M43" s="781"/>
      <c r="N43" s="782"/>
      <c r="O43" s="782"/>
      <c r="P43" s="782"/>
      <c r="Q43" s="758"/>
      <c r="R43" s="736"/>
      <c r="S43" s="748"/>
      <c r="T43" s="749"/>
      <c r="U43" s="748"/>
      <c r="V43" s="749"/>
      <c r="W43" s="736"/>
      <c r="X43" s="736"/>
      <c r="Y43" s="736"/>
      <c r="Z43" s="736"/>
      <c r="AA43" s="683" t="s">
        <v>2179</v>
      </c>
      <c r="AB43" s="685">
        <v>2.0</v>
      </c>
      <c r="AC43" s="711"/>
      <c r="AD43" s="736"/>
      <c r="AE43" s="736"/>
      <c r="AF43" s="742">
        <f t="shared" si="7"/>
        <v>16300</v>
      </c>
      <c r="AG43" s="658">
        <v>0.9761212667414636</v>
      </c>
      <c r="AH43" s="659">
        <f t="shared" si="3"/>
        <v>0.9761212667</v>
      </c>
      <c r="AI43" s="641"/>
      <c r="AJ43" s="660">
        <f t="shared" si="6"/>
        <v>43</v>
      </c>
      <c r="AK43" s="676">
        <v>0.9574</v>
      </c>
      <c r="AL43" s="662">
        <v>152250.0</v>
      </c>
      <c r="AM43" s="677">
        <v>-0.9993606589131553</v>
      </c>
      <c r="AN43" s="678">
        <v>-0.04259999999999997</v>
      </c>
      <c r="AO43" s="662">
        <v>152250.0</v>
      </c>
      <c r="AP43" s="679">
        <v>-0.9992395527215993</v>
      </c>
      <c r="AQ43" s="662">
        <v>152250.0</v>
      </c>
      <c r="AR43" s="680">
        <v>-0.9991027078321366</v>
      </c>
      <c r="AS43" s="624"/>
      <c r="AT43" s="624"/>
      <c r="AU43" s="624"/>
      <c r="AV43" s="624"/>
      <c r="AW43" s="648"/>
      <c r="AX43" s="667" t="s">
        <v>2021</v>
      </c>
      <c r="BB43" s="316"/>
      <c r="BC43" s="624"/>
      <c r="BD43" s="624"/>
      <c r="BE43" s="624"/>
    </row>
    <row r="44" ht="16.5" customHeight="1">
      <c r="D44" s="779"/>
      <c r="E44" s="766"/>
      <c r="F44" s="767"/>
      <c r="G44" s="768"/>
      <c r="H44" s="769"/>
      <c r="I44" s="536"/>
      <c r="J44" s="770"/>
      <c r="K44" s="770"/>
      <c r="L44" s="780"/>
      <c r="M44" s="781"/>
      <c r="N44" s="782"/>
      <c r="O44" s="782"/>
      <c r="P44" s="782"/>
      <c r="Q44" s="758"/>
      <c r="R44" s="736"/>
      <c r="S44" s="748"/>
      <c r="T44" s="749"/>
      <c r="U44" s="748"/>
      <c r="V44" s="749"/>
      <c r="W44" s="736"/>
      <c r="X44" s="736"/>
      <c r="Y44" s="736"/>
      <c r="Z44" s="736"/>
      <c r="AA44" s="683" t="s">
        <v>2180</v>
      </c>
      <c r="AB44" s="685">
        <v>3.0</v>
      </c>
      <c r="AC44" s="711"/>
      <c r="AD44" s="736"/>
      <c r="AE44" s="736"/>
      <c r="AF44" s="742">
        <f t="shared" si="7"/>
        <v>16800</v>
      </c>
      <c r="AG44" s="658">
        <v>0.9756134979598882</v>
      </c>
      <c r="AH44" s="659">
        <f t="shared" si="3"/>
        <v>0.975613498</v>
      </c>
      <c r="AI44" s="641"/>
      <c r="AJ44" s="660">
        <f t="shared" si="6"/>
        <v>44</v>
      </c>
      <c r="AK44" s="676">
        <v>0.9543</v>
      </c>
      <c r="AL44" s="662">
        <v>152072.0</v>
      </c>
      <c r="AM44" s="677">
        <v>-0.9993551374921088</v>
      </c>
      <c r="AN44" s="678">
        <v>-0.04569999999999996</v>
      </c>
      <c r="AO44" s="662">
        <v>152072.0</v>
      </c>
      <c r="AP44" s="679">
        <v>-0.9992331409544158</v>
      </c>
      <c r="AQ44" s="662">
        <v>152072.0</v>
      </c>
      <c r="AR44" s="680">
        <v>-0.9990953172853484</v>
      </c>
      <c r="AS44" s="624"/>
      <c r="AT44" s="624"/>
      <c r="AU44" s="624"/>
      <c r="AV44" s="624"/>
      <c r="AW44" s="648"/>
      <c r="AX44" s="315"/>
      <c r="BB44" s="316"/>
      <c r="BC44" s="624"/>
      <c r="BD44" s="624"/>
      <c r="BE44" s="624"/>
    </row>
    <row r="45" ht="16.5" customHeight="1">
      <c r="D45" s="779"/>
      <c r="E45" s="766"/>
      <c r="F45" s="767"/>
      <c r="G45" s="768"/>
      <c r="H45" s="769"/>
      <c r="I45" s="536"/>
      <c r="J45" s="770"/>
      <c r="K45" s="770"/>
      <c r="L45" s="780"/>
      <c r="M45" s="781"/>
      <c r="N45" s="782"/>
      <c r="O45" s="782"/>
      <c r="P45" s="782"/>
      <c r="Q45" s="758"/>
      <c r="R45" s="736"/>
      <c r="S45" s="748"/>
      <c r="T45" s="749"/>
      <c r="U45" s="748"/>
      <c r="V45" s="749"/>
      <c r="W45" s="736"/>
      <c r="X45" s="736"/>
      <c r="Y45" s="736"/>
      <c r="Z45" s="736"/>
      <c r="AA45" s="683" t="s">
        <v>2182</v>
      </c>
      <c r="AB45" s="685">
        <v>4.0</v>
      </c>
      <c r="AC45" s="711"/>
      <c r="AD45" s="736"/>
      <c r="AE45" s="736"/>
      <c r="AF45" s="742">
        <f t="shared" si="7"/>
        <v>17300</v>
      </c>
      <c r="AG45" s="658">
        <v>0.9751157429558973</v>
      </c>
      <c r="AH45" s="659">
        <f t="shared" si="3"/>
        <v>0.975115743</v>
      </c>
      <c r="AI45" s="641"/>
      <c r="AJ45" s="660">
        <f t="shared" si="6"/>
        <v>45</v>
      </c>
      <c r="AK45" s="676">
        <v>0.9035</v>
      </c>
      <c r="AL45" s="662">
        <v>150000.0</v>
      </c>
      <c r="AM45" s="677">
        <v>-0.9992872478485058</v>
      </c>
      <c r="AN45" s="678">
        <v>-0.09650000000000003</v>
      </c>
      <c r="AO45" s="662">
        <v>150000.0</v>
      </c>
      <c r="AP45" s="679">
        <v>-0.9991544064051463</v>
      </c>
      <c r="AQ45" s="662">
        <v>150000.0</v>
      </c>
      <c r="AR45" s="680">
        <v>-0.9990046761499386</v>
      </c>
      <c r="AS45" s="624"/>
      <c r="AT45" s="625"/>
      <c r="AU45" s="625"/>
      <c r="AV45" s="625"/>
      <c r="AW45" s="648"/>
      <c r="AX45" s="321"/>
      <c r="AY45" s="344"/>
      <c r="AZ45" s="344"/>
      <c r="BA45" s="344"/>
      <c r="BB45" s="322"/>
      <c r="BC45" s="624"/>
      <c r="BD45" s="625"/>
      <c r="BE45" s="625"/>
    </row>
    <row r="46" ht="16.5" customHeight="1">
      <c r="K46" s="741"/>
      <c r="L46" s="780"/>
      <c r="M46" s="781"/>
      <c r="N46" s="782"/>
      <c r="O46" s="782"/>
      <c r="P46" s="782"/>
      <c r="Q46" s="758"/>
      <c r="R46" s="736"/>
      <c r="S46" s="748"/>
      <c r="T46" s="749"/>
      <c r="U46" s="748"/>
      <c r="V46" s="749"/>
      <c r="W46" s="736"/>
      <c r="X46" s="736"/>
      <c r="Y46" s="736"/>
      <c r="Z46" s="736"/>
      <c r="AA46" s="683" t="s">
        <v>2184</v>
      </c>
      <c r="AB46" s="685">
        <v>5.0</v>
      </c>
      <c r="AC46" s="711"/>
      <c r="AD46" s="736"/>
      <c r="AE46" s="736"/>
      <c r="AF46" s="742">
        <f t="shared" si="7"/>
        <v>17800</v>
      </c>
      <c r="AG46" s="658">
        <v>0.9746277683187956</v>
      </c>
      <c r="AH46" s="659">
        <f t="shared" si="3"/>
        <v>0.9746277683</v>
      </c>
      <c r="AI46" s="641"/>
      <c r="AJ46" s="660">
        <f t="shared" si="6"/>
        <v>46</v>
      </c>
      <c r="AK46" s="676">
        <v>0.9411</v>
      </c>
      <c r="AL46" s="662">
        <v>149025.0</v>
      </c>
      <c r="AM46" s="677">
        <v>-0.999252872991351</v>
      </c>
      <c r="AN46" s="678">
        <v>-0.05889999999999995</v>
      </c>
      <c r="AO46" s="662">
        <v>149025.0</v>
      </c>
      <c r="AP46" s="679">
        <v>-0.9991146089375448</v>
      </c>
      <c r="AQ46" s="662">
        <v>149025.0</v>
      </c>
      <c r="AR46" s="680">
        <v>-0.9989589354886761</v>
      </c>
      <c r="AS46" s="648"/>
      <c r="AT46" s="697" t="s">
        <v>2043</v>
      </c>
      <c r="AU46" s="698" t="s">
        <v>2045</v>
      </c>
      <c r="AV46" s="699" t="s">
        <v>2047</v>
      </c>
      <c r="AW46" s="648"/>
      <c r="AX46" s="783"/>
      <c r="AY46" s="784" t="s">
        <v>2048</v>
      </c>
      <c r="AZ46" s="785">
        <f>MIN(AJ:AJ)</f>
        <v>3</v>
      </c>
      <c r="BA46" s="786" t="s">
        <v>2049</v>
      </c>
      <c r="BB46" s="787" t="str">
        <f>ADDRESS(AZ6,AN1,4)&amp;":"&amp;ADDRESS(AZ8,AN1,4)</f>
        <v>AN3:AN1000</v>
      </c>
      <c r="BC46" s="648"/>
      <c r="BD46" s="706">
        <f>-1/(AZ50+AZ51)/100</f>
        <v>74715.44042</v>
      </c>
      <c r="BE46" s="707" t="s">
        <v>2052</v>
      </c>
    </row>
    <row r="47" ht="16.5" customHeight="1">
      <c r="K47" s="741"/>
      <c r="L47" s="780"/>
      <c r="M47" s="781"/>
      <c r="N47" s="782"/>
      <c r="O47" s="782"/>
      <c r="P47" s="782"/>
      <c r="Q47" s="782"/>
      <c r="R47" s="788"/>
      <c r="S47" s="789"/>
      <c r="T47" s="790"/>
      <c r="U47" s="789"/>
      <c r="V47" s="790"/>
      <c r="W47" s="788"/>
      <c r="X47" s="741"/>
      <c r="Y47" s="741"/>
      <c r="Z47" s="741"/>
      <c r="AA47" s="683" t="s">
        <v>424</v>
      </c>
      <c r="AB47" s="685">
        <v>6.0</v>
      </c>
      <c r="AC47" s="711"/>
      <c r="AD47" s="736"/>
      <c r="AE47" s="736"/>
      <c r="AF47" s="742">
        <f t="shared" si="7"/>
        <v>18300</v>
      </c>
      <c r="AG47" s="658">
        <v>0.9741493460784468</v>
      </c>
      <c r="AH47" s="659">
        <f t="shared" si="3"/>
        <v>0.9741493461</v>
      </c>
      <c r="AI47" s="641"/>
      <c r="AJ47" s="660">
        <f t="shared" si="6"/>
        <v>47</v>
      </c>
      <c r="AK47" s="676">
        <v>0.9499</v>
      </c>
      <c r="AL47" s="662">
        <v>148150.0</v>
      </c>
      <c r="AM47" s="677">
        <v>-0.9992206145480341</v>
      </c>
      <c r="AN47" s="678">
        <v>-0.05010000000000003</v>
      </c>
      <c r="AO47" s="662">
        <v>148150.0</v>
      </c>
      <c r="AP47" s="679">
        <v>-0.9990773010553745</v>
      </c>
      <c r="AQ47" s="662">
        <v>148150.0</v>
      </c>
      <c r="AR47" s="680">
        <v>-0.9989160992509702</v>
      </c>
      <c r="AS47" s="648"/>
      <c r="AT47" s="698" t="s">
        <v>2058</v>
      </c>
      <c r="AU47" s="713">
        <f>1-AU49</f>
        <v>0.9597767846</v>
      </c>
      <c r="AV47" s="714">
        <f>AV49</f>
        <v>0.001659534546</v>
      </c>
      <c r="AW47" s="648"/>
      <c r="AX47" s="783"/>
      <c r="AY47" s="322"/>
      <c r="AZ47" s="322"/>
      <c r="BA47" s="322"/>
      <c r="BB47" s="322"/>
      <c r="BC47" s="648"/>
      <c r="BD47" s="706">
        <f>-1/(AZ50-AZ51)/100</f>
        <v>58102.17172</v>
      </c>
      <c r="BE47" s="707" t="s">
        <v>2060</v>
      </c>
    </row>
    <row r="48" ht="16.5" customHeight="1">
      <c r="A48" s="791"/>
      <c r="B48" s="791"/>
      <c r="C48" s="791"/>
      <c r="D48" s="791"/>
      <c r="E48" s="791"/>
      <c r="F48" s="791"/>
      <c r="G48" s="791"/>
      <c r="H48" s="791"/>
      <c r="I48" s="791"/>
      <c r="J48" s="791"/>
      <c r="K48" s="741"/>
      <c r="L48" s="780"/>
      <c r="M48" s="781"/>
      <c r="N48" s="782"/>
      <c r="O48" s="782"/>
      <c r="P48" s="782"/>
      <c r="Q48" s="782"/>
      <c r="R48" s="788"/>
      <c r="S48" s="789"/>
      <c r="T48" s="790"/>
      <c r="U48" s="789"/>
      <c r="V48" s="790"/>
      <c r="W48" s="788"/>
      <c r="X48" s="741"/>
      <c r="Y48" s="741"/>
      <c r="Z48" s="741"/>
      <c r="AA48" s="683" t="s">
        <v>2189</v>
      </c>
      <c r="AB48" s="685">
        <v>7.0</v>
      </c>
      <c r="AC48" s="711"/>
      <c r="AD48" s="736"/>
      <c r="AE48" s="736"/>
      <c r="AF48" s="742">
        <f t="shared" si="7"/>
        <v>18800</v>
      </c>
      <c r="AG48" s="658">
        <v>0.9736802535784607</v>
      </c>
      <c r="AH48" s="659">
        <f t="shared" si="3"/>
        <v>0.9736802536</v>
      </c>
      <c r="AI48" s="641"/>
      <c r="AJ48" s="660">
        <f t="shared" si="6"/>
        <v>48</v>
      </c>
      <c r="AK48" s="676">
        <v>0.9467</v>
      </c>
      <c r="AL48" s="662">
        <v>147768.0</v>
      </c>
      <c r="AM48" s="677">
        <v>-0.9992060981545015</v>
      </c>
      <c r="AN48" s="678">
        <v>-0.053300000000000014</v>
      </c>
      <c r="AO48" s="662">
        <v>147768.0</v>
      </c>
      <c r="AP48" s="679">
        <v>-0.9990605243704404</v>
      </c>
      <c r="AQ48" s="662">
        <v>147768.0</v>
      </c>
      <c r="AR48" s="680">
        <v>-0.9988968496671203</v>
      </c>
      <c r="AS48" s="648"/>
      <c r="AT48" s="698" t="s">
        <v>2063</v>
      </c>
      <c r="AU48" s="719">
        <f>-1/AZ50/100</f>
        <v>65369.78461</v>
      </c>
      <c r="AV48" s="699" t="s">
        <v>2065</v>
      </c>
      <c r="AW48" s="648"/>
      <c r="AX48" s="783"/>
      <c r="AY48" s="784" t="s">
        <v>2066</v>
      </c>
      <c r="AZ48" s="785">
        <f>MAX(AJ:AJ)</f>
        <v>1000</v>
      </c>
      <c r="BA48" s="786" t="s">
        <v>2067</v>
      </c>
      <c r="BB48" s="787" t="str">
        <f>ADDRESS(AZ6,AQ1,4)&amp;":"&amp;ADDRESS(AZ8,AR1,4)</f>
        <v>AQ3:AR1000</v>
      </c>
      <c r="BC48" s="648"/>
      <c r="BD48" s="706">
        <f>-1/AZ50/100</f>
        <v>65369.78461</v>
      </c>
      <c r="BE48" s="707" t="s">
        <v>2070</v>
      </c>
    </row>
    <row r="49" ht="16.5" customHeight="1">
      <c r="A49" s="792"/>
      <c r="B49" s="792"/>
      <c r="C49" s="792"/>
      <c r="D49" s="792"/>
      <c r="E49" s="792"/>
      <c r="F49" s="792"/>
      <c r="G49" s="792"/>
      <c r="H49" s="792"/>
      <c r="I49" s="792"/>
      <c r="J49" s="792"/>
      <c r="K49" s="741"/>
      <c r="L49" s="780"/>
      <c r="M49" s="781"/>
      <c r="N49" s="782"/>
      <c r="O49" s="782"/>
      <c r="P49" s="782"/>
      <c r="Q49" s="782"/>
      <c r="R49" s="788"/>
      <c r="S49" s="789"/>
      <c r="T49" s="790"/>
      <c r="U49" s="789"/>
      <c r="V49" s="790"/>
      <c r="W49" s="788"/>
      <c r="X49" s="741"/>
      <c r="Y49" s="741"/>
      <c r="Z49" s="741"/>
      <c r="AA49" s="683" t="s">
        <v>2192</v>
      </c>
      <c r="AB49" s="685">
        <v>8.0</v>
      </c>
      <c r="AC49" s="741"/>
      <c r="AD49" s="788"/>
      <c r="AE49" s="788"/>
      <c r="AF49" s="742">
        <f t="shared" si="7"/>
        <v>19300</v>
      </c>
      <c r="AG49" s="658">
        <v>0.9732202733523346</v>
      </c>
      <c r="AH49" s="659">
        <f t="shared" si="3"/>
        <v>0.9732202734</v>
      </c>
      <c r="AI49" s="641"/>
      <c r="AJ49" s="660">
        <f t="shared" si="6"/>
        <v>49</v>
      </c>
      <c r="AK49" s="676">
        <v>0.9308</v>
      </c>
      <c r="AL49" s="662">
        <v>147694.0</v>
      </c>
      <c r="AM49" s="677">
        <v>-0.9992032549722971</v>
      </c>
      <c r="AN49" s="678">
        <v>-0.06920000000000004</v>
      </c>
      <c r="AO49" s="662">
        <v>147694.0</v>
      </c>
      <c r="AP49" s="679">
        <v>-0.9990572393387398</v>
      </c>
      <c r="AQ49" s="662">
        <v>147694.0</v>
      </c>
      <c r="AR49" s="680">
        <v>-0.9988930813503873</v>
      </c>
      <c r="AS49" s="648"/>
      <c r="AT49" s="698" t="s">
        <v>2073</v>
      </c>
      <c r="AU49" s="720">
        <f>AY50</f>
        <v>0.04022321538</v>
      </c>
      <c r="AV49" s="721">
        <f>AY51</f>
        <v>0.001659534546</v>
      </c>
      <c r="AW49" s="648"/>
      <c r="AX49" s="783"/>
      <c r="AY49" s="322"/>
      <c r="AZ49" s="322"/>
      <c r="BA49" s="322"/>
      <c r="BB49" s="322"/>
      <c r="BC49" s="648"/>
      <c r="BD49" s="722">
        <f>BD48-BD47</f>
        <v>7267.612899</v>
      </c>
      <c r="BE49" s="707" t="s">
        <v>2075</v>
      </c>
    </row>
    <row r="50" ht="16.5" customHeight="1">
      <c r="A50" s="792"/>
      <c r="B50" s="792"/>
      <c r="C50" s="792"/>
      <c r="D50" s="792"/>
      <c r="E50" s="792"/>
      <c r="F50" s="792"/>
      <c r="G50" s="792"/>
      <c r="H50" s="792"/>
      <c r="I50" s="792"/>
      <c r="J50" s="792"/>
      <c r="K50" s="741"/>
      <c r="L50" s="780"/>
      <c r="M50" s="781"/>
      <c r="N50" s="782"/>
      <c r="O50" s="782"/>
      <c r="P50" s="782"/>
      <c r="Q50" s="782"/>
      <c r="R50" s="788"/>
      <c r="S50" s="789"/>
      <c r="T50" s="790"/>
      <c r="U50" s="789"/>
      <c r="V50" s="790"/>
      <c r="W50" s="788"/>
      <c r="X50" s="741"/>
      <c r="Y50" s="741"/>
      <c r="Z50" s="741"/>
      <c r="AA50" s="683" t="s">
        <v>2194</v>
      </c>
      <c r="AB50" s="685">
        <v>9.0</v>
      </c>
      <c r="AC50" s="741"/>
      <c r="AD50" s="788"/>
      <c r="AE50" s="788"/>
      <c r="AF50" s="742">
        <f t="shared" si="7"/>
        <v>19800</v>
      </c>
      <c r="AG50" s="658">
        <v>0.9727691930024832</v>
      </c>
      <c r="AH50" s="659">
        <f t="shared" si="3"/>
        <v>0.972769193</v>
      </c>
      <c r="AI50" s="641"/>
      <c r="AJ50" s="660">
        <f t="shared" si="6"/>
        <v>50</v>
      </c>
      <c r="AK50" s="676">
        <v>0.8934</v>
      </c>
      <c r="AL50" s="662">
        <v>147433.0</v>
      </c>
      <c r="AM50" s="677">
        <v>-0.9991931454567613</v>
      </c>
      <c r="AN50" s="678">
        <v>-0.10660000000000003</v>
      </c>
      <c r="AO50" s="662">
        <v>147433.0</v>
      </c>
      <c r="AP50" s="679">
        <v>-0.9990455609692738</v>
      </c>
      <c r="AQ50" s="662">
        <v>147433.0</v>
      </c>
      <c r="AR50" s="680">
        <v>-0.998879687332739</v>
      </c>
      <c r="AS50" s="648"/>
      <c r="AT50" s="698" t="s">
        <v>2078</v>
      </c>
      <c r="AU50" s="793">
        <f>AU30+500</f>
        <v>21700</v>
      </c>
      <c r="AV50" s="724" t="s">
        <v>2079</v>
      </c>
      <c r="AW50" s="648"/>
      <c r="AX50" s="783"/>
      <c r="AY50" s="725">
        <f t="array" ref="AY50:BA54">LINEST(indirect(BB46),indirect(BB48),FALSE,TRUE)</f>
        <v>0.04022321538</v>
      </c>
      <c r="AZ50" s="794">
        <v>-1.5297587500262856E-7</v>
      </c>
      <c r="BA50" s="793">
        <v>0.0</v>
      </c>
      <c r="BB50" s="795"/>
      <c r="BC50" s="648"/>
      <c r="BD50" s="722">
        <f>BD46-BD48</f>
        <v>9345.655808</v>
      </c>
      <c r="BE50" s="728" t="s">
        <v>2083</v>
      </c>
    </row>
    <row r="51" ht="16.5" customHeight="1">
      <c r="A51" s="796"/>
      <c r="B51" s="796"/>
      <c r="C51" s="796"/>
      <c r="D51" s="796"/>
      <c r="E51" s="796"/>
      <c r="F51" s="796"/>
      <c r="G51" s="796"/>
      <c r="H51" s="796"/>
      <c r="I51" s="796"/>
      <c r="J51" s="796"/>
      <c r="K51" s="741"/>
      <c r="L51" s="780"/>
      <c r="M51" s="781"/>
      <c r="N51" s="782"/>
      <c r="O51" s="782"/>
      <c r="P51" s="782"/>
      <c r="Q51" s="782"/>
      <c r="R51" s="788"/>
      <c r="S51" s="789"/>
      <c r="T51" s="790"/>
      <c r="U51" s="789"/>
      <c r="V51" s="790"/>
      <c r="W51" s="788"/>
      <c r="X51" s="741"/>
      <c r="Y51" s="741"/>
      <c r="Z51" s="741"/>
      <c r="AA51" s="683" t="s">
        <v>2197</v>
      </c>
      <c r="AB51" s="685">
        <v>10.0</v>
      </c>
      <c r="AC51" s="741"/>
      <c r="AD51" s="788"/>
      <c r="AE51" s="788"/>
      <c r="AF51" s="742">
        <f t="shared" si="7"/>
        <v>20300</v>
      </c>
      <c r="AG51" s="658">
        <v>0.9723268050820869</v>
      </c>
      <c r="AH51" s="659">
        <f t="shared" si="3"/>
        <v>0.9723268051</v>
      </c>
      <c r="AI51" s="641"/>
      <c r="AJ51" s="660">
        <f t="shared" si="6"/>
        <v>51</v>
      </c>
      <c r="AK51" s="676">
        <v>0.9223</v>
      </c>
      <c r="AL51" s="662">
        <v>146904.0</v>
      </c>
      <c r="AM51" s="677">
        <v>-0.9991722601089725</v>
      </c>
      <c r="AN51" s="678">
        <v>-0.07769999999999999</v>
      </c>
      <c r="AO51" s="662">
        <v>146904.0</v>
      </c>
      <c r="AP51" s="679">
        <v>-0.9990214453895028</v>
      </c>
      <c r="AQ51" s="662">
        <v>146904.0</v>
      </c>
      <c r="AR51" s="680">
        <v>-0.9988520408728581</v>
      </c>
      <c r="AS51" s="648"/>
      <c r="AT51" s="707" t="s">
        <v>2085</v>
      </c>
      <c r="AU51" s="730" t="str">
        <f>IF(MIN($AZ$14,$AZ$34,$AZ$54)=$AZ$54,"Yes","No")</f>
        <v>No</v>
      </c>
      <c r="AV51" s="731"/>
      <c r="AW51" s="648"/>
      <c r="AX51" s="783"/>
      <c r="AY51" s="794">
        <v>0.0016595345457518283</v>
      </c>
      <c r="AZ51" s="794">
        <v>1.91347312764014E-8</v>
      </c>
      <c r="BA51" s="794" t="e">
        <v>#N/A</v>
      </c>
      <c r="BB51" s="795"/>
      <c r="BC51" s="648"/>
      <c r="BD51" s="732">
        <f>AVERAGE(BD49:BD50)</f>
        <v>8306.634353</v>
      </c>
      <c r="BE51" s="707" t="s">
        <v>2088</v>
      </c>
    </row>
    <row r="52" ht="16.5" customHeight="1">
      <c r="A52" s="797"/>
      <c r="B52" s="797"/>
      <c r="C52" s="797"/>
      <c r="D52" s="797"/>
      <c r="E52" s="797"/>
      <c r="F52" s="797"/>
      <c r="G52" s="797"/>
      <c r="H52" s="797"/>
      <c r="I52" s="797"/>
      <c r="J52" s="797"/>
      <c r="K52" s="741"/>
      <c r="L52" s="780"/>
      <c r="M52" s="781"/>
      <c r="N52" s="782"/>
      <c r="O52" s="782"/>
      <c r="P52" s="782"/>
      <c r="Q52" s="782"/>
      <c r="R52" s="788"/>
      <c r="S52" s="789"/>
      <c r="T52" s="790"/>
      <c r="U52" s="789"/>
      <c r="V52" s="790"/>
      <c r="W52" s="788"/>
      <c r="X52" s="741"/>
      <c r="Y52" s="741"/>
      <c r="Z52" s="741"/>
      <c r="AA52" s="683" t="s">
        <v>2199</v>
      </c>
      <c r="AB52" s="685">
        <v>11.0</v>
      </c>
      <c r="AC52" s="741"/>
      <c r="AD52" s="788"/>
      <c r="AE52" s="788"/>
      <c r="AF52" s="742">
        <f t="shared" si="7"/>
        <v>20800</v>
      </c>
      <c r="AG52" s="658">
        <v>0.9718929069796948</v>
      </c>
      <c r="AH52" s="659">
        <f t="shared" si="3"/>
        <v>0.971892907</v>
      </c>
      <c r="AI52" s="641"/>
      <c r="AJ52" s="660">
        <f t="shared" si="6"/>
        <v>52</v>
      </c>
      <c r="AK52" s="676">
        <v>0.9449</v>
      </c>
      <c r="AL52" s="662">
        <v>145160.0</v>
      </c>
      <c r="AM52" s="677">
        <v>-0.9990994999938092</v>
      </c>
      <c r="AN52" s="678">
        <v>-0.05510000000000004</v>
      </c>
      <c r="AO52" s="662">
        <v>145160.0</v>
      </c>
      <c r="AP52" s="679">
        <v>-0.9989375416004753</v>
      </c>
      <c r="AQ52" s="662">
        <v>145160.0</v>
      </c>
      <c r="AR52" s="680">
        <v>-0.9987559721801093</v>
      </c>
      <c r="AS52" s="624"/>
      <c r="AT52" s="624"/>
      <c r="AU52" s="624"/>
      <c r="AV52" s="624"/>
      <c r="AW52" s="648"/>
      <c r="AX52" s="798" t="s">
        <v>2090</v>
      </c>
      <c r="AY52" s="794">
        <v>0.8169571356857643</v>
      </c>
      <c r="AZ52" s="794">
        <v>0.02092775301051671</v>
      </c>
      <c r="BA52" s="794" t="e">
        <v>#N/A</v>
      </c>
      <c r="BB52" s="795"/>
      <c r="BC52" s="624"/>
      <c r="BD52" s="624"/>
      <c r="BE52" s="624"/>
    </row>
    <row r="53" ht="16.5" customHeight="1">
      <c r="A53" s="797"/>
      <c r="B53" s="797"/>
      <c r="C53" s="797"/>
      <c r="D53" s="797"/>
      <c r="E53" s="797"/>
      <c r="F53" s="797"/>
      <c r="G53" s="797"/>
      <c r="H53" s="797"/>
      <c r="I53" s="797"/>
      <c r="J53" s="797"/>
      <c r="K53" s="741"/>
      <c r="L53" s="780"/>
      <c r="M53" s="781"/>
      <c r="N53" s="782"/>
      <c r="O53" s="782"/>
      <c r="P53" s="782"/>
      <c r="Q53" s="782"/>
      <c r="R53" s="788"/>
      <c r="S53" s="789"/>
      <c r="T53" s="790"/>
      <c r="U53" s="789"/>
      <c r="V53" s="790"/>
      <c r="W53" s="788"/>
      <c r="X53" s="741"/>
      <c r="Y53" s="741"/>
      <c r="Z53" s="741"/>
      <c r="AA53" s="683" t="s">
        <v>2201</v>
      </c>
      <c r="AB53" s="685">
        <v>12.0</v>
      </c>
      <c r="AC53" s="741"/>
      <c r="AD53" s="788"/>
      <c r="AE53" s="788"/>
      <c r="AF53" s="742">
        <f t="shared" si="7"/>
        <v>21300</v>
      </c>
      <c r="AG53" s="658">
        <v>0.9714673008065172</v>
      </c>
      <c r="AH53" s="659">
        <f t="shared" si="3"/>
        <v>0.9714673008</v>
      </c>
      <c r="AI53" s="641"/>
      <c r="AJ53" s="660">
        <f t="shared" si="6"/>
        <v>53</v>
      </c>
      <c r="AK53" s="676">
        <v>0.9273</v>
      </c>
      <c r="AL53" s="662">
        <v>145128.0</v>
      </c>
      <c r="AM53" s="677">
        <v>-0.9990981068399485</v>
      </c>
      <c r="AN53" s="678">
        <v>-0.07269999999999999</v>
      </c>
      <c r="AO53" s="662">
        <v>145128.0</v>
      </c>
      <c r="AP53" s="679">
        <v>-0.9989359366787266</v>
      </c>
      <c r="AQ53" s="662">
        <v>145128.0</v>
      </c>
      <c r="AR53" s="680">
        <v>-0.9987541363157384</v>
      </c>
      <c r="AS53" s="624"/>
      <c r="AT53" s="624"/>
      <c r="AU53" s="624"/>
      <c r="AV53" s="624"/>
      <c r="AW53" s="648"/>
      <c r="AX53" s="798" t="s">
        <v>2094</v>
      </c>
      <c r="AY53" s="794">
        <v>2222.674208556238</v>
      </c>
      <c r="AZ53" s="794">
        <v>996.0</v>
      </c>
      <c r="BA53" s="794" t="e">
        <v>#N/A</v>
      </c>
      <c r="BB53" s="795"/>
      <c r="BC53" s="624"/>
      <c r="BD53" s="624"/>
      <c r="BE53" s="624"/>
    </row>
    <row r="54" ht="16.5" customHeight="1">
      <c r="A54" s="797"/>
      <c r="B54" s="797"/>
      <c r="C54" s="797"/>
      <c r="D54" s="797"/>
      <c r="E54" s="797"/>
      <c r="F54" s="797"/>
      <c r="G54" s="797"/>
      <c r="H54" s="797"/>
      <c r="I54" s="797"/>
      <c r="J54" s="797"/>
      <c r="K54" s="741"/>
      <c r="L54" s="780"/>
      <c r="M54" s="781"/>
      <c r="N54" s="782"/>
      <c r="O54" s="782"/>
      <c r="P54" s="782"/>
      <c r="Q54" s="782"/>
      <c r="R54" s="788"/>
      <c r="S54" s="789"/>
      <c r="T54" s="790"/>
      <c r="U54" s="789"/>
      <c r="V54" s="790"/>
      <c r="W54" s="788"/>
      <c r="X54" s="741"/>
      <c r="Y54" s="741"/>
      <c r="Z54" s="741"/>
      <c r="AA54" s="683" t="s">
        <v>2203</v>
      </c>
      <c r="AB54" s="685">
        <v>13.0</v>
      </c>
      <c r="AC54" s="741"/>
      <c r="AD54" s="788"/>
      <c r="AE54" s="788"/>
      <c r="AF54" s="742">
        <f t="shared" si="7"/>
        <v>21800</v>
      </c>
      <c r="AG54" s="658">
        <v>0.9710497932863454</v>
      </c>
      <c r="AH54" s="659">
        <f t="shared" si="3"/>
        <v>0.9710497933</v>
      </c>
      <c r="AI54" s="641"/>
      <c r="AJ54" s="660">
        <f t="shared" si="6"/>
        <v>54</v>
      </c>
      <c r="AK54" s="676">
        <v>0.9289</v>
      </c>
      <c r="AL54" s="662">
        <v>144000.0</v>
      </c>
      <c r="AM54" s="677">
        <v>-0.9990475964720933</v>
      </c>
      <c r="AN54" s="678">
        <v>-0.07110000000000005</v>
      </c>
      <c r="AO54" s="662">
        <v>144000.0</v>
      </c>
      <c r="AP54" s="679">
        <v>-0.9988777872018434</v>
      </c>
      <c r="AQ54" s="662">
        <v>144000.0</v>
      </c>
      <c r="AR54" s="680">
        <v>-0.9986876616073129</v>
      </c>
      <c r="AS54" s="624"/>
      <c r="AT54" s="624"/>
      <c r="AU54" s="624"/>
      <c r="AV54" s="624"/>
      <c r="AW54" s="648"/>
      <c r="AX54" s="783"/>
      <c r="AY54" s="794">
        <v>1.946933007315091</v>
      </c>
      <c r="AZ54" s="794">
        <v>0.4362189626849144</v>
      </c>
      <c r="BA54" s="794" t="e">
        <v>#N/A</v>
      </c>
      <c r="BB54" s="795"/>
      <c r="BC54" s="624"/>
      <c r="BD54" s="624"/>
      <c r="BE54" s="624"/>
    </row>
    <row r="55" ht="16.5" customHeight="1">
      <c r="A55" s="797"/>
      <c r="B55" s="797"/>
      <c r="C55" s="797"/>
      <c r="D55" s="797"/>
      <c r="E55" s="797"/>
      <c r="F55" s="797"/>
      <c r="G55" s="797"/>
      <c r="H55" s="797"/>
      <c r="I55" s="797"/>
      <c r="J55" s="797"/>
      <c r="K55" s="741"/>
      <c r="L55" s="780"/>
      <c r="M55" s="781"/>
      <c r="N55" s="782"/>
      <c r="O55" s="782"/>
      <c r="P55" s="782"/>
      <c r="Q55" s="782"/>
      <c r="R55" s="788"/>
      <c r="S55" s="789"/>
      <c r="T55" s="790"/>
      <c r="U55" s="789"/>
      <c r="V55" s="790"/>
      <c r="W55" s="788"/>
      <c r="X55" s="741"/>
      <c r="Y55" s="741"/>
      <c r="Z55" s="741"/>
      <c r="AA55" s="683" t="s">
        <v>2204</v>
      </c>
      <c r="AB55" s="685">
        <v>14.0</v>
      </c>
      <c r="AC55" s="741"/>
      <c r="AD55" s="788"/>
      <c r="AE55" s="788"/>
      <c r="AF55" s="799">
        <f t="shared" ref="AF55:AF386" si="8">AF54+750</f>
        <v>22550</v>
      </c>
      <c r="AG55" s="658">
        <v>0.9704383052495622</v>
      </c>
      <c r="AH55" s="659">
        <f t="shared" si="3"/>
        <v>0.9704383052</v>
      </c>
      <c r="AI55" s="641"/>
      <c r="AJ55" s="660">
        <f t="shared" si="6"/>
        <v>55</v>
      </c>
      <c r="AK55" s="676">
        <v>0.9298</v>
      </c>
      <c r="AL55" s="662">
        <v>143425.0</v>
      </c>
      <c r="AM55" s="677">
        <v>-0.9990207699529304</v>
      </c>
      <c r="AN55" s="678">
        <v>-0.07020000000000004</v>
      </c>
      <c r="AO55" s="662">
        <v>143425.0</v>
      </c>
      <c r="AP55" s="679">
        <v>-0.9988469332981553</v>
      </c>
      <c r="AQ55" s="662">
        <v>143425.0</v>
      </c>
      <c r="AR55" s="680">
        <v>-0.9986524228526448</v>
      </c>
      <c r="AS55" s="624"/>
      <c r="AT55" s="624"/>
      <c r="AU55" s="624"/>
      <c r="AV55" s="624"/>
      <c r="AW55" s="648"/>
      <c r="AX55" s="783"/>
      <c r="AY55" s="795"/>
      <c r="AZ55" s="794" t="s">
        <v>2098</v>
      </c>
      <c r="BA55" s="795"/>
      <c r="BB55" s="795"/>
      <c r="BC55" s="624"/>
      <c r="BD55" s="624"/>
      <c r="BE55" s="624"/>
    </row>
    <row r="56" ht="16.5" customHeight="1">
      <c r="A56" s="797"/>
      <c r="B56" s="797"/>
      <c r="C56" s="797"/>
      <c r="D56" s="797"/>
      <c r="E56" s="797"/>
      <c r="F56" s="797"/>
      <c r="G56" s="797"/>
      <c r="H56" s="797"/>
      <c r="I56" s="797"/>
      <c r="J56" s="797"/>
      <c r="K56" s="741"/>
      <c r="L56" s="780"/>
      <c r="M56" s="781"/>
      <c r="N56" s="782"/>
      <c r="O56" s="782"/>
      <c r="P56" s="782"/>
      <c r="Q56" s="782"/>
      <c r="R56" s="788"/>
      <c r="S56" s="789"/>
      <c r="T56" s="790"/>
      <c r="U56" s="789"/>
      <c r="V56" s="790"/>
      <c r="W56" s="788"/>
      <c r="X56" s="741"/>
      <c r="Y56" s="741"/>
      <c r="Z56" s="741"/>
      <c r="AA56" s="683" t="s">
        <v>2206</v>
      </c>
      <c r="AB56" s="685">
        <v>15.0</v>
      </c>
      <c r="AC56" s="741"/>
      <c r="AD56" s="788"/>
      <c r="AE56" s="788"/>
      <c r="AF56" s="799">
        <f t="shared" si="8"/>
        <v>23300</v>
      </c>
      <c r="AG56" s="658">
        <v>0.969843996830174</v>
      </c>
      <c r="AH56" s="659">
        <f t="shared" si="3"/>
        <v>0.9698439968</v>
      </c>
      <c r="AI56" s="641"/>
      <c r="AJ56" s="660">
        <f t="shared" si="6"/>
        <v>56</v>
      </c>
      <c r="AK56" s="676">
        <v>0.9411</v>
      </c>
      <c r="AL56" s="662">
        <v>143393.0</v>
      </c>
      <c r="AM56" s="677">
        <v>-0.9990192549966714</v>
      </c>
      <c r="AN56" s="678">
        <v>-0.05889999999999995</v>
      </c>
      <c r="AO56" s="662">
        <v>143393.0</v>
      </c>
      <c r="AP56" s="679">
        <v>-0.9988451915058852</v>
      </c>
      <c r="AQ56" s="662">
        <v>143393.0</v>
      </c>
      <c r="AR56" s="680">
        <v>-0.9986504341761601</v>
      </c>
      <c r="AS56" s="624"/>
      <c r="AT56" s="624"/>
      <c r="AU56" s="624"/>
      <c r="AV56" s="624"/>
      <c r="AW56" s="624"/>
      <c r="AX56" s="624"/>
      <c r="AY56" s="624"/>
      <c r="AZ56" s="624"/>
      <c r="BA56" s="624"/>
      <c r="BB56" s="624"/>
      <c r="BC56" s="624"/>
      <c r="BD56" s="624"/>
      <c r="BE56" s="624"/>
    </row>
    <row r="57" ht="16.5" customHeight="1">
      <c r="A57" s="797"/>
      <c r="B57" s="797"/>
      <c r="C57" s="797"/>
      <c r="D57" s="797"/>
      <c r="E57" s="797"/>
      <c r="F57" s="797"/>
      <c r="G57" s="797"/>
      <c r="H57" s="797"/>
      <c r="I57" s="797"/>
      <c r="J57" s="797"/>
      <c r="K57" s="741"/>
      <c r="L57" s="780"/>
      <c r="M57" s="781"/>
      <c r="N57" s="782"/>
      <c r="O57" s="782"/>
      <c r="P57" s="782"/>
      <c r="Q57" s="782"/>
      <c r="R57" s="788"/>
      <c r="S57" s="789"/>
      <c r="T57" s="790"/>
      <c r="U57" s="789"/>
      <c r="V57" s="790"/>
      <c r="W57" s="788"/>
      <c r="X57" s="741"/>
      <c r="Y57" s="741"/>
      <c r="Z57" s="741"/>
      <c r="AA57" s="683" t="s">
        <v>2208</v>
      </c>
      <c r="AB57" s="685">
        <v>-1.0</v>
      </c>
      <c r="AC57" s="741"/>
      <c r="AD57" s="788"/>
      <c r="AE57" s="788"/>
      <c r="AF57" s="799">
        <f t="shared" si="8"/>
        <v>24050</v>
      </c>
      <c r="AG57" s="658">
        <v>0.9692662708836742</v>
      </c>
      <c r="AH57" s="659">
        <f t="shared" si="3"/>
        <v>0.9692662709</v>
      </c>
      <c r="AI57" s="641"/>
      <c r="AJ57" s="660">
        <f t="shared" si="6"/>
        <v>57</v>
      </c>
      <c r="AK57" s="676">
        <v>0.9308</v>
      </c>
      <c r="AL57" s="662">
        <v>140626.0</v>
      </c>
      <c r="AM57" s="677">
        <v>-0.998878991519778</v>
      </c>
      <c r="AN57" s="678">
        <v>-0.06920000000000004</v>
      </c>
      <c r="AO57" s="662">
        <v>140626.0</v>
      </c>
      <c r="AP57" s="679">
        <v>-0.998684188754441</v>
      </c>
      <c r="AQ57" s="662">
        <v>140626.0</v>
      </c>
      <c r="AR57" s="680">
        <v>-0.9984668959830354</v>
      </c>
      <c r="AS57" s="624"/>
      <c r="AT57" s="624"/>
      <c r="AU57" s="624"/>
      <c r="AV57" s="624"/>
      <c r="AW57" s="624"/>
      <c r="AX57" s="624"/>
      <c r="AY57" s="624"/>
      <c r="AZ57" s="624"/>
      <c r="BA57" s="624"/>
      <c r="BB57" s="624"/>
      <c r="BC57" s="624"/>
      <c r="BD57" s="624"/>
      <c r="BE57" s="624"/>
    </row>
    <row r="58" ht="16.5" customHeight="1">
      <c r="A58" s="797"/>
      <c r="B58" s="797"/>
      <c r="C58" s="797"/>
      <c r="D58" s="797"/>
      <c r="E58" s="797"/>
      <c r="F58" s="797"/>
      <c r="G58" s="797"/>
      <c r="H58" s="797"/>
      <c r="I58" s="797"/>
      <c r="J58" s="797"/>
      <c r="K58" s="741"/>
      <c r="L58" s="780"/>
      <c r="M58" s="781"/>
      <c r="N58" s="782"/>
      <c r="O58" s="782"/>
      <c r="P58" s="782"/>
      <c r="Q58" s="782"/>
      <c r="R58" s="788"/>
      <c r="S58" s="789"/>
      <c r="T58" s="790"/>
      <c r="U58" s="789"/>
      <c r="V58" s="790"/>
      <c r="W58" s="788"/>
      <c r="X58" s="741"/>
      <c r="Y58" s="741"/>
      <c r="Z58" s="741"/>
      <c r="AA58" s="683" t="s">
        <v>2209</v>
      </c>
      <c r="AB58" s="685">
        <v>-2.0</v>
      </c>
      <c r="AC58" s="741"/>
      <c r="AD58" s="788"/>
      <c r="AE58" s="788"/>
      <c r="AF58" s="799">
        <f t="shared" si="8"/>
        <v>24800</v>
      </c>
      <c r="AG58" s="658">
        <v>0.9687045510216387</v>
      </c>
      <c r="AH58" s="659">
        <f t="shared" si="3"/>
        <v>0.968704551</v>
      </c>
      <c r="AI58" s="641"/>
      <c r="AJ58" s="660">
        <f t="shared" si="6"/>
        <v>58</v>
      </c>
      <c r="AK58" s="676">
        <v>0.9424</v>
      </c>
      <c r="AL58" s="662">
        <v>140050.0</v>
      </c>
      <c r="AM58" s="677">
        <v>-0.9988473601932689</v>
      </c>
      <c r="AN58" s="678">
        <v>-0.057599999999999985</v>
      </c>
      <c r="AO58" s="662">
        <v>140050.0</v>
      </c>
      <c r="AP58" s="679">
        <v>-0.9986479483176094</v>
      </c>
      <c r="AQ58" s="662">
        <v>140050.0</v>
      </c>
      <c r="AR58" s="680">
        <v>-0.9984256567073316</v>
      </c>
      <c r="AS58" s="624"/>
      <c r="AT58" s="624"/>
      <c r="AU58" s="624"/>
      <c r="AV58" s="624"/>
      <c r="AW58" s="624"/>
      <c r="AX58" s="624"/>
      <c r="AY58" s="624"/>
      <c r="AZ58" s="624"/>
      <c r="BA58" s="624"/>
      <c r="BB58" s="624"/>
      <c r="BC58" s="624"/>
      <c r="BD58" s="624"/>
      <c r="BE58" s="624"/>
    </row>
    <row r="59" ht="16.5" customHeight="1">
      <c r="A59" s="797"/>
      <c r="B59" s="797"/>
      <c r="C59" s="797"/>
      <c r="D59" s="797"/>
      <c r="E59" s="797"/>
      <c r="F59" s="797"/>
      <c r="G59" s="797"/>
      <c r="H59" s="797"/>
      <c r="I59" s="797"/>
      <c r="J59" s="797"/>
      <c r="K59" s="741"/>
      <c r="L59" s="780"/>
      <c r="M59" s="781"/>
      <c r="N59" s="782"/>
      <c r="O59" s="782"/>
      <c r="P59" s="782"/>
      <c r="Q59" s="782"/>
      <c r="R59" s="788"/>
      <c r="S59" s="789"/>
      <c r="T59" s="790"/>
      <c r="U59" s="789"/>
      <c r="V59" s="790"/>
      <c r="W59" s="788"/>
      <c r="X59" s="741"/>
      <c r="Y59" s="741"/>
      <c r="Z59" s="741"/>
      <c r="AA59" s="683" t="s">
        <v>608</v>
      </c>
      <c r="AB59" s="685">
        <v>-3.0</v>
      </c>
      <c r="AC59" s="741"/>
      <c r="AD59" s="788"/>
      <c r="AE59" s="788"/>
      <c r="AF59" s="799">
        <f t="shared" si="8"/>
        <v>25550</v>
      </c>
      <c r="AG59" s="658">
        <v>0.9681582808902677</v>
      </c>
      <c r="AH59" s="659">
        <f t="shared" si="3"/>
        <v>0.9681582809</v>
      </c>
      <c r="AI59" s="641"/>
      <c r="AJ59" s="660">
        <f t="shared" si="6"/>
        <v>59</v>
      </c>
      <c r="AK59" s="676">
        <v>0.9298</v>
      </c>
      <c r="AL59" s="662">
        <v>140000.0</v>
      </c>
      <c r="AM59" s="677">
        <v>-0.9988445726739325</v>
      </c>
      <c r="AN59" s="678">
        <v>-0.07020000000000004</v>
      </c>
      <c r="AO59" s="662">
        <v>140000.0</v>
      </c>
      <c r="AP59" s="679">
        <v>-0.9986447557531349</v>
      </c>
      <c r="AQ59" s="662">
        <v>140000.0</v>
      </c>
      <c r="AR59" s="680">
        <v>-0.998422025005843</v>
      </c>
      <c r="AS59" s="624"/>
      <c r="AT59" s="624"/>
      <c r="AU59" s="624"/>
      <c r="AV59" s="624"/>
      <c r="AW59" s="624"/>
      <c r="AX59" s="624"/>
      <c r="AY59" s="624"/>
      <c r="AZ59" s="624"/>
      <c r="BA59" s="624"/>
      <c r="BB59" s="624"/>
      <c r="BC59" s="624"/>
      <c r="BD59" s="624"/>
      <c r="BE59" s="624"/>
    </row>
    <row r="60" ht="16.5" customHeight="1">
      <c r="A60" s="800"/>
      <c r="B60" s="800"/>
      <c r="C60" s="800"/>
      <c r="D60" s="800"/>
      <c r="E60" s="800"/>
      <c r="F60" s="800"/>
      <c r="G60" s="800"/>
      <c r="H60" s="800"/>
      <c r="I60" s="800"/>
      <c r="J60" s="800"/>
      <c r="K60" s="800"/>
      <c r="L60" s="802"/>
      <c r="M60" s="781"/>
      <c r="N60" s="781"/>
      <c r="O60" s="781"/>
      <c r="P60" s="781"/>
      <c r="Q60" s="781"/>
      <c r="R60" s="788"/>
      <c r="S60" s="789"/>
      <c r="T60" s="790"/>
      <c r="U60" s="789"/>
      <c r="V60" s="790"/>
      <c r="W60" s="788"/>
      <c r="X60" s="788"/>
      <c r="Y60" s="788"/>
      <c r="Z60" s="741"/>
      <c r="AA60" s="683" t="s">
        <v>2213</v>
      </c>
      <c r="AB60" s="685">
        <v>-4.0</v>
      </c>
      <c r="AC60" s="741"/>
      <c r="AD60" s="788"/>
      <c r="AE60" s="788"/>
      <c r="AF60" s="799">
        <f t="shared" si="8"/>
        <v>26300</v>
      </c>
      <c r="AG60" s="658">
        <v>0.9676269234740045</v>
      </c>
      <c r="AH60" s="659">
        <f t="shared" si="3"/>
        <v>0.9676269235</v>
      </c>
      <c r="AI60" s="641"/>
      <c r="AJ60" s="660">
        <f t="shared" si="6"/>
        <v>60</v>
      </c>
      <c r="AK60" s="676">
        <v>0.9373</v>
      </c>
      <c r="AL60" s="662">
        <v>139100.0</v>
      </c>
      <c r="AM60" s="677">
        <v>-0.9987932286160333</v>
      </c>
      <c r="AN60" s="678">
        <v>-0.06269999999999998</v>
      </c>
      <c r="AO60" s="662">
        <v>139100.0</v>
      </c>
      <c r="AP60" s="679">
        <v>-0.9985859830929967</v>
      </c>
      <c r="AQ60" s="662">
        <v>139100.0</v>
      </c>
      <c r="AR60" s="680">
        <v>-0.9983552029049519</v>
      </c>
      <c r="AS60" s="624"/>
      <c r="AT60" s="624"/>
      <c r="AU60" s="624"/>
      <c r="AV60" s="624"/>
      <c r="AW60" s="624"/>
      <c r="AX60" s="624" t="s">
        <v>2214</v>
      </c>
      <c r="AY60" s="624"/>
      <c r="AZ60" s="624"/>
      <c r="BA60" s="624"/>
      <c r="BB60" s="624"/>
      <c r="BC60" s="624"/>
      <c r="BD60" s="624"/>
      <c r="BE60" s="624"/>
    </row>
    <row r="61" ht="16.5" customHeight="1">
      <c r="A61" s="803"/>
      <c r="B61" s="803"/>
      <c r="C61" s="803"/>
      <c r="D61" s="803"/>
      <c r="E61" s="803"/>
      <c r="F61" s="803"/>
      <c r="G61" s="803"/>
      <c r="H61" s="803"/>
      <c r="I61" s="803"/>
      <c r="J61" s="803"/>
      <c r="K61" s="803"/>
      <c r="L61" s="804"/>
      <c r="M61" s="805"/>
      <c r="N61" s="806"/>
      <c r="O61" s="806"/>
      <c r="P61" s="806"/>
      <c r="Q61" s="806"/>
      <c r="R61" s="807"/>
      <c r="S61" s="808"/>
      <c r="T61" s="809"/>
      <c r="U61" s="808"/>
      <c r="V61" s="809"/>
      <c r="W61" s="807"/>
      <c r="X61" s="803"/>
      <c r="Y61" s="803"/>
      <c r="Z61" s="803"/>
      <c r="AA61" s="683" t="s">
        <v>2218</v>
      </c>
      <c r="AB61" s="685">
        <v>-5.0</v>
      </c>
      <c r="AC61" s="803"/>
      <c r="AD61" s="803"/>
      <c r="AE61" s="803"/>
      <c r="AF61" s="799">
        <f t="shared" si="8"/>
        <v>27050</v>
      </c>
      <c r="AG61" s="658">
        <v>0.9671099604233594</v>
      </c>
      <c r="AH61" s="659">
        <f t="shared" si="3"/>
        <v>0.9671099604</v>
      </c>
      <c r="AI61" s="641"/>
      <c r="AJ61" s="660">
        <f t="shared" si="6"/>
        <v>61</v>
      </c>
      <c r="AK61" s="676">
        <v>0.9074</v>
      </c>
      <c r="AL61" s="662">
        <v>139000.0</v>
      </c>
      <c r="AM61" s="677">
        <v>-0.9987873846982059</v>
      </c>
      <c r="AN61" s="678">
        <v>-0.09260000000000002</v>
      </c>
      <c r="AO61" s="662">
        <v>139000.0</v>
      </c>
      <c r="AP61" s="679">
        <v>-0.9985792974462876</v>
      </c>
      <c r="AQ61" s="662">
        <v>139000.0</v>
      </c>
      <c r="AR61" s="680">
        <v>-0.9983476057032081</v>
      </c>
      <c r="AS61" s="624"/>
      <c r="AT61" s="624"/>
      <c r="AU61" s="624"/>
      <c r="AV61" s="624"/>
      <c r="AW61" s="624"/>
      <c r="AX61" s="810" t="s">
        <v>2219</v>
      </c>
      <c r="AY61" s="625"/>
      <c r="AZ61" s="624"/>
      <c r="BA61" s="624"/>
      <c r="BB61" s="624"/>
      <c r="BC61" s="624"/>
      <c r="BD61" s="624"/>
      <c r="BE61" s="624"/>
    </row>
    <row r="62" ht="16.5" customHeight="1">
      <c r="A62" s="811"/>
      <c r="B62" s="811"/>
      <c r="C62" s="811"/>
      <c r="D62" s="811"/>
      <c r="E62" s="811"/>
      <c r="F62" s="811"/>
      <c r="G62" s="811"/>
      <c r="H62" s="811"/>
      <c r="I62" s="811"/>
      <c r="J62" s="811"/>
      <c r="K62" s="741"/>
      <c r="L62" s="780"/>
      <c r="M62" s="782"/>
      <c r="N62" s="782"/>
      <c r="O62" s="806"/>
      <c r="P62" s="806"/>
      <c r="Q62" s="806"/>
      <c r="R62" s="807"/>
      <c r="S62" s="808"/>
      <c r="T62" s="809"/>
      <c r="U62" s="808"/>
      <c r="V62" s="809"/>
      <c r="W62" s="807"/>
      <c r="X62" s="803"/>
      <c r="Y62" s="803"/>
      <c r="Z62" s="803"/>
      <c r="AA62" s="683"/>
      <c r="AB62" s="685"/>
      <c r="AC62" s="803"/>
      <c r="AD62" s="803"/>
      <c r="AE62" s="803"/>
      <c r="AF62" s="799">
        <f t="shared" si="8"/>
        <v>27800</v>
      </c>
      <c r="AG62" s="658">
        <v>0.9666068914060979</v>
      </c>
      <c r="AH62" s="659">
        <f t="shared" si="3"/>
        <v>0.9666068914</v>
      </c>
      <c r="AI62" s="641"/>
      <c r="AJ62" s="660">
        <f t="shared" si="6"/>
        <v>62</v>
      </c>
      <c r="AK62" s="676">
        <v>0.9492</v>
      </c>
      <c r="AL62" s="662">
        <v>137120.0</v>
      </c>
      <c r="AM62" s="677">
        <v>-0.9986720974204243</v>
      </c>
      <c r="AN62" s="678">
        <v>-0.050799999999999956</v>
      </c>
      <c r="AO62" s="662">
        <v>137120.0</v>
      </c>
      <c r="AP62" s="679">
        <v>-0.9984475555538915</v>
      </c>
      <c r="AQ62" s="662">
        <v>137120.0</v>
      </c>
      <c r="AR62" s="680">
        <v>-0.9981980646715753</v>
      </c>
      <c r="AS62" s="624"/>
      <c r="AT62" s="624"/>
      <c r="AU62" s="624"/>
      <c r="AV62" s="624"/>
      <c r="AW62" s="648"/>
      <c r="AX62" s="812" t="s">
        <v>2221</v>
      </c>
      <c r="AY62" s="813" t="s">
        <v>2222</v>
      </c>
      <c r="AZ62" s="624"/>
      <c r="BA62" s="624"/>
      <c r="BB62" s="624"/>
      <c r="BC62" s="624"/>
      <c r="BD62" s="624"/>
      <c r="BE62" s="624"/>
    </row>
    <row r="63" ht="16.5" customHeight="1">
      <c r="A63" s="814"/>
      <c r="B63" s="814"/>
      <c r="C63" s="814"/>
      <c r="D63" s="814"/>
      <c r="E63" s="814"/>
      <c r="F63" s="814"/>
      <c r="G63" s="814"/>
      <c r="H63" s="814"/>
      <c r="I63" s="814"/>
      <c r="J63" s="814"/>
      <c r="K63" s="741"/>
      <c r="L63" s="780"/>
      <c r="M63" s="781"/>
      <c r="N63" s="782"/>
      <c r="O63" s="782"/>
      <c r="P63" s="782"/>
      <c r="Q63" s="782"/>
      <c r="R63" s="788"/>
      <c r="S63" s="789"/>
      <c r="T63" s="790"/>
      <c r="U63" s="789"/>
      <c r="V63" s="790"/>
      <c r="W63" s="788"/>
      <c r="X63" s="803"/>
      <c r="Y63" s="803"/>
      <c r="Z63" s="803"/>
      <c r="AA63" s="683"/>
      <c r="AB63" s="685"/>
      <c r="AC63" s="803"/>
      <c r="AD63" s="803"/>
      <c r="AE63" s="803"/>
      <c r="AF63" s="799">
        <f t="shared" si="8"/>
        <v>28550</v>
      </c>
      <c r="AG63" s="658">
        <v>0.9661172334809808</v>
      </c>
      <c r="AH63" s="659">
        <f t="shared" si="3"/>
        <v>0.9661172335</v>
      </c>
      <c r="AI63" s="641"/>
      <c r="AJ63" s="660">
        <f t="shared" si="6"/>
        <v>63</v>
      </c>
      <c r="AK63" s="676">
        <v>0.9299</v>
      </c>
      <c r="AL63" s="662">
        <v>136896.0</v>
      </c>
      <c r="AM63" s="677">
        <v>-0.9986576498169921</v>
      </c>
      <c r="AN63" s="678">
        <v>-0.07010000000000005</v>
      </c>
      <c r="AO63" s="662">
        <v>136896.0</v>
      </c>
      <c r="AP63" s="679">
        <v>-0.9984310654029271</v>
      </c>
      <c r="AQ63" s="662">
        <v>136896.0</v>
      </c>
      <c r="AR63" s="680">
        <v>-0.9981793677144283</v>
      </c>
      <c r="AS63" s="624"/>
      <c r="AT63" s="624"/>
      <c r="AU63" s="624"/>
      <c r="AV63" s="624"/>
      <c r="AW63" s="648"/>
      <c r="AX63" s="815">
        <v>150000.0</v>
      </c>
      <c r="AY63" s="816">
        <f t="array" ref="AY63">IF(ISBLANK(AX63),,$AU$27-AX63/($AU$28*100)+$AU$29*exp(-AX63/$AU$30))</f>
        <v>0.9368242836</v>
      </c>
      <c r="AZ63" s="624"/>
      <c r="BA63" s="624"/>
      <c r="BB63" s="624"/>
      <c r="BC63" s="624"/>
      <c r="BD63" s="624"/>
      <c r="BE63" s="624"/>
    </row>
    <row r="64" ht="16.5" customHeight="1">
      <c r="A64" s="814"/>
      <c r="B64" s="814"/>
      <c r="C64" s="814"/>
      <c r="D64" s="814"/>
      <c r="E64" s="814"/>
      <c r="F64" s="814"/>
      <c r="G64" s="814"/>
      <c r="H64" s="814"/>
      <c r="I64" s="814"/>
      <c r="J64" s="814"/>
      <c r="K64" s="741"/>
      <c r="L64" s="780"/>
      <c r="M64" s="781"/>
      <c r="N64" s="782"/>
      <c r="O64" s="782"/>
      <c r="P64" s="782"/>
      <c r="Q64" s="782"/>
      <c r="R64" s="788"/>
      <c r="S64" s="789"/>
      <c r="T64" s="790"/>
      <c r="U64" s="789"/>
      <c r="V64" s="790"/>
      <c r="W64" s="788"/>
      <c r="X64" s="803"/>
      <c r="Y64" s="803"/>
      <c r="Z64" s="803"/>
      <c r="AA64" s="683"/>
      <c r="AB64" s="685"/>
      <c r="AC64" s="803"/>
      <c r="AD64" s="803"/>
      <c r="AE64" s="803"/>
      <c r="AF64" s="799">
        <f t="shared" si="8"/>
        <v>29300</v>
      </c>
      <c r="AG64" s="658">
        <v>0.9656405204932724</v>
      </c>
      <c r="AH64" s="659">
        <f t="shared" si="3"/>
        <v>0.9656405205</v>
      </c>
      <c r="AI64" s="641"/>
      <c r="AJ64" s="660">
        <f t="shared" si="6"/>
        <v>64</v>
      </c>
      <c r="AK64" s="676">
        <v>0.9524</v>
      </c>
      <c r="AL64" s="662">
        <v>136267.0</v>
      </c>
      <c r="AM64" s="677">
        <v>-0.9986162344824878</v>
      </c>
      <c r="AN64" s="678">
        <v>-0.047599999999999976</v>
      </c>
      <c r="AO64" s="662">
        <v>136267.0</v>
      </c>
      <c r="AP64" s="679">
        <v>-0.998383817964093</v>
      </c>
      <c r="AQ64" s="662">
        <v>136267.0</v>
      </c>
      <c r="AR64" s="680">
        <v>-0.9981258222582076</v>
      </c>
      <c r="AS64" s="624"/>
      <c r="AT64" s="624"/>
      <c r="AU64" s="624"/>
      <c r="AV64" s="624"/>
      <c r="AW64" s="624"/>
      <c r="AX64" s="624"/>
      <c r="AY64" s="624"/>
      <c r="AZ64" s="624"/>
      <c r="BA64" s="624"/>
      <c r="BB64" s="624"/>
      <c r="BC64" s="624"/>
      <c r="BD64" s="624"/>
      <c r="BE64" s="624"/>
    </row>
    <row r="65" ht="16.5" customHeight="1">
      <c r="A65" s="814"/>
      <c r="B65" s="814"/>
      <c r="C65" s="814"/>
      <c r="D65" s="814"/>
      <c r="E65" s="814"/>
      <c r="F65" s="814"/>
      <c r="G65" s="814"/>
      <c r="H65" s="814"/>
      <c r="I65" s="814"/>
      <c r="J65" s="814"/>
      <c r="K65" s="741"/>
      <c r="L65" s="780"/>
      <c r="M65" s="781"/>
      <c r="N65" s="782"/>
      <c r="O65" s="782"/>
      <c r="P65" s="782"/>
      <c r="Q65" s="782"/>
      <c r="R65" s="788"/>
      <c r="S65" s="789"/>
      <c r="T65" s="790"/>
      <c r="U65" s="789"/>
      <c r="V65" s="790"/>
      <c r="W65" s="788"/>
      <c r="X65" s="803"/>
      <c r="Y65" s="803"/>
      <c r="Z65" s="803"/>
      <c r="AA65" s="803"/>
      <c r="AB65" s="803"/>
      <c r="AC65" s="803"/>
      <c r="AD65" s="803"/>
      <c r="AE65" s="803"/>
      <c r="AF65" s="799">
        <f t="shared" si="8"/>
        <v>30050</v>
      </c>
      <c r="AG65" s="658">
        <v>0.9651763024912604</v>
      </c>
      <c r="AH65" s="659">
        <f t="shared" si="3"/>
        <v>0.9651763025</v>
      </c>
      <c r="AI65" s="641"/>
      <c r="AJ65" s="660">
        <f t="shared" si="6"/>
        <v>65</v>
      </c>
      <c r="AK65" s="676">
        <v>0.9223</v>
      </c>
      <c r="AL65" s="662">
        <v>135000.0</v>
      </c>
      <c r="AM65" s="677">
        <v>-0.998528891573113</v>
      </c>
      <c r="AN65" s="678">
        <v>-0.07769999999999999</v>
      </c>
      <c r="AO65" s="662">
        <v>135000.0</v>
      </c>
      <c r="AP65" s="679">
        <v>-0.9982842835462329</v>
      </c>
      <c r="AQ65" s="662">
        <v>135000.0</v>
      </c>
      <c r="AR65" s="680">
        <v>-0.9980131367828944</v>
      </c>
      <c r="AS65" s="624"/>
      <c r="AT65" s="624"/>
      <c r="AU65" s="624"/>
      <c r="AV65" s="624"/>
      <c r="AW65" s="624"/>
      <c r="AX65" s="624"/>
      <c r="AY65" s="624"/>
      <c r="AZ65" s="624"/>
      <c r="BA65" s="624"/>
      <c r="BB65" s="624"/>
      <c r="BC65" s="624"/>
      <c r="BD65" s="624"/>
      <c r="BE65" s="624"/>
    </row>
    <row r="66" ht="16.5" customHeight="1">
      <c r="A66" s="741"/>
      <c r="B66" s="741"/>
      <c r="C66" s="741"/>
      <c r="D66" s="741"/>
      <c r="E66" s="741"/>
      <c r="F66" s="741"/>
      <c r="G66" s="741"/>
      <c r="H66" s="741"/>
      <c r="I66" s="741"/>
      <c r="J66" s="741"/>
      <c r="K66" s="741"/>
      <c r="L66" s="780"/>
      <c r="M66" s="781"/>
      <c r="N66" s="782"/>
      <c r="O66" s="782"/>
      <c r="P66" s="782"/>
      <c r="Q66" s="782"/>
      <c r="R66" s="788"/>
      <c r="S66" s="789"/>
      <c r="T66" s="790"/>
      <c r="U66" s="789"/>
      <c r="V66" s="790"/>
      <c r="W66" s="788"/>
      <c r="X66" s="803"/>
      <c r="Y66" s="803"/>
      <c r="Z66" s="803"/>
      <c r="AA66" s="803"/>
      <c r="AB66" s="803"/>
      <c r="AC66" s="803"/>
      <c r="AD66" s="803"/>
      <c r="AE66" s="803"/>
      <c r="AF66" s="799">
        <f t="shared" si="8"/>
        <v>30800</v>
      </c>
      <c r="AG66" s="658">
        <v>0.9647241451630563</v>
      </c>
      <c r="AH66" s="659">
        <f t="shared" si="3"/>
        <v>0.9647241452</v>
      </c>
      <c r="AI66" s="641"/>
      <c r="AJ66" s="660">
        <f t="shared" si="6"/>
        <v>66</v>
      </c>
      <c r="AK66" s="676">
        <v>0.9449</v>
      </c>
      <c r="AL66" s="662">
        <v>134709.0</v>
      </c>
      <c r="AM66" s="677">
        <v>-0.9985080647248679</v>
      </c>
      <c r="AN66" s="678">
        <v>-0.05510000000000004</v>
      </c>
      <c r="AO66" s="662">
        <v>134709.0</v>
      </c>
      <c r="AP66" s="679">
        <v>-0.9982605705350084</v>
      </c>
      <c r="AQ66" s="662">
        <v>134709.0</v>
      </c>
      <c r="AR66" s="680">
        <v>-0.9979863132206085</v>
      </c>
      <c r="AS66" s="624"/>
      <c r="AT66" s="624"/>
      <c r="AU66" s="624"/>
      <c r="AV66" s="624"/>
      <c r="AW66" s="624"/>
      <c r="AX66" s="624"/>
      <c r="AY66" s="624"/>
      <c r="AZ66" s="624"/>
      <c r="BA66" s="624"/>
      <c r="BB66" s="624"/>
      <c r="BC66" s="624"/>
      <c r="BD66" s="624"/>
      <c r="BE66" s="624"/>
    </row>
    <row r="67" ht="16.5" customHeight="1">
      <c r="A67" s="741"/>
      <c r="B67" s="741"/>
      <c r="C67" s="741"/>
      <c r="D67" s="741"/>
      <c r="E67" s="741"/>
      <c r="F67" s="741"/>
      <c r="G67" s="741"/>
      <c r="H67" s="741"/>
      <c r="I67" s="741"/>
      <c r="J67" s="741"/>
      <c r="K67" s="741"/>
      <c r="L67" s="780"/>
      <c r="M67" s="781"/>
      <c r="N67" s="782"/>
      <c r="O67" s="782"/>
      <c r="P67" s="782"/>
      <c r="Q67" s="782"/>
      <c r="R67" s="788"/>
      <c r="S67" s="789"/>
      <c r="T67" s="790"/>
      <c r="U67" s="789"/>
      <c r="V67" s="790"/>
      <c r="W67" s="788"/>
      <c r="X67" s="803"/>
      <c r="Y67" s="803"/>
      <c r="Z67" s="803"/>
      <c r="AA67" s="803"/>
      <c r="AB67" s="803"/>
      <c r="AC67" s="803"/>
      <c r="AD67" s="803"/>
      <c r="AE67" s="803"/>
      <c r="AF67" s="799">
        <f t="shared" si="8"/>
        <v>31550</v>
      </c>
      <c r="AG67" s="658">
        <v>0.9642836292929726</v>
      </c>
      <c r="AH67" s="659">
        <f t="shared" si="3"/>
        <v>0.9642836293</v>
      </c>
      <c r="AI67" s="641"/>
      <c r="AJ67" s="660">
        <f t="shared" si="6"/>
        <v>67</v>
      </c>
      <c r="AK67" s="676">
        <v>0.9524</v>
      </c>
      <c r="AL67" s="662">
        <v>133442.0</v>
      </c>
      <c r="AM67" s="677">
        <v>-0.9984138941693222</v>
      </c>
      <c r="AN67" s="678">
        <v>-0.047599999999999976</v>
      </c>
      <c r="AO67" s="662">
        <v>133442.0</v>
      </c>
      <c r="AP67" s="679">
        <v>-0.9981534457833651</v>
      </c>
      <c r="AQ67" s="662">
        <v>133442.0</v>
      </c>
      <c r="AR67" s="680">
        <v>-0.9978652397243186</v>
      </c>
      <c r="AS67" s="624"/>
      <c r="AT67" s="624"/>
      <c r="AU67" s="624"/>
      <c r="AV67" s="624"/>
      <c r="AW67" s="624"/>
      <c r="AX67" s="624"/>
      <c r="AY67" s="624"/>
      <c r="AZ67" s="624"/>
      <c r="BA67" s="624"/>
      <c r="BB67" s="624"/>
      <c r="BC67" s="624"/>
      <c r="BD67" s="624"/>
      <c r="BE67" s="624"/>
    </row>
    <row r="68" ht="16.5" customHeight="1">
      <c r="A68" s="803"/>
      <c r="B68" s="803"/>
      <c r="C68" s="803"/>
      <c r="D68" s="803"/>
      <c r="E68" s="803"/>
      <c r="F68" s="803"/>
      <c r="G68" s="803"/>
      <c r="H68" s="803"/>
      <c r="I68" s="803"/>
      <c r="J68" s="803"/>
      <c r="K68" s="741"/>
      <c r="L68" s="780"/>
      <c r="M68" s="781"/>
      <c r="N68" s="782"/>
      <c r="O68" s="782"/>
      <c r="P68" s="782"/>
      <c r="Q68" s="782"/>
      <c r="R68" s="788"/>
      <c r="S68" s="789"/>
      <c r="T68" s="790"/>
      <c r="U68" s="789"/>
      <c r="V68" s="790"/>
      <c r="W68" s="788"/>
      <c r="X68" s="803"/>
      <c r="Y68" s="803"/>
      <c r="Z68" s="803"/>
      <c r="AA68" s="803"/>
      <c r="AB68" s="803"/>
      <c r="AC68" s="803"/>
      <c r="AD68" s="803"/>
      <c r="AE68" s="803"/>
      <c r="AF68" s="799">
        <f t="shared" si="8"/>
        <v>32300</v>
      </c>
      <c r="AG68" s="658">
        <v>0.9638543502367962</v>
      </c>
      <c r="AH68" s="659">
        <f t="shared" si="3"/>
        <v>0.9638543502</v>
      </c>
      <c r="AI68" s="641"/>
      <c r="AJ68" s="660">
        <f t="shared" si="6"/>
        <v>68</v>
      </c>
      <c r="AK68" s="676">
        <v>0.9323</v>
      </c>
      <c r="AL68" s="662">
        <v>132950.0</v>
      </c>
      <c r="AM68" s="677">
        <v>-0.9983757438372688</v>
      </c>
      <c r="AN68" s="678">
        <v>-0.06769999999999998</v>
      </c>
      <c r="AO68" s="662">
        <v>132950.0</v>
      </c>
      <c r="AP68" s="679">
        <v>-0.9981100906520232</v>
      </c>
      <c r="AQ68" s="662">
        <v>132950.0</v>
      </c>
      <c r="AR68" s="680">
        <v>-0.9978162858439598</v>
      </c>
      <c r="AS68" s="624"/>
      <c r="AT68" s="624"/>
      <c r="AU68" s="624"/>
      <c r="AV68" s="624"/>
      <c r="AW68" s="624"/>
      <c r="AX68" s="624"/>
      <c r="AY68" s="624"/>
      <c r="AZ68" s="624"/>
      <c r="BA68" s="624"/>
      <c r="BB68" s="624"/>
      <c r="BC68" s="624"/>
      <c r="BD68" s="624"/>
      <c r="BE68" s="624"/>
    </row>
    <row r="69" ht="16.5" customHeight="1">
      <c r="A69" s="803"/>
      <c r="B69" s="803"/>
      <c r="C69" s="803"/>
      <c r="D69" s="803"/>
      <c r="E69" s="803"/>
      <c r="F69" s="803"/>
      <c r="G69" s="803"/>
      <c r="H69" s="803"/>
      <c r="I69" s="803"/>
      <c r="J69" s="803"/>
      <c r="K69" s="741"/>
      <c r="L69" s="780"/>
      <c r="M69" s="781"/>
      <c r="N69" s="782"/>
      <c r="O69" s="782"/>
      <c r="P69" s="782"/>
      <c r="Q69" s="782"/>
      <c r="R69" s="788"/>
      <c r="S69" s="789"/>
      <c r="T69" s="790"/>
      <c r="U69" s="789"/>
      <c r="V69" s="790"/>
      <c r="W69" s="788"/>
      <c r="X69" s="803"/>
      <c r="Y69" s="803"/>
      <c r="Z69" s="803"/>
      <c r="AA69" s="803"/>
      <c r="AB69" s="803"/>
      <c r="AC69" s="803"/>
      <c r="AD69" s="803"/>
      <c r="AE69" s="803"/>
      <c r="AF69" s="799">
        <f t="shared" si="8"/>
        <v>33050</v>
      </c>
      <c r="AG69" s="658">
        <v>0.9634359174152989</v>
      </c>
      <c r="AH69" s="659">
        <f t="shared" si="3"/>
        <v>0.9634359174</v>
      </c>
      <c r="AI69" s="641"/>
      <c r="AJ69" s="660">
        <f t="shared" si="6"/>
        <v>69</v>
      </c>
      <c r="AK69" s="676">
        <v>0.9355</v>
      </c>
      <c r="AL69" s="662">
        <v>132000.0</v>
      </c>
      <c r="AM69" s="677">
        <v>-0.9982994636780984</v>
      </c>
      <c r="AN69" s="678">
        <v>-0.0645</v>
      </c>
      <c r="AO69" s="662">
        <v>132000.0</v>
      </c>
      <c r="AP69" s="679">
        <v>-0.9980234751337186</v>
      </c>
      <c r="AQ69" s="662">
        <v>132000.0</v>
      </c>
      <c r="AR69" s="680">
        <v>-0.9977185619445282</v>
      </c>
      <c r="AS69" s="624"/>
      <c r="AT69" s="624"/>
      <c r="AU69" s="624"/>
      <c r="AV69" s="624"/>
      <c r="AW69" s="624"/>
      <c r="AX69" s="624"/>
      <c r="AY69" s="624"/>
      <c r="AZ69" s="624"/>
      <c r="BA69" s="624"/>
      <c r="BB69" s="624"/>
      <c r="BC69" s="624"/>
      <c r="BD69" s="624"/>
      <c r="BE69" s="624"/>
    </row>
    <row r="70" ht="16.5" customHeight="1">
      <c r="A70" s="711"/>
      <c r="B70" s="711"/>
      <c r="C70" s="711"/>
      <c r="D70" s="711"/>
      <c r="E70" s="711"/>
      <c r="F70" s="711"/>
      <c r="G70" s="711"/>
      <c r="H70" s="711"/>
      <c r="I70" s="711"/>
      <c r="J70" s="711"/>
      <c r="K70" s="741"/>
      <c r="L70" s="780"/>
      <c r="M70" s="781"/>
      <c r="N70" s="782"/>
      <c r="O70" s="782"/>
      <c r="P70" s="782"/>
      <c r="Q70" s="782"/>
      <c r="R70" s="788"/>
      <c r="S70" s="789"/>
      <c r="T70" s="790"/>
      <c r="U70" s="789"/>
      <c r="V70" s="790"/>
      <c r="W70" s="788"/>
      <c r="X70" s="803"/>
      <c r="Y70" s="803"/>
      <c r="Z70" s="803"/>
      <c r="AA70" s="711"/>
      <c r="AB70" s="711"/>
      <c r="AC70" s="711"/>
      <c r="AD70" s="736"/>
      <c r="AE70" s="736"/>
      <c r="AF70" s="799">
        <f t="shared" si="8"/>
        <v>33800</v>
      </c>
      <c r="AG70" s="658">
        <v>0.9630279538253546</v>
      </c>
      <c r="AH70" s="659">
        <f t="shared" si="3"/>
        <v>0.9630279538</v>
      </c>
      <c r="AI70" s="641"/>
      <c r="AJ70" s="660">
        <f t="shared" si="6"/>
        <v>70</v>
      </c>
      <c r="AK70" s="676">
        <v>0.9289</v>
      </c>
      <c r="AL70" s="662">
        <v>131000.0</v>
      </c>
      <c r="AM70" s="677">
        <v>-0.9982152954853398</v>
      </c>
      <c r="AN70" s="678">
        <v>-0.07110000000000005</v>
      </c>
      <c r="AO70" s="662">
        <v>131000.0</v>
      </c>
      <c r="AP70" s="679">
        <v>-0.9979280089684958</v>
      </c>
      <c r="AQ70" s="662">
        <v>131000.0</v>
      </c>
      <c r="AR70" s="680">
        <v>-0.9976109664314677</v>
      </c>
      <c r="AS70" s="624"/>
      <c r="AT70" s="624"/>
      <c r="AU70" s="624"/>
      <c r="AV70" s="624"/>
      <c r="AW70" s="624"/>
      <c r="AX70" s="624"/>
      <c r="AY70" s="624"/>
      <c r="AZ70" s="624"/>
      <c r="BA70" s="624"/>
      <c r="BB70" s="624"/>
      <c r="BC70" s="624"/>
      <c r="BD70" s="624"/>
      <c r="BE70" s="624"/>
    </row>
    <row r="71" ht="16.5" customHeight="1">
      <c r="A71" s="711"/>
      <c r="B71" s="711"/>
      <c r="C71" s="711"/>
      <c r="D71" s="711"/>
      <c r="E71" s="711"/>
      <c r="F71" s="711"/>
      <c r="G71" s="711"/>
      <c r="H71" s="711"/>
      <c r="I71" s="711"/>
      <c r="J71" s="711"/>
      <c r="K71" s="741"/>
      <c r="L71" s="780"/>
      <c r="M71" s="781"/>
      <c r="N71" s="782"/>
      <c r="O71" s="782"/>
      <c r="P71" s="782"/>
      <c r="Q71" s="782"/>
      <c r="R71" s="788"/>
      <c r="S71" s="789"/>
      <c r="T71" s="790"/>
      <c r="U71" s="789"/>
      <c r="V71" s="790"/>
      <c r="W71" s="788"/>
      <c r="X71" s="803"/>
      <c r="Y71" s="803"/>
      <c r="Z71" s="803"/>
      <c r="AA71" s="711"/>
      <c r="AB71" s="711"/>
      <c r="AC71" s="711"/>
      <c r="AD71" s="736"/>
      <c r="AE71" s="736"/>
      <c r="AF71" s="799">
        <f t="shared" si="8"/>
        <v>34550</v>
      </c>
      <c r="AG71" s="658">
        <v>0.9626300955680496</v>
      </c>
      <c r="AH71" s="659">
        <f t="shared" si="3"/>
        <v>0.9626300956</v>
      </c>
      <c r="AI71" s="641"/>
      <c r="AJ71" s="660">
        <f t="shared" si="6"/>
        <v>71</v>
      </c>
      <c r="AK71" s="676">
        <v>0.9449</v>
      </c>
      <c r="AL71" s="662">
        <v>130820.0</v>
      </c>
      <c r="AM71" s="677">
        <v>-0.9981997086449916</v>
      </c>
      <c r="AN71" s="678">
        <v>-0.05510000000000004</v>
      </c>
      <c r="AO71" s="662">
        <v>130820.0</v>
      </c>
      <c r="AP71" s="679">
        <v>-0.9979103416953742</v>
      </c>
      <c r="AQ71" s="662">
        <v>130820.0</v>
      </c>
      <c r="AR71" s="680">
        <v>-0.997591067145656</v>
      </c>
      <c r="AS71" s="624"/>
      <c r="AT71" s="624"/>
      <c r="AU71" s="624"/>
      <c r="AV71" s="624"/>
      <c r="AW71" s="624"/>
      <c r="AX71" s="624"/>
      <c r="AY71" s="624"/>
      <c r="AZ71" s="624"/>
      <c r="BA71" s="624"/>
      <c r="BB71" s="624"/>
      <c r="BC71" s="624"/>
      <c r="BD71" s="624"/>
      <c r="BE71" s="624"/>
    </row>
    <row r="72" ht="16.5" customHeight="1">
      <c r="A72" s="711"/>
      <c r="B72" s="711"/>
      <c r="C72" s="711"/>
      <c r="D72" s="711"/>
      <c r="E72" s="711"/>
      <c r="F72" s="711"/>
      <c r="G72" s="711"/>
      <c r="H72" s="711"/>
      <c r="I72" s="711"/>
      <c r="J72" s="711"/>
      <c r="K72" s="741"/>
      <c r="L72" s="780"/>
      <c r="M72" s="781"/>
      <c r="N72" s="782"/>
      <c r="O72" s="782"/>
      <c r="P72" s="782"/>
      <c r="Q72" s="782"/>
      <c r="R72" s="788"/>
      <c r="S72" s="789"/>
      <c r="T72" s="790"/>
      <c r="U72" s="789"/>
      <c r="V72" s="790"/>
      <c r="W72" s="788"/>
      <c r="X72" s="803"/>
      <c r="Y72" s="803"/>
      <c r="Z72" s="803"/>
      <c r="AA72" s="711"/>
      <c r="AB72" s="711"/>
      <c r="AC72" s="711"/>
      <c r="AD72" s="736"/>
      <c r="AE72" s="736"/>
      <c r="AF72" s="799">
        <f t="shared" si="8"/>
        <v>35300</v>
      </c>
      <c r="AG72" s="658">
        <v>0.9622419913931936</v>
      </c>
      <c r="AH72" s="659">
        <f t="shared" si="3"/>
        <v>0.9622419914</v>
      </c>
      <c r="AI72" s="641"/>
      <c r="AJ72" s="660">
        <f t="shared" si="6"/>
        <v>72</v>
      </c>
      <c r="AK72" s="676">
        <v>0.9524</v>
      </c>
      <c r="AL72" s="662">
        <v>130357.0</v>
      </c>
      <c r="AM72" s="677">
        <v>-0.9981589875488982</v>
      </c>
      <c r="AN72" s="678">
        <v>-0.047599999999999976</v>
      </c>
      <c r="AO72" s="662">
        <v>130357.0</v>
      </c>
      <c r="AP72" s="679">
        <v>-0.9978642023474839</v>
      </c>
      <c r="AQ72" s="662">
        <v>130357.0</v>
      </c>
      <c r="AR72" s="680">
        <v>-0.9975391169327893</v>
      </c>
      <c r="AS72" s="624"/>
      <c r="AT72" s="624"/>
      <c r="AU72" s="624"/>
      <c r="AV72" s="624"/>
      <c r="AW72" s="624"/>
      <c r="AX72" s="624"/>
      <c r="AY72" s="624"/>
      <c r="AZ72" s="624"/>
      <c r="BA72" s="624"/>
      <c r="BB72" s="624"/>
      <c r="BC72" s="624"/>
      <c r="BD72" s="624"/>
      <c r="BE72" s="624"/>
    </row>
    <row r="73" ht="16.5" customHeight="1">
      <c r="A73" s="711"/>
      <c r="B73" s="711"/>
      <c r="C73" s="711"/>
      <c r="D73" s="711"/>
      <c r="E73" s="711"/>
      <c r="F73" s="711"/>
      <c r="G73" s="711"/>
      <c r="H73" s="711"/>
      <c r="I73" s="711"/>
      <c r="J73" s="711"/>
      <c r="K73" s="741"/>
      <c r="L73" s="780"/>
      <c r="M73" s="781"/>
      <c r="N73" s="782"/>
      <c r="O73" s="782"/>
      <c r="P73" s="782"/>
      <c r="Q73" s="782"/>
      <c r="R73" s="788"/>
      <c r="S73" s="789"/>
      <c r="T73" s="790"/>
      <c r="U73" s="789"/>
      <c r="V73" s="790"/>
      <c r="W73" s="788"/>
      <c r="X73" s="803"/>
      <c r="Y73" s="803"/>
      <c r="Z73" s="803"/>
      <c r="AA73" s="711"/>
      <c r="AB73" s="711"/>
      <c r="AC73" s="711"/>
      <c r="AD73" s="736"/>
      <c r="AE73" s="736"/>
      <c r="AF73" s="799">
        <f t="shared" si="8"/>
        <v>36050</v>
      </c>
      <c r="AG73" s="658">
        <v>0.9618633022596648</v>
      </c>
      <c r="AH73" s="659">
        <f t="shared" si="3"/>
        <v>0.9618633023</v>
      </c>
      <c r="AI73" s="641"/>
      <c r="AJ73" s="660">
        <f t="shared" si="6"/>
        <v>73</v>
      </c>
      <c r="AK73" s="676">
        <v>0.9424</v>
      </c>
      <c r="AL73" s="662">
        <v>130200.0</v>
      </c>
      <c r="AM73" s="677">
        <v>-0.9981449712278755</v>
      </c>
      <c r="AN73" s="678">
        <v>-0.057599999999999985</v>
      </c>
      <c r="AO73" s="662">
        <v>130200.0</v>
      </c>
      <c r="AP73" s="679">
        <v>-0.9978483266429534</v>
      </c>
      <c r="AQ73" s="662">
        <v>130200.0</v>
      </c>
      <c r="AR73" s="680">
        <v>-0.9975212478233336</v>
      </c>
      <c r="AS73" s="624"/>
      <c r="AT73" s="624"/>
      <c r="AU73" s="624"/>
      <c r="AV73" s="624"/>
      <c r="AW73" s="624"/>
      <c r="AX73" s="624"/>
      <c r="AY73" s="624"/>
      <c r="AZ73" s="624"/>
      <c r="BA73" s="624"/>
      <c r="BB73" s="624"/>
      <c r="BC73" s="624"/>
      <c r="BD73" s="624"/>
      <c r="BE73" s="624"/>
    </row>
    <row r="74" ht="16.5" customHeight="1">
      <c r="A74" s="711"/>
      <c r="B74" s="711"/>
      <c r="C74" s="711"/>
      <c r="D74" s="711"/>
      <c r="E74" s="711"/>
      <c r="F74" s="711"/>
      <c r="G74" s="711"/>
      <c r="H74" s="711"/>
      <c r="I74" s="711"/>
      <c r="J74" s="711"/>
      <c r="K74" s="741"/>
      <c r="L74" s="741"/>
      <c r="M74" s="817" t="s">
        <v>2234</v>
      </c>
      <c r="N74" s="741"/>
      <c r="O74" s="741"/>
      <c r="P74" s="741"/>
      <c r="Q74" s="818" t="str">
        <f>HYPERLINK("https://teslamotorsclub.com/tmc/posts/1865416/","Data source")</f>
        <v>Data source</v>
      </c>
      <c r="R74" s="788"/>
      <c r="S74" s="819"/>
      <c r="T74" s="820"/>
      <c r="U74" s="819"/>
      <c r="V74" s="820"/>
      <c r="W74" s="788"/>
      <c r="X74" s="803"/>
      <c r="Y74" s="803"/>
      <c r="Z74" s="803"/>
      <c r="AA74" s="711"/>
      <c r="AB74" s="711"/>
      <c r="AC74" s="711"/>
      <c r="AD74" s="736"/>
      <c r="AE74" s="736"/>
      <c r="AF74" s="799">
        <f t="shared" si="8"/>
        <v>36800</v>
      </c>
      <c r="AG74" s="658">
        <v>0.961493700911036</v>
      </c>
      <c r="AH74" s="659">
        <f t="shared" si="3"/>
        <v>0.9614937009</v>
      </c>
      <c r="AI74" s="641"/>
      <c r="AJ74" s="660">
        <f t="shared" si="6"/>
        <v>74</v>
      </c>
      <c r="AK74" s="676">
        <v>0.9499</v>
      </c>
      <c r="AL74" s="662">
        <v>128867.2</v>
      </c>
      <c r="AM74" s="677">
        <v>-0.9980216034765933</v>
      </c>
      <c r="AN74" s="678">
        <v>-0.05010000000000003</v>
      </c>
      <c r="AO74" s="662">
        <v>128867.2</v>
      </c>
      <c r="AP74" s="679">
        <v>-0.9977087127683139</v>
      </c>
      <c r="AQ74" s="662">
        <v>128867.2</v>
      </c>
      <c r="AR74" s="680">
        <v>-0.9973642319125097</v>
      </c>
      <c r="AS74" s="624"/>
      <c r="AT74" s="624"/>
      <c r="AU74" s="624"/>
      <c r="AV74" s="624"/>
      <c r="AW74" s="624"/>
      <c r="AX74" s="624"/>
      <c r="AY74" s="624"/>
      <c r="AZ74" s="624"/>
      <c r="BA74" s="624"/>
      <c r="BB74" s="624"/>
      <c r="BC74" s="624"/>
      <c r="BD74" s="624"/>
      <c r="BE74" s="624"/>
    </row>
    <row r="75" ht="16.5" customHeight="1">
      <c r="A75" s="711"/>
      <c r="B75" s="711"/>
      <c r="C75" s="711"/>
      <c r="D75" s="711"/>
      <c r="E75" s="711"/>
      <c r="F75" s="711"/>
      <c r="G75" s="711"/>
      <c r="H75" s="711"/>
      <c r="I75" s="711"/>
      <c r="J75" s="711"/>
      <c r="K75" s="741"/>
      <c r="L75" s="741"/>
      <c r="M75" s="821" t="s">
        <v>2236</v>
      </c>
      <c r="N75" s="822"/>
      <c r="P75" s="741"/>
      <c r="Q75" s="818" t="str">
        <f>HYPERLINK("https://teslamotorsclub.com/tmc/posts/1939393/","100 kWh data source")</f>
        <v>100 kWh data source</v>
      </c>
      <c r="R75" s="788"/>
      <c r="S75" s="819"/>
      <c r="T75" s="820"/>
      <c r="U75" s="819"/>
      <c r="V75" s="820"/>
      <c r="W75" s="788"/>
      <c r="X75" s="803"/>
      <c r="Y75" s="803"/>
      <c r="Z75" s="803"/>
      <c r="AA75" s="711"/>
      <c r="AB75" s="711"/>
      <c r="AC75" s="711"/>
      <c r="AD75" s="736"/>
      <c r="AE75" s="736"/>
      <c r="AF75" s="799">
        <f t="shared" si="8"/>
        <v>37550</v>
      </c>
      <c r="AG75" s="658">
        <v>0.9611328714659514</v>
      </c>
      <c r="AH75" s="659">
        <f t="shared" si="3"/>
        <v>0.9611328715</v>
      </c>
      <c r="AI75" s="641"/>
      <c r="AJ75" s="660">
        <f t="shared" si="6"/>
        <v>75</v>
      </c>
      <c r="AK75" s="676">
        <v>0.9336</v>
      </c>
      <c r="AL75" s="662">
        <v>128701.0</v>
      </c>
      <c r="AM75" s="677">
        <v>-0.9980056550202928</v>
      </c>
      <c r="AN75" s="678">
        <v>-0.06640000000000001</v>
      </c>
      <c r="AO75" s="662">
        <v>128701.0</v>
      </c>
      <c r="AP75" s="679">
        <v>-0.997690679345801</v>
      </c>
      <c r="AQ75" s="662">
        <v>128701.0</v>
      </c>
      <c r="AR75" s="680">
        <v>-0.9973439670962542</v>
      </c>
      <c r="AS75" s="624"/>
      <c r="AT75" s="624"/>
      <c r="AU75" s="624"/>
      <c r="AV75" s="624"/>
      <c r="AW75" s="624"/>
      <c r="AX75" s="624"/>
      <c r="AY75" s="624"/>
      <c r="AZ75" s="624"/>
      <c r="BA75" s="624"/>
      <c r="BB75" s="624"/>
      <c r="BC75" s="624"/>
      <c r="BD75" s="624"/>
      <c r="BE75" s="624"/>
    </row>
    <row r="76" ht="16.5" customHeight="1">
      <c r="A76" s="711"/>
      <c r="B76" s="711"/>
      <c r="C76" s="711"/>
      <c r="D76" s="711"/>
      <c r="E76" s="711"/>
      <c r="F76" s="711"/>
      <c r="G76" s="711"/>
      <c r="H76" s="711"/>
      <c r="I76" s="711"/>
      <c r="J76" s="711"/>
      <c r="K76" s="741"/>
      <c r="L76" s="741"/>
      <c r="M76" s="823" t="s">
        <v>2239</v>
      </c>
      <c r="N76" s="824"/>
      <c r="O76" s="824"/>
      <c r="P76" s="824"/>
      <c r="Q76" s="824"/>
      <c r="R76" s="788"/>
      <c r="S76" s="819"/>
      <c r="T76" s="820"/>
      <c r="U76" s="819"/>
      <c r="V76" s="820"/>
      <c r="W76" s="788"/>
      <c r="X76" s="803"/>
      <c r="Y76" s="803"/>
      <c r="Z76" s="803"/>
      <c r="AA76" s="711"/>
      <c r="AB76" s="711"/>
      <c r="AC76" s="711"/>
      <c r="AD76" s="736"/>
      <c r="AE76" s="736"/>
      <c r="AF76" s="799">
        <f t="shared" si="8"/>
        <v>38300</v>
      </c>
      <c r="AG76" s="658">
        <v>0.960780509022742</v>
      </c>
      <c r="AH76" s="659">
        <f t="shared" si="3"/>
        <v>0.960780509</v>
      </c>
      <c r="AI76" s="641"/>
      <c r="AJ76" s="660">
        <f t="shared" si="6"/>
        <v>76</v>
      </c>
      <c r="AK76" s="676">
        <v>0.9298</v>
      </c>
      <c r="AL76" s="662">
        <v>128000.0</v>
      </c>
      <c r="AM76" s="677">
        <v>-0.9979369604608522</v>
      </c>
      <c r="AN76" s="678">
        <v>-0.07020000000000004</v>
      </c>
      <c r="AO76" s="662">
        <v>128000.0</v>
      </c>
      <c r="AP76" s="679">
        <v>-0.997613042768525</v>
      </c>
      <c r="AQ76" s="662">
        <v>128000.0</v>
      </c>
      <c r="AR76" s="680">
        <v>-0.9972567653112079</v>
      </c>
      <c r="AS76" s="624"/>
      <c r="AT76" s="624"/>
      <c r="AU76" s="624"/>
      <c r="AV76" s="624"/>
      <c r="AW76" s="624"/>
      <c r="AX76" s="624"/>
      <c r="AY76" s="624"/>
      <c r="AZ76" s="624"/>
      <c r="BA76" s="624"/>
      <c r="BB76" s="624"/>
      <c r="BC76" s="624"/>
      <c r="BD76" s="624"/>
      <c r="BE76" s="624"/>
    </row>
    <row r="77" ht="16.5" customHeight="1">
      <c r="A77" s="711"/>
      <c r="B77" s="711"/>
      <c r="C77" s="711"/>
      <c r="D77" s="711"/>
      <c r="E77" s="711"/>
      <c r="F77" s="711"/>
      <c r="G77" s="711"/>
      <c r="H77" s="711"/>
      <c r="I77" s="711"/>
      <c r="J77" s="711"/>
      <c r="K77" s="741"/>
      <c r="L77" s="741"/>
      <c r="M77" s="825" t="s">
        <v>2240</v>
      </c>
      <c r="N77" s="826"/>
      <c r="O77" s="826"/>
      <c r="P77" s="741"/>
      <c r="Q77" s="741"/>
      <c r="R77" s="788"/>
      <c r="S77" s="819"/>
      <c r="T77" s="820"/>
      <c r="U77" s="819"/>
      <c r="V77" s="820"/>
      <c r="W77" s="788"/>
      <c r="X77" s="803"/>
      <c r="Y77" s="803"/>
      <c r="Z77" s="803"/>
      <c r="AA77" s="711"/>
      <c r="AB77" s="711"/>
      <c r="AC77" s="711"/>
      <c r="AD77" s="736"/>
      <c r="AE77" s="736"/>
      <c r="AF77" s="799">
        <f t="shared" si="8"/>
        <v>39050</v>
      </c>
      <c r="AG77" s="658">
        <v>0.9604363192777838</v>
      </c>
      <c r="AH77" s="659">
        <f t="shared" si="3"/>
        <v>0.9604363193</v>
      </c>
      <c r="AI77" s="641"/>
      <c r="AJ77" s="660">
        <f t="shared" si="6"/>
        <v>77</v>
      </c>
      <c r="AK77" s="676">
        <v>0.9273</v>
      </c>
      <c r="AL77" s="662">
        <v>127974.0</v>
      </c>
      <c r="AM77" s="677">
        <v>-0.9979343675754188</v>
      </c>
      <c r="AN77" s="678">
        <v>-0.07269999999999999</v>
      </c>
      <c r="AO77" s="662">
        <v>127974.0</v>
      </c>
      <c r="AP77" s="679">
        <v>-0.9976101135723088</v>
      </c>
      <c r="AQ77" s="662">
        <v>127974.0</v>
      </c>
      <c r="AR77" s="680">
        <v>-0.9972534765163829</v>
      </c>
      <c r="AS77" s="624"/>
      <c r="AT77" s="624"/>
      <c r="AU77" s="624"/>
      <c r="AV77" s="624"/>
      <c r="AW77" s="624"/>
      <c r="AX77" s="624"/>
      <c r="AY77" s="624"/>
      <c r="AZ77" s="624"/>
      <c r="BA77" s="624"/>
      <c r="BB77" s="624"/>
      <c r="BC77" s="624"/>
      <c r="BD77" s="624"/>
      <c r="BE77" s="624"/>
    </row>
    <row r="78" ht="16.5" customHeight="1">
      <c r="A78" s="711"/>
      <c r="B78" s="711"/>
      <c r="C78" s="711"/>
      <c r="D78" s="711"/>
      <c r="E78" s="711"/>
      <c r="F78" s="711"/>
      <c r="G78" s="711"/>
      <c r="H78" s="711"/>
      <c r="I78" s="711"/>
      <c r="J78" s="711"/>
      <c r="K78" s="741"/>
      <c r="L78" s="741"/>
      <c r="M78" s="788"/>
      <c r="N78" s="741"/>
      <c r="O78" s="741"/>
      <c r="P78" s="741"/>
      <c r="Q78" s="741"/>
      <c r="R78" s="788"/>
      <c r="S78" s="819"/>
      <c r="T78" s="820"/>
      <c r="U78" s="819"/>
      <c r="V78" s="820"/>
      <c r="W78" s="788"/>
      <c r="X78" s="803"/>
      <c r="Y78" s="803"/>
      <c r="Z78" s="803"/>
      <c r="AA78" s="711"/>
      <c r="AB78" s="711"/>
      <c r="AC78" s="711"/>
      <c r="AD78" s="736"/>
      <c r="AE78" s="736"/>
      <c r="AF78" s="799">
        <f t="shared" si="8"/>
        <v>39800</v>
      </c>
      <c r="AG78" s="658">
        <v>0.9601000181571213</v>
      </c>
      <c r="AH78" s="659">
        <f t="shared" si="3"/>
        <v>0.9601000182</v>
      </c>
      <c r="AI78" s="641"/>
      <c r="AJ78" s="660">
        <f t="shared" si="6"/>
        <v>78</v>
      </c>
      <c r="AK78" s="676">
        <v>0.9492</v>
      </c>
      <c r="AL78" s="662">
        <v>127174.0</v>
      </c>
      <c r="AM78" s="677">
        <v>-0.997852973672249</v>
      </c>
      <c r="AN78" s="678">
        <v>-0.050799999999999956</v>
      </c>
      <c r="AO78" s="662">
        <v>127174.0</v>
      </c>
      <c r="AP78" s="679">
        <v>-0.9975182059793486</v>
      </c>
      <c r="AQ78" s="662">
        <v>127174.0</v>
      </c>
      <c r="AR78" s="680">
        <v>-0.9971503326060571</v>
      </c>
      <c r="AS78" s="624"/>
      <c r="AT78" s="624"/>
      <c r="AU78" s="624"/>
      <c r="AV78" s="624"/>
      <c r="AW78" s="624"/>
      <c r="AX78" s="624"/>
      <c r="AY78" s="624"/>
      <c r="AZ78" s="624"/>
      <c r="BA78" s="624"/>
      <c r="BB78" s="624"/>
      <c r="BC78" s="624"/>
      <c r="BD78" s="624"/>
      <c r="BE78" s="624"/>
    </row>
    <row r="79" ht="16.5" customHeight="1">
      <c r="A79" s="711"/>
      <c r="B79" s="711"/>
      <c r="C79" s="711"/>
      <c r="D79" s="711"/>
      <c r="E79" s="711"/>
      <c r="F79" s="711"/>
      <c r="G79" s="711"/>
      <c r="H79" s="711"/>
      <c r="I79" s="711"/>
      <c r="J79" s="711"/>
      <c r="K79" s="741"/>
      <c r="L79" s="741"/>
      <c r="M79" s="788"/>
      <c r="N79" s="741"/>
      <c r="O79" s="741"/>
      <c r="P79" s="741"/>
      <c r="Q79" s="741"/>
      <c r="R79" s="788"/>
      <c r="S79" s="819"/>
      <c r="T79" s="820"/>
      <c r="U79" s="819"/>
      <c r="V79" s="820"/>
      <c r="W79" s="788"/>
      <c r="X79" s="803"/>
      <c r="Y79" s="803"/>
      <c r="Z79" s="803"/>
      <c r="AA79" s="711"/>
      <c r="AB79" s="711"/>
      <c r="AC79" s="711"/>
      <c r="AD79" s="736"/>
      <c r="AE79" s="736"/>
      <c r="AF79" s="799">
        <f t="shared" si="8"/>
        <v>40550</v>
      </c>
      <c r="AG79" s="658">
        <v>0.9597713314608955</v>
      </c>
      <c r="AH79" s="659">
        <f t="shared" si="3"/>
        <v>0.9597713315</v>
      </c>
      <c r="AI79" s="641"/>
      <c r="AJ79" s="660">
        <f t="shared" si="6"/>
        <v>79</v>
      </c>
      <c r="AK79" s="676">
        <v>0.9442</v>
      </c>
      <c r="AL79" s="662">
        <v>127019.0</v>
      </c>
      <c r="AM79" s="677">
        <v>-0.9978368365637492</v>
      </c>
      <c r="AN79" s="678">
        <v>-0.05579999999999996</v>
      </c>
      <c r="AO79" s="662">
        <v>127019.0</v>
      </c>
      <c r="AP79" s="679">
        <v>-0.9974999942926008</v>
      </c>
      <c r="AQ79" s="662">
        <v>127019.0</v>
      </c>
      <c r="AR79" s="680">
        <v>-0.9971299049699665</v>
      </c>
      <c r="AS79" s="624"/>
      <c r="AT79" s="624"/>
      <c r="AU79" s="624"/>
      <c r="AV79" s="624"/>
      <c r="AW79" s="624"/>
      <c r="AX79" s="624"/>
      <c r="AY79" s="624"/>
      <c r="AZ79" s="624"/>
      <c r="BA79" s="624"/>
      <c r="BB79" s="624"/>
      <c r="BC79" s="624"/>
      <c r="BD79" s="624"/>
      <c r="BE79" s="624"/>
    </row>
    <row r="80" ht="16.5" customHeight="1">
      <c r="A80" s="711"/>
      <c r="B80" s="711"/>
      <c r="C80" s="711"/>
      <c r="D80" s="711"/>
      <c r="E80" s="711"/>
      <c r="F80" s="711"/>
      <c r="G80" s="711"/>
      <c r="H80" s="711"/>
      <c r="I80" s="711"/>
      <c r="J80" s="711"/>
      <c r="K80" s="741"/>
      <c r="L80" s="741"/>
      <c r="M80" s="788"/>
      <c r="N80" s="741"/>
      <c r="O80" s="741"/>
      <c r="P80" s="741"/>
      <c r="Q80" s="741"/>
      <c r="R80" s="788"/>
      <c r="S80" s="819"/>
      <c r="T80" s="820"/>
      <c r="U80" s="819"/>
      <c r="V80" s="820"/>
      <c r="W80" s="788"/>
      <c r="X80" s="803"/>
      <c r="Y80" s="803"/>
      <c r="Z80" s="803"/>
      <c r="AA80" s="711"/>
      <c r="AB80" s="711"/>
      <c r="AC80" s="711"/>
      <c r="AD80" s="736"/>
      <c r="AE80" s="736"/>
      <c r="AF80" s="799">
        <f t="shared" si="8"/>
        <v>41300</v>
      </c>
      <c r="AG80" s="658">
        <v>0.9594499945201316</v>
      </c>
      <c r="AH80" s="659">
        <f t="shared" si="3"/>
        <v>0.9594499945</v>
      </c>
      <c r="AI80" s="641"/>
      <c r="AJ80" s="660">
        <f t="shared" si="6"/>
        <v>80</v>
      </c>
      <c r="AK80" s="676">
        <v>0.9467</v>
      </c>
      <c r="AL80" s="662">
        <v>126801.0</v>
      </c>
      <c r="AM80" s="677">
        <v>-0.9978139350413568</v>
      </c>
      <c r="AN80" s="678">
        <v>-0.053300000000000014</v>
      </c>
      <c r="AO80" s="662">
        <v>126801.0</v>
      </c>
      <c r="AP80" s="679">
        <v>-0.9974741540566209</v>
      </c>
      <c r="AQ80" s="662">
        <v>126801.0</v>
      </c>
      <c r="AR80" s="680">
        <v>-0.9971009264405856</v>
      </c>
      <c r="AS80" s="624"/>
      <c r="AT80" s="624"/>
      <c r="AU80" s="624"/>
      <c r="AV80" s="624"/>
      <c r="AW80" s="624"/>
      <c r="AX80" s="624"/>
      <c r="AY80" s="624"/>
      <c r="AZ80" s="624"/>
      <c r="BA80" s="624"/>
      <c r="BB80" s="624"/>
      <c r="BC80" s="624"/>
      <c r="BD80" s="624"/>
      <c r="BE80" s="624"/>
    </row>
    <row r="81" ht="16.5" customHeight="1">
      <c r="A81" s="711"/>
      <c r="B81" s="711"/>
      <c r="C81" s="711"/>
      <c r="D81" s="711"/>
      <c r="E81" s="711"/>
      <c r="F81" s="711"/>
      <c r="G81" s="711"/>
      <c r="H81" s="711"/>
      <c r="I81" s="711"/>
      <c r="J81" s="711"/>
      <c r="K81" s="741"/>
      <c r="L81" s="711"/>
      <c r="M81" s="711"/>
      <c r="N81" s="711"/>
      <c r="O81" s="827"/>
      <c r="P81" s="827"/>
      <c r="R81" s="788"/>
      <c r="S81" s="819"/>
      <c r="T81" s="820"/>
      <c r="U81" s="819"/>
      <c r="V81" s="820"/>
      <c r="W81" s="788"/>
      <c r="X81" s="803"/>
      <c r="Y81" s="803"/>
      <c r="Z81" s="803"/>
      <c r="AA81" s="711"/>
      <c r="AB81" s="711"/>
      <c r="AC81" s="711"/>
      <c r="AD81" s="736"/>
      <c r="AE81" s="736"/>
      <c r="AF81" s="799">
        <f t="shared" si="8"/>
        <v>42050</v>
      </c>
      <c r="AG81" s="658">
        <v>0.9591357518654555</v>
      </c>
      <c r="AH81" s="659">
        <f t="shared" si="3"/>
        <v>0.9591357519</v>
      </c>
      <c r="AI81" s="641"/>
      <c r="AJ81" s="660">
        <f t="shared" si="6"/>
        <v>81</v>
      </c>
      <c r="AK81" s="676">
        <v>0.9323</v>
      </c>
      <c r="AL81" s="662">
        <v>126800.0</v>
      </c>
      <c r="AM81" s="677">
        <v>-0.9978138294318031</v>
      </c>
      <c r="AN81" s="678">
        <v>-0.06769999999999998</v>
      </c>
      <c r="AO81" s="662">
        <v>126800.0</v>
      </c>
      <c r="AP81" s="679">
        <v>-0.9974740349101343</v>
      </c>
      <c r="AQ81" s="662">
        <v>126800.0</v>
      </c>
      <c r="AR81" s="680">
        <v>-0.9971007928396474</v>
      </c>
      <c r="AS81" s="624"/>
      <c r="AT81" s="624"/>
      <c r="AU81" s="624"/>
      <c r="AV81" s="624"/>
      <c r="AW81" s="624"/>
      <c r="AX81" s="624"/>
      <c r="AY81" s="624"/>
      <c r="AZ81" s="624"/>
      <c r="BA81" s="624"/>
      <c r="BB81" s="624"/>
      <c r="BC81" s="624"/>
      <c r="BD81" s="624"/>
      <c r="BE81" s="624"/>
    </row>
    <row r="82" ht="16.5" customHeight="1">
      <c r="A82" s="711"/>
      <c r="B82" s="711"/>
      <c r="C82" s="711"/>
      <c r="D82" s="711"/>
      <c r="E82" s="711"/>
      <c r="F82" s="711"/>
      <c r="G82" s="711"/>
      <c r="H82" s="711"/>
      <c r="I82" s="711"/>
      <c r="J82" s="711"/>
      <c r="K82" s="741"/>
      <c r="L82" s="711"/>
      <c r="M82" s="711"/>
      <c r="N82" s="711"/>
      <c r="O82" s="827"/>
      <c r="P82" s="827"/>
      <c r="R82" s="788"/>
      <c r="S82" s="819"/>
      <c r="T82" s="820"/>
      <c r="U82" s="819"/>
      <c r="V82" s="820"/>
      <c r="W82" s="788"/>
      <c r="X82" s="803"/>
      <c r="Y82" s="803"/>
      <c r="Z82" s="803"/>
      <c r="AA82" s="711"/>
      <c r="AB82" s="711"/>
      <c r="AC82" s="711"/>
      <c r="AD82" s="736"/>
      <c r="AE82" s="736"/>
      <c r="AF82" s="799">
        <f t="shared" si="8"/>
        <v>42800</v>
      </c>
      <c r="AG82" s="658">
        <v>0.9588283569073263</v>
      </c>
      <c r="AH82" s="659">
        <f t="shared" si="3"/>
        <v>0.9588283569</v>
      </c>
      <c r="AI82" s="641"/>
      <c r="AJ82" s="660">
        <f t="shared" si="6"/>
        <v>82</v>
      </c>
      <c r="AK82" s="676">
        <v>0.939</v>
      </c>
      <c r="AL82" s="662">
        <v>125000.0</v>
      </c>
      <c r="AM82" s="677">
        <v>-0.997615217474307</v>
      </c>
      <c r="AN82" s="678">
        <v>-0.061000000000000054</v>
      </c>
      <c r="AO82" s="662">
        <v>125000.0</v>
      </c>
      <c r="AP82" s="679">
        <v>-0.9972501981242871</v>
      </c>
      <c r="AQ82" s="662">
        <v>125000.0</v>
      </c>
      <c r="AR82" s="680">
        <v>-0.9968500498875721</v>
      </c>
      <c r="AS82" s="624"/>
      <c r="AT82" s="624"/>
      <c r="AU82" s="624"/>
      <c r="AV82" s="624"/>
      <c r="AW82" s="624"/>
      <c r="AX82" s="624"/>
      <c r="AY82" s="624"/>
      <c r="AZ82" s="624"/>
      <c r="BA82" s="624"/>
      <c r="BB82" s="624"/>
      <c r="BC82" s="624"/>
      <c r="BD82" s="624"/>
      <c r="BE82" s="624"/>
    </row>
    <row r="83" ht="16.5" customHeight="1">
      <c r="A83" s="711"/>
      <c r="B83" s="711"/>
      <c r="C83" s="711"/>
      <c r="D83" s="711"/>
      <c r="E83" s="711"/>
      <c r="F83" s="711"/>
      <c r="G83" s="711"/>
      <c r="H83" s="711"/>
      <c r="I83" s="711"/>
      <c r="J83" s="711"/>
      <c r="K83" s="741"/>
      <c r="L83" s="711"/>
      <c r="M83" s="711"/>
      <c r="N83" s="711"/>
      <c r="O83" s="827"/>
      <c r="P83" s="827"/>
      <c r="R83" s="788"/>
      <c r="S83" s="819"/>
      <c r="T83" s="820"/>
      <c r="U83" s="819"/>
      <c r="V83" s="820"/>
      <c r="W83" s="788"/>
      <c r="X83" s="803"/>
      <c r="Y83" s="803"/>
      <c r="Z83" s="803"/>
      <c r="AA83" s="711"/>
      <c r="AB83" s="711"/>
      <c r="AC83" s="711"/>
      <c r="AD83" s="736"/>
      <c r="AE83" s="736"/>
      <c r="AF83" s="799">
        <f t="shared" si="8"/>
        <v>43550</v>
      </c>
      <c r="AG83" s="658">
        <v>0.9585275716273827</v>
      </c>
      <c r="AH83" s="659">
        <f t="shared" si="3"/>
        <v>0.9585275716</v>
      </c>
      <c r="AI83" s="641"/>
      <c r="AJ83" s="660">
        <f t="shared" si="6"/>
        <v>83</v>
      </c>
      <c r="AK83" s="676">
        <v>0.921</v>
      </c>
      <c r="AL83" s="662">
        <v>124724.0</v>
      </c>
      <c r="AM83" s="677">
        <v>-0.9975832074480103</v>
      </c>
      <c r="AN83" s="678">
        <v>-0.07899999999999996</v>
      </c>
      <c r="AO83" s="662">
        <v>124724.0</v>
      </c>
      <c r="AP83" s="679">
        <v>-0.9972141647690446</v>
      </c>
      <c r="AQ83" s="662">
        <v>124724.0</v>
      </c>
      <c r="AR83" s="680">
        <v>-0.9968097301381916</v>
      </c>
      <c r="AS83" s="624"/>
      <c r="AT83" s="624"/>
      <c r="AU83" s="624"/>
      <c r="AV83" s="624"/>
      <c r="AW83" s="624"/>
      <c r="AX83" s="624"/>
      <c r="AY83" s="624"/>
      <c r="AZ83" s="624"/>
      <c r="BA83" s="624"/>
      <c r="BB83" s="624"/>
      <c r="BC83" s="624"/>
      <c r="BD83" s="624"/>
      <c r="BE83" s="624"/>
    </row>
    <row r="84" ht="16.5" customHeight="1">
      <c r="A84" s="711"/>
      <c r="B84" s="711"/>
      <c r="C84" s="711"/>
      <c r="D84" s="711"/>
      <c r="E84" s="711"/>
      <c r="F84" s="711"/>
      <c r="G84" s="711"/>
      <c r="H84" s="711"/>
      <c r="I84" s="711"/>
      <c r="J84" s="711"/>
      <c r="K84" s="741"/>
      <c r="L84" s="711"/>
      <c r="M84" s="711"/>
      <c r="N84" s="711"/>
      <c r="O84" s="827"/>
      <c r="P84" s="827"/>
      <c r="R84" s="788"/>
      <c r="S84" s="819"/>
      <c r="T84" s="820"/>
      <c r="U84" s="819"/>
      <c r="V84" s="820"/>
      <c r="W84" s="788"/>
      <c r="X84" s="803"/>
      <c r="Y84" s="803"/>
      <c r="Z84" s="803"/>
      <c r="AA84" s="711"/>
      <c r="AB84" s="711"/>
      <c r="AC84" s="711"/>
      <c r="AD84" s="736"/>
      <c r="AE84" s="736"/>
      <c r="AF84" s="799">
        <f t="shared" si="8"/>
        <v>44300</v>
      </c>
      <c r="AG84" s="658">
        <v>0.9582331662805187</v>
      </c>
      <c r="AH84" s="659">
        <f t="shared" si="3"/>
        <v>0.9582331663</v>
      </c>
      <c r="AI84" s="641"/>
      <c r="AJ84" s="660">
        <f t="shared" si="6"/>
        <v>84</v>
      </c>
      <c r="AK84" s="676">
        <v>0.9273</v>
      </c>
      <c r="AL84" s="662">
        <v>124004.0</v>
      </c>
      <c r="AM84" s="677">
        <v>-0.9974976660458547</v>
      </c>
      <c r="AN84" s="678">
        <v>-0.07269999999999999</v>
      </c>
      <c r="AO84" s="662">
        <v>124004.0</v>
      </c>
      <c r="AP84" s="679">
        <v>-0.9971179265127148</v>
      </c>
      <c r="AQ84" s="662">
        <v>124004.0</v>
      </c>
      <c r="AR84" s="680">
        <v>-0.9967021022075199</v>
      </c>
      <c r="AS84" s="624"/>
      <c r="AT84" s="624"/>
      <c r="AU84" s="624"/>
      <c r="AV84" s="624"/>
      <c r="AW84" s="624"/>
      <c r="AX84" s="624"/>
      <c r="AY84" s="624"/>
      <c r="AZ84" s="624"/>
      <c r="BA84" s="624"/>
      <c r="BB84" s="624"/>
      <c r="BC84" s="624"/>
      <c r="BD84" s="624"/>
      <c r="BE84" s="624"/>
    </row>
    <row r="85" ht="16.5" customHeight="1">
      <c r="A85" s="711"/>
      <c r="B85" s="711"/>
      <c r="C85" s="711"/>
      <c r="D85" s="711"/>
      <c r="E85" s="711"/>
      <c r="F85" s="711"/>
      <c r="G85" s="711"/>
      <c r="H85" s="711"/>
      <c r="I85" s="711"/>
      <c r="J85" s="711"/>
      <c r="K85" s="741"/>
      <c r="L85" s="711"/>
      <c r="M85" s="711"/>
      <c r="N85" s="711"/>
      <c r="O85" s="827"/>
      <c r="P85" s="827"/>
      <c r="R85" s="788"/>
      <c r="S85" s="819"/>
      <c r="T85" s="820"/>
      <c r="U85" s="819"/>
      <c r="V85" s="820"/>
      <c r="W85" s="788"/>
      <c r="X85" s="803"/>
      <c r="Y85" s="803"/>
      <c r="Z85" s="803"/>
      <c r="AA85" s="711"/>
      <c r="AB85" s="711"/>
      <c r="AC85" s="711"/>
      <c r="AD85" s="736"/>
      <c r="AE85" s="736"/>
      <c r="AF85" s="799">
        <f t="shared" si="8"/>
        <v>45050</v>
      </c>
      <c r="AG85" s="658">
        <v>0.9579449191073142</v>
      </c>
      <c r="AH85" s="659">
        <f t="shared" si="3"/>
        <v>0.9579449191</v>
      </c>
      <c r="AI85" s="641"/>
      <c r="AJ85" s="660">
        <f t="shared" si="6"/>
        <v>85</v>
      </c>
      <c r="AK85" s="676">
        <v>0.9424</v>
      </c>
      <c r="AL85" s="662">
        <v>123275.0</v>
      </c>
      <c r="AM85" s="677">
        <v>-0.9974079702155968</v>
      </c>
      <c r="AN85" s="678">
        <v>-0.057599999999999985</v>
      </c>
      <c r="AO85" s="662">
        <v>123275.0</v>
      </c>
      <c r="AP85" s="679">
        <v>-0.997017097593562</v>
      </c>
      <c r="AQ85" s="662">
        <v>123275.0</v>
      </c>
      <c r="AR85" s="680">
        <v>-0.9965894290784859</v>
      </c>
      <c r="AS85" s="624"/>
      <c r="AT85" s="624"/>
      <c r="AU85" s="624"/>
      <c r="AV85" s="624"/>
      <c r="AW85" s="624"/>
      <c r="AX85" s="624"/>
      <c r="AY85" s="624"/>
      <c r="AZ85" s="624"/>
      <c r="BA85" s="624"/>
      <c r="BB85" s="624"/>
      <c r="BC85" s="624"/>
      <c r="BD85" s="624"/>
      <c r="BE85" s="624"/>
    </row>
    <row r="86" ht="16.5" customHeight="1">
      <c r="A86" s="711"/>
      <c r="B86" s="711"/>
      <c r="C86" s="711"/>
      <c r="D86" s="711"/>
      <c r="E86" s="711"/>
      <c r="F86" s="711"/>
      <c r="G86" s="711"/>
      <c r="H86" s="711"/>
      <c r="I86" s="711"/>
      <c r="J86" s="711"/>
      <c r="K86" s="741"/>
      <c r="L86" s="711"/>
      <c r="M86" s="711"/>
      <c r="N86" s="711"/>
      <c r="O86" s="827"/>
      <c r="P86" s="827"/>
      <c r="R86" s="788"/>
      <c r="S86" s="819"/>
      <c r="T86" s="820"/>
      <c r="U86" s="819"/>
      <c r="V86" s="820"/>
      <c r="W86" s="788"/>
      <c r="X86" s="803"/>
      <c r="Y86" s="803"/>
      <c r="Z86" s="803"/>
      <c r="AA86" s="711"/>
      <c r="AB86" s="711"/>
      <c r="AC86" s="711"/>
      <c r="AD86" s="736"/>
      <c r="AE86" s="736"/>
      <c r="AF86" s="799">
        <f t="shared" si="8"/>
        <v>45800</v>
      </c>
      <c r="AG86" s="658">
        <v>0.9576626160564611</v>
      </c>
      <c r="AH86" s="659">
        <f t="shared" si="3"/>
        <v>0.9576626161</v>
      </c>
      <c r="AI86" s="641"/>
      <c r="AJ86" s="660">
        <f t="shared" si="6"/>
        <v>86</v>
      </c>
      <c r="AK86" s="676">
        <v>0.9162</v>
      </c>
      <c r="AL86" s="662">
        <v>122100.0</v>
      </c>
      <c r="AM86" s="677">
        <v>-0.9972565820929953</v>
      </c>
      <c r="AN86" s="678">
        <v>-0.08379999999999999</v>
      </c>
      <c r="AO86" s="662">
        <v>122100.0</v>
      </c>
      <c r="AP86" s="679">
        <v>-0.9968471042485797</v>
      </c>
      <c r="AQ86" s="662">
        <v>122100.0</v>
      </c>
      <c r="AR86" s="680">
        <v>-0.9963996640218075</v>
      </c>
      <c r="AS86" s="624"/>
      <c r="AT86" s="624"/>
      <c r="AU86" s="624"/>
      <c r="AV86" s="624"/>
      <c r="AW86" s="624"/>
      <c r="AX86" s="624"/>
      <c r="AY86" s="624"/>
      <c r="AZ86" s="624"/>
      <c r="BA86" s="624"/>
      <c r="BB86" s="624"/>
      <c r="BC86" s="624"/>
      <c r="BD86" s="624"/>
      <c r="BE86" s="624"/>
    </row>
    <row r="87" ht="16.5" customHeight="1">
      <c r="A87" s="711"/>
      <c r="B87" s="711"/>
      <c r="C87" s="711"/>
      <c r="D87" s="711"/>
      <c r="E87" s="711"/>
      <c r="F87" s="711"/>
      <c r="G87" s="711"/>
      <c r="H87" s="711"/>
      <c r="I87" s="711"/>
      <c r="J87" s="711"/>
      <c r="K87" s="741"/>
      <c r="L87" s="711"/>
      <c r="M87" s="711"/>
      <c r="N87" s="711"/>
      <c r="O87" s="827"/>
      <c r="P87" s="827"/>
      <c r="R87" s="788"/>
      <c r="S87" s="819"/>
      <c r="T87" s="820"/>
      <c r="U87" s="819"/>
      <c r="V87" s="820"/>
      <c r="W87" s="788"/>
      <c r="X87" s="803"/>
      <c r="Y87" s="803"/>
      <c r="Z87" s="803"/>
      <c r="AA87" s="711"/>
      <c r="AB87" s="711"/>
      <c r="AC87" s="711"/>
      <c r="AD87" s="736"/>
      <c r="AE87" s="736"/>
      <c r="AF87" s="799">
        <f t="shared" si="8"/>
        <v>46550</v>
      </c>
      <c r="AG87" s="658">
        <v>0.9573860505168383</v>
      </c>
      <c r="AH87" s="659">
        <f t="shared" si="3"/>
        <v>0.9573860505</v>
      </c>
      <c r="AI87" s="641"/>
      <c r="AJ87" s="660">
        <f t="shared" si="6"/>
        <v>87</v>
      </c>
      <c r="AK87" s="676">
        <v>0.9348</v>
      </c>
      <c r="AL87" s="662">
        <v>121121.0</v>
      </c>
      <c r="AM87" s="677">
        <v>-0.9971237158357935</v>
      </c>
      <c r="AN87" s="678">
        <v>-0.06520000000000004</v>
      </c>
      <c r="AO87" s="662">
        <v>121121.0</v>
      </c>
      <c r="AP87" s="679">
        <v>-0.9966980917398325</v>
      </c>
      <c r="AQ87" s="662">
        <v>121121.0</v>
      </c>
      <c r="AR87" s="680">
        <v>-0.9962335143598566</v>
      </c>
      <c r="AS87" s="624"/>
      <c r="AT87" s="624"/>
      <c r="AU87" s="624"/>
      <c r="AV87" s="624"/>
      <c r="AW87" s="624"/>
      <c r="AX87" s="624"/>
      <c r="AY87" s="624"/>
      <c r="AZ87" s="624"/>
      <c r="BA87" s="624"/>
      <c r="BB87" s="624"/>
      <c r="BC87" s="624"/>
      <c r="BD87" s="624"/>
      <c r="BE87" s="624"/>
    </row>
    <row r="88" ht="16.5" customHeight="1">
      <c r="A88" s="711"/>
      <c r="B88" s="711"/>
      <c r="C88" s="711"/>
      <c r="D88" s="711"/>
      <c r="E88" s="711"/>
      <c r="F88" s="711"/>
      <c r="G88" s="711"/>
      <c r="H88" s="711"/>
      <c r="I88" s="711"/>
      <c r="J88" s="711"/>
      <c r="K88" s="741"/>
      <c r="L88" s="711"/>
      <c r="M88" s="711"/>
      <c r="N88" s="711"/>
      <c r="O88" s="827"/>
      <c r="P88" s="827"/>
      <c r="R88" s="788"/>
      <c r="S88" s="819"/>
      <c r="T88" s="820"/>
      <c r="U88" s="819"/>
      <c r="V88" s="820"/>
      <c r="W88" s="788"/>
      <c r="X88" s="803"/>
      <c r="Y88" s="803"/>
      <c r="Z88" s="803"/>
      <c r="AA88" s="711"/>
      <c r="AB88" s="711"/>
      <c r="AC88" s="711"/>
      <c r="AD88" s="736"/>
      <c r="AE88" s="736"/>
      <c r="AF88" s="799">
        <f t="shared" si="8"/>
        <v>47300</v>
      </c>
      <c r="AG88" s="658">
        <v>0.9571150230588988</v>
      </c>
      <c r="AH88" s="659">
        <f t="shared" si="3"/>
        <v>0.9571150231</v>
      </c>
      <c r="AI88" s="641"/>
      <c r="AJ88" s="660">
        <f t="shared" si="6"/>
        <v>88</v>
      </c>
      <c r="AK88" s="676">
        <v>0.9373</v>
      </c>
      <c r="AL88" s="662">
        <v>121000.0</v>
      </c>
      <c r="AM88" s="677">
        <v>-0.9971068535382579</v>
      </c>
      <c r="AN88" s="678">
        <v>-0.06269999999999998</v>
      </c>
      <c r="AO88" s="662">
        <v>121000.0</v>
      </c>
      <c r="AP88" s="679">
        <v>-0.9966791920585825</v>
      </c>
      <c r="AQ88" s="662">
        <v>121000.0</v>
      </c>
      <c r="AR88" s="680">
        <v>-0.9962124536339472</v>
      </c>
      <c r="AS88" s="624"/>
      <c r="AT88" s="624"/>
      <c r="AU88" s="624"/>
      <c r="AV88" s="624"/>
      <c r="AW88" s="624"/>
      <c r="AX88" s="624"/>
      <c r="AY88" s="624"/>
      <c r="AZ88" s="624"/>
      <c r="BA88" s="624"/>
      <c r="BB88" s="624"/>
      <c r="BC88" s="624"/>
      <c r="BD88" s="624"/>
      <c r="BE88" s="624"/>
    </row>
    <row r="89" ht="16.5" customHeight="1">
      <c r="A89" s="711"/>
      <c r="B89" s="711"/>
      <c r="C89" s="711"/>
      <c r="D89" s="711"/>
      <c r="E89" s="711"/>
      <c r="F89" s="711"/>
      <c r="G89" s="711"/>
      <c r="H89" s="711"/>
      <c r="I89" s="711"/>
      <c r="J89" s="711"/>
      <c r="K89" s="741"/>
      <c r="L89" s="711"/>
      <c r="M89" s="711"/>
      <c r="N89" s="711"/>
      <c r="O89" s="827"/>
      <c r="P89" s="827"/>
      <c r="R89" s="788"/>
      <c r="S89" s="819"/>
      <c r="T89" s="820"/>
      <c r="U89" s="819"/>
      <c r="V89" s="820"/>
      <c r="W89" s="788"/>
      <c r="X89" s="803"/>
      <c r="Y89" s="803"/>
      <c r="Z89" s="803"/>
      <c r="AA89" s="711"/>
      <c r="AB89" s="711"/>
      <c r="AC89" s="711"/>
      <c r="AD89" s="736"/>
      <c r="AE89" s="736"/>
      <c r="AF89" s="799">
        <f t="shared" si="8"/>
        <v>48050</v>
      </c>
      <c r="AG89" s="658">
        <v>0.9568493411850464</v>
      </c>
      <c r="AH89" s="659">
        <f t="shared" si="3"/>
        <v>0.9568493412</v>
      </c>
      <c r="AI89" s="641"/>
      <c r="AJ89" s="660">
        <f t="shared" si="6"/>
        <v>89</v>
      </c>
      <c r="AK89" s="676">
        <v>0.9877</v>
      </c>
      <c r="AL89" s="662">
        <v>120728.0</v>
      </c>
      <c r="AM89" s="677">
        <v>-0.9970685864481941</v>
      </c>
      <c r="AN89" s="678">
        <v>-0.012299999999999978</v>
      </c>
      <c r="AO89" s="662">
        <v>120728.0</v>
      </c>
      <c r="AP89" s="679">
        <v>-0.996636310968119</v>
      </c>
      <c r="AQ89" s="662">
        <v>120728.0</v>
      </c>
      <c r="AR89" s="680">
        <v>-0.9961646796106582</v>
      </c>
      <c r="AS89" s="624"/>
      <c r="AT89" s="624"/>
      <c r="AU89" s="624"/>
      <c r="AV89" s="624"/>
      <c r="AW89" s="624"/>
      <c r="AX89" s="624"/>
      <c r="AY89" s="624"/>
      <c r="AZ89" s="624"/>
      <c r="BA89" s="624"/>
      <c r="BB89" s="624"/>
      <c r="BC89" s="624"/>
      <c r="BD89" s="624"/>
      <c r="BE89" s="624"/>
    </row>
    <row r="90" ht="16.5" customHeight="1">
      <c r="A90" s="711"/>
      <c r="B90" s="711"/>
      <c r="C90" s="711"/>
      <c r="D90" s="711"/>
      <c r="E90" s="711"/>
      <c r="F90" s="711"/>
      <c r="G90" s="711"/>
      <c r="H90" s="711"/>
      <c r="I90" s="711"/>
      <c r="J90" s="711"/>
      <c r="K90" s="741"/>
      <c r="L90" s="711"/>
      <c r="M90" s="711"/>
      <c r="N90" s="711"/>
      <c r="O90" s="827"/>
      <c r="P90" s="827"/>
      <c r="R90" s="788"/>
      <c r="S90" s="819"/>
      <c r="T90" s="820"/>
      <c r="U90" s="819"/>
      <c r="V90" s="820"/>
      <c r="W90" s="788"/>
      <c r="X90" s="803"/>
      <c r="Y90" s="803"/>
      <c r="Z90" s="803"/>
      <c r="AA90" s="711"/>
      <c r="AB90" s="711"/>
      <c r="AC90" s="711"/>
      <c r="AD90" s="736"/>
      <c r="AE90" s="736"/>
      <c r="AF90" s="799">
        <f t="shared" si="8"/>
        <v>48800</v>
      </c>
      <c r="AG90" s="658">
        <v>0.956588819088688</v>
      </c>
      <c r="AH90" s="659">
        <f t="shared" si="3"/>
        <v>0.9565888191</v>
      </c>
      <c r="AI90" s="641"/>
      <c r="AJ90" s="660">
        <f t="shared" si="6"/>
        <v>90</v>
      </c>
      <c r="AK90" s="676">
        <v>0.9441</v>
      </c>
      <c r="AL90" s="662">
        <v>120000.0</v>
      </c>
      <c r="AM90" s="677">
        <v>-0.9969636570031798</v>
      </c>
      <c r="AN90" s="678">
        <v>-0.05589999999999995</v>
      </c>
      <c r="AO90" s="662">
        <v>120000.0</v>
      </c>
      <c r="AP90" s="679">
        <v>-0.9965187970111854</v>
      </c>
      <c r="AQ90" s="662">
        <v>120000.0</v>
      </c>
      <c r="AR90" s="680">
        <v>-0.9960338281422235</v>
      </c>
      <c r="AS90" s="624"/>
      <c r="AT90" s="624"/>
      <c r="AU90" s="624"/>
      <c r="AV90" s="624"/>
      <c r="AW90" s="624"/>
      <c r="AX90" s="624"/>
      <c r="AY90" s="624"/>
      <c r="AZ90" s="624"/>
      <c r="BA90" s="624"/>
      <c r="BB90" s="624"/>
      <c r="BC90" s="624"/>
      <c r="BD90" s="624"/>
      <c r="BE90" s="624"/>
    </row>
    <row r="91" ht="16.5" customHeight="1">
      <c r="A91" s="711"/>
      <c r="B91" s="711"/>
      <c r="C91" s="711"/>
      <c r="D91" s="711"/>
      <c r="E91" s="711"/>
      <c r="F91" s="711"/>
      <c r="G91" s="711"/>
      <c r="H91" s="711"/>
      <c r="I91" s="711"/>
      <c r="J91" s="711"/>
      <c r="K91" s="741"/>
      <c r="L91" s="711"/>
      <c r="M91" s="711"/>
      <c r="N91" s="711"/>
      <c r="O91" s="827"/>
      <c r="P91" s="827"/>
      <c r="R91" s="788"/>
      <c r="S91" s="819"/>
      <c r="T91" s="820"/>
      <c r="U91" s="819"/>
      <c r="V91" s="820"/>
      <c r="W91" s="788"/>
      <c r="X91" s="803"/>
      <c r="Y91" s="803"/>
      <c r="Z91" s="803"/>
      <c r="AA91" s="711"/>
      <c r="AB91" s="711"/>
      <c r="AC91" s="711"/>
      <c r="AD91" s="736"/>
      <c r="AE91" s="736"/>
      <c r="AF91" s="799">
        <f t="shared" si="8"/>
        <v>49550</v>
      </c>
      <c r="AG91" s="658">
        <v>0.9563332774216626</v>
      </c>
      <c r="AH91" s="659">
        <f t="shared" si="3"/>
        <v>0.9563332774</v>
      </c>
      <c r="AI91" s="641"/>
      <c r="AJ91" s="660">
        <f t="shared" si="6"/>
        <v>91</v>
      </c>
      <c r="AK91" s="676">
        <v>0.9365</v>
      </c>
      <c r="AL91" s="662">
        <v>120000.0</v>
      </c>
      <c r="AM91" s="677">
        <v>-0.9969636570031798</v>
      </c>
      <c r="AN91" s="678">
        <v>-0.0635</v>
      </c>
      <c r="AO91" s="662">
        <v>120000.0</v>
      </c>
      <c r="AP91" s="679">
        <v>-0.9965187970111854</v>
      </c>
      <c r="AQ91" s="662">
        <v>120000.0</v>
      </c>
      <c r="AR91" s="680">
        <v>-0.9960338281422235</v>
      </c>
      <c r="AS91" s="624"/>
      <c r="AT91" s="624"/>
      <c r="AU91" s="624"/>
      <c r="AV91" s="624"/>
      <c r="AW91" s="624"/>
      <c r="AX91" s="624"/>
      <c r="AY91" s="624"/>
      <c r="AZ91" s="624"/>
      <c r="BA91" s="624"/>
      <c r="BB91" s="624"/>
      <c r="BC91" s="624"/>
      <c r="BD91" s="624"/>
      <c r="BE91" s="624"/>
    </row>
    <row r="92" ht="16.5" customHeight="1">
      <c r="A92" s="711"/>
      <c r="B92" s="711"/>
      <c r="C92" s="711"/>
      <c r="D92" s="711"/>
      <c r="E92" s="711"/>
      <c r="F92" s="711"/>
      <c r="G92" s="711"/>
      <c r="H92" s="711"/>
      <c r="I92" s="711"/>
      <c r="J92" s="711"/>
      <c r="K92" s="741"/>
      <c r="O92" s="827"/>
      <c r="P92" s="827"/>
      <c r="R92" s="788"/>
      <c r="S92" s="819"/>
      <c r="T92" s="820"/>
      <c r="U92" s="819"/>
      <c r="V92" s="820"/>
      <c r="W92" s="788"/>
      <c r="X92" s="803"/>
      <c r="Y92" s="803"/>
      <c r="Z92" s="803"/>
      <c r="AA92" s="711"/>
      <c r="AB92" s="711"/>
      <c r="AC92" s="711"/>
      <c r="AD92" s="736"/>
      <c r="AE92" s="736"/>
      <c r="AF92" s="799">
        <f t="shared" si="8"/>
        <v>50300</v>
      </c>
      <c r="AG92" s="658">
        <v>0.956082543069753</v>
      </c>
      <c r="AH92" s="659">
        <f t="shared" si="3"/>
        <v>0.9560825431</v>
      </c>
      <c r="AI92" s="641"/>
      <c r="AJ92" s="660">
        <f t="shared" si="6"/>
        <v>92</v>
      </c>
      <c r="AK92" s="676">
        <v>0.9425</v>
      </c>
      <c r="AL92" s="662">
        <v>120000.0</v>
      </c>
      <c r="AM92" s="677">
        <v>-0.9969636570031798</v>
      </c>
      <c r="AN92" s="678">
        <v>-0.057499999999999996</v>
      </c>
      <c r="AO92" s="662">
        <v>120000.0</v>
      </c>
      <c r="AP92" s="679">
        <v>-0.9965187970111854</v>
      </c>
      <c r="AQ92" s="662">
        <v>120000.0</v>
      </c>
      <c r="AR92" s="680">
        <v>-0.9960338281422235</v>
      </c>
      <c r="AS92" s="624"/>
      <c r="AT92" s="624"/>
      <c r="AU92" s="624"/>
      <c r="AV92" s="624"/>
      <c r="AW92" s="624"/>
      <c r="AX92" s="624"/>
      <c r="AY92" s="624"/>
      <c r="AZ92" s="624"/>
      <c r="BA92" s="624"/>
      <c r="BB92" s="624"/>
      <c r="BC92" s="624"/>
      <c r="BD92" s="624"/>
      <c r="BE92" s="624"/>
    </row>
    <row r="93" ht="16.5" customHeight="1">
      <c r="A93" s="711"/>
      <c r="B93" s="711"/>
      <c r="C93" s="711"/>
      <c r="D93" s="711"/>
      <c r="E93" s="711"/>
      <c r="F93" s="711"/>
      <c r="G93" s="711"/>
      <c r="H93" s="711"/>
      <c r="I93" s="711"/>
      <c r="J93" s="711"/>
      <c r="K93" s="741"/>
      <c r="O93" s="827"/>
      <c r="P93" s="827"/>
      <c r="R93" s="788"/>
      <c r="S93" s="819"/>
      <c r="T93" s="820"/>
      <c r="U93" s="819"/>
      <c r="V93" s="820"/>
      <c r="W93" s="788"/>
      <c r="X93" s="803"/>
      <c r="Y93" s="803"/>
      <c r="Z93" s="803"/>
      <c r="AA93" s="711"/>
      <c r="AB93" s="711"/>
      <c r="AC93" s="711"/>
      <c r="AD93" s="736"/>
      <c r="AE93" s="736"/>
      <c r="AF93" s="799">
        <f t="shared" si="8"/>
        <v>51050</v>
      </c>
      <c r="AG93" s="658">
        <v>0.9558364489360008</v>
      </c>
      <c r="AH93" s="659">
        <f t="shared" si="3"/>
        <v>0.9558364489</v>
      </c>
      <c r="AI93" s="641"/>
      <c r="AJ93" s="660">
        <f t="shared" si="6"/>
        <v>93</v>
      </c>
      <c r="AK93" s="676">
        <v>0.9416</v>
      </c>
      <c r="AL93" s="662">
        <v>119171.0</v>
      </c>
      <c r="AM93" s="677">
        <v>-0.9968395888215852</v>
      </c>
      <c r="AN93" s="678">
        <v>-0.05840000000000001</v>
      </c>
      <c r="AO93" s="662">
        <v>119171.0</v>
      </c>
      <c r="AP93" s="679">
        <v>-0.9963799722408692</v>
      </c>
      <c r="AQ93" s="662">
        <v>119171.0</v>
      </c>
      <c r="AR93" s="680">
        <v>-0.9958793779832368</v>
      </c>
      <c r="AS93" s="624"/>
      <c r="AT93" s="624"/>
      <c r="AU93" s="624"/>
      <c r="AV93" s="624"/>
      <c r="AW93" s="624"/>
      <c r="AX93" s="624"/>
      <c r="AY93" s="624"/>
      <c r="AZ93" s="624"/>
      <c r="BA93" s="624"/>
      <c r="BB93" s="624"/>
      <c r="BC93" s="624"/>
      <c r="BD93" s="624"/>
      <c r="BE93" s="624"/>
    </row>
    <row r="94" ht="16.5" customHeight="1">
      <c r="A94" s="711"/>
      <c r="B94" s="711"/>
      <c r="C94" s="711"/>
      <c r="D94" s="711"/>
      <c r="E94" s="711"/>
      <c r="F94" s="711"/>
      <c r="G94" s="711"/>
      <c r="H94" s="711"/>
      <c r="I94" s="711"/>
      <c r="J94" s="711"/>
      <c r="K94" s="741"/>
      <c r="O94" s="827"/>
      <c r="P94" s="827"/>
      <c r="R94" s="788"/>
      <c r="S94" s="819"/>
      <c r="T94" s="820"/>
      <c r="U94" s="819"/>
      <c r="V94" s="820"/>
      <c r="W94" s="788"/>
      <c r="X94" s="803"/>
      <c r="Y94" s="803"/>
      <c r="Z94" s="803"/>
      <c r="AA94" s="711"/>
      <c r="AB94" s="711"/>
      <c r="AC94" s="711"/>
      <c r="AD94" s="736"/>
      <c r="AE94" s="736"/>
      <c r="AF94" s="799">
        <f t="shared" si="8"/>
        <v>51800</v>
      </c>
      <c r="AG94" s="658">
        <v>0.955594833731553</v>
      </c>
      <c r="AH94" s="659">
        <f t="shared" si="3"/>
        <v>0.9555948337</v>
      </c>
      <c r="AI94" s="641"/>
      <c r="AJ94" s="660">
        <f t="shared" si="6"/>
        <v>94</v>
      </c>
      <c r="AK94" s="676">
        <v>0.9398</v>
      </c>
      <c r="AL94" s="662">
        <v>119000.0</v>
      </c>
      <c r="AM94" s="677">
        <v>-0.9968133729431768</v>
      </c>
      <c r="AN94" s="678">
        <v>-0.06020000000000003</v>
      </c>
      <c r="AO94" s="662">
        <v>119000.0</v>
      </c>
      <c r="AP94" s="679">
        <v>-0.9963506548818482</v>
      </c>
      <c r="AQ94" s="662">
        <v>119000.0</v>
      </c>
      <c r="AR94" s="680">
        <v>-0.9958467784456956</v>
      </c>
      <c r="AS94" s="624"/>
      <c r="AT94" s="624"/>
      <c r="AU94" s="624"/>
      <c r="AV94" s="624"/>
      <c r="AW94" s="624"/>
      <c r="AX94" s="624"/>
      <c r="AY94" s="624"/>
      <c r="AZ94" s="624"/>
      <c r="BA94" s="624"/>
      <c r="BB94" s="624"/>
      <c r="BC94" s="624"/>
      <c r="BD94" s="624"/>
      <c r="BE94" s="624"/>
    </row>
    <row r="95" ht="16.5" customHeight="1">
      <c r="A95" s="711"/>
      <c r="B95" s="711"/>
      <c r="C95" s="711"/>
      <c r="D95" s="711"/>
      <c r="E95" s="711"/>
      <c r="F95" s="711"/>
      <c r="G95" s="711"/>
      <c r="H95" s="711"/>
      <c r="I95" s="711"/>
      <c r="J95" s="711"/>
      <c r="K95" s="741"/>
      <c r="O95" s="827"/>
      <c r="P95" s="827"/>
      <c r="R95" s="788"/>
      <c r="S95" s="819"/>
      <c r="T95" s="820"/>
      <c r="U95" s="819"/>
      <c r="V95" s="820"/>
      <c r="W95" s="788"/>
      <c r="X95" s="803"/>
      <c r="Y95" s="803"/>
      <c r="Z95" s="803"/>
      <c r="AA95" s="711"/>
      <c r="AB95" s="711"/>
      <c r="AC95" s="711"/>
      <c r="AD95" s="736"/>
      <c r="AE95" s="736"/>
      <c r="AF95" s="799">
        <f t="shared" si="8"/>
        <v>52550</v>
      </c>
      <c r="AG95" s="658">
        <v>0.9553575417737787</v>
      </c>
      <c r="AH95" s="659">
        <f t="shared" si="3"/>
        <v>0.9553575418</v>
      </c>
      <c r="AI95" s="641"/>
      <c r="AJ95" s="660">
        <f t="shared" si="6"/>
        <v>95</v>
      </c>
      <c r="AK95" s="676">
        <v>0.9405</v>
      </c>
      <c r="AL95" s="662">
        <v>118287.0</v>
      </c>
      <c r="AM95" s="677">
        <v>-0.9967016991138323</v>
      </c>
      <c r="AN95" s="678">
        <v>-0.0595</v>
      </c>
      <c r="AO95" s="662">
        <v>118287.0</v>
      </c>
      <c r="AP95" s="679">
        <v>-0.9962258325803723</v>
      </c>
      <c r="AQ95" s="662">
        <v>118287.0</v>
      </c>
      <c r="AR95" s="680">
        <v>-0.995708048802643</v>
      </c>
      <c r="AS95" s="624"/>
      <c r="AT95" s="624"/>
      <c r="AU95" s="624"/>
      <c r="AV95" s="624"/>
      <c r="AW95" s="624"/>
      <c r="AX95" s="624"/>
      <c r="AY95" s="624"/>
      <c r="AZ95" s="624"/>
      <c r="BA95" s="624"/>
      <c r="BB95" s="624"/>
      <c r="BC95" s="624"/>
      <c r="BD95" s="624"/>
      <c r="BE95" s="624"/>
    </row>
    <row r="96" ht="16.5" customHeight="1">
      <c r="A96" s="711"/>
      <c r="B96" s="711"/>
      <c r="C96" s="711"/>
      <c r="D96" s="711"/>
      <c r="E96" s="711"/>
      <c r="F96" s="711"/>
      <c r="G96" s="711"/>
      <c r="H96" s="711"/>
      <c r="I96" s="711"/>
      <c r="J96" s="711"/>
      <c r="K96" s="741"/>
      <c r="L96" s="741"/>
      <c r="M96" s="741"/>
      <c r="N96" s="741"/>
      <c r="O96" s="827"/>
      <c r="P96" s="827"/>
      <c r="R96" s="788"/>
      <c r="S96" s="819"/>
      <c r="T96" s="820"/>
      <c r="U96" s="819"/>
      <c r="V96" s="820"/>
      <c r="W96" s="788"/>
      <c r="X96" s="803"/>
      <c r="Y96" s="803"/>
      <c r="Z96" s="803"/>
      <c r="AA96" s="711"/>
      <c r="AB96" s="711"/>
      <c r="AC96" s="711"/>
      <c r="AD96" s="736"/>
      <c r="AE96" s="736"/>
      <c r="AF96" s="799">
        <f t="shared" si="8"/>
        <v>53300</v>
      </c>
      <c r="AG96" s="658">
        <v>0.9551244227914034</v>
      </c>
      <c r="AH96" s="659">
        <f t="shared" si="3"/>
        <v>0.9551244228</v>
      </c>
      <c r="AI96" s="641"/>
      <c r="AJ96" s="660">
        <f t="shared" si="6"/>
        <v>96</v>
      </c>
      <c r="AK96" s="676">
        <v>0.9518</v>
      </c>
      <c r="AL96" s="662">
        <v>117434.0</v>
      </c>
      <c r="AM96" s="677">
        <v>-0.9965629443734368</v>
      </c>
      <c r="AN96" s="678">
        <v>-0.04820000000000002</v>
      </c>
      <c r="AO96" s="662">
        <v>117434.0</v>
      </c>
      <c r="AP96" s="679">
        <v>-0.9960708793159087</v>
      </c>
      <c r="AQ96" s="662">
        <v>117434.0</v>
      </c>
      <c r="AR96" s="680">
        <v>-0.9955359777478924</v>
      </c>
      <c r="AS96" s="624"/>
      <c r="AT96" s="624"/>
      <c r="AU96" s="624"/>
      <c r="AV96" s="624"/>
      <c r="AW96" s="624"/>
      <c r="AX96" s="624"/>
      <c r="AY96" s="624"/>
      <c r="AZ96" s="624"/>
      <c r="BA96" s="624"/>
      <c r="BB96" s="624"/>
      <c r="BC96" s="624"/>
      <c r="BD96" s="624"/>
      <c r="BE96" s="624"/>
    </row>
    <row r="97" ht="16.5" customHeight="1">
      <c r="A97" s="711"/>
      <c r="B97" s="711"/>
      <c r="C97" s="711"/>
      <c r="D97" s="711"/>
      <c r="E97" s="711"/>
      <c r="F97" s="711"/>
      <c r="G97" s="711"/>
      <c r="H97" s="711"/>
      <c r="I97" s="711"/>
      <c r="J97" s="711"/>
      <c r="K97" s="741"/>
      <c r="L97" s="711"/>
      <c r="M97" s="711"/>
      <c r="N97" s="711"/>
      <c r="O97" s="827"/>
      <c r="P97" s="827"/>
      <c r="R97" s="788"/>
      <c r="S97" s="819"/>
      <c r="T97" s="820"/>
      <c r="U97" s="819"/>
      <c r="V97" s="820"/>
      <c r="W97" s="788"/>
      <c r="X97" s="803"/>
      <c r="Y97" s="803"/>
      <c r="Z97" s="803"/>
      <c r="AA97" s="711"/>
      <c r="AB97" s="711"/>
      <c r="AC97" s="711"/>
      <c r="AD97" s="736"/>
      <c r="AE97" s="736"/>
      <c r="AF97" s="799">
        <f t="shared" si="8"/>
        <v>54050</v>
      </c>
      <c r="AG97" s="658">
        <v>0.954895331736416</v>
      </c>
      <c r="AH97" s="659">
        <f t="shared" si="3"/>
        <v>0.9548953317</v>
      </c>
      <c r="AI97" s="641"/>
      <c r="AJ97" s="660">
        <f t="shared" si="6"/>
        <v>97</v>
      </c>
      <c r="AK97" s="676">
        <v>0.9378</v>
      </c>
      <c r="AL97" s="662">
        <v>117272.0</v>
      </c>
      <c r="AM97" s="677">
        <v>-0.9965359401463428</v>
      </c>
      <c r="AN97" s="678">
        <v>-0.06220000000000003</v>
      </c>
      <c r="AO97" s="662">
        <v>117272.0</v>
      </c>
      <c r="AP97" s="679">
        <v>-0.9960407398944572</v>
      </c>
      <c r="AQ97" s="662">
        <v>117272.0</v>
      </c>
      <c r="AR97" s="680">
        <v>-0.9955025271612057</v>
      </c>
      <c r="AS97" s="624"/>
      <c r="AT97" s="624"/>
      <c r="AU97" s="624"/>
      <c r="AV97" s="624"/>
      <c r="AW97" s="624"/>
      <c r="AX97" s="624"/>
      <c r="AY97" s="624"/>
      <c r="AZ97" s="624"/>
      <c r="BA97" s="624"/>
      <c r="BB97" s="624"/>
      <c r="BC97" s="624"/>
      <c r="BD97" s="624"/>
      <c r="BE97" s="624"/>
    </row>
    <row r="98" ht="16.5" customHeight="1">
      <c r="A98" s="711"/>
      <c r="B98" s="711"/>
      <c r="C98" s="711"/>
      <c r="D98" s="711"/>
      <c r="E98" s="711"/>
      <c r="F98" s="711"/>
      <c r="G98" s="711"/>
      <c r="H98" s="711"/>
      <c r="I98" s="711"/>
      <c r="J98" s="711"/>
      <c r="K98" s="741"/>
      <c r="L98" s="711"/>
      <c r="M98" s="711"/>
      <c r="N98" s="711"/>
      <c r="O98" s="827"/>
      <c r="P98" s="827"/>
      <c r="R98" s="788"/>
      <c r="S98" s="819"/>
      <c r="T98" s="820"/>
      <c r="U98" s="819"/>
      <c r="V98" s="820"/>
      <c r="W98" s="788"/>
      <c r="X98" s="803"/>
      <c r="Y98" s="803"/>
      <c r="Z98" s="803"/>
      <c r="AA98" s="711"/>
      <c r="AB98" s="711"/>
      <c r="AC98" s="711"/>
      <c r="AD98" s="736"/>
      <c r="AE98" s="736"/>
      <c r="AF98" s="799">
        <f t="shared" si="8"/>
        <v>54800</v>
      </c>
      <c r="AG98" s="658">
        <v>0.9546701286025138</v>
      </c>
      <c r="AH98" s="659">
        <f t="shared" si="3"/>
        <v>0.9546701286</v>
      </c>
      <c r="AI98" s="641"/>
      <c r="AJ98" s="660">
        <f t="shared" si="6"/>
        <v>98</v>
      </c>
      <c r="AK98" s="676">
        <v>0.9549</v>
      </c>
      <c r="AL98" s="662">
        <v>117145.0</v>
      </c>
      <c r="AM98" s="677">
        <v>-0.9965146218890226</v>
      </c>
      <c r="AN98" s="678">
        <v>-0.04510000000000003</v>
      </c>
      <c r="AO98" s="662">
        <v>117145.0</v>
      </c>
      <c r="AP98" s="679">
        <v>-0.9960169505005105</v>
      </c>
      <c r="AQ98" s="662">
        <v>117145.0</v>
      </c>
      <c r="AR98" s="680">
        <v>-0.9954761283714104</v>
      </c>
      <c r="AS98" s="624"/>
      <c r="AT98" s="624"/>
      <c r="AU98" s="624"/>
      <c r="AV98" s="624"/>
      <c r="AW98" s="624"/>
      <c r="AX98" s="624"/>
      <c r="AY98" s="624"/>
      <c r="AZ98" s="624"/>
      <c r="BA98" s="624"/>
      <c r="BB98" s="624"/>
      <c r="BC98" s="624"/>
      <c r="BD98" s="624"/>
      <c r="BE98" s="624"/>
    </row>
    <row r="99" ht="16.5" customHeight="1">
      <c r="A99" s="711"/>
      <c r="B99" s="711"/>
      <c r="C99" s="711"/>
      <c r="D99" s="711"/>
      <c r="E99" s="711"/>
      <c r="F99" s="711"/>
      <c r="G99" s="711"/>
      <c r="H99" s="711"/>
      <c r="I99" s="711"/>
      <c r="J99" s="711"/>
      <c r="K99" s="741"/>
      <c r="L99" s="711"/>
      <c r="M99" s="711"/>
      <c r="N99" s="711"/>
      <c r="O99" s="827"/>
      <c r="P99" s="827"/>
      <c r="R99" s="788"/>
      <c r="S99" s="819"/>
      <c r="T99" s="820"/>
      <c r="U99" s="819"/>
      <c r="V99" s="820"/>
      <c r="W99" s="788"/>
      <c r="X99" s="803"/>
      <c r="Y99" s="803"/>
      <c r="Z99" s="803"/>
      <c r="AA99" s="711"/>
      <c r="AB99" s="711"/>
      <c r="AC99" s="711"/>
      <c r="AD99" s="736"/>
      <c r="AE99" s="736"/>
      <c r="AF99" s="799">
        <f t="shared" si="8"/>
        <v>55550</v>
      </c>
      <c r="AG99" s="658">
        <v>0.9544486782498581</v>
      </c>
      <c r="AH99" s="659">
        <f t="shared" si="3"/>
        <v>0.9544486782</v>
      </c>
      <c r="AI99" s="641"/>
      <c r="AJ99" s="660">
        <f t="shared" si="6"/>
        <v>99</v>
      </c>
      <c r="AK99" s="676">
        <v>0.9518</v>
      </c>
      <c r="AL99" s="662">
        <v>117055.0</v>
      </c>
      <c r="AM99" s="677">
        <v>-0.996499435080271</v>
      </c>
      <c r="AN99" s="678">
        <v>-0.04820000000000002</v>
      </c>
      <c r="AO99" s="662">
        <v>117055.0</v>
      </c>
      <c r="AP99" s="679">
        <v>-0.9960000053851512</v>
      </c>
      <c r="AQ99" s="662">
        <v>117055.0</v>
      </c>
      <c r="AR99" s="680">
        <v>-0.9954573268077193</v>
      </c>
      <c r="AS99" s="624"/>
      <c r="AT99" s="624"/>
      <c r="AU99" s="624"/>
      <c r="AV99" s="624"/>
      <c r="AW99" s="624"/>
      <c r="AX99" s="624"/>
      <c r="AY99" s="624"/>
      <c r="AZ99" s="624"/>
      <c r="BA99" s="624"/>
      <c r="BB99" s="624"/>
      <c r="BC99" s="624"/>
      <c r="BD99" s="624"/>
      <c r="BE99" s="624"/>
    </row>
    <row r="100" ht="16.5" customHeight="1">
      <c r="A100" s="711"/>
      <c r="B100" s="711"/>
      <c r="C100" s="711"/>
      <c r="D100" s="711"/>
      <c r="E100" s="711"/>
      <c r="F100" s="711"/>
      <c r="G100" s="711"/>
      <c r="H100" s="711"/>
      <c r="I100" s="711"/>
      <c r="J100" s="711"/>
      <c r="K100" s="741"/>
      <c r="L100" s="711"/>
      <c r="M100" s="711"/>
      <c r="N100" s="711"/>
      <c r="O100" s="827"/>
      <c r="P100" s="827"/>
      <c r="R100" s="788"/>
      <c r="S100" s="819"/>
      <c r="T100" s="820"/>
      <c r="U100" s="819"/>
      <c r="V100" s="820"/>
      <c r="W100" s="788"/>
      <c r="X100" s="803"/>
      <c r="Y100" s="803"/>
      <c r="Z100" s="803"/>
      <c r="AA100" s="711"/>
      <c r="AB100" s="711"/>
      <c r="AC100" s="711"/>
      <c r="AD100" s="736"/>
      <c r="AE100" s="736"/>
      <c r="AF100" s="799">
        <f t="shared" si="8"/>
        <v>56300</v>
      </c>
      <c r="AG100" s="658">
        <v>0.954230850235922</v>
      </c>
      <c r="AH100" s="659">
        <f t="shared" si="3"/>
        <v>0.9542308502</v>
      </c>
      <c r="AI100" s="641"/>
      <c r="AJ100" s="660">
        <f t="shared" si="6"/>
        <v>100</v>
      </c>
      <c r="AK100" s="676">
        <v>0.9223</v>
      </c>
      <c r="AL100" s="662">
        <v>117000.0</v>
      </c>
      <c r="AM100" s="677">
        <v>-0.9964901216949926</v>
      </c>
      <c r="AN100" s="678">
        <v>-0.07769999999999999</v>
      </c>
      <c r="AO100" s="662">
        <v>117000.0</v>
      </c>
      <c r="AP100" s="679">
        <v>-0.995989614567805</v>
      </c>
      <c r="AQ100" s="662">
        <v>117000.0</v>
      </c>
      <c r="AR100" s="680">
        <v>-0.9954457985164906</v>
      </c>
      <c r="AS100" s="624"/>
      <c r="AT100" s="624"/>
      <c r="AU100" s="624"/>
      <c r="AV100" s="624"/>
      <c r="AW100" s="624"/>
      <c r="AX100" s="624"/>
      <c r="AY100" s="624"/>
      <c r="AZ100" s="624"/>
      <c r="BA100" s="624"/>
      <c r="BB100" s="624"/>
      <c r="BC100" s="624"/>
      <c r="BD100" s="624"/>
      <c r="BE100" s="624"/>
    </row>
    <row r="101" ht="16.5" customHeight="1">
      <c r="A101" s="711"/>
      <c r="B101" s="711"/>
      <c r="C101" s="711"/>
      <c r="D101" s="711"/>
      <c r="E101" s="711"/>
      <c r="F101" s="711"/>
      <c r="G101" s="711"/>
      <c r="H101" s="711"/>
      <c r="I101" s="711"/>
      <c r="J101" s="711"/>
      <c r="K101" s="741"/>
      <c r="L101" s="711"/>
      <c r="M101" s="711"/>
      <c r="N101" s="711"/>
      <c r="O101" s="827"/>
      <c r="P101" s="827"/>
      <c r="R101" s="788"/>
      <c r="S101" s="819"/>
      <c r="T101" s="820"/>
      <c r="U101" s="819"/>
      <c r="V101" s="820"/>
      <c r="W101" s="788"/>
      <c r="X101" s="803"/>
      <c r="Y101" s="803"/>
      <c r="Z101" s="803"/>
      <c r="AA101" s="711"/>
      <c r="AB101" s="711"/>
      <c r="AC101" s="711"/>
      <c r="AD101" s="736"/>
      <c r="AE101" s="736"/>
      <c r="AF101" s="799">
        <f t="shared" si="8"/>
        <v>57050</v>
      </c>
      <c r="AG101" s="658">
        <v>0.9540165186522165</v>
      </c>
      <c r="AH101" s="659">
        <f t="shared" si="3"/>
        <v>0.9540165187</v>
      </c>
      <c r="AI101" s="641"/>
      <c r="AJ101" s="660">
        <f t="shared" si="6"/>
        <v>101</v>
      </c>
      <c r="AK101" s="676">
        <v>0.9398</v>
      </c>
      <c r="AL101" s="662">
        <v>116500.0</v>
      </c>
      <c r="AM101" s="677">
        <v>-0.9964043098226827</v>
      </c>
      <c r="AN101" s="678">
        <v>-0.06020000000000003</v>
      </c>
      <c r="AO101" s="662">
        <v>116500.0</v>
      </c>
      <c r="AP101" s="679">
        <v>-0.9958939058010488</v>
      </c>
      <c r="AQ101" s="662">
        <v>116500.0</v>
      </c>
      <c r="AR101" s="680">
        <v>-0.9953396447249524</v>
      </c>
      <c r="AS101" s="624"/>
      <c r="AT101" s="624"/>
      <c r="AU101" s="624"/>
      <c r="AV101" s="624"/>
      <c r="AW101" s="624"/>
      <c r="AX101" s="624"/>
      <c r="AY101" s="624"/>
      <c r="AZ101" s="624"/>
      <c r="BA101" s="624"/>
      <c r="BB101" s="624"/>
      <c r="BC101" s="624"/>
      <c r="BD101" s="624"/>
      <c r="BE101" s="624"/>
    </row>
    <row r="102" ht="16.5" customHeight="1">
      <c r="A102" s="711"/>
      <c r="B102" s="711"/>
      <c r="C102" s="711"/>
      <c r="D102" s="711"/>
      <c r="E102" s="711"/>
      <c r="F102" s="711"/>
      <c r="G102" s="711"/>
      <c r="H102" s="711"/>
      <c r="I102" s="711"/>
      <c r="J102" s="711"/>
      <c r="K102" s="741"/>
      <c r="L102" s="711"/>
      <c r="M102" s="711"/>
      <c r="N102" s="711"/>
      <c r="O102" s="827"/>
      <c r="P102" s="827"/>
      <c r="R102" s="788"/>
      <c r="S102" s="819"/>
      <c r="T102" s="820"/>
      <c r="U102" s="819"/>
      <c r="V102" s="820"/>
      <c r="W102" s="788"/>
      <c r="X102" s="803"/>
      <c r="Y102" s="803"/>
      <c r="Z102" s="803"/>
      <c r="AA102" s="711"/>
      <c r="AB102" s="711"/>
      <c r="AC102" s="711"/>
      <c r="AD102" s="736"/>
      <c r="AE102" s="736"/>
      <c r="AF102" s="799">
        <f t="shared" si="8"/>
        <v>57800</v>
      </c>
      <c r="AG102" s="658">
        <v>0.9538055619666922</v>
      </c>
      <c r="AH102" s="659">
        <f t="shared" si="3"/>
        <v>0.953805562</v>
      </c>
      <c r="AI102" s="641"/>
      <c r="AJ102" s="660">
        <f t="shared" si="6"/>
        <v>102</v>
      </c>
      <c r="AK102" s="676">
        <v>0.9499</v>
      </c>
      <c r="AL102" s="662">
        <v>116148.0</v>
      </c>
      <c r="AM102" s="677">
        <v>-0.9963426428872617</v>
      </c>
      <c r="AN102" s="678">
        <v>-0.05010000000000003</v>
      </c>
      <c r="AO102" s="662">
        <v>116148.0</v>
      </c>
      <c r="AP102" s="679">
        <v>-0.9958251600021544</v>
      </c>
      <c r="AQ102" s="662">
        <v>116148.0</v>
      </c>
      <c r="AR102" s="680">
        <v>-0.9952634317165355</v>
      </c>
      <c r="AS102" s="624"/>
      <c r="AT102" s="624"/>
      <c r="AU102" s="624"/>
      <c r="AV102" s="624"/>
      <c r="AW102" s="624"/>
      <c r="AX102" s="624"/>
      <c r="AY102" s="624"/>
      <c r="AZ102" s="624"/>
      <c r="BA102" s="624"/>
      <c r="BB102" s="624"/>
      <c r="BC102" s="624"/>
      <c r="BD102" s="624"/>
      <c r="BE102" s="624"/>
    </row>
    <row r="103" ht="16.5" customHeight="1">
      <c r="A103" s="711"/>
      <c r="B103" s="711"/>
      <c r="C103" s="711"/>
      <c r="D103" s="711"/>
      <c r="E103" s="711"/>
      <c r="F103" s="711"/>
      <c r="G103" s="711"/>
      <c r="H103" s="711"/>
      <c r="I103" s="711"/>
      <c r="J103" s="711"/>
      <c r="K103" s="741"/>
      <c r="L103" s="711"/>
      <c r="M103" s="711"/>
      <c r="N103" s="711"/>
      <c r="O103" s="827"/>
      <c r="P103" s="827"/>
      <c r="R103" s="788"/>
      <c r="S103" s="819"/>
      <c r="T103" s="820"/>
      <c r="U103" s="819"/>
      <c r="V103" s="820"/>
      <c r="W103" s="788"/>
      <c r="X103" s="803"/>
      <c r="Y103" s="803"/>
      <c r="Z103" s="803"/>
      <c r="AA103" s="711"/>
      <c r="AB103" s="711"/>
      <c r="AC103" s="711"/>
      <c r="AD103" s="736"/>
      <c r="AE103" s="736"/>
      <c r="AF103" s="799">
        <f t="shared" si="8"/>
        <v>58550</v>
      </c>
      <c r="AG103" s="658">
        <v>0.9535978628716199</v>
      </c>
      <c r="AH103" s="659">
        <f t="shared" si="3"/>
        <v>0.9535978629</v>
      </c>
      <c r="AI103" s="641"/>
      <c r="AJ103" s="660">
        <f t="shared" si="6"/>
        <v>103</v>
      </c>
      <c r="AK103" s="676">
        <v>0.9374</v>
      </c>
      <c r="AL103" s="662">
        <v>115919.0</v>
      </c>
      <c r="AM103" s="677">
        <v>-0.9963019576384428</v>
      </c>
      <c r="AN103" s="678">
        <v>-0.06259999999999999</v>
      </c>
      <c r="AO103" s="662">
        <v>115919.0</v>
      </c>
      <c r="AP103" s="679">
        <v>-0.9957798194120239</v>
      </c>
      <c r="AQ103" s="662">
        <v>115919.0</v>
      </c>
      <c r="AR103" s="680">
        <v>-0.9952131820573968</v>
      </c>
      <c r="AS103" s="624"/>
      <c r="AT103" s="624"/>
      <c r="AU103" s="624"/>
      <c r="AV103" s="624"/>
      <c r="AW103" s="624"/>
      <c r="AX103" s="624"/>
      <c r="AY103" s="624"/>
      <c r="AZ103" s="624"/>
      <c r="BA103" s="624"/>
      <c r="BB103" s="624"/>
      <c r="BC103" s="624"/>
      <c r="BD103" s="624"/>
      <c r="BE103" s="624"/>
    </row>
    <row r="104" ht="16.5" customHeight="1">
      <c r="A104" s="711"/>
      <c r="B104" s="711"/>
      <c r="C104" s="711"/>
      <c r="D104" s="711"/>
      <c r="E104" s="711"/>
      <c r="F104" s="711"/>
      <c r="G104" s="711"/>
      <c r="H104" s="711"/>
      <c r="I104" s="711"/>
      <c r="J104" s="711"/>
      <c r="K104" s="741"/>
      <c r="L104" s="741"/>
      <c r="M104" s="788"/>
      <c r="N104" s="741"/>
      <c r="O104" s="741"/>
      <c r="P104" s="741"/>
      <c r="Q104" s="741"/>
      <c r="R104" s="788"/>
      <c r="S104" s="819"/>
      <c r="T104" s="820"/>
      <c r="U104" s="819"/>
      <c r="V104" s="820"/>
      <c r="W104" s="788"/>
      <c r="X104" s="803"/>
      <c r="Y104" s="803"/>
      <c r="Z104" s="803"/>
      <c r="AA104" s="711"/>
      <c r="AB104" s="711"/>
      <c r="AC104" s="711"/>
      <c r="AD104" s="736"/>
      <c r="AE104" s="736"/>
      <c r="AF104" s="799">
        <f t="shared" si="8"/>
        <v>59300</v>
      </c>
      <c r="AG104" s="658">
        <v>0.9533933081367568</v>
      </c>
      <c r="AH104" s="659">
        <f t="shared" si="3"/>
        <v>0.9533933081</v>
      </c>
      <c r="AI104" s="641"/>
      <c r="AJ104" s="660">
        <f t="shared" si="6"/>
        <v>104</v>
      </c>
      <c r="AK104" s="676">
        <v>0.9624</v>
      </c>
      <c r="AL104" s="662">
        <v>115834.0</v>
      </c>
      <c r="AM104" s="677">
        <v>-0.9962867412202825</v>
      </c>
      <c r="AN104" s="678">
        <v>-0.03759999999999997</v>
      </c>
      <c r="AO104" s="662">
        <v>115834.0</v>
      </c>
      <c r="AP104" s="679">
        <v>-0.995762864910383</v>
      </c>
      <c r="AQ104" s="662">
        <v>115834.0</v>
      </c>
      <c r="AR104" s="680">
        <v>-0.995194395078112</v>
      </c>
      <c r="AS104" s="624"/>
      <c r="AT104" s="624"/>
      <c r="AU104" s="624"/>
      <c r="AV104" s="624"/>
      <c r="AW104" s="624"/>
      <c r="AX104" s="624"/>
      <c r="AY104" s="624"/>
      <c r="AZ104" s="624"/>
      <c r="BA104" s="624"/>
      <c r="BB104" s="624"/>
      <c r="BC104" s="624"/>
      <c r="BD104" s="624"/>
      <c r="BE104" s="624"/>
    </row>
    <row r="105" ht="16.5" customHeight="1">
      <c r="A105" s="711"/>
      <c r="B105" s="711"/>
      <c r="C105" s="711"/>
      <c r="D105" s="711"/>
      <c r="E105" s="711"/>
      <c r="F105" s="711"/>
      <c r="G105" s="711"/>
      <c r="H105" s="711"/>
      <c r="I105" s="711"/>
      <c r="J105" s="711"/>
      <c r="K105" s="741"/>
      <c r="L105" s="741"/>
      <c r="M105" s="788"/>
      <c r="N105" s="741"/>
      <c r="O105" s="741"/>
      <c r="P105" s="741"/>
      <c r="Q105" s="741"/>
      <c r="R105" s="788"/>
      <c r="S105" s="819"/>
      <c r="T105" s="820"/>
      <c r="U105" s="819"/>
      <c r="V105" s="820"/>
      <c r="W105" s="788"/>
      <c r="X105" s="803"/>
      <c r="Y105" s="803"/>
      <c r="Z105" s="803"/>
      <c r="AA105" s="711"/>
      <c r="AB105" s="711"/>
      <c r="AC105" s="711"/>
      <c r="AD105" s="736"/>
      <c r="AE105" s="736"/>
      <c r="AF105" s="799">
        <f t="shared" si="8"/>
        <v>60050</v>
      </c>
      <c r="AG105" s="658">
        <v>0.9531917884676185</v>
      </c>
      <c r="AH105" s="659">
        <f t="shared" si="3"/>
        <v>0.9531917885</v>
      </c>
      <c r="AI105" s="641"/>
      <c r="AJ105" s="660">
        <f t="shared" si="6"/>
        <v>105</v>
      </c>
      <c r="AK105" s="676">
        <v>0.9703</v>
      </c>
      <c r="AL105" s="662">
        <v>115665.0</v>
      </c>
      <c r="AM105" s="677">
        <v>-0.9962563011517039</v>
      </c>
      <c r="AN105" s="678">
        <v>-0.02969999999999995</v>
      </c>
      <c r="AO105" s="662">
        <v>115665.0</v>
      </c>
      <c r="AP105" s="679">
        <v>-0.995728952759456</v>
      </c>
      <c r="AQ105" s="662">
        <v>115665.0</v>
      </c>
      <c r="AR105" s="680">
        <v>-0.995156822821591</v>
      </c>
      <c r="AS105" s="624"/>
      <c r="AT105" s="624"/>
      <c r="AU105" s="624"/>
      <c r="AV105" s="624"/>
      <c r="AW105" s="624"/>
      <c r="AX105" s="624"/>
      <c r="AY105" s="624"/>
      <c r="AZ105" s="624"/>
      <c r="BA105" s="624"/>
      <c r="BB105" s="624"/>
      <c r="BC105" s="624"/>
      <c r="BD105" s="624"/>
      <c r="BE105" s="624"/>
    </row>
    <row r="106" ht="16.5" customHeight="1">
      <c r="A106" s="711"/>
      <c r="B106" s="711"/>
      <c r="C106" s="711"/>
      <c r="D106" s="711"/>
      <c r="E106" s="711"/>
      <c r="F106" s="711"/>
      <c r="G106" s="711"/>
      <c r="H106" s="711"/>
      <c r="I106" s="711"/>
      <c r="J106" s="711"/>
      <c r="K106" s="741"/>
      <c r="L106" s="741"/>
      <c r="M106" s="788"/>
      <c r="N106" s="741"/>
      <c r="O106" s="741"/>
      <c r="P106" s="741"/>
      <c r="Q106" s="741"/>
      <c r="R106" s="788"/>
      <c r="S106" s="819"/>
      <c r="T106" s="820"/>
      <c r="U106" s="819"/>
      <c r="V106" s="820"/>
      <c r="W106" s="788"/>
      <c r="X106" s="803"/>
      <c r="Y106" s="803"/>
      <c r="Z106" s="803"/>
      <c r="AA106" s="711"/>
      <c r="AB106" s="711"/>
      <c r="AC106" s="711"/>
      <c r="AD106" s="736"/>
      <c r="AE106" s="736"/>
      <c r="AF106" s="799">
        <f t="shared" si="8"/>
        <v>60800</v>
      </c>
      <c r="AG106" s="658">
        <v>0.9529931983686761</v>
      </c>
      <c r="AH106" s="659">
        <f t="shared" si="3"/>
        <v>0.9529931984</v>
      </c>
      <c r="AI106" s="641"/>
      <c r="AJ106" s="660">
        <f t="shared" si="6"/>
        <v>106</v>
      </c>
      <c r="AK106" s="676">
        <v>0.9315</v>
      </c>
      <c r="AL106" s="662">
        <v>115000.0</v>
      </c>
      <c r="AM106" s="677">
        <v>-0.9961340798605272</v>
      </c>
      <c r="AN106" s="678">
        <v>-0.0685</v>
      </c>
      <c r="AO106" s="662">
        <v>115000.0</v>
      </c>
      <c r="AP106" s="679">
        <v>-0.9955928554866558</v>
      </c>
      <c r="AQ106" s="662">
        <v>115000.0</v>
      </c>
      <c r="AR106" s="680">
        <v>-0.9950061052893016</v>
      </c>
      <c r="AS106" s="624"/>
      <c r="AT106" s="624"/>
      <c r="AU106" s="624"/>
      <c r="AV106" s="624"/>
      <c r="AW106" s="624"/>
      <c r="AX106" s="624"/>
      <c r="AY106" s="624"/>
      <c r="AZ106" s="624"/>
      <c r="BA106" s="624"/>
      <c r="BB106" s="624"/>
      <c r="BC106" s="624"/>
      <c r="BD106" s="624"/>
      <c r="BE106" s="624"/>
    </row>
    <row r="107" ht="16.5" customHeight="1">
      <c r="A107" s="711"/>
      <c r="B107" s="711"/>
      <c r="C107" s="711"/>
      <c r="D107" s="711"/>
      <c r="E107" s="711"/>
      <c r="F107" s="711"/>
      <c r="G107" s="711"/>
      <c r="H107" s="711"/>
      <c r="I107" s="711"/>
      <c r="J107" s="711"/>
      <c r="K107" s="741"/>
      <c r="L107" s="741"/>
      <c r="M107" s="788"/>
      <c r="N107" s="741"/>
      <c r="O107" s="741"/>
      <c r="P107" s="741"/>
      <c r="Q107" s="741"/>
      <c r="R107" s="788"/>
      <c r="S107" s="819"/>
      <c r="T107" s="820"/>
      <c r="U107" s="819"/>
      <c r="V107" s="820"/>
      <c r="W107" s="788"/>
      <c r="X107" s="803"/>
      <c r="Y107" s="803"/>
      <c r="Z107" s="803"/>
      <c r="AA107" s="711"/>
      <c r="AB107" s="711"/>
      <c r="AC107" s="711"/>
      <c r="AD107" s="736"/>
      <c r="AE107" s="736"/>
      <c r="AF107" s="799">
        <f t="shared" si="8"/>
        <v>61550</v>
      </c>
      <c r="AG107" s="658">
        <v>0.9527974360113085</v>
      </c>
      <c r="AH107" s="659">
        <f t="shared" si="3"/>
        <v>0.952797436</v>
      </c>
      <c r="AI107" s="641"/>
      <c r="AJ107" s="660">
        <f t="shared" si="6"/>
        <v>107</v>
      </c>
      <c r="AK107" s="676">
        <v>0.9518</v>
      </c>
      <c r="AL107" s="662">
        <v>114400.0</v>
      </c>
      <c r="AM107" s="677">
        <v>-0.9960203844041563</v>
      </c>
      <c r="AN107" s="678">
        <v>-0.04820000000000002</v>
      </c>
      <c r="AO107" s="662">
        <v>114400.0</v>
      </c>
      <c r="AP107" s="679">
        <v>-0.995466343157301</v>
      </c>
      <c r="AQ107" s="662">
        <v>114400.0</v>
      </c>
      <c r="AR107" s="680">
        <v>-0.9948660985943837</v>
      </c>
      <c r="AS107" s="624"/>
      <c r="AT107" s="624"/>
      <c r="AU107" s="624"/>
      <c r="AV107" s="624"/>
      <c r="AW107" s="624"/>
      <c r="AX107" s="624"/>
      <c r="AY107" s="624"/>
      <c r="AZ107" s="624"/>
      <c r="BA107" s="624"/>
      <c r="BB107" s="624"/>
      <c r="BC107" s="624"/>
      <c r="BD107" s="624"/>
      <c r="BE107" s="624"/>
    </row>
    <row r="108" ht="16.5" customHeight="1">
      <c r="A108" s="711"/>
      <c r="B108" s="711"/>
      <c r="C108" s="711"/>
      <c r="D108" s="711"/>
      <c r="E108" s="711"/>
      <c r="F108" s="711"/>
      <c r="G108" s="711"/>
      <c r="H108" s="711"/>
      <c r="I108" s="711"/>
      <c r="J108" s="711"/>
      <c r="K108" s="741"/>
      <c r="L108" s="741"/>
      <c r="M108" s="788"/>
      <c r="N108" s="741"/>
      <c r="O108" s="741"/>
      <c r="P108" s="741"/>
      <c r="Q108" s="741"/>
      <c r="R108" s="788"/>
      <c r="S108" s="819"/>
      <c r="T108" s="820"/>
      <c r="U108" s="819"/>
      <c r="V108" s="820"/>
      <c r="W108" s="788"/>
      <c r="X108" s="803"/>
      <c r="Y108" s="803"/>
      <c r="Z108" s="803"/>
      <c r="AA108" s="711"/>
      <c r="AB108" s="711"/>
      <c r="AC108" s="711"/>
      <c r="AD108" s="736"/>
      <c r="AE108" s="736"/>
      <c r="AF108" s="799">
        <f t="shared" si="8"/>
        <v>62300</v>
      </c>
      <c r="AG108" s="658">
        <v>0.9526044031063448</v>
      </c>
      <c r="AH108" s="659">
        <f t="shared" si="3"/>
        <v>0.9526044031</v>
      </c>
      <c r="AI108" s="641"/>
      <c r="AJ108" s="660">
        <f t="shared" si="6"/>
        <v>108</v>
      </c>
      <c r="AK108" s="676">
        <v>0.9608</v>
      </c>
      <c r="AL108" s="662">
        <v>114321.0</v>
      </c>
      <c r="AM108" s="677">
        <v>-0.9960051674805702</v>
      </c>
      <c r="AN108" s="678">
        <v>-0.03920000000000001</v>
      </c>
      <c r="AO108" s="662">
        <v>114321.0</v>
      </c>
      <c r="AP108" s="679">
        <v>-0.9954494173533103</v>
      </c>
      <c r="AQ108" s="662">
        <v>114321.0</v>
      </c>
      <c r="AR108" s="680">
        <v>-0.9948473742915154</v>
      </c>
      <c r="AS108" s="624"/>
      <c r="AT108" s="624"/>
      <c r="AU108" s="624"/>
      <c r="AV108" s="624"/>
      <c r="AW108" s="624"/>
      <c r="AX108" s="624"/>
      <c r="AY108" s="624"/>
      <c r="AZ108" s="624"/>
      <c r="BA108" s="624"/>
      <c r="BB108" s="624"/>
      <c r="BC108" s="624"/>
      <c r="BD108" s="624"/>
      <c r="BE108" s="624"/>
    </row>
    <row r="109" ht="16.5" customHeight="1">
      <c r="A109" s="711"/>
      <c r="B109" s="711"/>
      <c r="C109" s="711"/>
      <c r="D109" s="711"/>
      <c r="E109" s="711"/>
      <c r="F109" s="711"/>
      <c r="G109" s="711"/>
      <c r="H109" s="711"/>
      <c r="I109" s="711"/>
      <c r="J109" s="711"/>
      <c r="K109" s="741"/>
      <c r="L109" s="741"/>
      <c r="M109" s="788"/>
      <c r="N109" s="741"/>
      <c r="O109" s="741"/>
      <c r="P109" s="741"/>
      <c r="Q109" s="741"/>
      <c r="R109" s="788"/>
      <c r="S109" s="819"/>
      <c r="T109" s="820"/>
      <c r="U109" s="819"/>
      <c r="V109" s="820"/>
      <c r="W109" s="788"/>
      <c r="X109" s="803"/>
      <c r="Y109" s="803"/>
      <c r="Z109" s="803"/>
      <c r="AA109" s="711"/>
      <c r="AB109" s="711"/>
      <c r="AC109" s="711"/>
      <c r="AD109" s="736"/>
      <c r="AE109" s="736"/>
      <c r="AF109" s="799">
        <f t="shared" si="8"/>
        <v>63050</v>
      </c>
      <c r="AG109" s="658">
        <v>0.9524140047810371</v>
      </c>
      <c r="AH109" s="659">
        <f t="shared" si="3"/>
        <v>0.9524140048</v>
      </c>
      <c r="AI109" s="641"/>
      <c r="AJ109" s="660">
        <f t="shared" si="6"/>
        <v>109</v>
      </c>
      <c r="AK109" s="676">
        <v>0.9449</v>
      </c>
      <c r="AL109" s="662">
        <v>113565.0</v>
      </c>
      <c r="AM109" s="677">
        <v>-0.9958565722884565</v>
      </c>
      <c r="AN109" s="678">
        <v>-0.05510000000000004</v>
      </c>
      <c r="AO109" s="662">
        <v>113565.0</v>
      </c>
      <c r="AP109" s="679">
        <v>-0.9952842137541491</v>
      </c>
      <c r="AQ109" s="662">
        <v>113565.0</v>
      </c>
      <c r="AR109" s="680">
        <v>-0.9946646998659069</v>
      </c>
      <c r="AS109" s="624"/>
      <c r="AT109" s="624"/>
      <c r="AU109" s="624"/>
      <c r="AV109" s="624"/>
      <c r="AW109" s="624"/>
      <c r="AX109" s="624"/>
      <c r="AY109" s="624"/>
      <c r="AZ109" s="624"/>
      <c r="BA109" s="624"/>
      <c r="BB109" s="624"/>
      <c r="BC109" s="624"/>
      <c r="BD109" s="624"/>
      <c r="BE109" s="624"/>
    </row>
    <row r="110" ht="16.5" customHeight="1">
      <c r="A110" s="711"/>
      <c r="B110" s="711"/>
      <c r="C110" s="711"/>
      <c r="D110" s="711"/>
      <c r="E110" s="711"/>
      <c r="F110" s="711"/>
      <c r="G110" s="711"/>
      <c r="H110" s="711"/>
      <c r="I110" s="711"/>
      <c r="J110" s="711"/>
      <c r="K110" s="741"/>
      <c r="L110" s="741"/>
      <c r="M110" s="788"/>
      <c r="N110" s="741"/>
      <c r="O110" s="741"/>
      <c r="P110" s="741"/>
      <c r="Q110" s="741"/>
      <c r="R110" s="788"/>
      <c r="S110" s="819"/>
      <c r="T110" s="820"/>
      <c r="U110" s="819"/>
      <c r="V110" s="820"/>
      <c r="W110" s="788"/>
      <c r="X110" s="803"/>
      <c r="Y110" s="803"/>
      <c r="Z110" s="803"/>
      <c r="AA110" s="711"/>
      <c r="AB110" s="711"/>
      <c r="AC110" s="711"/>
      <c r="AD110" s="736"/>
      <c r="AE110" s="736"/>
      <c r="AF110" s="799">
        <f t="shared" si="8"/>
        <v>63800</v>
      </c>
      <c r="AG110" s="658">
        <v>0.9522261494603093</v>
      </c>
      <c r="AH110" s="659">
        <f t="shared" si="3"/>
        <v>0.9522261495</v>
      </c>
      <c r="AI110" s="641"/>
      <c r="AJ110" s="660">
        <f t="shared" si="6"/>
        <v>110</v>
      </c>
      <c r="AK110" s="676">
        <v>0.9649</v>
      </c>
      <c r="AL110" s="662">
        <v>113418.0</v>
      </c>
      <c r="AM110" s="677">
        <v>-0.9958270432212476</v>
      </c>
      <c r="AN110" s="678">
        <v>-0.03510000000000002</v>
      </c>
      <c r="AO110" s="662">
        <v>113418.0</v>
      </c>
      <c r="AP110" s="679">
        <v>-0.9952514010406851</v>
      </c>
      <c r="AQ110" s="662">
        <v>113418.0</v>
      </c>
      <c r="AR110" s="680">
        <v>-0.9946284348156075</v>
      </c>
      <c r="AS110" s="624"/>
      <c r="AT110" s="624"/>
      <c r="AU110" s="624"/>
      <c r="AV110" s="624"/>
      <c r="AW110" s="624"/>
      <c r="AX110" s="624"/>
      <c r="AY110" s="624"/>
      <c r="AZ110" s="624"/>
      <c r="BA110" s="624"/>
      <c r="BB110" s="624"/>
      <c r="BC110" s="624"/>
      <c r="BD110" s="624"/>
      <c r="BE110" s="624"/>
    </row>
    <row r="111" ht="16.5" customHeight="1">
      <c r="A111" s="711"/>
      <c r="B111" s="711"/>
      <c r="C111" s="711"/>
      <c r="D111" s="711"/>
      <c r="E111" s="711"/>
      <c r="F111" s="711"/>
      <c r="G111" s="711"/>
      <c r="H111" s="711"/>
      <c r="I111" s="711"/>
      <c r="J111" s="711"/>
      <c r="K111" s="741"/>
      <c r="L111" s="741"/>
      <c r="M111" s="788"/>
      <c r="N111" s="741"/>
      <c r="O111" s="741"/>
      <c r="P111" s="741"/>
      <c r="Q111" s="741"/>
      <c r="R111" s="788"/>
      <c r="S111" s="819"/>
      <c r="T111" s="820"/>
      <c r="U111" s="819"/>
      <c r="V111" s="820"/>
      <c r="W111" s="788"/>
      <c r="X111" s="803"/>
      <c r="Y111" s="803"/>
      <c r="Z111" s="803"/>
      <c r="AA111" s="711"/>
      <c r="AB111" s="711"/>
      <c r="AC111" s="711"/>
      <c r="AD111" s="736"/>
      <c r="AE111" s="736"/>
      <c r="AF111" s="799">
        <f t="shared" si="8"/>
        <v>64550</v>
      </c>
      <c r="AG111" s="658">
        <v>0.9520407487521338</v>
      </c>
      <c r="AH111" s="659">
        <f t="shared" si="3"/>
        <v>0.9520407488</v>
      </c>
      <c r="AI111" s="641"/>
      <c r="AJ111" s="660">
        <f t="shared" si="6"/>
        <v>111</v>
      </c>
      <c r="AK111" s="676">
        <v>0.9348</v>
      </c>
      <c r="AL111" s="662">
        <v>113170.0</v>
      </c>
      <c r="AM111" s="677">
        <v>-0.9957767476911177</v>
      </c>
      <c r="AN111" s="678">
        <v>-0.06520000000000004</v>
      </c>
      <c r="AO111" s="662">
        <v>113170.0</v>
      </c>
      <c r="AP111" s="679">
        <v>-0.9951955252087747</v>
      </c>
      <c r="AQ111" s="662">
        <v>113170.0</v>
      </c>
      <c r="AR111" s="680">
        <v>-0.9945666933629278</v>
      </c>
      <c r="AS111" s="624"/>
      <c r="AT111" s="624"/>
      <c r="AU111" s="624"/>
      <c r="AV111" s="624"/>
      <c r="AW111" s="624"/>
      <c r="AX111" s="624"/>
      <c r="AY111" s="624"/>
      <c r="AZ111" s="624"/>
      <c r="BA111" s="624"/>
      <c r="BB111" s="624"/>
      <c r="BC111" s="624"/>
      <c r="BD111" s="624"/>
      <c r="BE111" s="624"/>
    </row>
    <row r="112" ht="16.5" customHeight="1">
      <c r="A112" s="711"/>
      <c r="B112" s="711"/>
      <c r="C112" s="711"/>
      <c r="D112" s="711"/>
      <c r="E112" s="711"/>
      <c r="F112" s="711"/>
      <c r="G112" s="711"/>
      <c r="H112" s="711"/>
      <c r="I112" s="711"/>
      <c r="J112" s="711"/>
      <c r="K112" s="741"/>
      <c r="L112" s="741"/>
      <c r="M112" s="788"/>
      <c r="N112" s="741"/>
      <c r="O112" s="741"/>
      <c r="P112" s="741"/>
      <c r="Q112" s="741"/>
      <c r="R112" s="788"/>
      <c r="S112" s="819"/>
      <c r="T112" s="820"/>
      <c r="U112" s="819"/>
      <c r="V112" s="820"/>
      <c r="W112" s="788"/>
      <c r="X112" s="803"/>
      <c r="Y112" s="803"/>
      <c r="Z112" s="803"/>
      <c r="AA112" s="711"/>
      <c r="AB112" s="711"/>
      <c r="AC112" s="711"/>
      <c r="AD112" s="736"/>
      <c r="AE112" s="654"/>
      <c r="AF112" s="799">
        <f t="shared" si="8"/>
        <v>65300</v>
      </c>
      <c r="AG112" s="658">
        <v>0.9518577173368923</v>
      </c>
      <c r="AH112" s="659">
        <f t="shared" si="3"/>
        <v>0.9518577173</v>
      </c>
      <c r="AI112" s="641"/>
      <c r="AJ112" s="660">
        <f t="shared" si="6"/>
        <v>112</v>
      </c>
      <c r="AK112" s="676">
        <v>0.9549</v>
      </c>
      <c r="AL112" s="662">
        <v>113000.0</v>
      </c>
      <c r="AM112" s="677">
        <v>-0.995741921164771</v>
      </c>
      <c r="AN112" s="678">
        <v>-0.04510000000000003</v>
      </c>
      <c r="AO112" s="662">
        <v>113000.0</v>
      </c>
      <c r="AP112" s="679">
        <v>-0.9951568438770063</v>
      </c>
      <c r="AQ112" s="662">
        <v>113000.0</v>
      </c>
      <c r="AR112" s="680">
        <v>-0.9945239611220881</v>
      </c>
      <c r="AS112" s="624"/>
      <c r="AT112" s="624"/>
      <c r="AU112" s="624"/>
      <c r="AV112" s="624"/>
      <c r="AW112" s="624"/>
      <c r="AX112" s="624"/>
      <c r="AY112" s="624"/>
      <c r="AZ112" s="624"/>
      <c r="BA112" s="624"/>
      <c r="BB112" s="624"/>
      <c r="BC112" s="624"/>
      <c r="BD112" s="624"/>
      <c r="BE112" s="624"/>
    </row>
    <row r="113" ht="16.5" customHeight="1">
      <c r="A113" s="711"/>
      <c r="B113" s="711"/>
      <c r="C113" s="711"/>
      <c r="D113" s="711"/>
      <c r="E113" s="711"/>
      <c r="F113" s="711"/>
      <c r="G113" s="711"/>
      <c r="H113" s="711"/>
      <c r="I113" s="711"/>
      <c r="J113" s="711"/>
      <c r="K113" s="741"/>
      <c r="L113" s="741"/>
      <c r="M113" s="788"/>
      <c r="N113" s="741"/>
      <c r="O113" s="741"/>
      <c r="P113" s="741"/>
      <c r="Q113" s="741"/>
      <c r="R113" s="788"/>
      <c r="S113" s="819"/>
      <c r="T113" s="820"/>
      <c r="U113" s="819"/>
      <c r="V113" s="820"/>
      <c r="W113" s="788"/>
      <c r="X113" s="803"/>
      <c r="Y113" s="803"/>
      <c r="Z113" s="803"/>
      <c r="AA113" s="711"/>
      <c r="AB113" s="711"/>
      <c r="AC113" s="711"/>
      <c r="AD113" s="736"/>
      <c r="AE113" s="736"/>
      <c r="AF113" s="799">
        <f t="shared" si="8"/>
        <v>66050</v>
      </c>
      <c r="AG113" s="658">
        <v>0.9516769728605817</v>
      </c>
      <c r="AH113" s="659">
        <f t="shared" si="3"/>
        <v>0.9516769729</v>
      </c>
      <c r="AI113" s="641"/>
      <c r="AJ113" s="660">
        <f t="shared" si="6"/>
        <v>113</v>
      </c>
      <c r="AK113" s="676">
        <v>0.9257</v>
      </c>
      <c r="AL113" s="662">
        <v>112829.0</v>
      </c>
      <c r="AM113" s="677">
        <v>-0.9957066000401782</v>
      </c>
      <c r="AN113" s="678">
        <v>-0.07430000000000003</v>
      </c>
      <c r="AO113" s="662">
        <v>112829.0</v>
      </c>
      <c r="AP113" s="679">
        <v>-0.9951176208222953</v>
      </c>
      <c r="AQ113" s="662">
        <v>112829.0</v>
      </c>
      <c r="AR113" s="680">
        <v>-0.9944806384552065</v>
      </c>
      <c r="AS113" s="624"/>
      <c r="AT113" s="624"/>
      <c r="AU113" s="624"/>
      <c r="AV113" s="624"/>
      <c r="AW113" s="624"/>
      <c r="AX113" s="624"/>
      <c r="AY113" s="624"/>
      <c r="AZ113" s="624"/>
      <c r="BA113" s="624"/>
      <c r="BB113" s="624"/>
      <c r="BC113" s="624"/>
      <c r="BD113" s="624"/>
      <c r="BE113" s="624"/>
    </row>
    <row r="114" ht="16.5" customHeight="1">
      <c r="A114" s="711"/>
      <c r="B114" s="711"/>
      <c r="C114" s="711"/>
      <c r="D114" s="711"/>
      <c r="E114" s="711"/>
      <c r="F114" s="711"/>
      <c r="G114" s="711"/>
      <c r="H114" s="711"/>
      <c r="I114" s="711"/>
      <c r="J114" s="711"/>
      <c r="K114" s="741"/>
      <c r="L114" s="741"/>
      <c r="M114" s="788"/>
      <c r="N114" s="741"/>
      <c r="O114" s="741"/>
      <c r="P114" s="741"/>
      <c r="Q114" s="741"/>
      <c r="R114" s="788"/>
      <c r="S114" s="819"/>
      <c r="T114" s="820"/>
      <c r="U114" s="819"/>
      <c r="V114" s="820"/>
      <c r="W114" s="788"/>
      <c r="X114" s="803"/>
      <c r="Y114" s="803"/>
      <c r="Z114" s="803"/>
      <c r="AA114" s="711"/>
      <c r="AB114" s="711"/>
      <c r="AC114" s="711"/>
      <c r="AD114" s="736"/>
      <c r="AE114" s="736"/>
      <c r="AF114" s="799">
        <f t="shared" si="8"/>
        <v>66800</v>
      </c>
      <c r="AG114" s="658">
        <v>0.9514984358317332</v>
      </c>
      <c r="AH114" s="659">
        <f t="shared" si="3"/>
        <v>0.9514984358</v>
      </c>
      <c r="AI114" s="641"/>
      <c r="AJ114" s="660">
        <f t="shared" si="6"/>
        <v>114</v>
      </c>
      <c r="AK114" s="676">
        <v>0.9398</v>
      </c>
      <c r="AL114" s="662">
        <v>112723.0</v>
      </c>
      <c r="AM114" s="677">
        <v>-0.9956845581261612</v>
      </c>
      <c r="AN114" s="678">
        <v>-0.06020000000000003</v>
      </c>
      <c r="AO114" s="662">
        <v>112723.0</v>
      </c>
      <c r="AP114" s="679">
        <v>-0.9950931477948235</v>
      </c>
      <c r="AQ114" s="662">
        <v>112723.0</v>
      </c>
      <c r="AR114" s="680">
        <v>-0.994453611561985</v>
      </c>
      <c r="AS114" s="624"/>
      <c r="AT114" s="624"/>
      <c r="AU114" s="624"/>
      <c r="AV114" s="624"/>
      <c r="AW114" s="624"/>
      <c r="AX114" s="624"/>
      <c r="AY114" s="624"/>
      <c r="AZ114" s="624"/>
      <c r="BA114" s="624"/>
      <c r="BB114" s="624"/>
      <c r="BC114" s="624"/>
      <c r="BD114" s="624"/>
      <c r="BE114" s="624"/>
    </row>
    <row r="115" ht="16.5" customHeight="1">
      <c r="A115" s="711"/>
      <c r="B115" s="711"/>
      <c r="C115" s="711"/>
      <c r="D115" s="711"/>
      <c r="E115" s="711"/>
      <c r="F115" s="711"/>
      <c r="G115" s="711"/>
      <c r="H115" s="711"/>
      <c r="I115" s="711"/>
      <c r="J115" s="711"/>
      <c r="K115" s="741"/>
      <c r="L115" s="741"/>
      <c r="M115" s="788"/>
      <c r="N115" s="741"/>
      <c r="O115" s="741"/>
      <c r="P115" s="741"/>
      <c r="Q115" s="741"/>
      <c r="R115" s="788"/>
      <c r="S115" s="819"/>
      <c r="T115" s="820"/>
      <c r="U115" s="819"/>
      <c r="V115" s="820"/>
      <c r="W115" s="788"/>
      <c r="X115" s="803"/>
      <c r="Y115" s="803"/>
      <c r="Z115" s="803"/>
      <c r="AA115" s="711"/>
      <c r="AB115" s="711"/>
      <c r="AC115" s="711"/>
      <c r="AD115" s="736"/>
      <c r="AE115" s="736"/>
      <c r="AF115" s="799">
        <f t="shared" si="8"/>
        <v>67550</v>
      </c>
      <c r="AG115" s="658">
        <v>0.9513220295219136</v>
      </c>
      <c r="AH115" s="659">
        <f t="shared" si="3"/>
        <v>0.9513220295</v>
      </c>
      <c r="AI115" s="641"/>
      <c r="AJ115" s="660">
        <f t="shared" si="6"/>
        <v>115</v>
      </c>
      <c r="AK115" s="676">
        <v>0.9627</v>
      </c>
      <c r="AL115" s="662">
        <v>112335.0</v>
      </c>
      <c r="AM115" s="677">
        <v>-0.9956029068064417</v>
      </c>
      <c r="AN115" s="678">
        <v>-0.0373</v>
      </c>
      <c r="AO115" s="662">
        <v>112335.0</v>
      </c>
      <c r="AP115" s="679">
        <v>-0.9950025163074518</v>
      </c>
      <c r="AQ115" s="662">
        <v>112335.0</v>
      </c>
      <c r="AR115" s="680">
        <v>-0.9943535492135419</v>
      </c>
      <c r="AS115" s="624"/>
      <c r="AT115" s="624"/>
      <c r="AU115" s="624"/>
      <c r="AV115" s="624"/>
      <c r="AW115" s="624"/>
      <c r="AX115" s="624"/>
      <c r="AY115" s="624"/>
      <c r="AZ115" s="624"/>
      <c r="BA115" s="624"/>
      <c r="BB115" s="624"/>
      <c r="BC115" s="624"/>
      <c r="BD115" s="624"/>
      <c r="BE115" s="624"/>
    </row>
    <row r="116" ht="16.5" customHeight="1">
      <c r="A116" s="711"/>
      <c r="B116" s="711"/>
      <c r="C116" s="711"/>
      <c r="D116" s="711"/>
      <c r="E116" s="711"/>
      <c r="F116" s="711"/>
      <c r="G116" s="711"/>
      <c r="H116" s="711"/>
      <c r="I116" s="711"/>
      <c r="J116" s="711"/>
      <c r="K116" s="741"/>
      <c r="L116" s="741"/>
      <c r="M116" s="788"/>
      <c r="N116" s="741"/>
      <c r="O116" s="741"/>
      <c r="P116" s="741"/>
      <c r="Q116" s="741"/>
      <c r="R116" s="788"/>
      <c r="S116" s="819"/>
      <c r="T116" s="820"/>
      <c r="U116" s="819"/>
      <c r="V116" s="820"/>
      <c r="W116" s="788"/>
      <c r="X116" s="803"/>
      <c r="Y116" s="803"/>
      <c r="Z116" s="803"/>
      <c r="AA116" s="711"/>
      <c r="AB116" s="711"/>
      <c r="AC116" s="711"/>
      <c r="AD116" s="736"/>
      <c r="AE116" s="736"/>
      <c r="AF116" s="799">
        <f t="shared" si="8"/>
        <v>68300</v>
      </c>
      <c r="AG116" s="658">
        <v>0.9511476798696851</v>
      </c>
      <c r="AH116" s="659">
        <f t="shared" si="3"/>
        <v>0.9511476799</v>
      </c>
      <c r="AI116" s="641"/>
      <c r="AJ116" s="660">
        <f t="shared" si="6"/>
        <v>116</v>
      </c>
      <c r="AK116" s="676">
        <v>0.9449</v>
      </c>
      <c r="AL116" s="662">
        <v>112000.0</v>
      </c>
      <c r="AM116" s="677">
        <v>-0.9955311671834716</v>
      </c>
      <c r="AN116" s="678">
        <v>-0.05510000000000004</v>
      </c>
      <c r="AO116" s="662">
        <v>112000.0</v>
      </c>
      <c r="AP116" s="679">
        <v>-0.9949229194015163</v>
      </c>
      <c r="AQ116" s="662">
        <v>112000.0</v>
      </c>
      <c r="AR116" s="680">
        <v>-0.9942657041813858</v>
      </c>
      <c r="AS116" s="624"/>
      <c r="AT116" s="624"/>
      <c r="AU116" s="624"/>
      <c r="AV116" s="624"/>
      <c r="AW116" s="624"/>
      <c r="AX116" s="624"/>
      <c r="AY116" s="624"/>
      <c r="AZ116" s="624"/>
      <c r="BA116" s="624"/>
      <c r="BB116" s="624"/>
      <c r="BC116" s="624"/>
      <c r="BD116" s="624"/>
      <c r="BE116" s="624"/>
    </row>
    <row r="117" ht="16.5" customHeight="1">
      <c r="A117" s="711"/>
      <c r="B117" s="711"/>
      <c r="C117" s="711"/>
      <c r="D117" s="711"/>
      <c r="E117" s="711"/>
      <c r="F117" s="711"/>
      <c r="G117" s="711"/>
      <c r="H117" s="711"/>
      <c r="I117" s="711"/>
      <c r="J117" s="711"/>
      <c r="K117" s="741"/>
      <c r="L117" s="741"/>
      <c r="M117" s="788"/>
      <c r="N117" s="741"/>
      <c r="O117" s="741"/>
      <c r="P117" s="741"/>
      <c r="Q117" s="741"/>
      <c r="R117" s="788"/>
      <c r="S117" s="819"/>
      <c r="T117" s="820"/>
      <c r="U117" s="819"/>
      <c r="V117" s="820"/>
      <c r="W117" s="788"/>
      <c r="X117" s="803"/>
      <c r="Y117" s="803"/>
      <c r="Z117" s="803"/>
      <c r="AA117" s="711"/>
      <c r="AB117" s="711"/>
      <c r="AC117" s="711"/>
      <c r="AD117" s="736"/>
      <c r="AE117" s="736"/>
      <c r="AF117" s="799">
        <f t="shared" si="8"/>
        <v>69050</v>
      </c>
      <c r="AG117" s="658">
        <v>0.9509753153879037</v>
      </c>
      <c r="AH117" s="659">
        <f t="shared" si="3"/>
        <v>0.9509753154</v>
      </c>
      <c r="AI117" s="641"/>
      <c r="AJ117" s="660">
        <f t="shared" si="6"/>
        <v>117</v>
      </c>
      <c r="AK117" s="676">
        <v>0.9308</v>
      </c>
      <c r="AL117" s="662">
        <v>111001.0</v>
      </c>
      <c r="AM117" s="677">
        <v>-0.995310208481036</v>
      </c>
      <c r="AN117" s="678">
        <v>-0.06920000000000004</v>
      </c>
      <c r="AO117" s="662">
        <v>111001.0</v>
      </c>
      <c r="AP117" s="679">
        <v>-0.9946779474183188</v>
      </c>
      <c r="AQ117" s="662">
        <v>111001.0</v>
      </c>
      <c r="AR117" s="680">
        <v>-0.9939955442251273</v>
      </c>
      <c r="AS117" s="624"/>
      <c r="AT117" s="624"/>
      <c r="AU117" s="624"/>
      <c r="AV117" s="624"/>
      <c r="AW117" s="624"/>
      <c r="AX117" s="624"/>
      <c r="AY117" s="624"/>
      <c r="AZ117" s="624"/>
      <c r="BA117" s="624"/>
      <c r="BB117" s="624"/>
      <c r="BC117" s="624"/>
      <c r="BD117" s="624"/>
      <c r="BE117" s="624"/>
    </row>
    <row r="118" ht="16.5" customHeight="1">
      <c r="A118" s="711"/>
      <c r="B118" s="711"/>
      <c r="C118" s="711"/>
      <c r="D118" s="711"/>
      <c r="E118" s="711"/>
      <c r="F118" s="711"/>
      <c r="G118" s="711"/>
      <c r="H118" s="711"/>
      <c r="I118" s="711"/>
      <c r="J118" s="711"/>
      <c r="K118" s="741"/>
      <c r="L118" s="741"/>
      <c r="M118" s="788"/>
      <c r="N118" s="741"/>
      <c r="O118" s="741"/>
      <c r="P118" s="741"/>
      <c r="Q118" s="741"/>
      <c r="R118" s="788"/>
      <c r="S118" s="819"/>
      <c r="T118" s="820"/>
      <c r="U118" s="819"/>
      <c r="V118" s="820"/>
      <c r="W118" s="788"/>
      <c r="X118" s="803"/>
      <c r="Y118" s="803"/>
      <c r="Z118" s="803"/>
      <c r="AA118" s="711"/>
      <c r="AB118" s="711"/>
      <c r="AC118" s="711"/>
      <c r="AD118" s="736"/>
      <c r="AE118" s="736"/>
      <c r="AF118" s="799">
        <f t="shared" si="8"/>
        <v>69800</v>
      </c>
      <c r="AG118" s="658">
        <v>0.9508048670742396</v>
      </c>
      <c r="AH118" s="659">
        <f t="shared" si="3"/>
        <v>0.9508048671</v>
      </c>
      <c r="AI118" s="641"/>
      <c r="AJ118" s="660">
        <f t="shared" si="6"/>
        <v>118</v>
      </c>
      <c r="AK118" s="676">
        <v>0.9441</v>
      </c>
      <c r="AL118" s="662">
        <v>111000.0</v>
      </c>
      <c r="AM118" s="677">
        <v>-0.9953099819155866</v>
      </c>
      <c r="AN118" s="678">
        <v>-0.05589999999999995</v>
      </c>
      <c r="AO118" s="662">
        <v>111000.0</v>
      </c>
      <c r="AP118" s="679">
        <v>-0.9946776963721818</v>
      </c>
      <c r="AQ118" s="662">
        <v>111000.0</v>
      </c>
      <c r="AR118" s="680">
        <v>-0.9939952675157204</v>
      </c>
      <c r="AS118" s="624"/>
      <c r="AT118" s="624"/>
      <c r="AU118" s="624"/>
      <c r="AV118" s="624"/>
      <c r="AW118" s="624"/>
      <c r="AX118" s="624"/>
      <c r="AY118" s="624"/>
      <c r="AZ118" s="624"/>
      <c r="BA118" s="624"/>
      <c r="BB118" s="624"/>
      <c r="BC118" s="624"/>
      <c r="BD118" s="624"/>
      <c r="BE118" s="624"/>
    </row>
    <row r="119" ht="16.5" customHeight="1">
      <c r="A119" s="711"/>
      <c r="B119" s="711"/>
      <c r="C119" s="711"/>
      <c r="D119" s="711"/>
      <c r="E119" s="711"/>
      <c r="F119" s="711"/>
      <c r="G119" s="711"/>
      <c r="H119" s="711"/>
      <c r="I119" s="711"/>
      <c r="J119" s="711"/>
      <c r="K119" s="741"/>
      <c r="L119" s="741"/>
      <c r="M119" s="788"/>
      <c r="N119" s="741"/>
      <c r="O119" s="741"/>
      <c r="P119" s="741"/>
      <c r="Q119" s="741"/>
      <c r="R119" s="788"/>
      <c r="S119" s="819"/>
      <c r="T119" s="820"/>
      <c r="U119" s="819"/>
      <c r="V119" s="820"/>
      <c r="W119" s="788"/>
      <c r="X119" s="803"/>
      <c r="Y119" s="803"/>
      <c r="Z119" s="803"/>
      <c r="AA119" s="711"/>
      <c r="AB119" s="711"/>
      <c r="AC119" s="711"/>
      <c r="AD119" s="736"/>
      <c r="AE119" s="736"/>
      <c r="AF119" s="799">
        <f t="shared" si="8"/>
        <v>70550</v>
      </c>
      <c r="AG119" s="658">
        <v>0.9506362683248074</v>
      </c>
      <c r="AH119" s="659">
        <f t="shared" si="3"/>
        <v>0.9506362683</v>
      </c>
      <c r="AI119" s="641"/>
      <c r="AJ119" s="660">
        <f t="shared" si="6"/>
        <v>119</v>
      </c>
      <c r="AK119" s="676">
        <v>0.9568</v>
      </c>
      <c r="AL119" s="662">
        <v>110360.0</v>
      </c>
      <c r="AM119" s="677">
        <v>-0.995162711614505</v>
      </c>
      <c r="AN119" s="678">
        <v>-0.043200000000000016</v>
      </c>
      <c r="AO119" s="662">
        <v>110360.0</v>
      </c>
      <c r="AP119" s="679">
        <v>-0.9945145732070843</v>
      </c>
      <c r="AQ119" s="662">
        <v>110360.0</v>
      </c>
      <c r="AR119" s="680">
        <v>-0.9938155319649081</v>
      </c>
      <c r="AS119" s="624"/>
      <c r="AT119" s="624"/>
      <c r="AU119" s="624"/>
      <c r="AV119" s="624"/>
      <c r="AW119" s="624"/>
      <c r="AX119" s="624"/>
      <c r="AY119" s="624"/>
      <c r="AZ119" s="624"/>
      <c r="BA119" s="624"/>
      <c r="BB119" s="624"/>
      <c r="BC119" s="624"/>
      <c r="BD119" s="624"/>
      <c r="BE119" s="624"/>
    </row>
    <row r="120" ht="16.5" customHeight="1">
      <c r="A120" s="711"/>
      <c r="B120" s="711"/>
      <c r="C120" s="711"/>
      <c r="D120" s="711"/>
      <c r="E120" s="711"/>
      <c r="F120" s="711"/>
      <c r="G120" s="711"/>
      <c r="H120" s="711"/>
      <c r="I120" s="711"/>
      <c r="J120" s="711"/>
      <c r="K120" s="741"/>
      <c r="L120" s="741"/>
      <c r="M120" s="788"/>
      <c r="N120" s="741"/>
      <c r="O120" s="741"/>
      <c r="P120" s="741"/>
      <c r="Q120" s="741"/>
      <c r="R120" s="788"/>
      <c r="S120" s="819"/>
      <c r="T120" s="820"/>
      <c r="U120" s="819"/>
      <c r="V120" s="820"/>
      <c r="W120" s="788"/>
      <c r="X120" s="803"/>
      <c r="Y120" s="803"/>
      <c r="Z120" s="803"/>
      <c r="AA120" s="711"/>
      <c r="AB120" s="711"/>
      <c r="AC120" s="711"/>
      <c r="AD120" s="736"/>
      <c r="AE120" s="736"/>
      <c r="AF120" s="799">
        <f t="shared" si="8"/>
        <v>71300</v>
      </c>
      <c r="AG120" s="658">
        <v>0.9504694548507993</v>
      </c>
      <c r="AH120" s="659">
        <f t="shared" si="3"/>
        <v>0.9504694549</v>
      </c>
      <c r="AI120" s="641"/>
      <c r="AJ120" s="660">
        <f t="shared" si="6"/>
        <v>120</v>
      </c>
      <c r="AK120" s="676">
        <v>0.9695</v>
      </c>
      <c r="AL120" s="662">
        <v>110000.0</v>
      </c>
      <c r="AM120" s="677">
        <v>-0.995077849063682</v>
      </c>
      <c r="AN120" s="678">
        <v>-0.03049999999999997</v>
      </c>
      <c r="AO120" s="662">
        <v>110000.0</v>
      </c>
      <c r="AP120" s="679">
        <v>-0.9944206290687709</v>
      </c>
      <c r="AQ120" s="662">
        <v>110000.0</v>
      </c>
      <c r="AR120" s="680">
        <v>-0.9937120767138106</v>
      </c>
      <c r="AS120" s="624"/>
      <c r="AT120" s="624"/>
      <c r="AU120" s="624"/>
      <c r="AV120" s="624"/>
      <c r="AW120" s="624"/>
      <c r="AX120" s="624"/>
      <c r="AY120" s="624"/>
      <c r="AZ120" s="624"/>
      <c r="BA120" s="624"/>
      <c r="BB120" s="624"/>
      <c r="BC120" s="624"/>
      <c r="BD120" s="624"/>
      <c r="BE120" s="624"/>
    </row>
    <row r="121" ht="16.5" customHeight="1">
      <c r="A121" s="711"/>
      <c r="B121" s="711"/>
      <c r="C121" s="711"/>
      <c r="D121" s="711"/>
      <c r="E121" s="711"/>
      <c r="F121" s="711"/>
      <c r="G121" s="711"/>
      <c r="H121" s="711"/>
      <c r="I121" s="711"/>
      <c r="J121" s="711"/>
      <c r="K121" s="741"/>
      <c r="L121" s="741"/>
      <c r="M121" s="788"/>
      <c r="N121" s="741"/>
      <c r="O121" s="741"/>
      <c r="P121" s="741"/>
      <c r="Q121" s="741"/>
      <c r="R121" s="788"/>
      <c r="S121" s="819"/>
      <c r="T121" s="820"/>
      <c r="U121" s="819"/>
      <c r="V121" s="820"/>
      <c r="W121" s="788"/>
      <c r="X121" s="803"/>
      <c r="Y121" s="803"/>
      <c r="Z121" s="803"/>
      <c r="AA121" s="711"/>
      <c r="AB121" s="711"/>
      <c r="AC121" s="711"/>
      <c r="AD121" s="736"/>
      <c r="AE121" s="736"/>
      <c r="AF121" s="799">
        <f t="shared" si="8"/>
        <v>72050</v>
      </c>
      <c r="AG121" s="658">
        <v>0.9503043645980154</v>
      </c>
      <c r="AH121" s="659">
        <f t="shared" si="3"/>
        <v>0.9503043646</v>
      </c>
      <c r="AI121" s="641"/>
      <c r="AJ121" s="660">
        <f t="shared" si="6"/>
        <v>121</v>
      </c>
      <c r="AK121" s="676">
        <v>0.9261</v>
      </c>
      <c r="AL121" s="662">
        <v>109350.0</v>
      </c>
      <c r="AM121" s="677">
        <v>-0.9949208364966847</v>
      </c>
      <c r="AN121" s="678">
        <v>-0.07389999999999997</v>
      </c>
      <c r="AO121" s="662">
        <v>109350.0</v>
      </c>
      <c r="AP121" s="679">
        <v>-0.9942469139737327</v>
      </c>
      <c r="AQ121" s="662">
        <v>109350.0</v>
      </c>
      <c r="AR121" s="680">
        <v>-0.9935208795244543</v>
      </c>
      <c r="AS121" s="624"/>
      <c r="AT121" s="624"/>
      <c r="AU121" s="624"/>
      <c r="AV121" s="624"/>
      <c r="AW121" s="624"/>
      <c r="AX121" s="624"/>
      <c r="AY121" s="624"/>
      <c r="AZ121" s="624"/>
      <c r="BA121" s="624"/>
      <c r="BB121" s="624"/>
      <c r="BC121" s="624"/>
      <c r="BD121" s="624"/>
      <c r="BE121" s="624"/>
    </row>
    <row r="122" ht="16.5" customHeight="1">
      <c r="A122" s="711"/>
      <c r="B122" s="711"/>
      <c r="C122" s="711"/>
      <c r="D122" s="711"/>
      <c r="E122" s="711"/>
      <c r="F122" s="711"/>
      <c r="G122" s="711"/>
      <c r="H122" s="711"/>
      <c r="I122" s="711"/>
      <c r="J122" s="711"/>
      <c r="K122" s="741"/>
      <c r="L122" s="741"/>
      <c r="M122" s="788"/>
      <c r="N122" s="741"/>
      <c r="O122" s="741"/>
      <c r="P122" s="741"/>
      <c r="Q122" s="741"/>
      <c r="R122" s="788"/>
      <c r="S122" s="819"/>
      <c r="T122" s="820"/>
      <c r="U122" s="819"/>
      <c r="V122" s="820"/>
      <c r="W122" s="788"/>
      <c r="X122" s="803"/>
      <c r="Y122" s="803"/>
      <c r="Z122" s="803"/>
      <c r="AA122" s="711"/>
      <c r="AB122" s="711"/>
      <c r="AC122" s="711"/>
      <c r="AD122" s="736"/>
      <c r="AE122" s="736"/>
      <c r="AF122" s="799">
        <f t="shared" si="8"/>
        <v>72800</v>
      </c>
      <c r="AG122" s="658">
        <v>0.9501409376691909</v>
      </c>
      <c r="AH122" s="659">
        <f t="shared" si="3"/>
        <v>0.9501409377</v>
      </c>
      <c r="AI122" s="641"/>
      <c r="AJ122" s="660">
        <f t="shared" si="6"/>
        <v>122</v>
      </c>
      <c r="AK122" s="676">
        <v>0.9348</v>
      </c>
      <c r="AL122" s="662">
        <v>109248.0</v>
      </c>
      <c r="AM122" s="677">
        <v>-0.9948957469704854</v>
      </c>
      <c r="AN122" s="678">
        <v>-0.06520000000000004</v>
      </c>
      <c r="AO122" s="662">
        <v>109248.0</v>
      </c>
      <c r="AP122" s="679">
        <v>-0.9942191673360691</v>
      </c>
      <c r="AQ122" s="662">
        <v>109248.0</v>
      </c>
      <c r="AR122" s="680">
        <v>-0.9934903529842515</v>
      </c>
      <c r="AS122" s="624"/>
      <c r="AT122" s="624"/>
      <c r="AU122" s="624"/>
      <c r="AV122" s="624"/>
      <c r="AW122" s="624"/>
      <c r="AX122" s="624"/>
      <c r="AY122" s="624"/>
      <c r="AZ122" s="624"/>
      <c r="BA122" s="624"/>
      <c r="BB122" s="624"/>
      <c r="BC122" s="624"/>
      <c r="BD122" s="624"/>
      <c r="BE122" s="624"/>
    </row>
    <row r="123" ht="16.5" customHeight="1">
      <c r="A123" s="711"/>
      <c r="B123" s="711"/>
      <c r="C123" s="711"/>
      <c r="D123" s="711"/>
      <c r="E123" s="711"/>
      <c r="F123" s="711"/>
      <c r="G123" s="711"/>
      <c r="H123" s="711"/>
      <c r="I123" s="711"/>
      <c r="J123" s="711"/>
      <c r="K123" s="741"/>
      <c r="L123" s="741"/>
      <c r="M123" s="788"/>
      <c r="N123" s="741"/>
      <c r="O123" s="741"/>
      <c r="P123" s="741"/>
      <c r="Q123" s="741"/>
      <c r="R123" s="788"/>
      <c r="S123" s="819"/>
      <c r="T123" s="820"/>
      <c r="U123" s="819"/>
      <c r="V123" s="820"/>
      <c r="W123" s="788"/>
      <c r="X123" s="803"/>
      <c r="Y123" s="803"/>
      <c r="Z123" s="803"/>
      <c r="AA123" s="711"/>
      <c r="AB123" s="711"/>
      <c r="AC123" s="711"/>
      <c r="AD123" s="736"/>
      <c r="AE123" s="736"/>
      <c r="AF123" s="799">
        <f t="shared" si="8"/>
        <v>73550</v>
      </c>
      <c r="AG123" s="658">
        <v>0.9499791162490243</v>
      </c>
      <c r="AH123" s="659">
        <f t="shared" si="3"/>
        <v>0.9499791162</v>
      </c>
      <c r="AI123" s="641"/>
      <c r="AJ123" s="660">
        <f t="shared" si="6"/>
        <v>123</v>
      </c>
      <c r="AK123" s="676">
        <v>0.9656</v>
      </c>
      <c r="AL123" s="662">
        <v>109111.0</v>
      </c>
      <c r="AM123" s="677">
        <v>-0.9948618531622775</v>
      </c>
      <c r="AN123" s="678">
        <v>-0.034399999999999986</v>
      </c>
      <c r="AO123" s="662">
        <v>109111.0</v>
      </c>
      <c r="AP123" s="679">
        <v>-0.994181689101684</v>
      </c>
      <c r="AQ123" s="662">
        <v>109111.0</v>
      </c>
      <c r="AR123" s="680">
        <v>-0.9934491252067251</v>
      </c>
      <c r="AS123" s="624"/>
      <c r="AT123" s="624"/>
      <c r="AU123" s="624"/>
      <c r="AV123" s="624"/>
      <c r="AW123" s="624"/>
      <c r="AX123" s="624"/>
      <c r="AY123" s="624"/>
      <c r="AZ123" s="624"/>
      <c r="BA123" s="624"/>
      <c r="BB123" s="624"/>
      <c r="BC123" s="624"/>
      <c r="BD123" s="624"/>
      <c r="BE123" s="624"/>
    </row>
    <row r="124" ht="16.5" customHeight="1">
      <c r="A124" s="711"/>
      <c r="B124" s="711"/>
      <c r="C124" s="711"/>
      <c r="D124" s="711"/>
      <c r="E124" s="711"/>
      <c r="F124" s="711"/>
      <c r="G124" s="711"/>
      <c r="H124" s="711"/>
      <c r="I124" s="711"/>
      <c r="J124" s="711"/>
      <c r="K124" s="741"/>
      <c r="L124" s="741"/>
      <c r="M124" s="788"/>
      <c r="N124" s="741"/>
      <c r="O124" s="741"/>
      <c r="P124" s="741"/>
      <c r="Q124" s="741"/>
      <c r="R124" s="788"/>
      <c r="S124" s="819"/>
      <c r="T124" s="820"/>
      <c r="U124" s="819"/>
      <c r="V124" s="820"/>
      <c r="W124" s="788"/>
      <c r="X124" s="803"/>
      <c r="Y124" s="803"/>
      <c r="Z124" s="803"/>
      <c r="AA124" s="711"/>
      <c r="AB124" s="711"/>
      <c r="AC124" s="711"/>
      <c r="AD124" s="736"/>
      <c r="AE124" s="736"/>
      <c r="AF124" s="799">
        <f t="shared" si="8"/>
        <v>74300</v>
      </c>
      <c r="AG124" s="658">
        <v>0.9498188445318095</v>
      </c>
      <c r="AH124" s="659">
        <f t="shared" si="3"/>
        <v>0.9498188445</v>
      </c>
      <c r="AI124" s="641"/>
      <c r="AJ124" s="660">
        <f t="shared" si="6"/>
        <v>124</v>
      </c>
      <c r="AK124" s="676">
        <v>0.921</v>
      </c>
      <c r="AL124" s="662">
        <v>109011.0</v>
      </c>
      <c r="AM124" s="677">
        <v>-0.9948369711437748</v>
      </c>
      <c r="AN124" s="678">
        <v>-0.07899999999999996</v>
      </c>
      <c r="AO124" s="662">
        <v>109011.0</v>
      </c>
      <c r="AP124" s="679">
        <v>-0.9941541794086118</v>
      </c>
      <c r="AQ124" s="662">
        <v>109011.0</v>
      </c>
      <c r="AR124" s="680">
        <v>-0.9934188671782104</v>
      </c>
      <c r="AS124" s="624"/>
      <c r="AT124" s="624"/>
      <c r="AU124" s="624"/>
      <c r="AV124" s="624"/>
      <c r="AW124" s="624"/>
      <c r="AX124" s="624"/>
      <c r="AY124" s="624"/>
      <c r="AZ124" s="624"/>
      <c r="BA124" s="624"/>
      <c r="BB124" s="624"/>
      <c r="BC124" s="624"/>
      <c r="BD124" s="624"/>
      <c r="BE124" s="624"/>
    </row>
    <row r="125" ht="16.5" customHeight="1">
      <c r="A125" s="711"/>
      <c r="B125" s="711"/>
      <c r="C125" s="711"/>
      <c r="D125" s="711"/>
      <c r="E125" s="711"/>
      <c r="F125" s="711"/>
      <c r="G125" s="711"/>
      <c r="H125" s="711"/>
      <c r="I125" s="711"/>
      <c r="J125" s="711"/>
      <c r="K125" s="741"/>
      <c r="L125" s="741"/>
      <c r="M125" s="788"/>
      <c r="N125" s="741"/>
      <c r="O125" s="741"/>
      <c r="P125" s="741"/>
      <c r="Q125" s="741"/>
      <c r="R125" s="788"/>
      <c r="S125" s="819"/>
      <c r="T125" s="820"/>
      <c r="U125" s="819"/>
      <c r="V125" s="820"/>
      <c r="W125" s="788"/>
      <c r="X125" s="803"/>
      <c r="Y125" s="803"/>
      <c r="Z125" s="803"/>
      <c r="AA125" s="711"/>
      <c r="AB125" s="711"/>
      <c r="AC125" s="711"/>
      <c r="AD125" s="736"/>
      <c r="AE125" s="736"/>
      <c r="AF125" s="799">
        <f t="shared" si="8"/>
        <v>75050</v>
      </c>
      <c r="AG125" s="658">
        <v>0.9496600686515853</v>
      </c>
      <c r="AH125" s="659">
        <f t="shared" si="3"/>
        <v>0.9496600687</v>
      </c>
      <c r="AI125" s="641"/>
      <c r="AJ125" s="660">
        <f t="shared" si="6"/>
        <v>125</v>
      </c>
      <c r="AK125" s="676">
        <v>0.9449</v>
      </c>
      <c r="AL125" s="662">
        <v>108788.0</v>
      </c>
      <c r="AM125" s="677">
        <v>-0.9947810494282741</v>
      </c>
      <c r="AN125" s="678">
        <v>-0.05510000000000004</v>
      </c>
      <c r="AO125" s="662">
        <v>108788.0</v>
      </c>
      <c r="AP125" s="679">
        <v>-0.9940923634469081</v>
      </c>
      <c r="AQ125" s="662">
        <v>108788.0</v>
      </c>
      <c r="AR125" s="680">
        <v>-0.9933508874836002</v>
      </c>
      <c r="AS125" s="624"/>
      <c r="AT125" s="624"/>
      <c r="AU125" s="624"/>
      <c r="AV125" s="624"/>
      <c r="AW125" s="624"/>
      <c r="AX125" s="624"/>
      <c r="AY125" s="624"/>
      <c r="AZ125" s="624"/>
      <c r="BA125" s="624"/>
      <c r="BB125" s="624"/>
      <c r="BC125" s="624"/>
      <c r="BD125" s="624"/>
      <c r="BE125" s="624"/>
    </row>
    <row r="126" ht="16.5" customHeight="1">
      <c r="A126" s="711"/>
      <c r="B126" s="711"/>
      <c r="C126" s="711"/>
      <c r="D126" s="711"/>
      <c r="E126" s="711"/>
      <c r="F126" s="711"/>
      <c r="G126" s="711"/>
      <c r="H126" s="711"/>
      <c r="I126" s="711"/>
      <c r="J126" s="711"/>
      <c r="K126" s="741"/>
      <c r="L126" s="741"/>
      <c r="M126" s="788"/>
      <c r="N126" s="741"/>
      <c r="O126" s="741"/>
      <c r="P126" s="741"/>
      <c r="Q126" s="741"/>
      <c r="R126" s="788"/>
      <c r="S126" s="819"/>
      <c r="T126" s="820"/>
      <c r="U126" s="819"/>
      <c r="V126" s="820"/>
      <c r="W126" s="788"/>
      <c r="X126" s="803"/>
      <c r="Y126" s="803"/>
      <c r="Z126" s="803"/>
      <c r="AA126" s="711"/>
      <c r="AB126" s="711"/>
      <c r="AC126" s="711"/>
      <c r="AD126" s="736"/>
      <c r="AE126" s="736"/>
      <c r="AF126" s="799">
        <f t="shared" si="8"/>
        <v>75800</v>
      </c>
      <c r="AG126" s="658">
        <v>0.9495027366147117</v>
      </c>
      <c r="AH126" s="659">
        <f t="shared" si="3"/>
        <v>0.9495027366</v>
      </c>
      <c r="AI126" s="641"/>
      <c r="AJ126" s="660">
        <f t="shared" si="6"/>
        <v>126</v>
      </c>
      <c r="AK126" s="676">
        <v>0.9373</v>
      </c>
      <c r="AL126" s="662">
        <v>108644.0</v>
      </c>
      <c r="AM126" s="677">
        <v>-0.9947446171109857</v>
      </c>
      <c r="AN126" s="678">
        <v>-0.06269999999999998</v>
      </c>
      <c r="AO126" s="662">
        <v>108644.0</v>
      </c>
      <c r="AP126" s="679">
        <v>-0.9940520995136557</v>
      </c>
      <c r="AQ126" s="662">
        <v>108644.0</v>
      </c>
      <c r="AR126" s="680">
        <v>-0.9933066176168952</v>
      </c>
      <c r="AS126" s="624"/>
      <c r="AT126" s="624"/>
      <c r="AU126" s="624"/>
      <c r="AV126" s="624"/>
      <c r="AW126" s="624"/>
      <c r="AX126" s="624"/>
      <c r="AY126" s="624"/>
      <c r="AZ126" s="624"/>
      <c r="BA126" s="624"/>
      <c r="BB126" s="624"/>
      <c r="BC126" s="624"/>
      <c r="BD126" s="624"/>
      <c r="BE126" s="624"/>
    </row>
    <row r="127" ht="16.5" customHeight="1">
      <c r="A127" s="711"/>
      <c r="B127" s="711"/>
      <c r="C127" s="711"/>
      <c r="D127" s="711"/>
      <c r="E127" s="711"/>
      <c r="F127" s="711"/>
      <c r="G127" s="711"/>
      <c r="H127" s="711"/>
      <c r="I127" s="711"/>
      <c r="J127" s="711"/>
      <c r="K127" s="741"/>
      <c r="L127" s="741"/>
      <c r="M127" s="788"/>
      <c r="N127" s="741"/>
      <c r="O127" s="741"/>
      <c r="P127" s="741"/>
      <c r="Q127" s="741"/>
      <c r="R127" s="788"/>
      <c r="S127" s="819"/>
      <c r="T127" s="820"/>
      <c r="U127" s="819"/>
      <c r="V127" s="820"/>
      <c r="W127" s="788"/>
      <c r="X127" s="803"/>
      <c r="Y127" s="803"/>
      <c r="Z127" s="803"/>
      <c r="AA127" s="711"/>
      <c r="AB127" s="711"/>
      <c r="AC127" s="711"/>
      <c r="AD127" s="736"/>
      <c r="AE127" s="736"/>
      <c r="AF127" s="799">
        <f t="shared" si="8"/>
        <v>76550</v>
      </c>
      <c r="AG127" s="658">
        <v>0.9493467982347901</v>
      </c>
      <c r="AH127" s="659">
        <f t="shared" si="3"/>
        <v>0.9493467982</v>
      </c>
      <c r="AI127" s="641"/>
      <c r="AJ127" s="660">
        <f t="shared" si="6"/>
        <v>127</v>
      </c>
      <c r="AK127" s="676">
        <v>0.9289</v>
      </c>
      <c r="AL127" s="662">
        <v>108400.0</v>
      </c>
      <c r="AM127" s="677">
        <v>-0.9946823030625043</v>
      </c>
      <c r="AN127" s="678">
        <v>-0.07110000000000005</v>
      </c>
      <c r="AO127" s="662">
        <v>108400.0</v>
      </c>
      <c r="AP127" s="679">
        <v>-0.9939832470795774</v>
      </c>
      <c r="AQ127" s="662">
        <v>108400.0</v>
      </c>
      <c r="AR127" s="680">
        <v>-0.9932309308990788</v>
      </c>
      <c r="AS127" s="624"/>
      <c r="AT127" s="624"/>
      <c r="AU127" s="624"/>
      <c r="AV127" s="624"/>
      <c r="AW127" s="624"/>
      <c r="AX127" s="624"/>
      <c r="AY127" s="624"/>
      <c r="AZ127" s="624"/>
      <c r="BA127" s="624"/>
      <c r="BB127" s="624"/>
      <c r="BC127" s="624"/>
      <c r="BD127" s="624"/>
      <c r="BE127" s="624"/>
    </row>
    <row r="128" ht="16.5" customHeight="1">
      <c r="A128" s="711"/>
      <c r="B128" s="711"/>
      <c r="C128" s="711"/>
      <c r="D128" s="711"/>
      <c r="E128" s="711"/>
      <c r="F128" s="711"/>
      <c r="G128" s="711"/>
      <c r="H128" s="711"/>
      <c r="I128" s="711"/>
      <c r="J128" s="711"/>
      <c r="K128" s="741"/>
      <c r="L128" s="741"/>
      <c r="M128" s="788"/>
      <c r="N128" s="741"/>
      <c r="O128" s="741"/>
      <c r="P128" s="741"/>
      <c r="Q128" s="741"/>
      <c r="R128" s="788"/>
      <c r="S128" s="819"/>
      <c r="T128" s="820"/>
      <c r="U128" s="819"/>
      <c r="V128" s="820"/>
      <c r="W128" s="788"/>
      <c r="X128" s="803"/>
      <c r="Y128" s="803"/>
      <c r="Z128" s="803"/>
      <c r="AA128" s="711"/>
      <c r="AB128" s="711"/>
      <c r="AC128" s="711"/>
      <c r="AD128" s="736"/>
      <c r="AE128" s="736"/>
      <c r="AF128" s="799">
        <f t="shared" si="8"/>
        <v>77300</v>
      </c>
      <c r="AG128" s="658">
        <v>0.9491922050698457</v>
      </c>
      <c r="AH128" s="659">
        <f t="shared" si="3"/>
        <v>0.9491922051</v>
      </c>
      <c r="AI128" s="641"/>
      <c r="AJ128" s="660">
        <f t="shared" si="6"/>
        <v>128</v>
      </c>
      <c r="AK128" s="676">
        <v>0.9374</v>
      </c>
      <c r="AL128" s="662">
        <v>106669.0</v>
      </c>
      <c r="AM128" s="677">
        <v>-0.9942184981097056</v>
      </c>
      <c r="AN128" s="678">
        <v>-0.06259999999999999</v>
      </c>
      <c r="AO128" s="662">
        <v>106669.0</v>
      </c>
      <c r="AP128" s="679">
        <v>-0.9934713598489495</v>
      </c>
      <c r="AQ128" s="662">
        <v>106669.0</v>
      </c>
      <c r="AR128" s="680">
        <v>-0.992668844383761</v>
      </c>
      <c r="AS128" s="624"/>
      <c r="AT128" s="624"/>
      <c r="AU128" s="624"/>
      <c r="AV128" s="624"/>
      <c r="AW128" s="624"/>
      <c r="AX128" s="624"/>
      <c r="AY128" s="624"/>
      <c r="AZ128" s="624"/>
      <c r="BA128" s="624"/>
      <c r="BB128" s="624"/>
      <c r="BC128" s="624"/>
      <c r="BD128" s="624"/>
      <c r="BE128" s="624"/>
    </row>
    <row r="129" ht="16.5" customHeight="1">
      <c r="A129" s="711"/>
      <c r="B129" s="711"/>
      <c r="C129" s="711"/>
      <c r="D129" s="711"/>
      <c r="E129" s="711"/>
      <c r="F129" s="711"/>
      <c r="G129" s="711"/>
      <c r="H129" s="711"/>
      <c r="I129" s="711"/>
      <c r="J129" s="711"/>
      <c r="K129" s="741"/>
      <c r="L129" s="741"/>
      <c r="M129" s="788"/>
      <c r="N129" s="741"/>
      <c r="O129" s="741"/>
      <c r="P129" s="741"/>
      <c r="Q129" s="741"/>
      <c r="R129" s="788"/>
      <c r="S129" s="819"/>
      <c r="T129" s="820"/>
      <c r="U129" s="819"/>
      <c r="V129" s="820"/>
      <c r="W129" s="788"/>
      <c r="X129" s="803"/>
      <c r="Y129" s="803"/>
      <c r="Z129" s="803"/>
      <c r="AA129" s="711"/>
      <c r="AB129" s="711"/>
      <c r="AC129" s="711"/>
      <c r="AD129" s="736"/>
      <c r="AE129" s="736"/>
      <c r="AF129" s="799">
        <f t="shared" si="8"/>
        <v>78050</v>
      </c>
      <c r="AG129" s="658">
        <v>0.9490389103616932</v>
      </c>
      <c r="AH129" s="659">
        <f t="shared" si="3"/>
        <v>0.9490389104</v>
      </c>
      <c r="AI129" s="641"/>
      <c r="AJ129" s="660">
        <f t="shared" si="6"/>
        <v>129</v>
      </c>
      <c r="AK129" s="676">
        <v>0.9248</v>
      </c>
      <c r="AL129" s="662">
        <v>106563.0</v>
      </c>
      <c r="AM129" s="677">
        <v>-0.9941888164194956</v>
      </c>
      <c r="AN129" s="678">
        <v>-0.07520000000000004</v>
      </c>
      <c r="AO129" s="662">
        <v>106563.0</v>
      </c>
      <c r="AP129" s="679">
        <v>-0.9934386349040089</v>
      </c>
      <c r="AQ129" s="662">
        <v>106563.0</v>
      </c>
      <c r="AR129" s="680">
        <v>-0.9926329456011895</v>
      </c>
      <c r="AS129" s="624"/>
      <c r="AT129" s="624"/>
      <c r="AU129" s="624"/>
      <c r="AV129" s="624"/>
      <c r="AW129" s="624"/>
      <c r="AX129" s="624"/>
      <c r="AY129" s="624"/>
      <c r="AZ129" s="624"/>
      <c r="BA129" s="624"/>
      <c r="BB129" s="624"/>
      <c r="BC129" s="624"/>
      <c r="BD129" s="624"/>
      <c r="BE129" s="624"/>
    </row>
    <row r="130" ht="16.5" customHeight="1">
      <c r="A130" s="711"/>
      <c r="B130" s="711"/>
      <c r="C130" s="711"/>
      <c r="D130" s="711"/>
      <c r="E130" s="711"/>
      <c r="F130" s="711"/>
      <c r="G130" s="711"/>
      <c r="H130" s="711"/>
      <c r="I130" s="711"/>
      <c r="J130" s="711"/>
      <c r="K130" s="741"/>
      <c r="L130" s="741"/>
      <c r="M130" s="788"/>
      <c r="N130" s="741"/>
      <c r="O130" s="741"/>
      <c r="P130" s="741"/>
      <c r="Q130" s="741"/>
      <c r="R130" s="788"/>
      <c r="S130" s="819"/>
      <c r="T130" s="820"/>
      <c r="U130" s="819"/>
      <c r="V130" s="820"/>
      <c r="W130" s="788"/>
      <c r="X130" s="803"/>
      <c r="Y130" s="803"/>
      <c r="Z130" s="803"/>
      <c r="AA130" s="711"/>
      <c r="AB130" s="711"/>
      <c r="AC130" s="711"/>
      <c r="AD130" s="736"/>
      <c r="AE130" s="736"/>
      <c r="AF130" s="799">
        <f t="shared" si="8"/>
        <v>78800</v>
      </c>
      <c r="AG130" s="658">
        <v>0.9488868689774099</v>
      </c>
      <c r="AH130" s="659">
        <f t="shared" si="3"/>
        <v>0.948886869</v>
      </c>
      <c r="AI130" s="641"/>
      <c r="AJ130" s="660">
        <f t="shared" si="6"/>
        <v>130</v>
      </c>
      <c r="AK130" s="676">
        <v>0.9186</v>
      </c>
      <c r="AL130" s="662">
        <v>106217.0</v>
      </c>
      <c r="AM130" s="677">
        <v>-0.994090866289805</v>
      </c>
      <c r="AN130" s="678">
        <v>-0.08140000000000003</v>
      </c>
      <c r="AO130" s="662">
        <v>106217.0</v>
      </c>
      <c r="AP130" s="679">
        <v>-0.993330669834477</v>
      </c>
      <c r="AQ130" s="662">
        <v>106217.0</v>
      </c>
      <c r="AR130" s="680">
        <v>-0.9925145386524302</v>
      </c>
      <c r="AS130" s="624"/>
      <c r="AT130" s="624"/>
      <c r="AU130" s="624"/>
      <c r="AV130" s="624"/>
      <c r="AW130" s="624"/>
      <c r="AX130" s="624"/>
      <c r="AY130" s="624"/>
      <c r="AZ130" s="624"/>
      <c r="BA130" s="624"/>
      <c r="BB130" s="624"/>
      <c r="BC130" s="624"/>
      <c r="BD130" s="624"/>
      <c r="BE130" s="624"/>
    </row>
    <row r="131" ht="16.5" customHeight="1">
      <c r="A131" s="711"/>
      <c r="B131" s="711"/>
      <c r="C131" s="711"/>
      <c r="D131" s="711"/>
      <c r="E131" s="711"/>
      <c r="F131" s="711"/>
      <c r="G131" s="711"/>
      <c r="H131" s="711"/>
      <c r="I131" s="711"/>
      <c r="J131" s="711"/>
      <c r="K131" s="741"/>
      <c r="L131" s="741"/>
      <c r="M131" s="788"/>
      <c r="N131" s="741"/>
      <c r="O131" s="741"/>
      <c r="P131" s="741"/>
      <c r="Q131" s="741"/>
      <c r="R131" s="788"/>
      <c r="S131" s="819"/>
      <c r="T131" s="820"/>
      <c r="U131" s="819"/>
      <c r="V131" s="820"/>
      <c r="W131" s="788"/>
      <c r="X131" s="803"/>
      <c r="Y131" s="803"/>
      <c r="Z131" s="803"/>
      <c r="AA131" s="711"/>
      <c r="AB131" s="711"/>
      <c r="AC131" s="711"/>
      <c r="AD131" s="736"/>
      <c r="AE131" s="736"/>
      <c r="AF131" s="799">
        <f t="shared" si="8"/>
        <v>79550</v>
      </c>
      <c r="AG131" s="658">
        <v>0.9487360373528441</v>
      </c>
      <c r="AH131" s="659">
        <f t="shared" si="3"/>
        <v>0.9487360374</v>
      </c>
      <c r="AI131" s="641"/>
      <c r="AJ131" s="660">
        <f t="shared" si="6"/>
        <v>131</v>
      </c>
      <c r="AK131" s="676">
        <v>0.9593</v>
      </c>
      <c r="AL131" s="662">
        <v>106200.0</v>
      </c>
      <c r="AM131" s="677">
        <v>-0.9940860113847753</v>
      </c>
      <c r="AN131" s="678">
        <v>-0.04069999999999996</v>
      </c>
      <c r="AO131" s="662">
        <v>106200.0</v>
      </c>
      <c r="AP131" s="679">
        <v>-0.9933253196418651</v>
      </c>
      <c r="AQ131" s="662">
        <v>106200.0</v>
      </c>
      <c r="AR131" s="680">
        <v>-0.9925086721684896</v>
      </c>
      <c r="AS131" s="624"/>
      <c r="AT131" s="624"/>
      <c r="AU131" s="624"/>
      <c r="AV131" s="624"/>
      <c r="AW131" s="624"/>
      <c r="AX131" s="624"/>
      <c r="AY131" s="624"/>
      <c r="AZ131" s="624"/>
      <c r="BA131" s="624"/>
      <c r="BB131" s="624"/>
      <c r="BC131" s="624"/>
      <c r="BD131" s="624"/>
      <c r="BE131" s="624"/>
    </row>
    <row r="132" ht="16.5" customHeight="1">
      <c r="A132" s="711"/>
      <c r="B132" s="711"/>
      <c r="C132" s="711"/>
      <c r="D132" s="711"/>
      <c r="E132" s="711"/>
      <c r="F132" s="711"/>
      <c r="G132" s="711"/>
      <c r="H132" s="711"/>
      <c r="I132" s="711"/>
      <c r="J132" s="711"/>
      <c r="K132" s="741"/>
      <c r="L132" s="741"/>
      <c r="M132" s="788"/>
      <c r="N132" s="741"/>
      <c r="O132" s="741"/>
      <c r="P132" s="741"/>
      <c r="Q132" s="741"/>
      <c r="R132" s="788"/>
      <c r="S132" s="819"/>
      <c r="T132" s="820"/>
      <c r="U132" s="819"/>
      <c r="V132" s="820"/>
      <c r="W132" s="788"/>
      <c r="X132" s="803"/>
      <c r="Y132" s="803"/>
      <c r="Z132" s="803"/>
      <c r="AA132" s="711"/>
      <c r="AB132" s="711"/>
      <c r="AC132" s="711"/>
      <c r="AD132" s="736"/>
      <c r="AE132" s="736"/>
      <c r="AF132" s="799">
        <f t="shared" si="8"/>
        <v>80300</v>
      </c>
      <c r="AG132" s="658">
        <v>0.9485863734380852</v>
      </c>
      <c r="AH132" s="659">
        <f t="shared" si="3"/>
        <v>0.9485863734</v>
      </c>
      <c r="AI132" s="641"/>
      <c r="AJ132" s="660">
        <f t="shared" si="6"/>
        <v>132</v>
      </c>
      <c r="AK132" s="676">
        <v>0.934</v>
      </c>
      <c r="AL132" s="662">
        <v>106023.0</v>
      </c>
      <c r="AM132" s="677">
        <v>-0.9940352256787545</v>
      </c>
      <c r="AN132" s="678">
        <v>-0.06599999999999995</v>
      </c>
      <c r="AO132" s="662">
        <v>106023.0</v>
      </c>
      <c r="AP132" s="679">
        <v>-0.9932693590738366</v>
      </c>
      <c r="AQ132" s="662">
        <v>106023.0</v>
      </c>
      <c r="AR132" s="680">
        <v>-0.9924473179059632</v>
      </c>
      <c r="AS132" s="624"/>
      <c r="AT132" s="624"/>
      <c r="AU132" s="624"/>
      <c r="AV132" s="624"/>
      <c r="AW132" s="624"/>
      <c r="AX132" s="624"/>
      <c r="AY132" s="624"/>
      <c r="AZ132" s="624"/>
      <c r="BA132" s="624"/>
      <c r="BB132" s="624"/>
      <c r="BC132" s="624"/>
      <c r="BD132" s="624"/>
      <c r="BE132" s="624"/>
    </row>
    <row r="133" ht="16.5" customHeight="1">
      <c r="A133" s="711"/>
      <c r="B133" s="711"/>
      <c r="C133" s="711"/>
      <c r="D133" s="711"/>
      <c r="E133" s="711"/>
      <c r="F133" s="711"/>
      <c r="G133" s="711"/>
      <c r="H133" s="711"/>
      <c r="I133" s="711"/>
      <c r="J133" s="711"/>
      <c r="K133" s="741"/>
      <c r="L133" s="741"/>
      <c r="M133" s="788"/>
      <c r="N133" s="741"/>
      <c r="O133" s="741"/>
      <c r="P133" s="741"/>
      <c r="Q133" s="741"/>
      <c r="R133" s="788"/>
      <c r="S133" s="819"/>
      <c r="T133" s="820"/>
      <c r="U133" s="819"/>
      <c r="V133" s="820"/>
      <c r="W133" s="788"/>
      <c r="X133" s="803"/>
      <c r="Y133" s="803"/>
      <c r="Z133" s="803"/>
      <c r="AA133" s="711"/>
      <c r="AB133" s="711"/>
      <c r="AC133" s="711"/>
      <c r="AD133" s="736"/>
      <c r="AE133" s="736"/>
      <c r="AF133" s="799">
        <f t="shared" si="8"/>
        <v>81050</v>
      </c>
      <c r="AG133" s="658">
        <v>0.9484378366448315</v>
      </c>
      <c r="AH133" s="659">
        <f t="shared" si="3"/>
        <v>0.9484378366</v>
      </c>
      <c r="AI133" s="641"/>
      <c r="AJ133" s="660">
        <f t="shared" si="6"/>
        <v>133</v>
      </c>
      <c r="AK133" s="676">
        <v>0.9365</v>
      </c>
      <c r="AL133" s="662">
        <v>106000.0</v>
      </c>
      <c r="AM133" s="677">
        <v>-0.9940285944684073</v>
      </c>
      <c r="AN133" s="678">
        <v>-0.0635</v>
      </c>
      <c r="AO133" s="662">
        <v>106000.0</v>
      </c>
      <c r="AP133" s="679">
        <v>-0.9932620530009145</v>
      </c>
      <c r="AQ133" s="662">
        <v>106000.0</v>
      </c>
      <c r="AR133" s="680">
        <v>-0.992439308515185</v>
      </c>
      <c r="AS133" s="624"/>
      <c r="AT133" s="624"/>
      <c r="AU133" s="624"/>
      <c r="AV133" s="624"/>
      <c r="AW133" s="624"/>
      <c r="AX133" s="624"/>
      <c r="AY133" s="624"/>
      <c r="AZ133" s="624"/>
      <c r="BA133" s="624"/>
      <c r="BB133" s="624"/>
      <c r="BC133" s="624"/>
      <c r="BD133" s="624"/>
      <c r="BE133" s="624"/>
    </row>
    <row r="134" ht="16.5" customHeight="1">
      <c r="A134" s="711"/>
      <c r="B134" s="711"/>
      <c r="C134" s="711"/>
      <c r="D134" s="711"/>
      <c r="E134" s="711"/>
      <c r="F134" s="711"/>
      <c r="G134" s="711"/>
      <c r="H134" s="711"/>
      <c r="I134" s="711"/>
      <c r="J134" s="711"/>
      <c r="K134" s="741"/>
      <c r="L134" s="741"/>
      <c r="M134" s="788"/>
      <c r="N134" s="741"/>
      <c r="O134" s="741"/>
      <c r="P134" s="741"/>
      <c r="Q134" s="741"/>
      <c r="R134" s="788"/>
      <c r="S134" s="819"/>
      <c r="T134" s="820"/>
      <c r="U134" s="819"/>
      <c r="V134" s="820"/>
      <c r="W134" s="788"/>
      <c r="X134" s="803"/>
      <c r="Y134" s="803"/>
      <c r="Z134" s="803"/>
      <c r="AA134" s="711"/>
      <c r="AB134" s="711"/>
      <c r="AC134" s="711"/>
      <c r="AD134" s="736"/>
      <c r="AE134" s="736"/>
      <c r="AF134" s="799">
        <f t="shared" si="8"/>
        <v>81800</v>
      </c>
      <c r="AG134" s="658">
        <v>0.9482903877955856</v>
      </c>
      <c r="AH134" s="659">
        <f t="shared" si="3"/>
        <v>0.9482903878</v>
      </c>
      <c r="AI134" s="641"/>
      <c r="AJ134" s="660">
        <f t="shared" si="6"/>
        <v>134</v>
      </c>
      <c r="AK134" s="676">
        <v>0.9543</v>
      </c>
      <c r="AL134" s="662">
        <v>105000.0</v>
      </c>
      <c r="AM134" s="677">
        <v>-0.9937330392336557</v>
      </c>
      <c r="AN134" s="678">
        <v>-0.04569999999999996</v>
      </c>
      <c r="AO134" s="662">
        <v>105000.0</v>
      </c>
      <c r="AP134" s="679">
        <v>-0.9929366101125143</v>
      </c>
      <c r="AQ134" s="662">
        <v>105000.0</v>
      </c>
      <c r="AR134" s="680">
        <v>-0.9920827367128303</v>
      </c>
      <c r="AS134" s="624"/>
      <c r="AT134" s="624"/>
      <c r="AU134" s="624"/>
      <c r="AV134" s="624"/>
      <c r="AW134" s="624"/>
      <c r="AX134" s="624"/>
      <c r="AY134" s="624"/>
      <c r="AZ134" s="624"/>
      <c r="BA134" s="624"/>
      <c r="BB134" s="624"/>
      <c r="BC134" s="624"/>
      <c r="BD134" s="624"/>
      <c r="BE134" s="624"/>
    </row>
    <row r="135" ht="16.5" customHeight="1">
      <c r="A135" s="711"/>
      <c r="B135" s="711"/>
      <c r="C135" s="711"/>
      <c r="D135" s="711"/>
      <c r="E135" s="711"/>
      <c r="F135" s="711"/>
      <c r="G135" s="711"/>
      <c r="H135" s="711"/>
      <c r="I135" s="711"/>
      <c r="J135" s="711"/>
      <c r="K135" s="741"/>
      <c r="L135" s="741"/>
      <c r="M135" s="788"/>
      <c r="N135" s="741"/>
      <c r="O135" s="741"/>
      <c r="P135" s="741"/>
      <c r="Q135" s="741"/>
      <c r="R135" s="788"/>
      <c r="S135" s="819"/>
      <c r="T135" s="820"/>
      <c r="U135" s="819"/>
      <c r="V135" s="820"/>
      <c r="W135" s="788"/>
      <c r="X135" s="803"/>
      <c r="Y135" s="803"/>
      <c r="Z135" s="803"/>
      <c r="AA135" s="711"/>
      <c r="AB135" s="711"/>
      <c r="AC135" s="711"/>
      <c r="AD135" s="736"/>
      <c r="AE135" s="736"/>
      <c r="AF135" s="799">
        <f t="shared" si="8"/>
        <v>82550</v>
      </c>
      <c r="AG135" s="658">
        <v>0.9481439890746166</v>
      </c>
      <c r="AH135" s="659">
        <f t="shared" si="3"/>
        <v>0.9481439891</v>
      </c>
      <c r="AI135" s="641"/>
      <c r="AJ135" s="660">
        <f t="shared" si="6"/>
        <v>135</v>
      </c>
      <c r="AK135" s="676">
        <v>0.9441</v>
      </c>
      <c r="AL135" s="662">
        <v>104958.0</v>
      </c>
      <c r="AM135" s="677">
        <v>-0.9937203107525011</v>
      </c>
      <c r="AN135" s="678">
        <v>-0.05589999999999995</v>
      </c>
      <c r="AO135" s="662">
        <v>104958.0</v>
      </c>
      <c r="AP135" s="679">
        <v>-0.9929226027335942</v>
      </c>
      <c r="AQ135" s="662">
        <v>104958.0</v>
      </c>
      <c r="AR135" s="680">
        <v>-0.9920673981384425</v>
      </c>
      <c r="AS135" s="624"/>
      <c r="AT135" s="624"/>
      <c r="AU135" s="624"/>
      <c r="AV135" s="624"/>
      <c r="AW135" s="624"/>
      <c r="AX135" s="624"/>
      <c r="AY135" s="624"/>
      <c r="AZ135" s="624"/>
      <c r="BA135" s="624"/>
      <c r="BB135" s="624"/>
      <c r="BC135" s="624"/>
      <c r="BD135" s="624"/>
      <c r="BE135" s="624"/>
    </row>
    <row r="136" ht="16.5" customHeight="1">
      <c r="A136" s="711"/>
      <c r="B136" s="711"/>
      <c r="C136" s="711"/>
      <c r="D136" s="711"/>
      <c r="E136" s="711"/>
      <c r="F136" s="711"/>
      <c r="G136" s="711"/>
      <c r="H136" s="711"/>
      <c r="I136" s="711"/>
      <c r="J136" s="711"/>
      <c r="K136" s="741"/>
      <c r="L136" s="741"/>
      <c r="M136" s="788"/>
      <c r="N136" s="741"/>
      <c r="O136" s="741"/>
      <c r="P136" s="741"/>
      <c r="Q136" s="741"/>
      <c r="R136" s="788"/>
      <c r="S136" s="819"/>
      <c r="T136" s="820"/>
      <c r="U136" s="819"/>
      <c r="V136" s="820"/>
      <c r="W136" s="788"/>
      <c r="X136" s="803"/>
      <c r="Y136" s="803"/>
      <c r="Z136" s="803"/>
      <c r="AA136" s="711"/>
      <c r="AB136" s="711"/>
      <c r="AC136" s="711"/>
      <c r="AD136" s="736"/>
      <c r="AE136" s="736"/>
      <c r="AF136" s="799">
        <f t="shared" si="8"/>
        <v>83300</v>
      </c>
      <c r="AG136" s="658">
        <v>0.9479986039806266</v>
      </c>
      <c r="AH136" s="659">
        <f t="shared" si="3"/>
        <v>0.947998604</v>
      </c>
      <c r="AI136" s="641"/>
      <c r="AJ136" s="660">
        <f t="shared" si="6"/>
        <v>136</v>
      </c>
      <c r="AK136" s="676">
        <v>0.9348</v>
      </c>
      <c r="AL136" s="662">
        <v>104000.0</v>
      </c>
      <c r="AM136" s="677">
        <v>-0.9934228554669234</v>
      </c>
      <c r="AN136" s="678">
        <v>-0.06520000000000004</v>
      </c>
      <c r="AO136" s="662">
        <v>104000.0</v>
      </c>
      <c r="AP136" s="679">
        <v>-0.9925954483302692</v>
      </c>
      <c r="AQ136" s="662">
        <v>104000.0</v>
      </c>
      <c r="AR136" s="680">
        <v>-0.9917093485319088</v>
      </c>
      <c r="AS136" s="624"/>
      <c r="AT136" s="624"/>
      <c r="AU136" s="624"/>
      <c r="AV136" s="624"/>
      <c r="AW136" s="624"/>
      <c r="AX136" s="624"/>
      <c r="AY136" s="624"/>
      <c r="AZ136" s="624"/>
      <c r="BA136" s="624"/>
      <c r="BB136" s="624"/>
      <c r="BC136" s="624"/>
      <c r="BD136" s="624"/>
      <c r="BE136" s="624"/>
    </row>
    <row r="137" ht="16.5" customHeight="1">
      <c r="A137" s="711"/>
      <c r="B137" s="711"/>
      <c r="C137" s="711"/>
      <c r="D137" s="711"/>
      <c r="E137" s="711"/>
      <c r="F137" s="711"/>
      <c r="G137" s="711"/>
      <c r="H137" s="711"/>
      <c r="I137" s="711"/>
      <c r="J137" s="711"/>
      <c r="K137" s="741"/>
      <c r="L137" s="741"/>
      <c r="M137" s="788"/>
      <c r="N137" s="741"/>
      <c r="O137" s="741"/>
      <c r="P137" s="741"/>
      <c r="Q137" s="741"/>
      <c r="R137" s="788"/>
      <c r="S137" s="819"/>
      <c r="T137" s="820"/>
      <c r="U137" s="819"/>
      <c r="V137" s="820"/>
      <c r="W137" s="788"/>
      <c r="X137" s="803"/>
      <c r="Y137" s="803"/>
      <c r="Z137" s="803"/>
      <c r="AA137" s="711"/>
      <c r="AB137" s="711"/>
      <c r="AC137" s="711"/>
      <c r="AD137" s="736"/>
      <c r="AE137" s="736"/>
      <c r="AF137" s="799">
        <f t="shared" si="8"/>
        <v>84050</v>
      </c>
      <c r="AG137" s="658">
        <v>0.9478541972810625</v>
      </c>
      <c r="AH137" s="659">
        <f t="shared" si="3"/>
        <v>0.9478541973</v>
      </c>
      <c r="AI137" s="641"/>
      <c r="AJ137" s="660">
        <f t="shared" si="6"/>
        <v>137</v>
      </c>
      <c r="AK137" s="676">
        <v>0.9416</v>
      </c>
      <c r="AL137" s="662">
        <v>103802.0</v>
      </c>
      <c r="AM137" s="677">
        <v>-0.9933596418054118</v>
      </c>
      <c r="AN137" s="678">
        <v>-0.05840000000000001</v>
      </c>
      <c r="AO137" s="662">
        <v>103802.0</v>
      </c>
      <c r="AP137" s="679">
        <v>-0.9925259686599436</v>
      </c>
      <c r="AQ137" s="662">
        <v>103802.0</v>
      </c>
      <c r="AR137" s="680">
        <v>-0.9916333549413512</v>
      </c>
      <c r="AS137" s="624"/>
      <c r="AT137" s="624"/>
      <c r="AU137" s="624"/>
      <c r="AV137" s="624"/>
      <c r="AW137" s="624"/>
      <c r="AX137" s="624"/>
      <c r="AY137" s="624"/>
      <c r="AZ137" s="624"/>
      <c r="BA137" s="624"/>
      <c r="BB137" s="624"/>
      <c r="BC137" s="624"/>
      <c r="BD137" s="624"/>
      <c r="BE137" s="624"/>
    </row>
    <row r="138" ht="16.5" customHeight="1">
      <c r="A138" s="711"/>
      <c r="B138" s="711"/>
      <c r="C138" s="711"/>
      <c r="D138" s="711"/>
      <c r="E138" s="711"/>
      <c r="F138" s="711"/>
      <c r="G138" s="711"/>
      <c r="H138" s="711"/>
      <c r="I138" s="711"/>
      <c r="J138" s="711"/>
      <c r="K138" s="741"/>
      <c r="L138" s="741"/>
      <c r="M138" s="788"/>
      <c r="N138" s="741"/>
      <c r="O138" s="741"/>
      <c r="P138" s="741"/>
      <c r="Q138" s="741"/>
      <c r="R138" s="788"/>
      <c r="S138" s="819"/>
      <c r="T138" s="820"/>
      <c r="U138" s="819"/>
      <c r="V138" s="820"/>
      <c r="W138" s="788"/>
      <c r="X138" s="803"/>
      <c r="Y138" s="803"/>
      <c r="Z138" s="803"/>
      <c r="AA138" s="711"/>
      <c r="AB138" s="711"/>
      <c r="AC138" s="711"/>
      <c r="AD138" s="736"/>
      <c r="AE138" s="736"/>
      <c r="AF138" s="799">
        <f t="shared" si="8"/>
        <v>84800</v>
      </c>
      <c r="AG138" s="658">
        <v>0.9477107349680158</v>
      </c>
      <c r="AH138" s="659">
        <f t="shared" si="3"/>
        <v>0.947710735</v>
      </c>
      <c r="AI138" s="641"/>
      <c r="AJ138" s="660">
        <f t="shared" si="6"/>
        <v>138</v>
      </c>
      <c r="AK138" s="676">
        <v>0.9644</v>
      </c>
      <c r="AL138" s="662">
        <v>102748.0</v>
      </c>
      <c r="AM138" s="677">
        <v>-0.9930127729060423</v>
      </c>
      <c r="AN138" s="678">
        <v>-0.035599999999999965</v>
      </c>
      <c r="AO138" s="662">
        <v>102748.0</v>
      </c>
      <c r="AP138" s="679">
        <v>-0.9921449903093619</v>
      </c>
      <c r="AQ138" s="662">
        <v>102748.0</v>
      </c>
      <c r="AR138" s="680">
        <v>-0.9912169440655401</v>
      </c>
      <c r="AS138" s="624"/>
      <c r="AT138" s="624"/>
      <c r="AU138" s="624"/>
      <c r="AV138" s="624"/>
      <c r="AW138" s="624"/>
      <c r="AX138" s="624"/>
      <c r="AY138" s="624"/>
      <c r="AZ138" s="624"/>
      <c r="BA138" s="624"/>
      <c r="BB138" s="624"/>
      <c r="BC138" s="624"/>
      <c r="BD138" s="624"/>
      <c r="BE138" s="624"/>
    </row>
    <row r="139" ht="16.5" customHeight="1">
      <c r="A139" s="711"/>
      <c r="B139" s="711"/>
      <c r="C139" s="711"/>
      <c r="D139" s="711"/>
      <c r="E139" s="711"/>
      <c r="F139" s="711"/>
      <c r="G139" s="711"/>
      <c r="H139" s="711"/>
      <c r="I139" s="711"/>
      <c r="J139" s="711"/>
      <c r="K139" s="741"/>
      <c r="L139" s="741"/>
      <c r="M139" s="788"/>
      <c r="N139" s="741"/>
      <c r="O139" s="741"/>
      <c r="P139" s="741"/>
      <c r="Q139" s="741"/>
      <c r="R139" s="788"/>
      <c r="S139" s="819"/>
      <c r="T139" s="820"/>
      <c r="U139" s="819"/>
      <c r="V139" s="820"/>
      <c r="W139" s="788"/>
      <c r="X139" s="803"/>
      <c r="Y139" s="803"/>
      <c r="Z139" s="803"/>
      <c r="AA139" s="711"/>
      <c r="AB139" s="711"/>
      <c r="AC139" s="711"/>
      <c r="AD139" s="736"/>
      <c r="AE139" s="736"/>
      <c r="AF139" s="799">
        <f t="shared" si="8"/>
        <v>85550</v>
      </c>
      <c r="AG139" s="658">
        <v>0.9475681842156553</v>
      </c>
      <c r="AH139" s="659">
        <f t="shared" si="3"/>
        <v>0.9475681842</v>
      </c>
      <c r="AI139" s="641"/>
      <c r="AJ139" s="660">
        <f t="shared" si="6"/>
        <v>139</v>
      </c>
      <c r="AK139" s="676">
        <v>0.9492</v>
      </c>
      <c r="AL139" s="662">
        <v>102000.0</v>
      </c>
      <c r="AM139" s="677">
        <v>-0.992755670339234</v>
      </c>
      <c r="AN139" s="678">
        <v>-0.050799999999999956</v>
      </c>
      <c r="AO139" s="662">
        <v>102000.0</v>
      </c>
      <c r="AP139" s="679">
        <v>-0.9918628945230419</v>
      </c>
      <c r="AQ139" s="662">
        <v>102000.0</v>
      </c>
      <c r="AR139" s="680">
        <v>-0.9909089133046349</v>
      </c>
      <c r="AS139" s="624"/>
      <c r="AT139" s="624"/>
      <c r="AU139" s="624"/>
      <c r="AV139" s="624"/>
      <c r="AW139" s="624"/>
      <c r="AX139" s="624"/>
      <c r="AY139" s="624"/>
      <c r="AZ139" s="624"/>
      <c r="BA139" s="624"/>
      <c r="BB139" s="624"/>
      <c r="BC139" s="624"/>
      <c r="BD139" s="624"/>
      <c r="BE139" s="624"/>
    </row>
    <row r="140" ht="16.5" customHeight="1">
      <c r="A140" s="711"/>
      <c r="B140" s="711"/>
      <c r="C140" s="711"/>
      <c r="D140" s="711"/>
      <c r="E140" s="711"/>
      <c r="F140" s="711"/>
      <c r="G140" s="711"/>
      <c r="H140" s="711"/>
      <c r="I140" s="711"/>
      <c r="J140" s="711"/>
      <c r="K140" s="741"/>
      <c r="L140" s="741"/>
      <c r="M140" s="788"/>
      <c r="N140" s="741"/>
      <c r="O140" s="741"/>
      <c r="P140" s="741"/>
      <c r="Q140" s="741"/>
      <c r="R140" s="788"/>
      <c r="S140" s="819"/>
      <c r="T140" s="820"/>
      <c r="U140" s="819"/>
      <c r="V140" s="820"/>
      <c r="W140" s="788"/>
      <c r="X140" s="803"/>
      <c r="Y140" s="803"/>
      <c r="Z140" s="803"/>
      <c r="AA140" s="711"/>
      <c r="AB140" s="711"/>
      <c r="AC140" s="711"/>
      <c r="AD140" s="736"/>
      <c r="AE140" s="736"/>
      <c r="AF140" s="799">
        <f t="shared" si="8"/>
        <v>86300</v>
      </c>
      <c r="AG140" s="658">
        <v>0.9474265133391392</v>
      </c>
      <c r="AH140" s="659">
        <f t="shared" si="3"/>
        <v>0.9474265133</v>
      </c>
      <c r="AI140" s="641"/>
      <c r="AJ140" s="660">
        <f t="shared" si="6"/>
        <v>140</v>
      </c>
      <c r="AK140" s="676">
        <v>0.9543</v>
      </c>
      <c r="AL140" s="662">
        <v>102000.0</v>
      </c>
      <c r="AM140" s="677">
        <v>-0.992755670339234</v>
      </c>
      <c r="AN140" s="678">
        <v>-0.04569999999999996</v>
      </c>
      <c r="AO140" s="662">
        <v>102000.0</v>
      </c>
      <c r="AP140" s="679">
        <v>-0.9918628945230419</v>
      </c>
      <c r="AQ140" s="662">
        <v>102000.0</v>
      </c>
      <c r="AR140" s="680">
        <v>-0.9909089133046349</v>
      </c>
      <c r="AS140" s="624"/>
      <c r="AT140" s="624"/>
      <c r="AU140" s="624"/>
      <c r="AV140" s="624"/>
      <c r="AW140" s="624"/>
      <c r="AX140" s="624"/>
      <c r="AY140" s="624"/>
      <c r="AZ140" s="624"/>
      <c r="BA140" s="624"/>
      <c r="BB140" s="624"/>
      <c r="BC140" s="624"/>
      <c r="BD140" s="624"/>
      <c r="BE140" s="624"/>
    </row>
    <row r="141" ht="16.5" customHeight="1">
      <c r="A141" s="711"/>
      <c r="B141" s="711"/>
      <c r="C141" s="711"/>
      <c r="D141" s="711"/>
      <c r="E141" s="711"/>
      <c r="F141" s="711"/>
      <c r="G141" s="711"/>
      <c r="H141" s="711"/>
      <c r="I141" s="711"/>
      <c r="J141" s="711"/>
      <c r="K141" s="741"/>
      <c r="L141" s="741"/>
      <c r="M141" s="788"/>
      <c r="N141" s="741"/>
      <c r="O141" s="741"/>
      <c r="P141" s="741"/>
      <c r="Q141" s="741"/>
      <c r="R141" s="788"/>
      <c r="S141" s="819"/>
      <c r="T141" s="820"/>
      <c r="U141" s="819"/>
      <c r="V141" s="820"/>
      <c r="W141" s="788"/>
      <c r="X141" s="803"/>
      <c r="Y141" s="803"/>
      <c r="Z141" s="803"/>
      <c r="AA141" s="711"/>
      <c r="AB141" s="711"/>
      <c r="AC141" s="711"/>
      <c r="AD141" s="736"/>
      <c r="AE141" s="736"/>
      <c r="AF141" s="799">
        <f t="shared" si="8"/>
        <v>87050</v>
      </c>
      <c r="AG141" s="658">
        <v>0.947285691754956</v>
      </c>
      <c r="AH141" s="659">
        <f t="shared" si="3"/>
        <v>0.9472856918</v>
      </c>
      <c r="AI141" s="641"/>
      <c r="AJ141" s="660">
        <f t="shared" si="6"/>
        <v>141</v>
      </c>
      <c r="AK141" s="676">
        <v>0.9298</v>
      </c>
      <c r="AL141" s="662">
        <v>101033.0</v>
      </c>
      <c r="AM141" s="677">
        <v>-0.9924092225048228</v>
      </c>
      <c r="AN141" s="678">
        <v>-0.07020000000000004</v>
      </c>
      <c r="AO141" s="662">
        <v>101033.0</v>
      </c>
      <c r="AP141" s="679">
        <v>-0.99148313997018</v>
      </c>
      <c r="AQ141" s="662">
        <v>101033.0</v>
      </c>
      <c r="AR141" s="680">
        <v>-0.9904946322869227</v>
      </c>
      <c r="AS141" s="624"/>
      <c r="AT141" s="624"/>
      <c r="AU141" s="624"/>
      <c r="AV141" s="624"/>
      <c r="AW141" s="624"/>
      <c r="AX141" s="624"/>
      <c r="AY141" s="624"/>
      <c r="AZ141" s="624"/>
      <c r="BA141" s="624"/>
      <c r="BB141" s="624"/>
      <c r="BC141" s="624"/>
      <c r="BD141" s="624"/>
      <c r="BE141" s="624"/>
    </row>
    <row r="142" ht="16.5" customHeight="1">
      <c r="A142" s="711"/>
      <c r="B142" s="711"/>
      <c r="C142" s="711"/>
      <c r="D142" s="711"/>
      <c r="E142" s="711"/>
      <c r="F142" s="711"/>
      <c r="G142" s="711"/>
      <c r="H142" s="711"/>
      <c r="I142" s="711"/>
      <c r="J142" s="711"/>
      <c r="K142" s="741"/>
      <c r="L142" s="741"/>
      <c r="M142" s="788"/>
      <c r="N142" s="741"/>
      <c r="O142" s="741"/>
      <c r="P142" s="741"/>
      <c r="Q142" s="741"/>
      <c r="R142" s="788"/>
      <c r="S142" s="819"/>
      <c r="T142" s="820"/>
      <c r="U142" s="819"/>
      <c r="V142" s="820"/>
      <c r="W142" s="788"/>
      <c r="X142" s="803"/>
      <c r="Y142" s="803"/>
      <c r="Z142" s="803"/>
      <c r="AA142" s="711"/>
      <c r="AB142" s="711"/>
      <c r="AC142" s="711"/>
      <c r="AD142" s="736"/>
      <c r="AE142" s="736"/>
      <c r="AF142" s="799">
        <f t="shared" si="8"/>
        <v>87800</v>
      </c>
      <c r="AG142" s="658">
        <v>0.9471456899426433</v>
      </c>
      <c r="AH142" s="659">
        <f t="shared" si="3"/>
        <v>0.9471456899</v>
      </c>
      <c r="AI142" s="641"/>
      <c r="AJ142" s="660">
        <f t="shared" si="6"/>
        <v>142</v>
      </c>
      <c r="AK142" s="676">
        <v>0.9593</v>
      </c>
      <c r="AL142" s="662">
        <v>100790.0</v>
      </c>
      <c r="AM142" s="677">
        <v>-0.9923195882932055</v>
      </c>
      <c r="AN142" s="678">
        <v>-0.04069999999999996</v>
      </c>
      <c r="AO142" s="662">
        <v>100790.0</v>
      </c>
      <c r="AP142" s="679">
        <v>-0.99138495583954</v>
      </c>
      <c r="AQ142" s="662">
        <v>100790.0</v>
      </c>
      <c r="AR142" s="680">
        <v>-0.9903875914786427</v>
      </c>
      <c r="AS142" s="624"/>
      <c r="AT142" s="624"/>
      <c r="AU142" s="624"/>
      <c r="AV142" s="624"/>
      <c r="AW142" s="624"/>
      <c r="AX142" s="624"/>
      <c r="AY142" s="624"/>
      <c r="AZ142" s="624"/>
      <c r="BA142" s="624"/>
      <c r="BB142" s="624"/>
      <c r="BC142" s="624"/>
      <c r="BD142" s="624"/>
      <c r="BE142" s="624"/>
    </row>
    <row r="143" ht="16.5" customHeight="1">
      <c r="A143" s="711"/>
      <c r="B143" s="711"/>
      <c r="C143" s="711"/>
      <c r="D143" s="711"/>
      <c r="E143" s="711"/>
      <c r="F143" s="711"/>
      <c r="G143" s="711"/>
      <c r="H143" s="711"/>
      <c r="I143" s="711"/>
      <c r="J143" s="711"/>
      <c r="K143" s="741"/>
      <c r="L143" s="741"/>
      <c r="M143" s="788"/>
      <c r="N143" s="741"/>
      <c r="O143" s="741"/>
      <c r="P143" s="741"/>
      <c r="Q143" s="741"/>
      <c r="R143" s="788"/>
      <c r="S143" s="819"/>
      <c r="T143" s="820"/>
      <c r="U143" s="819"/>
      <c r="V143" s="820"/>
      <c r="W143" s="788"/>
      <c r="X143" s="803"/>
      <c r="Y143" s="803"/>
      <c r="Z143" s="803"/>
      <c r="AA143" s="711"/>
      <c r="AB143" s="711"/>
      <c r="AC143" s="711"/>
      <c r="AD143" s="736"/>
      <c r="AE143" s="736"/>
      <c r="AF143" s="799">
        <f t="shared" si="8"/>
        <v>88550</v>
      </c>
      <c r="AG143" s="658">
        <v>0.9470064794078371</v>
      </c>
      <c r="AH143" s="659">
        <f t="shared" si="3"/>
        <v>0.9470064794</v>
      </c>
      <c r="AI143" s="641"/>
      <c r="AJ143" s="660">
        <f t="shared" si="6"/>
        <v>143</v>
      </c>
      <c r="AK143" s="676">
        <v>0.967</v>
      </c>
      <c r="AL143" s="662">
        <v>100500.0</v>
      </c>
      <c r="AM143" s="677">
        <v>-0.992211231070684</v>
      </c>
      <c r="AN143" s="678">
        <v>-0.03300000000000003</v>
      </c>
      <c r="AO143" s="662">
        <v>100500.0</v>
      </c>
      <c r="AP143" s="679">
        <v>-0.9912662988183665</v>
      </c>
      <c r="AQ143" s="662">
        <v>100500.0</v>
      </c>
      <c r="AR143" s="680">
        <v>-0.9902582685046429</v>
      </c>
      <c r="AS143" s="624"/>
      <c r="AT143" s="624"/>
      <c r="AU143" s="624"/>
      <c r="AV143" s="624"/>
      <c r="AW143" s="624"/>
      <c r="AX143" s="624"/>
      <c r="AY143" s="624"/>
      <c r="AZ143" s="624"/>
      <c r="BA143" s="624"/>
      <c r="BB143" s="624"/>
      <c r="BC143" s="624"/>
      <c r="BD143" s="624"/>
      <c r="BE143" s="624"/>
    </row>
    <row r="144" ht="16.5" customHeight="1">
      <c r="A144" s="711"/>
      <c r="B144" s="711"/>
      <c r="C144" s="711"/>
      <c r="D144" s="711"/>
      <c r="E144" s="711"/>
      <c r="F144" s="711"/>
      <c r="G144" s="711"/>
      <c r="H144" s="711"/>
      <c r="I144" s="711"/>
      <c r="J144" s="711"/>
      <c r="K144" s="741"/>
      <c r="L144" s="741"/>
      <c r="M144" s="788"/>
      <c r="N144" s="741"/>
      <c r="O144" s="741"/>
      <c r="P144" s="741"/>
      <c r="Q144" s="741"/>
      <c r="R144" s="788"/>
      <c r="S144" s="819"/>
      <c r="T144" s="820"/>
      <c r="U144" s="819"/>
      <c r="V144" s="820"/>
      <c r="W144" s="788"/>
      <c r="X144" s="803"/>
      <c r="Y144" s="803"/>
      <c r="Z144" s="803"/>
      <c r="AA144" s="711"/>
      <c r="AB144" s="711"/>
      <c r="AC144" s="711"/>
      <c r="AD144" s="736"/>
      <c r="AE144" s="736"/>
      <c r="AF144" s="799">
        <f t="shared" si="8"/>
        <v>89300</v>
      </c>
      <c r="AG144" s="658">
        <v>0.9468680326466061</v>
      </c>
      <c r="AH144" s="659">
        <f t="shared" si="3"/>
        <v>0.9468680326</v>
      </c>
      <c r="AI144" s="641"/>
      <c r="AJ144" s="660">
        <f t="shared" si="6"/>
        <v>144</v>
      </c>
      <c r="AK144" s="676">
        <v>0.9655</v>
      </c>
      <c r="AL144" s="662">
        <v>100449.0</v>
      </c>
      <c r="AM144" s="677">
        <v>-0.9921920176911967</v>
      </c>
      <c r="AN144" s="678">
        <v>-0.034499999999999975</v>
      </c>
      <c r="AO144" s="662">
        <v>100449.0</v>
      </c>
      <c r="AP144" s="679">
        <v>-0.991245263207363</v>
      </c>
      <c r="AQ144" s="662">
        <v>100449.0</v>
      </c>
      <c r="AR144" s="680">
        <v>-0.9902353462652692</v>
      </c>
      <c r="AS144" s="624"/>
      <c r="AT144" s="624"/>
      <c r="AU144" s="624"/>
      <c r="AV144" s="624"/>
      <c r="AW144" s="624"/>
      <c r="AX144" s="624"/>
      <c r="AY144" s="624"/>
      <c r="AZ144" s="624"/>
      <c r="BA144" s="624"/>
      <c r="BB144" s="624"/>
      <c r="BC144" s="624"/>
      <c r="BD144" s="624"/>
      <c r="BE144" s="624"/>
    </row>
    <row r="145" ht="16.5" customHeight="1">
      <c r="A145" s="711"/>
      <c r="B145" s="711"/>
      <c r="C145" s="711"/>
      <c r="D145" s="711"/>
      <c r="E145" s="711"/>
      <c r="F145" s="711"/>
      <c r="G145" s="711"/>
      <c r="H145" s="711"/>
      <c r="I145" s="711"/>
      <c r="J145" s="711"/>
      <c r="K145" s="741"/>
      <c r="L145" s="741"/>
      <c r="M145" s="788"/>
      <c r="N145" s="741"/>
      <c r="O145" s="741"/>
      <c r="P145" s="741"/>
      <c r="Q145" s="741"/>
      <c r="R145" s="788"/>
      <c r="S145" s="819"/>
      <c r="T145" s="820"/>
      <c r="U145" s="819"/>
      <c r="V145" s="820"/>
      <c r="W145" s="788"/>
      <c r="X145" s="803"/>
      <c r="Y145" s="803"/>
      <c r="Z145" s="803"/>
      <c r="AA145" s="711"/>
      <c r="AB145" s="711"/>
      <c r="AC145" s="711"/>
      <c r="AD145" s="736"/>
      <c r="AE145" s="736"/>
      <c r="AF145" s="799">
        <f t="shared" si="8"/>
        <v>90050</v>
      </c>
      <c r="AG145" s="658">
        <v>0.9467303231110253</v>
      </c>
      <c r="AH145" s="659">
        <f t="shared" si="3"/>
        <v>0.9467303231</v>
      </c>
      <c r="AI145" s="641"/>
      <c r="AJ145" s="660">
        <f t="shared" si="6"/>
        <v>145</v>
      </c>
      <c r="AK145" s="676">
        <v>0.9644</v>
      </c>
      <c r="AL145" s="662">
        <v>100315.0</v>
      </c>
      <c r="AM145" s="677">
        <v>-0.992141309313169</v>
      </c>
      <c r="AN145" s="678">
        <v>-0.035599999999999965</v>
      </c>
      <c r="AO145" s="662">
        <v>100315.0</v>
      </c>
      <c r="AP145" s="679">
        <v>-0.9911897514100746</v>
      </c>
      <c r="AQ145" s="662">
        <v>100315.0</v>
      </c>
      <c r="AR145" s="680">
        <v>-0.9901748618465698</v>
      </c>
      <c r="AS145" s="624"/>
      <c r="AT145" s="624"/>
      <c r="AU145" s="624"/>
      <c r="AV145" s="624"/>
      <c r="AW145" s="624"/>
      <c r="AX145" s="624"/>
      <c r="AY145" s="624"/>
      <c r="AZ145" s="624"/>
      <c r="BA145" s="624"/>
      <c r="BB145" s="624"/>
      <c r="BC145" s="624"/>
      <c r="BD145" s="624"/>
      <c r="BE145" s="624"/>
    </row>
    <row r="146" ht="16.5" customHeight="1">
      <c r="A146" s="711"/>
      <c r="B146" s="711"/>
      <c r="C146" s="711"/>
      <c r="D146" s="711"/>
      <c r="E146" s="711"/>
      <c r="F146" s="711"/>
      <c r="G146" s="711"/>
      <c r="H146" s="711"/>
      <c r="I146" s="711"/>
      <c r="J146" s="711"/>
      <c r="K146" s="741"/>
      <c r="L146" s="741"/>
      <c r="M146" s="788"/>
      <c r="N146" s="741"/>
      <c r="O146" s="741"/>
      <c r="P146" s="741"/>
      <c r="Q146" s="741"/>
      <c r="R146" s="788"/>
      <c r="S146" s="819"/>
      <c r="T146" s="820"/>
      <c r="U146" s="819"/>
      <c r="V146" s="820"/>
      <c r="W146" s="788"/>
      <c r="X146" s="803"/>
      <c r="Y146" s="803"/>
      <c r="Z146" s="803"/>
      <c r="AA146" s="711"/>
      <c r="AB146" s="711"/>
      <c r="AC146" s="711"/>
      <c r="AD146" s="736"/>
      <c r="AE146" s="736"/>
      <c r="AF146" s="799">
        <f t="shared" si="8"/>
        <v>90800</v>
      </c>
      <c r="AG146" s="658">
        <v>0.9465933251759463</v>
      </c>
      <c r="AH146" s="659">
        <f t="shared" si="3"/>
        <v>0.9465933252</v>
      </c>
      <c r="AI146" s="641"/>
      <c r="AJ146" s="660">
        <f t="shared" si="6"/>
        <v>146</v>
      </c>
      <c r="AK146" s="676">
        <v>0.9398</v>
      </c>
      <c r="AL146" s="662">
        <v>100250.0</v>
      </c>
      <c r="AM146" s="677">
        <v>-0.9921165934803757</v>
      </c>
      <c r="AN146" s="678">
        <v>-0.06020000000000003</v>
      </c>
      <c r="AO146" s="662">
        <v>100250.0</v>
      </c>
      <c r="AP146" s="679">
        <v>-0.991162697402325</v>
      </c>
      <c r="AQ146" s="662">
        <v>100250.0</v>
      </c>
      <c r="AR146" s="680">
        <v>-0.9901453875878066</v>
      </c>
      <c r="AS146" s="624"/>
      <c r="AT146" s="624"/>
      <c r="AU146" s="624"/>
      <c r="AV146" s="624"/>
      <c r="AW146" s="624"/>
      <c r="AX146" s="624"/>
      <c r="AY146" s="624"/>
      <c r="AZ146" s="624"/>
      <c r="BA146" s="624"/>
      <c r="BB146" s="624"/>
      <c r="BC146" s="624"/>
      <c r="BD146" s="624"/>
      <c r="BE146" s="624"/>
    </row>
    <row r="147" ht="16.5" customHeight="1">
      <c r="A147" s="711"/>
      <c r="B147" s="711"/>
      <c r="C147" s="711"/>
      <c r="D147" s="711"/>
      <c r="E147" s="711"/>
      <c r="F147" s="711"/>
      <c r="G147" s="711"/>
      <c r="H147" s="711"/>
      <c r="I147" s="711"/>
      <c r="J147" s="711"/>
      <c r="K147" s="741"/>
      <c r="L147" s="741"/>
      <c r="M147" s="788"/>
      <c r="N147" s="741"/>
      <c r="O147" s="741"/>
      <c r="P147" s="741"/>
      <c r="Q147" s="741"/>
      <c r="R147" s="788"/>
      <c r="S147" s="819"/>
      <c r="T147" s="820"/>
      <c r="U147" s="819"/>
      <c r="V147" s="820"/>
      <c r="W147" s="788"/>
      <c r="X147" s="803"/>
      <c r="Y147" s="803"/>
      <c r="Z147" s="803"/>
      <c r="AA147" s="711"/>
      <c r="AB147" s="711"/>
      <c r="AC147" s="711"/>
      <c r="AD147" s="736"/>
      <c r="AE147" s="736"/>
      <c r="AF147" s="799">
        <f t="shared" si="8"/>
        <v>91550</v>
      </c>
      <c r="AG147" s="658">
        <v>0.9464570141069222</v>
      </c>
      <c r="AH147" s="659">
        <f t="shared" si="3"/>
        <v>0.9464570141</v>
      </c>
      <c r="AI147" s="641"/>
      <c r="AJ147" s="660">
        <f t="shared" si="6"/>
        <v>147</v>
      </c>
      <c r="AK147" s="676">
        <v>0.9644</v>
      </c>
      <c r="AL147" s="662">
        <v>100000.0</v>
      </c>
      <c r="AM147" s="677">
        <v>-0.9920208059941621</v>
      </c>
      <c r="AN147" s="678">
        <v>-0.035599999999999965</v>
      </c>
      <c r="AO147" s="662">
        <v>100000.0</v>
      </c>
      <c r="AP147" s="679">
        <v>-0.9910578670395651</v>
      </c>
      <c r="AQ147" s="662">
        <v>100000.0</v>
      </c>
      <c r="AR147" s="680">
        <v>-0.9900311986795323</v>
      </c>
      <c r="AS147" s="624"/>
      <c r="AT147" s="624"/>
      <c r="AU147" s="624"/>
      <c r="AV147" s="624"/>
      <c r="AW147" s="624"/>
      <c r="AX147" s="624"/>
      <c r="AY147" s="624"/>
      <c r="AZ147" s="624"/>
      <c r="BA147" s="624"/>
      <c r="BB147" s="624"/>
      <c r="BC147" s="624"/>
      <c r="BD147" s="624"/>
      <c r="BE147" s="624"/>
    </row>
    <row r="148" ht="16.5" customHeight="1">
      <c r="A148" s="711"/>
      <c r="B148" s="711"/>
      <c r="C148" s="711"/>
      <c r="D148" s="711"/>
      <c r="E148" s="711"/>
      <c r="F148" s="711"/>
      <c r="G148" s="711"/>
      <c r="H148" s="711"/>
      <c r="I148" s="711"/>
      <c r="J148" s="711"/>
      <c r="K148" s="741"/>
      <c r="L148" s="741"/>
      <c r="M148" s="788"/>
      <c r="N148" s="741"/>
      <c r="O148" s="741"/>
      <c r="P148" s="741"/>
      <c r="Q148" s="741"/>
      <c r="R148" s="788"/>
      <c r="S148" s="819"/>
      <c r="T148" s="820"/>
      <c r="U148" s="819"/>
      <c r="V148" s="820"/>
      <c r="W148" s="788"/>
      <c r="X148" s="803"/>
      <c r="Y148" s="803"/>
      <c r="Z148" s="803"/>
      <c r="AA148" s="711"/>
      <c r="AB148" s="711"/>
      <c r="AC148" s="711"/>
      <c r="AD148" s="736"/>
      <c r="AE148" s="736"/>
      <c r="AF148" s="799">
        <f t="shared" si="8"/>
        <v>92300</v>
      </c>
      <c r="AG148" s="658">
        <v>0.9463213660292483</v>
      </c>
      <c r="AH148" s="659">
        <f t="shared" si="3"/>
        <v>0.946321366</v>
      </c>
      <c r="AI148" s="641"/>
      <c r="AJ148" s="660">
        <f t="shared" si="6"/>
        <v>148</v>
      </c>
      <c r="AK148" s="676">
        <v>0.934</v>
      </c>
      <c r="AL148" s="662">
        <v>100000.0</v>
      </c>
      <c r="AM148" s="677">
        <v>-0.9920208059941621</v>
      </c>
      <c r="AN148" s="678">
        <v>-0.06599999999999995</v>
      </c>
      <c r="AO148" s="662">
        <v>100000.0</v>
      </c>
      <c r="AP148" s="679">
        <v>-0.9910578670395651</v>
      </c>
      <c r="AQ148" s="662">
        <v>100000.0</v>
      </c>
      <c r="AR148" s="680">
        <v>-0.9900311986795323</v>
      </c>
      <c r="AS148" s="624"/>
      <c r="AT148" s="624"/>
      <c r="AU148" s="624"/>
      <c r="AV148" s="624"/>
      <c r="AW148" s="624"/>
      <c r="AX148" s="624"/>
      <c r="AY148" s="624"/>
      <c r="AZ148" s="624"/>
      <c r="BA148" s="624"/>
      <c r="BB148" s="624"/>
      <c r="BC148" s="624"/>
      <c r="BD148" s="624"/>
      <c r="BE148" s="624"/>
    </row>
    <row r="149" ht="16.5" customHeight="1">
      <c r="A149" s="711"/>
      <c r="B149" s="711"/>
      <c r="C149" s="711"/>
      <c r="D149" s="711"/>
      <c r="E149" s="711"/>
      <c r="F149" s="711"/>
      <c r="G149" s="711"/>
      <c r="H149" s="711"/>
      <c r="I149" s="711"/>
      <c r="J149" s="711"/>
      <c r="K149" s="741"/>
      <c r="L149" s="741"/>
      <c r="M149" s="788"/>
      <c r="N149" s="741"/>
      <c r="O149" s="741"/>
      <c r="P149" s="741"/>
      <c r="Q149" s="741"/>
      <c r="R149" s="788"/>
      <c r="S149" s="819"/>
      <c r="T149" s="820"/>
      <c r="U149" s="819"/>
      <c r="V149" s="820"/>
      <c r="W149" s="788"/>
      <c r="X149" s="803"/>
      <c r="Y149" s="803"/>
      <c r="Z149" s="803"/>
      <c r="AA149" s="711"/>
      <c r="AB149" s="711"/>
      <c r="AC149" s="711"/>
      <c r="AD149" s="736"/>
      <c r="AE149" s="736"/>
      <c r="AF149" s="799">
        <f t="shared" si="8"/>
        <v>93050</v>
      </c>
      <c r="AG149" s="658">
        <v>0.9461863578980785</v>
      </c>
      <c r="AH149" s="659">
        <f t="shared" si="3"/>
        <v>0.9461863579</v>
      </c>
      <c r="AI149" s="641"/>
      <c r="AJ149" s="660">
        <f t="shared" si="6"/>
        <v>149</v>
      </c>
      <c r="AK149" s="676">
        <v>0.9543</v>
      </c>
      <c r="AL149" s="662">
        <v>100000.0</v>
      </c>
      <c r="AM149" s="677">
        <v>-0.9920208059941621</v>
      </c>
      <c r="AN149" s="678">
        <v>-0.04569999999999996</v>
      </c>
      <c r="AO149" s="662">
        <v>100000.0</v>
      </c>
      <c r="AP149" s="679">
        <v>-0.9910578670395651</v>
      </c>
      <c r="AQ149" s="662">
        <v>100000.0</v>
      </c>
      <c r="AR149" s="680">
        <v>-0.9900311986795323</v>
      </c>
      <c r="AS149" s="624"/>
      <c r="AT149" s="624"/>
      <c r="AU149" s="624"/>
      <c r="AV149" s="624"/>
      <c r="AW149" s="624"/>
      <c r="AX149" s="624"/>
      <c r="AY149" s="624"/>
      <c r="AZ149" s="624"/>
      <c r="BA149" s="624"/>
      <c r="BB149" s="624"/>
      <c r="BC149" s="624"/>
      <c r="BD149" s="624"/>
      <c r="BE149" s="624"/>
    </row>
    <row r="150" ht="16.5" customHeight="1">
      <c r="A150" s="711"/>
      <c r="B150" s="711"/>
      <c r="C150" s="711"/>
      <c r="D150" s="711"/>
      <c r="E150" s="711"/>
      <c r="F150" s="711"/>
      <c r="G150" s="711"/>
      <c r="H150" s="711"/>
      <c r="I150" s="711"/>
      <c r="J150" s="711"/>
      <c r="K150" s="741"/>
      <c r="L150" s="741"/>
      <c r="M150" s="788"/>
      <c r="N150" s="741"/>
      <c r="O150" s="741"/>
      <c r="P150" s="741"/>
      <c r="Q150" s="741"/>
      <c r="R150" s="788"/>
      <c r="S150" s="819"/>
      <c r="T150" s="820"/>
      <c r="U150" s="819"/>
      <c r="V150" s="820"/>
      <c r="W150" s="788"/>
      <c r="X150" s="803"/>
      <c r="Y150" s="803"/>
      <c r="Z150" s="803"/>
      <c r="AA150" s="711"/>
      <c r="AB150" s="711"/>
      <c r="AC150" s="711"/>
      <c r="AD150" s="736"/>
      <c r="AE150" s="736"/>
      <c r="AF150" s="799">
        <f t="shared" si="8"/>
        <v>93800</v>
      </c>
      <c r="AG150" s="658">
        <v>0.9460519674695795</v>
      </c>
      <c r="AH150" s="659">
        <f t="shared" si="3"/>
        <v>0.9460519675</v>
      </c>
      <c r="AI150" s="641"/>
      <c r="AJ150" s="660">
        <f t="shared" si="6"/>
        <v>150</v>
      </c>
      <c r="AK150" s="676">
        <v>0.9111</v>
      </c>
      <c r="AL150" s="662">
        <v>100000.0</v>
      </c>
      <c r="AM150" s="677">
        <v>-0.9920208059941621</v>
      </c>
      <c r="AN150" s="678">
        <v>-0.08889999999999998</v>
      </c>
      <c r="AO150" s="662">
        <v>100000.0</v>
      </c>
      <c r="AP150" s="679">
        <v>-0.9910578670395651</v>
      </c>
      <c r="AQ150" s="662">
        <v>100000.0</v>
      </c>
      <c r="AR150" s="680">
        <v>-0.9900311986795323</v>
      </c>
      <c r="AS150" s="624"/>
      <c r="AT150" s="624"/>
      <c r="AU150" s="624"/>
      <c r="AV150" s="624"/>
      <c r="AW150" s="624"/>
      <c r="AX150" s="624"/>
      <c r="AY150" s="624"/>
      <c r="AZ150" s="624"/>
      <c r="BA150" s="624"/>
      <c r="BB150" s="624"/>
      <c r="BC150" s="624"/>
      <c r="BD150" s="624"/>
      <c r="BE150" s="624"/>
    </row>
    <row r="151" ht="16.5" customHeight="1">
      <c r="A151" s="711"/>
      <c r="B151" s="711"/>
      <c r="C151" s="711"/>
      <c r="D151" s="711"/>
      <c r="E151" s="711"/>
      <c r="F151" s="711"/>
      <c r="G151" s="711"/>
      <c r="H151" s="711"/>
      <c r="I151" s="711"/>
      <c r="J151" s="711"/>
      <c r="K151" s="741"/>
      <c r="L151" s="741"/>
      <c r="M151" s="788"/>
      <c r="N151" s="741"/>
      <c r="O151" s="741"/>
      <c r="P151" s="741"/>
      <c r="Q151" s="741"/>
      <c r="R151" s="788"/>
      <c r="S151" s="819"/>
      <c r="T151" s="820"/>
      <c r="U151" s="819"/>
      <c r="V151" s="820"/>
      <c r="W151" s="788"/>
      <c r="X151" s="803"/>
      <c r="Y151" s="803"/>
      <c r="Z151" s="803"/>
      <c r="AA151" s="711"/>
      <c r="AB151" s="711"/>
      <c r="AC151" s="711"/>
      <c r="AD151" s="736"/>
      <c r="AE151" s="736"/>
      <c r="AF151" s="799">
        <f t="shared" si="8"/>
        <v>94550</v>
      </c>
      <c r="AG151" s="658">
        <v>0.9459181732730898</v>
      </c>
      <c r="AH151" s="659">
        <f t="shared" si="3"/>
        <v>0.9459181733</v>
      </c>
      <c r="AI151" s="641"/>
      <c r="AJ151" s="660">
        <f t="shared" si="6"/>
        <v>151</v>
      </c>
      <c r="AK151" s="676">
        <v>0.9495</v>
      </c>
      <c r="AL151" s="662">
        <v>100000.0</v>
      </c>
      <c r="AM151" s="677">
        <v>-0.9920208059941621</v>
      </c>
      <c r="AN151" s="678">
        <v>-0.05049999999999999</v>
      </c>
      <c r="AO151" s="662">
        <v>100000.0</v>
      </c>
      <c r="AP151" s="679">
        <v>-0.9910578670395651</v>
      </c>
      <c r="AQ151" s="662">
        <v>100000.0</v>
      </c>
      <c r="AR151" s="680">
        <v>-0.9900311986795323</v>
      </c>
      <c r="AS151" s="624"/>
      <c r="AT151" s="624"/>
      <c r="AU151" s="624"/>
      <c r="AV151" s="624"/>
      <c r="AW151" s="624"/>
      <c r="AX151" s="624"/>
      <c r="AY151" s="624"/>
      <c r="AZ151" s="624"/>
      <c r="BA151" s="624"/>
      <c r="BB151" s="624"/>
      <c r="BC151" s="624"/>
      <c r="BD151" s="624"/>
      <c r="BE151" s="624"/>
    </row>
    <row r="152" ht="16.5" customHeight="1">
      <c r="A152" s="711"/>
      <c r="B152" s="711"/>
      <c r="C152" s="711"/>
      <c r="D152" s="711"/>
      <c r="E152" s="711"/>
      <c r="F152" s="711"/>
      <c r="G152" s="711"/>
      <c r="H152" s="711"/>
      <c r="I152" s="711"/>
      <c r="J152" s="711"/>
      <c r="K152" s="741"/>
      <c r="L152" s="741"/>
      <c r="M152" s="788"/>
      <c r="N152" s="741"/>
      <c r="O152" s="741"/>
      <c r="P152" s="741"/>
      <c r="Q152" s="741"/>
      <c r="R152" s="788"/>
      <c r="S152" s="819"/>
      <c r="T152" s="820"/>
      <c r="U152" s="819"/>
      <c r="V152" s="820"/>
      <c r="W152" s="788"/>
      <c r="X152" s="803"/>
      <c r="Y152" s="803"/>
      <c r="Z152" s="803"/>
      <c r="AA152" s="711"/>
      <c r="AB152" s="711"/>
      <c r="AC152" s="711"/>
      <c r="AD152" s="736"/>
      <c r="AE152" s="736"/>
      <c r="AF152" s="799">
        <f t="shared" si="8"/>
        <v>95300</v>
      </c>
      <c r="AG152" s="658">
        <v>0.9457849545842437</v>
      </c>
      <c r="AH152" s="659">
        <f t="shared" si="3"/>
        <v>0.9457849546</v>
      </c>
      <c r="AI152" s="641"/>
      <c r="AJ152" s="660">
        <f t="shared" si="6"/>
        <v>152</v>
      </c>
      <c r="AK152" s="676">
        <v>0.9441</v>
      </c>
      <c r="AL152" s="662">
        <v>99478.0</v>
      </c>
      <c r="AM152" s="677">
        <v>-0.9918170330236974</v>
      </c>
      <c r="AN152" s="678">
        <v>-0.05589999999999995</v>
      </c>
      <c r="AO152" s="662">
        <v>99478.0</v>
      </c>
      <c r="AP152" s="679">
        <v>-0.9908349550260942</v>
      </c>
      <c r="AQ152" s="662">
        <v>99478.0</v>
      </c>
      <c r="AR152" s="680">
        <v>-0.9897884886502111</v>
      </c>
      <c r="AS152" s="624"/>
      <c r="AT152" s="624"/>
      <c r="AU152" s="624"/>
      <c r="AV152" s="624"/>
      <c r="AW152" s="624"/>
      <c r="AX152" s="624"/>
      <c r="AY152" s="624"/>
      <c r="AZ152" s="624"/>
      <c r="BA152" s="624"/>
      <c r="BB152" s="624"/>
      <c r="BC152" s="624"/>
      <c r="BD152" s="624"/>
      <c r="BE152" s="624"/>
    </row>
    <row r="153" ht="16.5" customHeight="1">
      <c r="A153" s="711"/>
      <c r="B153" s="711"/>
      <c r="C153" s="711"/>
      <c r="D153" s="711"/>
      <c r="E153" s="711"/>
      <c r="F153" s="711"/>
      <c r="G153" s="711"/>
      <c r="H153" s="711"/>
      <c r="I153" s="711"/>
      <c r="J153" s="711"/>
      <c r="K153" s="741"/>
      <c r="L153" s="741"/>
      <c r="M153" s="788"/>
      <c r="N153" s="741"/>
      <c r="O153" s="741"/>
      <c r="P153" s="741"/>
      <c r="Q153" s="741"/>
      <c r="R153" s="788"/>
      <c r="S153" s="819"/>
      <c r="T153" s="820"/>
      <c r="U153" s="819"/>
      <c r="V153" s="820"/>
      <c r="W153" s="788"/>
      <c r="X153" s="803"/>
      <c r="Y153" s="803"/>
      <c r="Z153" s="803"/>
      <c r="AA153" s="711"/>
      <c r="AB153" s="711"/>
      <c r="AC153" s="711"/>
      <c r="AD153" s="736"/>
      <c r="AE153" s="736"/>
      <c r="AF153" s="799">
        <f t="shared" si="8"/>
        <v>96050</v>
      </c>
      <c r="AG153" s="658">
        <v>0.945652291399032</v>
      </c>
      <c r="AH153" s="659">
        <f t="shared" si="3"/>
        <v>0.9456522914</v>
      </c>
      <c r="AI153" s="641"/>
      <c r="AJ153" s="660">
        <f t="shared" si="6"/>
        <v>153</v>
      </c>
      <c r="AK153" s="676">
        <v>0.9411</v>
      </c>
      <c r="AL153" s="662">
        <v>99457.0</v>
      </c>
      <c r="AM153" s="677">
        <v>-0.9918087272506358</v>
      </c>
      <c r="AN153" s="678">
        <v>-0.05889999999999995</v>
      </c>
      <c r="AO153" s="662">
        <v>99457.0</v>
      </c>
      <c r="AP153" s="679">
        <v>-0.990825871945856</v>
      </c>
      <c r="AQ153" s="662">
        <v>99457.0</v>
      </c>
      <c r="AR153" s="680">
        <v>-0.9897786017592454</v>
      </c>
      <c r="AS153" s="624"/>
      <c r="AT153" s="624"/>
      <c r="AU153" s="624"/>
      <c r="AV153" s="624"/>
      <c r="AW153" s="624"/>
      <c r="AX153" s="624"/>
      <c r="AY153" s="624"/>
      <c r="AZ153" s="624"/>
      <c r="BA153" s="624"/>
      <c r="BB153" s="624"/>
      <c r="BC153" s="624"/>
      <c r="BD153" s="624"/>
      <c r="BE153" s="624"/>
    </row>
    <row r="154" ht="16.5" customHeight="1">
      <c r="A154" s="711"/>
      <c r="B154" s="711"/>
      <c r="C154" s="711"/>
      <c r="D154" s="711"/>
      <c r="E154" s="711"/>
      <c r="F154" s="711"/>
      <c r="G154" s="711"/>
      <c r="H154" s="711"/>
      <c r="I154" s="711"/>
      <c r="J154" s="711"/>
      <c r="K154" s="741"/>
      <c r="L154" s="741"/>
      <c r="M154" s="788"/>
      <c r="N154" s="741"/>
      <c r="O154" s="741"/>
      <c r="P154" s="741"/>
      <c r="Q154" s="741"/>
      <c r="R154" s="788"/>
      <c r="S154" s="819"/>
      <c r="T154" s="820"/>
      <c r="U154" s="819"/>
      <c r="V154" s="820"/>
      <c r="W154" s="788"/>
      <c r="X154" s="803"/>
      <c r="Y154" s="803"/>
      <c r="Z154" s="803"/>
      <c r="AA154" s="711"/>
      <c r="AB154" s="711"/>
      <c r="AC154" s="711"/>
      <c r="AD154" s="736"/>
      <c r="AE154" s="736"/>
      <c r="AF154" s="799">
        <f t="shared" si="8"/>
        <v>96800</v>
      </c>
      <c r="AG154" s="658">
        <v>0.9455201644087622</v>
      </c>
      <c r="AH154" s="659">
        <f t="shared" si="3"/>
        <v>0.9455201644</v>
      </c>
      <c r="AI154" s="641"/>
      <c r="AJ154" s="660">
        <f t="shared" si="6"/>
        <v>154</v>
      </c>
      <c r="AK154" s="676">
        <v>0.9963</v>
      </c>
      <c r="AL154" s="662">
        <v>99390.0</v>
      </c>
      <c r="AM154" s="677">
        <v>-0.9917821714819135</v>
      </c>
      <c r="AN154" s="678">
        <v>-0.0037000000000000366</v>
      </c>
      <c r="AO154" s="662">
        <v>99390.0</v>
      </c>
      <c r="AP154" s="679">
        <v>-0.99079683237544</v>
      </c>
      <c r="AQ154" s="662">
        <v>99390.0</v>
      </c>
      <c r="AR154" s="680">
        <v>-0.9897469938328499</v>
      </c>
      <c r="AS154" s="624"/>
      <c r="AT154" s="624"/>
      <c r="AU154" s="624"/>
      <c r="AV154" s="624"/>
      <c r="AW154" s="624"/>
      <c r="AX154" s="624"/>
      <c r="AY154" s="624"/>
      <c r="AZ154" s="624"/>
      <c r="BA154" s="624"/>
      <c r="BB154" s="624"/>
      <c r="BC154" s="624"/>
      <c r="BD154" s="624"/>
      <c r="BE154" s="624"/>
    </row>
    <row r="155" ht="16.5" customHeight="1">
      <c r="A155" s="830"/>
      <c r="B155" s="830"/>
      <c r="C155" s="830"/>
      <c r="D155" s="830"/>
      <c r="E155" s="830"/>
      <c r="F155" s="830"/>
      <c r="G155" s="830"/>
      <c r="H155" s="830"/>
      <c r="I155" s="830"/>
      <c r="J155" s="830"/>
      <c r="K155" s="741"/>
      <c r="L155" s="741"/>
      <c r="M155" s="788"/>
      <c r="N155" s="741"/>
      <c r="O155" s="741"/>
      <c r="P155" s="741"/>
      <c r="Q155" s="741"/>
      <c r="R155" s="788"/>
      <c r="S155" s="819"/>
      <c r="T155" s="820"/>
      <c r="U155" s="819"/>
      <c r="V155" s="820"/>
      <c r="W155" s="788"/>
      <c r="X155" s="803"/>
      <c r="Y155" s="803"/>
      <c r="Z155" s="803"/>
      <c r="AA155" s="711"/>
      <c r="AB155" s="711"/>
      <c r="AC155" s="711"/>
      <c r="AD155" s="736"/>
      <c r="AE155" s="736"/>
      <c r="AF155" s="799">
        <f t="shared" si="8"/>
        <v>97550</v>
      </c>
      <c r="AG155" s="658">
        <v>0.9453885549758911</v>
      </c>
      <c r="AH155" s="659">
        <f t="shared" si="3"/>
        <v>0.945388555</v>
      </c>
      <c r="AI155" s="641"/>
      <c r="AJ155" s="660">
        <f t="shared" si="6"/>
        <v>155</v>
      </c>
      <c r="AK155" s="676">
        <v>0.9331</v>
      </c>
      <c r="AL155" s="662">
        <v>99136.0</v>
      </c>
      <c r="AM155" s="677">
        <v>-0.9916807131582723</v>
      </c>
      <c r="AN155" s="678">
        <v>-0.06689999999999996</v>
      </c>
      <c r="AO155" s="662">
        <v>99136.0</v>
      </c>
      <c r="AP155" s="679">
        <v>-0.9906859048166963</v>
      </c>
      <c r="AQ155" s="662">
        <v>99136.0</v>
      </c>
      <c r="AR155" s="680">
        <v>-0.9896262765632101</v>
      </c>
      <c r="AS155" s="624"/>
      <c r="AT155" s="624"/>
      <c r="AU155" s="624"/>
      <c r="AV155" s="624"/>
      <c r="AW155" s="624"/>
      <c r="AX155" s="624"/>
      <c r="AY155" s="624"/>
      <c r="AZ155" s="624"/>
      <c r="BA155" s="624"/>
      <c r="BB155" s="624"/>
      <c r="BC155" s="624"/>
      <c r="BD155" s="624"/>
      <c r="BE155" s="624"/>
    </row>
    <row r="156" ht="16.5" customHeight="1">
      <c r="A156" s="711"/>
      <c r="B156" s="711"/>
      <c r="C156" s="711"/>
      <c r="D156" s="711"/>
      <c r="E156" s="711"/>
      <c r="F156" s="711"/>
      <c r="G156" s="711"/>
      <c r="H156" s="711"/>
      <c r="I156" s="711"/>
      <c r="J156" s="711"/>
      <c r="K156" s="741"/>
      <c r="L156" s="741"/>
      <c r="M156" s="788"/>
      <c r="N156" s="741"/>
      <c r="O156" s="741"/>
      <c r="P156" s="741"/>
      <c r="Q156" s="741"/>
      <c r="R156" s="788"/>
      <c r="S156" s="819"/>
      <c r="T156" s="820"/>
      <c r="U156" s="819"/>
      <c r="V156" s="820"/>
      <c r="W156" s="788"/>
      <c r="X156" s="803"/>
      <c r="Y156" s="803"/>
      <c r="Z156" s="803"/>
      <c r="AA156" s="711"/>
      <c r="AB156" s="711"/>
      <c r="AC156" s="711"/>
      <c r="AD156" s="736"/>
      <c r="AE156" s="736"/>
      <c r="AF156" s="799">
        <f t="shared" si="8"/>
        <v>98300</v>
      </c>
      <c r="AG156" s="658">
        <v>0.9452574451106958</v>
      </c>
      <c r="AH156" s="659">
        <f t="shared" si="3"/>
        <v>0.9452574451</v>
      </c>
      <c r="AI156" s="641"/>
      <c r="AJ156" s="660">
        <f t="shared" si="6"/>
        <v>156</v>
      </c>
      <c r="AK156" s="676">
        <v>0.9619</v>
      </c>
      <c r="AL156" s="662">
        <v>99100.0</v>
      </c>
      <c r="AM156" s="677">
        <v>-0.9916662322448814</v>
      </c>
      <c r="AN156" s="678">
        <v>-0.03810000000000002</v>
      </c>
      <c r="AO156" s="662">
        <v>99100.0</v>
      </c>
      <c r="AP156" s="679">
        <v>-0.9906700749920359</v>
      </c>
      <c r="AQ156" s="662">
        <v>99100.0</v>
      </c>
      <c r="AR156" s="680">
        <v>-0.9896090524160834</v>
      </c>
      <c r="AS156" s="624"/>
      <c r="AT156" s="624"/>
      <c r="AU156" s="624"/>
      <c r="AV156" s="624"/>
      <c r="AW156" s="624"/>
      <c r="AX156" s="624"/>
      <c r="AY156" s="624"/>
      <c r="AZ156" s="624"/>
      <c r="BA156" s="624"/>
      <c r="BB156" s="624"/>
      <c r="BC156" s="624"/>
      <c r="BD156" s="624"/>
      <c r="BE156" s="624"/>
    </row>
    <row r="157" ht="16.5" customHeight="1">
      <c r="A157" s="711"/>
      <c r="B157" s="711"/>
      <c r="C157" s="711"/>
      <c r="D157" s="711"/>
      <c r="E157" s="711"/>
      <c r="F157" s="711"/>
      <c r="G157" s="711"/>
      <c r="H157" s="711"/>
      <c r="I157" s="711"/>
      <c r="J157" s="711"/>
      <c r="K157" s="741"/>
      <c r="L157" s="741"/>
      <c r="M157" s="788"/>
      <c r="N157" s="741"/>
      <c r="O157" s="741"/>
      <c r="P157" s="741"/>
      <c r="Q157" s="741"/>
      <c r="R157" s="788"/>
      <c r="S157" s="819"/>
      <c r="T157" s="820"/>
      <c r="U157" s="819"/>
      <c r="V157" s="820"/>
      <c r="W157" s="788"/>
      <c r="X157" s="803"/>
      <c r="Y157" s="803"/>
      <c r="Z157" s="803"/>
      <c r="AA157" s="711"/>
      <c r="AB157" s="711"/>
      <c r="AC157" s="711"/>
      <c r="AD157" s="736"/>
      <c r="AE157" s="736"/>
      <c r="AF157" s="799">
        <f t="shared" si="8"/>
        <v>99050</v>
      </c>
      <c r="AG157" s="658">
        <v>0.945126817448756</v>
      </c>
      <c r="AH157" s="659">
        <f t="shared" si="3"/>
        <v>0.9451268174</v>
      </c>
      <c r="AI157" s="641"/>
      <c r="AJ157" s="660">
        <f t="shared" si="6"/>
        <v>157</v>
      </c>
      <c r="AK157" s="676">
        <v>0.9492</v>
      </c>
      <c r="AL157" s="662">
        <v>98528.0</v>
      </c>
      <c r="AM157" s="677">
        <v>-0.9914327352523481</v>
      </c>
      <c r="AN157" s="678">
        <v>-0.050799999999999956</v>
      </c>
      <c r="AO157" s="662">
        <v>98528.0</v>
      </c>
      <c r="AP157" s="679">
        <v>-0.9904149162969618</v>
      </c>
      <c r="AQ157" s="662">
        <v>98528.0</v>
      </c>
      <c r="AR157" s="680">
        <v>-0.9893315109338601</v>
      </c>
      <c r="AS157" s="624"/>
      <c r="AT157" s="624"/>
      <c r="AU157" s="624"/>
      <c r="AV157" s="624"/>
      <c r="AW157" s="624"/>
      <c r="AX157" s="624"/>
      <c r="AY157" s="624"/>
      <c r="AZ157" s="624"/>
      <c r="BA157" s="624"/>
      <c r="BB157" s="624"/>
      <c r="BC157" s="624"/>
      <c r="BD157" s="624"/>
      <c r="BE157" s="624"/>
    </row>
    <row r="158" ht="16.5" customHeight="1">
      <c r="A158" s="830"/>
      <c r="B158" s="830"/>
      <c r="C158" s="830"/>
      <c r="D158" s="830"/>
      <c r="E158" s="830"/>
      <c r="F158" s="830"/>
      <c r="G158" s="830"/>
      <c r="H158" s="830"/>
      <c r="I158" s="830"/>
      <c r="J158" s="830"/>
      <c r="K158" s="741"/>
      <c r="L158" s="741"/>
      <c r="M158" s="788"/>
      <c r="N158" s="741"/>
      <c r="O158" s="741"/>
      <c r="P158" s="741"/>
      <c r="Q158" s="741"/>
      <c r="R158" s="788"/>
      <c r="S158" s="819"/>
      <c r="T158" s="820"/>
      <c r="U158" s="819"/>
      <c r="V158" s="820"/>
      <c r="W158" s="788"/>
      <c r="X158" s="803"/>
      <c r="Y158" s="803"/>
      <c r="Z158" s="803"/>
      <c r="AA158" s="711"/>
      <c r="AB158" s="711"/>
      <c r="AC158" s="711"/>
      <c r="AD158" s="736"/>
      <c r="AE158" s="736"/>
      <c r="AF158" s="799">
        <f t="shared" si="8"/>
        <v>99800</v>
      </c>
      <c r="AG158" s="658">
        <v>0.94499665522922</v>
      </c>
      <c r="AH158" s="659">
        <f t="shared" si="3"/>
        <v>0.9449966552</v>
      </c>
      <c r="AI158" s="641"/>
      <c r="AJ158" s="660">
        <f t="shared" si="6"/>
        <v>158</v>
      </c>
      <c r="AK158" s="676">
        <v>0.9298</v>
      </c>
      <c r="AL158" s="662">
        <v>98400.0</v>
      </c>
      <c r="AM158" s="677">
        <v>-0.9913795947996124</v>
      </c>
      <c r="AN158" s="678">
        <v>-0.07020000000000004</v>
      </c>
      <c r="AO158" s="662">
        <v>98400.0</v>
      </c>
      <c r="AP158" s="679">
        <v>-0.9903568690327869</v>
      </c>
      <c r="AQ158" s="662">
        <v>98400.0</v>
      </c>
      <c r="AR158" s="680">
        <v>-0.9892683956339273</v>
      </c>
      <c r="AS158" s="624"/>
      <c r="AT158" s="624"/>
      <c r="AU158" s="624"/>
      <c r="AV158" s="624"/>
      <c r="AW158" s="624"/>
      <c r="AX158" s="624"/>
      <c r="AY158" s="624"/>
      <c r="AZ158" s="624"/>
      <c r="BA158" s="624"/>
      <c r="BB158" s="624"/>
      <c r="BC158" s="624"/>
      <c r="BD158" s="624"/>
      <c r="BE158" s="624"/>
    </row>
    <row r="159" ht="16.5" customHeight="1">
      <c r="A159" s="711"/>
      <c r="B159" s="711"/>
      <c r="C159" s="711"/>
      <c r="D159" s="711"/>
      <c r="E159" s="711"/>
      <c r="F159" s="711"/>
      <c r="G159" s="711"/>
      <c r="H159" s="711"/>
      <c r="I159" s="711"/>
      <c r="J159" s="711"/>
      <c r="K159" s="741"/>
      <c r="L159" s="741"/>
      <c r="M159" s="788"/>
      <c r="N159" s="741"/>
      <c r="O159" s="741"/>
      <c r="P159" s="741"/>
      <c r="Q159" s="741"/>
      <c r="R159" s="788"/>
      <c r="S159" s="819"/>
      <c r="T159" s="820"/>
      <c r="U159" s="819"/>
      <c r="V159" s="820"/>
      <c r="W159" s="788"/>
      <c r="X159" s="803"/>
      <c r="Y159" s="803"/>
      <c r="Z159" s="803"/>
      <c r="AA159" s="711"/>
      <c r="AB159" s="711"/>
      <c r="AC159" s="711"/>
      <c r="AD159" s="736"/>
      <c r="AE159" s="736"/>
      <c r="AF159" s="799">
        <f t="shared" si="8"/>
        <v>100550</v>
      </c>
      <c r="AG159" s="658">
        <v>0.9448669422738242</v>
      </c>
      <c r="AH159" s="659">
        <f t="shared" si="3"/>
        <v>0.9448669423</v>
      </c>
      <c r="AI159" s="641"/>
      <c r="AJ159" s="660">
        <f t="shared" si="6"/>
        <v>159</v>
      </c>
      <c r="AK159" s="676">
        <v>0.9492</v>
      </c>
      <c r="AL159" s="662">
        <v>98000.0</v>
      </c>
      <c r="AM159" s="677">
        <v>-0.9912113970561539</v>
      </c>
      <c r="AN159" s="678">
        <v>-0.050799999999999956</v>
      </c>
      <c r="AO159" s="662">
        <v>98000.0</v>
      </c>
      <c r="AP159" s="679">
        <v>-0.9901731958485086</v>
      </c>
      <c r="AQ159" s="662">
        <v>98000.0</v>
      </c>
      <c r="AR159" s="680">
        <v>-0.989068743584018</v>
      </c>
      <c r="AS159" s="624"/>
      <c r="AT159" s="624"/>
      <c r="AU159" s="624"/>
      <c r="AV159" s="624"/>
      <c r="AW159" s="624"/>
      <c r="AX159" s="624"/>
      <c r="AY159" s="624"/>
      <c r="AZ159" s="624"/>
      <c r="BA159" s="624"/>
      <c r="BB159" s="624"/>
      <c r="BC159" s="624"/>
      <c r="BD159" s="624"/>
      <c r="BE159" s="624"/>
    </row>
    <row r="160" ht="16.5" customHeight="1">
      <c r="A160" s="711"/>
      <c r="B160" s="711"/>
      <c r="C160" s="711"/>
      <c r="D160" s="711"/>
      <c r="E160" s="711"/>
      <c r="F160" s="711"/>
      <c r="G160" s="711"/>
      <c r="H160" s="711"/>
      <c r="I160" s="711"/>
      <c r="J160" s="711"/>
      <c r="K160" s="741"/>
      <c r="L160" s="741"/>
      <c r="M160" s="788"/>
      <c r="N160" s="741"/>
      <c r="O160" s="741"/>
      <c r="P160" s="741"/>
      <c r="Q160" s="741"/>
      <c r="R160" s="788"/>
      <c r="S160" s="819"/>
      <c r="T160" s="820"/>
      <c r="U160" s="819"/>
      <c r="V160" s="820"/>
      <c r="W160" s="788"/>
      <c r="X160" s="803"/>
      <c r="Y160" s="803"/>
      <c r="Z160" s="803"/>
      <c r="AA160" s="711"/>
      <c r="AB160" s="711"/>
      <c r="AC160" s="711"/>
      <c r="AD160" s="736"/>
      <c r="AE160" s="736"/>
      <c r="AF160" s="799">
        <f t="shared" si="8"/>
        <v>101300</v>
      </c>
      <c r="AG160" s="658">
        <v>0.9447376629666439</v>
      </c>
      <c r="AH160" s="659">
        <f t="shared" si="3"/>
        <v>0.944737663</v>
      </c>
      <c r="AI160" s="641"/>
      <c r="AJ160" s="660">
        <f t="shared" si="6"/>
        <v>160</v>
      </c>
      <c r="AK160" s="676">
        <v>0.9606</v>
      </c>
      <c r="AL160" s="662">
        <v>97893.0</v>
      </c>
      <c r="AM160" s="677">
        <v>-0.9911658504300572</v>
      </c>
      <c r="AN160" s="678">
        <v>-0.03939999999999999</v>
      </c>
      <c r="AO160" s="662">
        <v>97893.0</v>
      </c>
      <c r="AP160" s="679">
        <v>-0.9901234729247868</v>
      </c>
      <c r="AQ160" s="662">
        <v>97893.0</v>
      </c>
      <c r="AR160" s="680">
        <v>-0.9890147098113152</v>
      </c>
      <c r="AS160" s="624"/>
      <c r="AT160" s="624"/>
      <c r="AU160" s="624"/>
      <c r="AV160" s="624"/>
      <c r="AW160" s="624"/>
      <c r="AX160" s="624"/>
      <c r="AY160" s="624"/>
      <c r="AZ160" s="624"/>
      <c r="BA160" s="624"/>
      <c r="BB160" s="624"/>
      <c r="BC160" s="624"/>
      <c r="BD160" s="624"/>
      <c r="BE160" s="624"/>
    </row>
    <row r="161" ht="16.5" customHeight="1">
      <c r="A161" s="711"/>
      <c r="B161" s="711"/>
      <c r="C161" s="711"/>
      <c r="D161" s="711"/>
      <c r="E161" s="711"/>
      <c r="F161" s="711"/>
      <c r="G161" s="711"/>
      <c r="H161" s="711"/>
      <c r="I161" s="711"/>
      <c r="J161" s="711"/>
      <c r="K161" s="741"/>
      <c r="L161" s="741"/>
      <c r="M161" s="788"/>
      <c r="N161" s="741"/>
      <c r="O161" s="741"/>
      <c r="P161" s="741"/>
      <c r="Q161" s="741"/>
      <c r="R161" s="788"/>
      <c r="S161" s="819"/>
      <c r="T161" s="820"/>
      <c r="U161" s="819"/>
      <c r="V161" s="820"/>
      <c r="W161" s="788"/>
      <c r="X161" s="803"/>
      <c r="Y161" s="803"/>
      <c r="Z161" s="803"/>
      <c r="AA161" s="711"/>
      <c r="AB161" s="711"/>
      <c r="AC161" s="711"/>
      <c r="AD161" s="736"/>
      <c r="AE161" s="736"/>
      <c r="AF161" s="799">
        <f t="shared" si="8"/>
        <v>102050</v>
      </c>
      <c r="AG161" s="658">
        <v>0.9446088022345464</v>
      </c>
      <c r="AH161" s="659">
        <f t="shared" si="3"/>
        <v>0.9446088022</v>
      </c>
      <c r="AI161" s="641"/>
      <c r="AJ161" s="660">
        <f t="shared" si="6"/>
        <v>161</v>
      </c>
      <c r="AK161" s="676">
        <v>0.9467</v>
      </c>
      <c r="AL161" s="662">
        <v>97602.0</v>
      </c>
      <c r="AM161" s="677">
        <v>-0.9910407831752546</v>
      </c>
      <c r="AN161" s="678">
        <v>-0.053300000000000014</v>
      </c>
      <c r="AO161" s="662">
        <v>97602.0</v>
      </c>
      <c r="AP161" s="679">
        <v>-0.9899869689022955</v>
      </c>
      <c r="AQ161" s="662">
        <v>97602.0</v>
      </c>
      <c r="AR161" s="680">
        <v>-0.9888664033687435</v>
      </c>
      <c r="AS161" s="624"/>
      <c r="AT161" s="624"/>
      <c r="AU161" s="624"/>
      <c r="AV161" s="624"/>
      <c r="AW161" s="624"/>
      <c r="AX161" s="624"/>
      <c r="AY161" s="624"/>
      <c r="AZ161" s="624"/>
      <c r="BA161" s="624"/>
      <c r="BB161" s="624"/>
      <c r="BC161" s="624"/>
      <c r="BD161" s="624"/>
      <c r="BE161" s="624"/>
    </row>
    <row r="162" ht="16.5" customHeight="1">
      <c r="A162" s="711"/>
      <c r="B162" s="711"/>
      <c r="C162" s="711"/>
      <c r="D162" s="711"/>
      <c r="E162" s="711"/>
      <c r="F162" s="711"/>
      <c r="G162" s="711"/>
      <c r="H162" s="711"/>
      <c r="I162" s="711"/>
      <c r="J162" s="711"/>
      <c r="K162" s="741"/>
      <c r="L162" s="741"/>
      <c r="M162" s="788"/>
      <c r="N162" s="741"/>
      <c r="O162" s="741"/>
      <c r="P162" s="741"/>
      <c r="Q162" s="741"/>
      <c r="R162" s="788"/>
      <c r="S162" s="819"/>
      <c r="T162" s="820"/>
      <c r="U162" s="819"/>
      <c r="V162" s="820"/>
      <c r="W162" s="788"/>
      <c r="X162" s="803"/>
      <c r="Y162" s="803"/>
      <c r="Z162" s="803"/>
      <c r="AA162" s="711"/>
      <c r="AB162" s="711"/>
      <c r="AC162" s="711"/>
      <c r="AD162" s="736"/>
      <c r="AE162" s="736"/>
      <c r="AF162" s="799">
        <f t="shared" si="8"/>
        <v>102800</v>
      </c>
      <c r="AG162" s="658">
        <v>0.9444803455283247</v>
      </c>
      <c r="AH162" s="659">
        <f t="shared" si="3"/>
        <v>0.9444803455</v>
      </c>
      <c r="AI162" s="641"/>
      <c r="AJ162" s="660">
        <f t="shared" si="6"/>
        <v>162</v>
      </c>
      <c r="AK162" s="676">
        <v>0.9424</v>
      </c>
      <c r="AL162" s="662">
        <v>97310.0</v>
      </c>
      <c r="AM162" s="677">
        <v>-0.9909135063617465</v>
      </c>
      <c r="AN162" s="678">
        <v>-0.057599999999999985</v>
      </c>
      <c r="AO162" s="662">
        <v>97310.0</v>
      </c>
      <c r="AP162" s="679">
        <v>-0.9898480993982793</v>
      </c>
      <c r="AQ162" s="662">
        <v>97310.0</v>
      </c>
      <c r="AR162" s="680">
        <v>-0.9887155747137403</v>
      </c>
      <c r="AS162" s="624"/>
      <c r="AT162" s="624"/>
      <c r="AU162" s="624"/>
      <c r="AV162" s="624"/>
      <c r="AW162" s="624"/>
      <c r="AX162" s="624"/>
      <c r="AY162" s="624"/>
      <c r="AZ162" s="624"/>
      <c r="BA162" s="624"/>
      <c r="BB162" s="624"/>
      <c r="BC162" s="624"/>
      <c r="BD162" s="624"/>
      <c r="BE162" s="624"/>
    </row>
    <row r="163" ht="16.5" customHeight="1">
      <c r="A163" s="830"/>
      <c r="B163" s="830"/>
      <c r="C163" s="830"/>
      <c r="D163" s="830"/>
      <c r="E163" s="830"/>
      <c r="F163" s="830"/>
      <c r="G163" s="830"/>
      <c r="H163" s="830"/>
      <c r="I163" s="830"/>
      <c r="J163" s="830"/>
      <c r="K163" s="741"/>
      <c r="L163" s="741"/>
      <c r="M163" s="788"/>
      <c r="N163" s="741"/>
      <c r="O163" s="741"/>
      <c r="P163" s="741"/>
      <c r="Q163" s="741"/>
      <c r="R163" s="788"/>
      <c r="S163" s="819"/>
      <c r="T163" s="820"/>
      <c r="U163" s="819"/>
      <c r="V163" s="820"/>
      <c r="W163" s="788"/>
      <c r="X163" s="803"/>
      <c r="Y163" s="803"/>
      <c r="Z163" s="803"/>
      <c r="AA163" s="711"/>
      <c r="AB163" s="711"/>
      <c r="AC163" s="711"/>
      <c r="AD163" s="736"/>
      <c r="AE163" s="736"/>
      <c r="AF163" s="799">
        <f t="shared" si="8"/>
        <v>103550</v>
      </c>
      <c r="AG163" s="658">
        <v>0.9443522788044859</v>
      </c>
      <c r="AH163" s="659">
        <f t="shared" si="3"/>
        <v>0.9443522788</v>
      </c>
      <c r="AI163" s="641"/>
      <c r="AJ163" s="660">
        <f t="shared" si="6"/>
        <v>163</v>
      </c>
      <c r="AK163" s="676">
        <v>0.9368</v>
      </c>
      <c r="AL163" s="662">
        <v>97161.0</v>
      </c>
      <c r="AM163" s="677">
        <v>-0.9908478652046662</v>
      </c>
      <c r="AN163" s="678">
        <v>-0.06320000000000003</v>
      </c>
      <c r="AO163" s="662">
        <v>97161.0</v>
      </c>
      <c r="AP163" s="679">
        <v>-0.9897764974508179</v>
      </c>
      <c r="AQ163" s="662">
        <v>97161.0</v>
      </c>
      <c r="AR163" s="680">
        <v>-0.9886378251708885</v>
      </c>
      <c r="AS163" s="624"/>
      <c r="AT163" s="624"/>
      <c r="AU163" s="624"/>
      <c r="AV163" s="624"/>
      <c r="AW163" s="624"/>
      <c r="AX163" s="624"/>
      <c r="AY163" s="624"/>
      <c r="AZ163" s="624"/>
      <c r="BA163" s="624"/>
      <c r="BB163" s="624"/>
      <c r="BC163" s="624"/>
      <c r="BD163" s="624"/>
      <c r="BE163" s="624"/>
    </row>
    <row r="164" ht="16.5" customHeight="1">
      <c r="A164" s="711"/>
      <c r="B164" s="711"/>
      <c r="C164" s="711"/>
      <c r="D164" s="711"/>
      <c r="E164" s="711"/>
      <c r="F164" s="711"/>
      <c r="G164" s="711"/>
      <c r="H164" s="711"/>
      <c r="I164" s="711"/>
      <c r="J164" s="711"/>
      <c r="K164" s="741"/>
      <c r="L164" s="741"/>
      <c r="M164" s="788"/>
      <c r="N164" s="741"/>
      <c r="O164" s="741"/>
      <c r="P164" s="741"/>
      <c r="Q164" s="741"/>
      <c r="R164" s="788"/>
      <c r="S164" s="819"/>
      <c r="T164" s="820"/>
      <c r="U164" s="819"/>
      <c r="V164" s="820"/>
      <c r="W164" s="788"/>
      <c r="X164" s="803"/>
      <c r="Y164" s="803"/>
      <c r="Z164" s="803"/>
      <c r="AA164" s="711"/>
      <c r="AB164" s="711"/>
      <c r="AC164" s="711"/>
      <c r="AD164" s="736"/>
      <c r="AE164" s="736"/>
      <c r="AF164" s="799">
        <f t="shared" si="8"/>
        <v>104300</v>
      </c>
      <c r="AG164" s="658">
        <v>0.9442245885076739</v>
      </c>
      <c r="AH164" s="659">
        <f t="shared" si="3"/>
        <v>0.9442245885</v>
      </c>
      <c r="AI164" s="641"/>
      <c r="AJ164" s="660">
        <f t="shared" si="6"/>
        <v>164</v>
      </c>
      <c r="AK164" s="676">
        <v>0.9411</v>
      </c>
      <c r="AL164" s="662">
        <v>97124.0</v>
      </c>
      <c r="AM164" s="677">
        <v>-0.9908314916874074</v>
      </c>
      <c r="AN164" s="678">
        <v>-0.05889999999999995</v>
      </c>
      <c r="AO164" s="662">
        <v>97124.0</v>
      </c>
      <c r="AP164" s="679">
        <v>-0.9897586389659032</v>
      </c>
      <c r="AQ164" s="662">
        <v>97124.0</v>
      </c>
      <c r="AR164" s="680">
        <v>-0.9886184353516075</v>
      </c>
      <c r="AS164" s="624"/>
      <c r="AT164" s="624"/>
      <c r="AU164" s="624"/>
      <c r="AV164" s="624"/>
      <c r="AW164" s="624"/>
      <c r="AX164" s="624"/>
      <c r="AY164" s="624"/>
      <c r="AZ164" s="624"/>
      <c r="BA164" s="624"/>
      <c r="BB164" s="624"/>
      <c r="BC164" s="624"/>
      <c r="BD164" s="624"/>
      <c r="BE164" s="624"/>
    </row>
    <row r="165" ht="16.5" customHeight="1">
      <c r="A165" s="711"/>
      <c r="B165" s="711"/>
      <c r="C165" s="711"/>
      <c r="D165" s="711"/>
      <c r="E165" s="711"/>
      <c r="F165" s="711"/>
      <c r="G165" s="711"/>
      <c r="H165" s="711"/>
      <c r="I165" s="711"/>
      <c r="J165" s="711"/>
      <c r="K165" s="741"/>
      <c r="L165" s="741"/>
      <c r="M165" s="788"/>
      <c r="N165" s="741"/>
      <c r="O165" s="741"/>
      <c r="P165" s="741"/>
      <c r="Q165" s="741"/>
      <c r="R165" s="788"/>
      <c r="S165" s="819"/>
      <c r="T165" s="820"/>
      <c r="U165" s="819"/>
      <c r="V165" s="820"/>
      <c r="W165" s="788"/>
      <c r="X165" s="803"/>
      <c r="Y165" s="803"/>
      <c r="Z165" s="803"/>
      <c r="AA165" s="711"/>
      <c r="AB165" s="711"/>
      <c r="AC165" s="711"/>
      <c r="AD165" s="736"/>
      <c r="AE165" s="736"/>
      <c r="AF165" s="799">
        <f t="shared" si="8"/>
        <v>105050</v>
      </c>
      <c r="AG165" s="658">
        <v>0.9440972615537012</v>
      </c>
      <c r="AH165" s="659">
        <f t="shared" si="3"/>
        <v>0.9440972616</v>
      </c>
      <c r="AI165" s="641"/>
      <c r="AJ165" s="660">
        <f t="shared" si="6"/>
        <v>165</v>
      </c>
      <c r="AK165" s="676">
        <v>0.939</v>
      </c>
      <c r="AL165" s="662">
        <v>96560.0</v>
      </c>
      <c r="AM165" s="677">
        <v>-0.990578248745173</v>
      </c>
      <c r="AN165" s="678">
        <v>-0.061000000000000054</v>
      </c>
      <c r="AO165" s="662">
        <v>96560.0</v>
      </c>
      <c r="AP165" s="679">
        <v>-0.9894825235447907</v>
      </c>
      <c r="AQ165" s="662">
        <v>96560.0</v>
      </c>
      <c r="AR165" s="680">
        <v>-0.9883187418055192</v>
      </c>
      <c r="AS165" s="624"/>
      <c r="AT165" s="624"/>
      <c r="AU165" s="624"/>
      <c r="AV165" s="624"/>
      <c r="AW165" s="624"/>
      <c r="AX165" s="624"/>
      <c r="AY165" s="624"/>
      <c r="AZ165" s="624"/>
      <c r="BA165" s="624"/>
      <c r="BB165" s="624"/>
      <c r="BC165" s="624"/>
      <c r="BD165" s="624"/>
      <c r="BE165" s="624"/>
    </row>
    <row r="166" ht="16.5" customHeight="1">
      <c r="A166" s="711"/>
      <c r="B166" s="711"/>
      <c r="C166" s="711"/>
      <c r="D166" s="711"/>
      <c r="E166" s="711"/>
      <c r="F166" s="711"/>
      <c r="G166" s="711"/>
      <c r="H166" s="711"/>
      <c r="I166" s="711"/>
      <c r="J166" s="711"/>
      <c r="K166" s="741"/>
      <c r="L166" s="741"/>
      <c r="M166" s="788"/>
      <c r="N166" s="741"/>
      <c r="O166" s="741"/>
      <c r="P166" s="741"/>
      <c r="Q166" s="741"/>
      <c r="R166" s="788"/>
      <c r="S166" s="819"/>
      <c r="T166" s="820"/>
      <c r="U166" s="819"/>
      <c r="V166" s="820"/>
      <c r="W166" s="788"/>
      <c r="X166" s="803"/>
      <c r="Y166" s="803"/>
      <c r="Z166" s="803"/>
      <c r="AA166" s="711"/>
      <c r="AB166" s="711"/>
      <c r="AC166" s="711"/>
      <c r="AD166" s="736"/>
      <c r="AE166" s="736"/>
      <c r="AF166" s="799">
        <f t="shared" si="8"/>
        <v>105800</v>
      </c>
      <c r="AG166" s="658">
        <v>0.9439702853131724</v>
      </c>
      <c r="AH166" s="659">
        <f t="shared" si="3"/>
        <v>0.9439702853</v>
      </c>
      <c r="AI166" s="641"/>
      <c r="AJ166" s="660">
        <f t="shared" si="6"/>
        <v>166</v>
      </c>
      <c r="AK166" s="676">
        <v>0.9405</v>
      </c>
      <c r="AL166" s="662">
        <v>95735.0</v>
      </c>
      <c r="AM166" s="677">
        <v>-0.990195160876368</v>
      </c>
      <c r="AN166" s="678">
        <v>-0.0595</v>
      </c>
      <c r="AO166" s="662">
        <v>95735.0</v>
      </c>
      <c r="AP166" s="679">
        <v>-0.9890651668880299</v>
      </c>
      <c r="AQ166" s="662">
        <v>95735.0</v>
      </c>
      <c r="AR166" s="680">
        <v>-0.9878660886095668</v>
      </c>
      <c r="AS166" s="624"/>
      <c r="AT166" s="624"/>
      <c r="AU166" s="624"/>
      <c r="AV166" s="624"/>
      <c r="AW166" s="624"/>
      <c r="AX166" s="624"/>
      <c r="AY166" s="624"/>
      <c r="AZ166" s="624"/>
      <c r="BA166" s="624"/>
      <c r="BB166" s="624"/>
      <c r="BC166" s="624"/>
      <c r="BD166" s="624"/>
      <c r="BE166" s="624"/>
    </row>
    <row r="167" ht="16.5" customHeight="1">
      <c r="A167" s="711"/>
      <c r="B167" s="711"/>
      <c r="C167" s="711"/>
      <c r="D167" s="711"/>
      <c r="E167" s="711"/>
      <c r="F167" s="711"/>
      <c r="G167" s="711"/>
      <c r="H167" s="711"/>
      <c r="I167" s="711"/>
      <c r="J167" s="711"/>
      <c r="K167" s="741"/>
      <c r="L167" s="741"/>
      <c r="M167" s="788"/>
      <c r="N167" s="741"/>
      <c r="O167" s="741"/>
      <c r="P167" s="741"/>
      <c r="Q167" s="741"/>
      <c r="R167" s="788"/>
      <c r="S167" s="819"/>
      <c r="T167" s="820"/>
      <c r="U167" s="819"/>
      <c r="V167" s="820"/>
      <c r="W167" s="788"/>
      <c r="X167" s="803"/>
      <c r="Y167" s="803"/>
      <c r="Z167" s="803"/>
      <c r="AA167" s="711"/>
      <c r="AB167" s="711"/>
      <c r="AC167" s="711"/>
      <c r="AD167" s="736"/>
      <c r="AE167" s="736"/>
      <c r="AF167" s="799">
        <f t="shared" si="8"/>
        <v>106550</v>
      </c>
      <c r="AG167" s="658">
        <v>0.943843647595676</v>
      </c>
      <c r="AH167" s="659">
        <f t="shared" si="3"/>
        <v>0.9438436476</v>
      </c>
      <c r="AI167" s="641"/>
      <c r="AJ167" s="660">
        <f t="shared" si="6"/>
        <v>167</v>
      </c>
      <c r="AK167" s="676">
        <v>0.9619</v>
      </c>
      <c r="AL167" s="662">
        <v>95640.0</v>
      </c>
      <c r="AM167" s="677">
        <v>-0.9901500594078729</v>
      </c>
      <c r="AN167" s="678">
        <v>-0.03810000000000002</v>
      </c>
      <c r="AO167" s="662">
        <v>95640.0</v>
      </c>
      <c r="AP167" s="679">
        <v>-0.9890160565037531</v>
      </c>
      <c r="AQ167" s="662">
        <v>95640.0</v>
      </c>
      <c r="AR167" s="680">
        <v>-0.987812851351191</v>
      </c>
      <c r="AS167" s="624"/>
      <c r="AT167" s="624"/>
      <c r="AU167" s="624"/>
      <c r="AV167" s="624"/>
      <c r="AW167" s="624"/>
      <c r="AX167" s="624"/>
      <c r="AY167" s="624"/>
      <c r="AZ167" s="624"/>
      <c r="BA167" s="624"/>
      <c r="BB167" s="624"/>
      <c r="BC167" s="624"/>
      <c r="BD167" s="624"/>
      <c r="BE167" s="624"/>
    </row>
    <row r="168" ht="16.5" customHeight="1">
      <c r="A168" s="830"/>
      <c r="B168" s="830"/>
      <c r="C168" s="830"/>
      <c r="D168" s="830"/>
      <c r="E168" s="830"/>
      <c r="F168" s="830"/>
      <c r="G168" s="830"/>
      <c r="H168" s="830"/>
      <c r="I168" s="830"/>
      <c r="J168" s="830"/>
      <c r="K168" s="741"/>
      <c r="L168" s="741"/>
      <c r="M168" s="788"/>
      <c r="N168" s="741"/>
      <c r="O168" s="741"/>
      <c r="P168" s="741"/>
      <c r="Q168" s="741"/>
      <c r="R168" s="788"/>
      <c r="S168" s="819"/>
      <c r="T168" s="820"/>
      <c r="U168" s="819"/>
      <c r="V168" s="820"/>
      <c r="W168" s="788"/>
      <c r="X168" s="803"/>
      <c r="Y168" s="803"/>
      <c r="Z168" s="803"/>
      <c r="AA168" s="711"/>
      <c r="AB168" s="711"/>
      <c r="AC168" s="711"/>
      <c r="AD168" s="736"/>
      <c r="AE168" s="736"/>
      <c r="AF168" s="799">
        <f t="shared" si="8"/>
        <v>107300</v>
      </c>
      <c r="AG168" s="658">
        <v>0.9437173366345255</v>
      </c>
      <c r="AH168" s="659">
        <f t="shared" si="3"/>
        <v>0.9437173366</v>
      </c>
      <c r="AI168" s="641"/>
      <c r="AJ168" s="660">
        <f t="shared" si="6"/>
        <v>168</v>
      </c>
      <c r="AK168" s="676">
        <v>0.9619</v>
      </c>
      <c r="AL168" s="662">
        <v>95422.0</v>
      </c>
      <c r="AM168" s="677">
        <v>-0.9900457775809643</v>
      </c>
      <c r="AN168" s="678">
        <v>-0.03810000000000002</v>
      </c>
      <c r="AO168" s="662">
        <v>95422.0</v>
      </c>
      <c r="AP168" s="679">
        <v>-0.9889025256861658</v>
      </c>
      <c r="AQ168" s="662">
        <v>95422.0</v>
      </c>
      <c r="AR168" s="680">
        <v>-0.9876898011937943</v>
      </c>
      <c r="AS168" s="624"/>
      <c r="AT168" s="624"/>
      <c r="AU168" s="624"/>
      <c r="AV168" s="624"/>
      <c r="AW168" s="624"/>
      <c r="AX168" s="624"/>
      <c r="AY168" s="624"/>
      <c r="AZ168" s="624"/>
      <c r="BA168" s="624"/>
      <c r="BB168" s="624"/>
      <c r="BC168" s="624"/>
      <c r="BD168" s="624"/>
      <c r="BE168" s="624"/>
    </row>
    <row r="169" ht="16.5" customHeight="1">
      <c r="A169" s="711"/>
      <c r="B169" s="711"/>
      <c r="C169" s="711"/>
      <c r="D169" s="711"/>
      <c r="E169" s="711"/>
      <c r="F169" s="711"/>
      <c r="G169" s="711"/>
      <c r="H169" s="711"/>
      <c r="I169" s="711"/>
      <c r="J169" s="711"/>
      <c r="K169" s="741"/>
      <c r="L169" s="741"/>
      <c r="M169" s="788"/>
      <c r="N169" s="741"/>
      <c r="O169" s="741"/>
      <c r="P169" s="741"/>
      <c r="Q169" s="741"/>
      <c r="R169" s="788"/>
      <c r="S169" s="819"/>
      <c r="T169" s="820"/>
      <c r="U169" s="819"/>
      <c r="V169" s="820"/>
      <c r="W169" s="788"/>
      <c r="X169" s="803"/>
      <c r="Y169" s="803"/>
      <c r="Z169" s="803"/>
      <c r="AA169" s="711"/>
      <c r="AB169" s="711"/>
      <c r="AC169" s="711"/>
      <c r="AD169" s="736"/>
      <c r="AE169" s="736"/>
      <c r="AF169" s="799">
        <f t="shared" si="8"/>
        <v>108050</v>
      </c>
      <c r="AG169" s="658">
        <v>0.9435913410720318</v>
      </c>
      <c r="AH169" s="659">
        <f t="shared" si="3"/>
        <v>0.9435913411</v>
      </c>
      <c r="AI169" s="641"/>
      <c r="AJ169" s="660">
        <f t="shared" si="6"/>
        <v>169</v>
      </c>
      <c r="AK169" s="676">
        <v>0.9644</v>
      </c>
      <c r="AL169" s="662">
        <v>95393.0</v>
      </c>
      <c r="AM169" s="677">
        <v>-0.9900318222788008</v>
      </c>
      <c r="AN169" s="678">
        <v>-0.035599999999999965</v>
      </c>
      <c r="AO169" s="662">
        <v>95393.0</v>
      </c>
      <c r="AP169" s="679">
        <v>-0.9888873347912196</v>
      </c>
      <c r="AQ169" s="662">
        <v>95393.0</v>
      </c>
      <c r="AR169" s="680">
        <v>-0.9876733387782534</v>
      </c>
      <c r="AS169" s="624"/>
      <c r="AT169" s="624"/>
      <c r="AU169" s="624"/>
      <c r="AV169" s="624"/>
      <c r="AW169" s="624"/>
      <c r="AX169" s="624"/>
      <c r="AY169" s="624"/>
      <c r="AZ169" s="624"/>
      <c r="BA169" s="624"/>
      <c r="BB169" s="624"/>
      <c r="BC169" s="624"/>
      <c r="BD169" s="624"/>
      <c r="BE169" s="624"/>
    </row>
    <row r="170" ht="16.5" customHeight="1">
      <c r="A170" s="711"/>
      <c r="B170" s="711"/>
      <c r="C170" s="711"/>
      <c r="D170" s="711"/>
      <c r="E170" s="711"/>
      <c r="F170" s="711"/>
      <c r="G170" s="711"/>
      <c r="H170" s="711"/>
      <c r="I170" s="711"/>
      <c r="J170" s="711"/>
      <c r="K170" s="741"/>
      <c r="L170" s="741"/>
      <c r="M170" s="788"/>
      <c r="N170" s="741"/>
      <c r="O170" s="741"/>
      <c r="P170" s="741"/>
      <c r="Q170" s="741"/>
      <c r="R170" s="788"/>
      <c r="S170" s="819"/>
      <c r="T170" s="820"/>
      <c r="U170" s="819"/>
      <c r="V170" s="820"/>
      <c r="W170" s="788"/>
      <c r="X170" s="803"/>
      <c r="Y170" s="803"/>
      <c r="Z170" s="803"/>
      <c r="AA170" s="711"/>
      <c r="AB170" s="711"/>
      <c r="AC170" s="711"/>
      <c r="AD170" s="736"/>
      <c r="AE170" s="736"/>
      <c r="AF170" s="799">
        <f t="shared" si="8"/>
        <v>108800</v>
      </c>
      <c r="AG170" s="658">
        <v>0.9434656499452863</v>
      </c>
      <c r="AH170" s="659">
        <f t="shared" si="3"/>
        <v>0.9434656499</v>
      </c>
      <c r="AI170" s="641"/>
      <c r="AJ170" s="660">
        <f t="shared" si="6"/>
        <v>170</v>
      </c>
      <c r="AK170" s="676">
        <v>0.9148</v>
      </c>
      <c r="AL170" s="662">
        <v>95346.0</v>
      </c>
      <c r="AM170" s="677">
        <v>-0.9900091635042794</v>
      </c>
      <c r="AN170" s="678">
        <v>-0.08520000000000005</v>
      </c>
      <c r="AO170" s="662">
        <v>95346.0</v>
      </c>
      <c r="AP170" s="679">
        <v>-0.9888626708925276</v>
      </c>
      <c r="AQ170" s="662">
        <v>95346.0</v>
      </c>
      <c r="AR170" s="680">
        <v>-0.9876466115459653</v>
      </c>
      <c r="AS170" s="624"/>
      <c r="AT170" s="624"/>
      <c r="AU170" s="624"/>
      <c r="AV170" s="624"/>
      <c r="AW170" s="624"/>
      <c r="AX170" s="624"/>
      <c r="AY170" s="624"/>
      <c r="AZ170" s="624"/>
      <c r="BA170" s="624"/>
      <c r="BB170" s="624"/>
      <c r="BC170" s="624"/>
      <c r="BD170" s="624"/>
      <c r="BE170" s="624"/>
    </row>
    <row r="171" ht="16.5" customHeight="1">
      <c r="A171" s="711"/>
      <c r="B171" s="711"/>
      <c r="C171" s="711"/>
      <c r="D171" s="711"/>
      <c r="E171" s="711"/>
      <c r="F171" s="711"/>
      <c r="G171" s="711"/>
      <c r="H171" s="711"/>
      <c r="I171" s="711"/>
      <c r="J171" s="711"/>
      <c r="K171" s="741"/>
      <c r="L171" s="741"/>
      <c r="M171" s="788"/>
      <c r="N171" s="741"/>
      <c r="O171" s="741"/>
      <c r="P171" s="741"/>
      <c r="Q171" s="741"/>
      <c r="R171" s="788"/>
      <c r="S171" s="819"/>
      <c r="T171" s="820"/>
      <c r="U171" s="819"/>
      <c r="V171" s="820"/>
      <c r="W171" s="788"/>
      <c r="X171" s="803"/>
      <c r="Y171" s="803"/>
      <c r="Z171" s="803"/>
      <c r="AA171" s="711"/>
      <c r="AB171" s="711"/>
      <c r="AC171" s="711"/>
      <c r="AD171" s="736"/>
      <c r="AE171" s="736"/>
      <c r="AF171" s="799">
        <f t="shared" si="8"/>
        <v>109550</v>
      </c>
      <c r="AG171" s="658">
        <v>0.9433402526724387</v>
      </c>
      <c r="AH171" s="659">
        <f t="shared" si="3"/>
        <v>0.9433402527</v>
      </c>
      <c r="AI171" s="641"/>
      <c r="AJ171" s="660">
        <f t="shared" si="6"/>
        <v>171</v>
      </c>
      <c r="AK171" s="676">
        <v>0.9405</v>
      </c>
      <c r="AL171" s="662">
        <v>94924.0</v>
      </c>
      <c r="AM171" s="677">
        <v>-0.9898033952636643</v>
      </c>
      <c r="AN171" s="678">
        <v>-0.0595</v>
      </c>
      <c r="AO171" s="662">
        <v>94924.0</v>
      </c>
      <c r="AP171" s="679">
        <v>-0.988638753786477</v>
      </c>
      <c r="AQ171" s="662">
        <v>94924.0</v>
      </c>
      <c r="AR171" s="680">
        <v>-0.9874040239883156</v>
      </c>
      <c r="AS171" s="624"/>
      <c r="AT171" s="624"/>
      <c r="AU171" s="624"/>
      <c r="AV171" s="624"/>
      <c r="AW171" s="624"/>
      <c r="AX171" s="624"/>
      <c r="AY171" s="624"/>
      <c r="AZ171" s="624"/>
      <c r="BA171" s="624"/>
      <c r="BB171" s="624"/>
      <c r="BC171" s="624"/>
      <c r="BD171" s="624"/>
      <c r="BE171" s="624"/>
    </row>
    <row r="172" ht="16.5" customHeight="1">
      <c r="A172" s="711"/>
      <c r="B172" s="711"/>
      <c r="C172" s="711"/>
      <c r="D172" s="711"/>
      <c r="E172" s="711"/>
      <c r="F172" s="711"/>
      <c r="G172" s="711"/>
      <c r="H172" s="711"/>
      <c r="I172" s="711"/>
      <c r="J172" s="711"/>
      <c r="K172" s="741"/>
      <c r="L172" s="741"/>
      <c r="M172" s="788"/>
      <c r="N172" s="741"/>
      <c r="O172" s="741"/>
      <c r="P172" s="741"/>
      <c r="Q172" s="741"/>
      <c r="R172" s="788"/>
      <c r="S172" s="819"/>
      <c r="T172" s="820"/>
      <c r="U172" s="819"/>
      <c r="V172" s="820"/>
      <c r="W172" s="788"/>
      <c r="X172" s="803"/>
      <c r="Y172" s="803"/>
      <c r="Z172" s="803"/>
      <c r="AA172" s="711"/>
      <c r="AB172" s="711"/>
      <c r="AC172" s="711"/>
      <c r="AD172" s="736"/>
      <c r="AE172" s="736"/>
      <c r="AF172" s="799">
        <f t="shared" si="8"/>
        <v>110300</v>
      </c>
      <c r="AG172" s="658">
        <v>0.9432151390394526</v>
      </c>
      <c r="AH172" s="659">
        <f t="shared" si="3"/>
        <v>0.943215139</v>
      </c>
      <c r="AI172" s="641"/>
      <c r="AJ172" s="660">
        <f t="shared" si="6"/>
        <v>172</v>
      </c>
      <c r="AK172" s="676">
        <v>0.9416</v>
      </c>
      <c r="AL172" s="662">
        <v>94530.0</v>
      </c>
      <c r="AM172" s="677">
        <v>-0.9896074561417822</v>
      </c>
      <c r="AN172" s="678">
        <v>-0.05840000000000001</v>
      </c>
      <c r="AO172" s="662">
        <v>94530.0</v>
      </c>
      <c r="AP172" s="679">
        <v>-0.9884256318057645</v>
      </c>
      <c r="AQ172" s="662">
        <v>94530.0</v>
      </c>
      <c r="AR172" s="680">
        <v>-0.9871732340071406</v>
      </c>
      <c r="AS172" s="624"/>
      <c r="AT172" s="624"/>
      <c r="AU172" s="624"/>
      <c r="AV172" s="624"/>
      <c r="AW172" s="624"/>
      <c r="AX172" s="624"/>
      <c r="AY172" s="624"/>
      <c r="AZ172" s="624"/>
      <c r="BA172" s="624"/>
      <c r="BB172" s="624"/>
      <c r="BC172" s="624"/>
      <c r="BD172" s="624"/>
      <c r="BE172" s="624"/>
    </row>
    <row r="173" ht="16.5" customHeight="1">
      <c r="A173" s="711"/>
      <c r="B173" s="711"/>
      <c r="C173" s="711"/>
      <c r="D173" s="711"/>
      <c r="E173" s="711"/>
      <c r="F173" s="711"/>
      <c r="G173" s="711"/>
      <c r="H173" s="711"/>
      <c r="I173" s="711"/>
      <c r="J173" s="711"/>
      <c r="K173" s="741"/>
      <c r="L173" s="741"/>
      <c r="M173" s="788"/>
      <c r="N173" s="741"/>
      <c r="O173" s="741"/>
      <c r="P173" s="741"/>
      <c r="Q173" s="741"/>
      <c r="R173" s="788"/>
      <c r="S173" s="819"/>
      <c r="T173" s="820"/>
      <c r="U173" s="819"/>
      <c r="V173" s="820"/>
      <c r="W173" s="788"/>
      <c r="X173" s="803"/>
      <c r="Y173" s="803"/>
      <c r="Z173" s="803"/>
      <c r="AA173" s="711"/>
      <c r="AB173" s="711"/>
      <c r="AC173" s="711"/>
      <c r="AD173" s="736"/>
      <c r="AE173" s="736"/>
      <c r="AF173" s="799">
        <f t="shared" si="8"/>
        <v>111050</v>
      </c>
      <c r="AG173" s="658">
        <v>0.9430902991873201</v>
      </c>
      <c r="AH173" s="659">
        <f t="shared" si="3"/>
        <v>0.9430902992</v>
      </c>
      <c r="AI173" s="641"/>
      <c r="AJ173" s="660">
        <f t="shared" si="6"/>
        <v>173</v>
      </c>
      <c r="AK173" s="676">
        <v>0.939</v>
      </c>
      <c r="AL173" s="662">
        <v>94500.0</v>
      </c>
      <c r="AM173" s="677">
        <v>-0.9895923835644975</v>
      </c>
      <c r="AN173" s="678">
        <v>-0.061000000000000054</v>
      </c>
      <c r="AO173" s="662">
        <v>94500.0</v>
      </c>
      <c r="AP173" s="679">
        <v>-0.98840924138859</v>
      </c>
      <c r="AQ173" s="662">
        <v>94500.0</v>
      </c>
      <c r="AR173" s="680">
        <v>-0.9871554888875439</v>
      </c>
      <c r="AS173" s="624"/>
      <c r="AT173" s="624"/>
      <c r="AU173" s="624"/>
      <c r="AV173" s="624"/>
      <c r="AW173" s="624"/>
      <c r="AX173" s="624"/>
      <c r="AY173" s="624"/>
      <c r="AZ173" s="624"/>
      <c r="BA173" s="624"/>
      <c r="BB173" s="624"/>
      <c r="BC173" s="624"/>
      <c r="BD173" s="624"/>
      <c r="BE173" s="624"/>
    </row>
    <row r="174" ht="16.5" customHeight="1">
      <c r="A174" s="711"/>
      <c r="B174" s="711"/>
      <c r="C174" s="711"/>
      <c r="D174" s="711"/>
      <c r="E174" s="711"/>
      <c r="F174" s="711"/>
      <c r="G174" s="711"/>
      <c r="H174" s="711"/>
      <c r="I174" s="711"/>
      <c r="J174" s="711"/>
      <c r="K174" s="741"/>
      <c r="L174" s="741"/>
      <c r="M174" s="788"/>
      <c r="N174" s="741"/>
      <c r="O174" s="741"/>
      <c r="P174" s="741"/>
      <c r="Q174" s="741"/>
      <c r="R174" s="788"/>
      <c r="S174" s="819"/>
      <c r="T174" s="820"/>
      <c r="U174" s="819"/>
      <c r="V174" s="820"/>
      <c r="W174" s="788"/>
      <c r="X174" s="803"/>
      <c r="Y174" s="803"/>
      <c r="Z174" s="803"/>
      <c r="AA174" s="711"/>
      <c r="AB174" s="711"/>
      <c r="AC174" s="711"/>
      <c r="AD174" s="736"/>
      <c r="AE174" s="736"/>
      <c r="AF174" s="799">
        <f t="shared" si="8"/>
        <v>111800</v>
      </c>
      <c r="AG174" s="658">
        <v>0.9429657235997212</v>
      </c>
      <c r="AH174" s="659">
        <f t="shared" si="3"/>
        <v>0.9429657236</v>
      </c>
      <c r="AI174" s="641"/>
      <c r="AJ174" s="660">
        <f t="shared" si="6"/>
        <v>174</v>
      </c>
      <c r="AK174" s="676">
        <v>0.9718</v>
      </c>
      <c r="AL174" s="662">
        <v>94361.0</v>
      </c>
      <c r="AM174" s="677">
        <v>-0.9895222615010323</v>
      </c>
      <c r="AN174" s="678">
        <v>-0.028200000000000003</v>
      </c>
      <c r="AO174" s="662">
        <v>94361.0</v>
      </c>
      <c r="AP174" s="679">
        <v>-0.9883329956936783</v>
      </c>
      <c r="AQ174" s="662">
        <v>94361.0</v>
      </c>
      <c r="AR174" s="680">
        <v>-0.9870729489129532</v>
      </c>
      <c r="AS174" s="624"/>
      <c r="AT174" s="624"/>
      <c r="AU174" s="624"/>
      <c r="AV174" s="624"/>
      <c r="AW174" s="624"/>
      <c r="AX174" s="624"/>
      <c r="AY174" s="624"/>
      <c r="AZ174" s="624"/>
      <c r="BA174" s="624"/>
      <c r="BB174" s="624"/>
      <c r="BC174" s="624"/>
      <c r="BD174" s="624"/>
      <c r="BE174" s="624"/>
    </row>
    <row r="175" ht="16.5" customHeight="1">
      <c r="A175" s="711"/>
      <c r="B175" s="711"/>
      <c r="C175" s="711"/>
      <c r="D175" s="711"/>
      <c r="E175" s="711"/>
      <c r="F175" s="711"/>
      <c r="G175" s="711"/>
      <c r="H175" s="711"/>
      <c r="I175" s="711"/>
      <c r="J175" s="711"/>
      <c r="K175" s="741"/>
      <c r="L175" s="741"/>
      <c r="M175" s="788"/>
      <c r="N175" s="741"/>
      <c r="O175" s="741"/>
      <c r="P175" s="741"/>
      <c r="Q175" s="741"/>
      <c r="R175" s="788"/>
      <c r="S175" s="819"/>
      <c r="T175" s="820"/>
      <c r="U175" s="819"/>
      <c r="V175" s="820"/>
      <c r="W175" s="788"/>
      <c r="X175" s="803"/>
      <c r="Y175" s="803"/>
      <c r="Z175" s="803"/>
      <c r="AA175" s="711"/>
      <c r="AB175" s="711"/>
      <c r="AC175" s="711"/>
      <c r="AD175" s="736"/>
      <c r="AE175" s="736"/>
      <c r="AF175" s="799">
        <f t="shared" si="8"/>
        <v>112550</v>
      </c>
      <c r="AG175" s="658">
        <v>0.942841403091113</v>
      </c>
      <c r="AH175" s="659">
        <f t="shared" si="3"/>
        <v>0.9428414031</v>
      </c>
      <c r="AI175" s="641"/>
      <c r="AJ175" s="660">
        <f t="shared" si="6"/>
        <v>175</v>
      </c>
      <c r="AK175" s="676">
        <v>0.934</v>
      </c>
      <c r="AL175" s="662">
        <v>93906.0</v>
      </c>
      <c r="AM175" s="677">
        <v>-0.9892894039141636</v>
      </c>
      <c r="AN175" s="678">
        <v>-0.06599999999999995</v>
      </c>
      <c r="AO175" s="662">
        <v>93906.0</v>
      </c>
      <c r="AP175" s="679">
        <v>-0.9880798889592217</v>
      </c>
      <c r="AQ175" s="662">
        <v>93906.0</v>
      </c>
      <c r="AR175" s="680">
        <v>-0.9867990362116729</v>
      </c>
      <c r="AS175" s="624"/>
      <c r="AT175" s="624"/>
      <c r="AU175" s="624"/>
      <c r="AV175" s="624"/>
      <c r="AW175" s="624"/>
      <c r="AX175" s="624"/>
      <c r="AY175" s="624"/>
      <c r="AZ175" s="624"/>
      <c r="BA175" s="624"/>
      <c r="BB175" s="624"/>
      <c r="BC175" s="624"/>
      <c r="BD175" s="624"/>
      <c r="BE175" s="624"/>
    </row>
    <row r="176" ht="16.5" customHeight="1">
      <c r="A176" s="711"/>
      <c r="B176" s="711"/>
      <c r="C176" s="711"/>
      <c r="D176" s="711"/>
      <c r="E176" s="711"/>
      <c r="F176" s="711"/>
      <c r="G176" s="711"/>
      <c r="H176" s="711"/>
      <c r="I176" s="711"/>
      <c r="J176" s="711"/>
      <c r="K176" s="741"/>
      <c r="L176" s="741"/>
      <c r="M176" s="788"/>
      <c r="N176" s="741"/>
      <c r="O176" s="741"/>
      <c r="P176" s="741"/>
      <c r="Q176" s="741"/>
      <c r="R176" s="788"/>
      <c r="S176" s="819"/>
      <c r="T176" s="820"/>
      <c r="U176" s="819"/>
      <c r="V176" s="820"/>
      <c r="W176" s="788"/>
      <c r="X176" s="803"/>
      <c r="Y176" s="803"/>
      <c r="Z176" s="803"/>
      <c r="AA176" s="711"/>
      <c r="AB176" s="711"/>
      <c r="AC176" s="711"/>
      <c r="AD176" s="736"/>
      <c r="AE176" s="736"/>
      <c r="AF176" s="799">
        <f t="shared" si="8"/>
        <v>113300</v>
      </c>
      <c r="AG176" s="658">
        <v>0.9427173287952317</v>
      </c>
      <c r="AH176" s="659">
        <f t="shared" si="3"/>
        <v>0.9427173288</v>
      </c>
      <c r="AI176" s="641"/>
      <c r="AJ176" s="660">
        <f t="shared" si="6"/>
        <v>176</v>
      </c>
      <c r="AK176" s="676">
        <v>0.9405</v>
      </c>
      <c r="AL176" s="662">
        <v>93871.0</v>
      </c>
      <c r="AM176" s="677">
        <v>-0.9892712788918685</v>
      </c>
      <c r="AN176" s="678">
        <v>-0.0595</v>
      </c>
      <c r="AO176" s="662">
        <v>93871.0</v>
      </c>
      <c r="AP176" s="679">
        <v>-0.9880601932768619</v>
      </c>
      <c r="AQ176" s="662">
        <v>93871.0</v>
      </c>
      <c r="AR176" s="680">
        <v>-0.986777727154491</v>
      </c>
      <c r="AS176" s="624"/>
      <c r="AT176" s="624"/>
      <c r="AU176" s="624"/>
      <c r="AV176" s="624"/>
      <c r="AW176" s="624"/>
      <c r="AX176" s="624"/>
      <c r="AY176" s="624"/>
      <c r="AZ176" s="624"/>
      <c r="BA176" s="624"/>
      <c r="BB176" s="624"/>
      <c r="BC176" s="624"/>
      <c r="BD176" s="624"/>
      <c r="BE176" s="624"/>
    </row>
    <row r="177" ht="16.5" customHeight="1">
      <c r="A177" s="711"/>
      <c r="B177" s="711"/>
      <c r="C177" s="711"/>
      <c r="D177" s="711"/>
      <c r="E177" s="711"/>
      <c r="F177" s="711"/>
      <c r="G177" s="711"/>
      <c r="H177" s="711"/>
      <c r="I177" s="711"/>
      <c r="J177" s="711"/>
      <c r="K177" s="741"/>
      <c r="L177" s="741"/>
      <c r="M177" s="788"/>
      <c r="N177" s="741"/>
      <c r="O177" s="741"/>
      <c r="P177" s="741"/>
      <c r="Q177" s="741"/>
      <c r="R177" s="788"/>
      <c r="S177" s="819"/>
      <c r="T177" s="820"/>
      <c r="U177" s="819"/>
      <c r="V177" s="820"/>
      <c r="W177" s="788"/>
      <c r="X177" s="803"/>
      <c r="Y177" s="803"/>
      <c r="Z177" s="803"/>
      <c r="AA177" s="711"/>
      <c r="AB177" s="711"/>
      <c r="AC177" s="711"/>
      <c r="AD177" s="736"/>
      <c r="AE177" s="736"/>
      <c r="AF177" s="799">
        <f t="shared" si="8"/>
        <v>114050</v>
      </c>
      <c r="AG177" s="658">
        <v>0.9425934921539952</v>
      </c>
      <c r="AH177" s="659">
        <f t="shared" si="3"/>
        <v>0.9425934922</v>
      </c>
      <c r="AI177" s="641"/>
      <c r="AJ177" s="660">
        <f t="shared" si="6"/>
        <v>177</v>
      </c>
      <c r="AK177" s="676">
        <v>0.9644</v>
      </c>
      <c r="AL177" s="662">
        <v>93406.0</v>
      </c>
      <c r="AM177" s="677">
        <v>-0.9890275440364665</v>
      </c>
      <c r="AN177" s="678">
        <v>-0.035599999999999965</v>
      </c>
      <c r="AO177" s="662">
        <v>93406.0</v>
      </c>
      <c r="AP177" s="679">
        <v>-0.9877954127794133</v>
      </c>
      <c r="AQ177" s="662">
        <v>93406.0</v>
      </c>
      <c r="AR177" s="680">
        <v>-0.9864913352100454</v>
      </c>
      <c r="AS177" s="624"/>
      <c r="AT177" s="624"/>
      <c r="AU177" s="624"/>
      <c r="AV177" s="624"/>
      <c r="AW177" s="624"/>
      <c r="AX177" s="624"/>
      <c r="AY177" s="624"/>
      <c r="AZ177" s="624"/>
      <c r="BA177" s="624"/>
      <c r="BB177" s="624"/>
      <c r="BC177" s="624"/>
      <c r="BD177" s="624"/>
      <c r="BE177" s="624"/>
    </row>
    <row r="178" ht="16.5" customHeight="1">
      <c r="A178" s="711"/>
      <c r="B178" s="711"/>
      <c r="C178" s="711"/>
      <c r="D178" s="711"/>
      <c r="E178" s="711"/>
      <c r="F178" s="711"/>
      <c r="G178" s="711"/>
      <c r="H178" s="711"/>
      <c r="I178" s="711"/>
      <c r="J178" s="711"/>
      <c r="K178" s="741"/>
      <c r="L178" s="741"/>
      <c r="M178" s="788"/>
      <c r="N178" s="741"/>
      <c r="O178" s="741"/>
      <c r="P178" s="741"/>
      <c r="Q178" s="741"/>
      <c r="R178" s="788"/>
      <c r="S178" s="819"/>
      <c r="T178" s="820"/>
      <c r="U178" s="819"/>
      <c r="V178" s="820"/>
      <c r="W178" s="788"/>
      <c r="X178" s="803"/>
      <c r="Y178" s="803"/>
      <c r="Z178" s="803"/>
      <c r="AA178" s="711"/>
      <c r="AB178" s="711"/>
      <c r="AC178" s="711"/>
      <c r="AD178" s="736"/>
      <c r="AE178" s="736"/>
      <c r="AF178" s="799">
        <f t="shared" si="8"/>
        <v>114800</v>
      </c>
      <c r="AG178" s="658">
        <v>0.942469884906791</v>
      </c>
      <c r="AH178" s="659">
        <f t="shared" si="3"/>
        <v>0.9424698849</v>
      </c>
      <c r="AI178" s="641"/>
      <c r="AJ178" s="660">
        <f t="shared" si="6"/>
        <v>178</v>
      </c>
      <c r="AK178" s="676">
        <v>0.9248</v>
      </c>
      <c r="AL178" s="662">
        <v>93400.0</v>
      </c>
      <c r="AM178" s="677">
        <v>-0.9890243631534729</v>
      </c>
      <c r="AN178" s="678">
        <v>-0.07520000000000004</v>
      </c>
      <c r="AO178" s="662">
        <v>93400.0</v>
      </c>
      <c r="AP178" s="679">
        <v>-0.9877919581621168</v>
      </c>
      <c r="AQ178" s="662">
        <v>93400.0</v>
      </c>
      <c r="AR178" s="680">
        <v>-0.9864875995789341</v>
      </c>
      <c r="AS178" s="624"/>
      <c r="AT178" s="624"/>
      <c r="AU178" s="624"/>
      <c r="AV178" s="624"/>
      <c r="AW178" s="624"/>
      <c r="AX178" s="624"/>
      <c r="AY178" s="624"/>
      <c r="AZ178" s="624"/>
      <c r="BA178" s="624"/>
      <c r="BB178" s="624"/>
      <c r="BC178" s="624"/>
      <c r="BD178" s="624"/>
      <c r="BE178" s="624"/>
    </row>
    <row r="179" ht="16.5" customHeight="1">
      <c r="A179" s="711"/>
      <c r="B179" s="711"/>
      <c r="C179" s="711"/>
      <c r="D179" s="711"/>
      <c r="E179" s="711"/>
      <c r="F179" s="711"/>
      <c r="G179" s="711"/>
      <c r="H179" s="711"/>
      <c r="I179" s="711"/>
      <c r="J179" s="711"/>
      <c r="K179" s="741"/>
      <c r="L179" s="741"/>
      <c r="M179" s="788"/>
      <c r="N179" s="741"/>
      <c r="O179" s="741"/>
      <c r="P179" s="741"/>
      <c r="Q179" s="741"/>
      <c r="R179" s="788"/>
      <c r="S179" s="819"/>
      <c r="T179" s="820"/>
      <c r="U179" s="819"/>
      <c r="V179" s="820"/>
      <c r="W179" s="788"/>
      <c r="X179" s="803"/>
      <c r="Y179" s="803"/>
      <c r="Z179" s="803"/>
      <c r="AA179" s="711"/>
      <c r="AB179" s="711"/>
      <c r="AC179" s="711"/>
      <c r="AD179" s="736"/>
      <c r="AE179" s="736"/>
      <c r="AF179" s="799">
        <f t="shared" si="8"/>
        <v>115550</v>
      </c>
      <c r="AG179" s="658">
        <v>0.9423464990801358</v>
      </c>
      <c r="AH179" s="659">
        <f t="shared" si="3"/>
        <v>0.9423464991</v>
      </c>
      <c r="AI179" s="641"/>
      <c r="AJ179" s="660">
        <f t="shared" si="6"/>
        <v>179</v>
      </c>
      <c r="AK179" s="676">
        <v>0.9298</v>
      </c>
      <c r="AL179" s="662">
        <v>93058.0</v>
      </c>
      <c r="AM179" s="677">
        <v>-0.988841520262599</v>
      </c>
      <c r="AN179" s="678">
        <v>-0.07020000000000004</v>
      </c>
      <c r="AO179" s="662">
        <v>93058.0</v>
      </c>
      <c r="AP179" s="679">
        <v>-0.9875934199991884</v>
      </c>
      <c r="AQ179" s="662">
        <v>93058.0</v>
      </c>
      <c r="AR179" s="680">
        <v>-0.9862729521484399</v>
      </c>
      <c r="AS179" s="624"/>
      <c r="AT179" s="624"/>
      <c r="AU179" s="624"/>
      <c r="AV179" s="624"/>
      <c r="AW179" s="624"/>
      <c r="AX179" s="624"/>
      <c r="AY179" s="624"/>
      <c r="AZ179" s="624"/>
      <c r="BA179" s="624"/>
      <c r="BB179" s="624"/>
      <c r="BC179" s="624"/>
      <c r="BD179" s="624"/>
      <c r="BE179" s="624"/>
    </row>
    <row r="180" ht="16.5" customHeight="1">
      <c r="A180" s="711"/>
      <c r="B180" s="711"/>
      <c r="C180" s="711"/>
      <c r="D180" s="711"/>
      <c r="E180" s="711"/>
      <c r="F180" s="711"/>
      <c r="G180" s="711"/>
      <c r="H180" s="711"/>
      <c r="I180" s="711"/>
      <c r="J180" s="711"/>
      <c r="K180" s="741"/>
      <c r="L180" s="741"/>
      <c r="M180" s="788"/>
      <c r="N180" s="741"/>
      <c r="O180" s="741"/>
      <c r="P180" s="741"/>
      <c r="Q180" s="741"/>
      <c r="R180" s="788"/>
      <c r="S180" s="819"/>
      <c r="T180" s="820"/>
      <c r="U180" s="819"/>
      <c r="V180" s="820"/>
      <c r="W180" s="788"/>
      <c r="X180" s="803"/>
      <c r="Y180" s="803"/>
      <c r="Z180" s="803"/>
      <c r="AA180" s="711"/>
      <c r="AB180" s="711"/>
      <c r="AC180" s="711"/>
      <c r="AD180" s="736"/>
      <c r="AE180" s="736"/>
      <c r="AF180" s="799">
        <f t="shared" si="8"/>
        <v>116300</v>
      </c>
      <c r="AG180" s="658">
        <v>0.9422233269776963</v>
      </c>
      <c r="AH180" s="659">
        <f t="shared" si="3"/>
        <v>0.942223327</v>
      </c>
      <c r="AI180" s="641"/>
      <c r="AJ180" s="660">
        <f t="shared" si="6"/>
        <v>180</v>
      </c>
      <c r="AK180" s="676">
        <v>0.9616</v>
      </c>
      <c r="AL180" s="662">
        <v>93005.0</v>
      </c>
      <c r="AM180" s="677">
        <v>-0.9888129136356326</v>
      </c>
      <c r="AN180" s="678">
        <v>-0.03839999999999999</v>
      </c>
      <c r="AO180" s="662">
        <v>93005.0</v>
      </c>
      <c r="AP180" s="679">
        <v>-0.9875623647462949</v>
      </c>
      <c r="AQ180" s="662">
        <v>93005.0</v>
      </c>
      <c r="AR180" s="680">
        <v>-0.986239384281043</v>
      </c>
      <c r="AS180" s="624"/>
      <c r="AT180" s="624"/>
      <c r="AU180" s="624"/>
      <c r="AV180" s="624"/>
      <c r="AW180" s="624"/>
      <c r="AX180" s="624"/>
      <c r="AY180" s="624"/>
      <c r="AZ180" s="624"/>
      <c r="BA180" s="624"/>
      <c r="BB180" s="624"/>
      <c r="BC180" s="624"/>
      <c r="BD180" s="624"/>
      <c r="BE180" s="624"/>
    </row>
    <row r="181" ht="16.5" customHeight="1">
      <c r="A181" s="711"/>
      <c r="B181" s="711"/>
      <c r="C181" s="711"/>
      <c r="D181" s="711"/>
      <c r="E181" s="711"/>
      <c r="F181" s="711"/>
      <c r="G181" s="711"/>
      <c r="H181" s="711"/>
      <c r="I181" s="711"/>
      <c r="J181" s="711"/>
      <c r="K181" s="741"/>
      <c r="L181" s="741"/>
      <c r="M181" s="788"/>
      <c r="N181" s="741"/>
      <c r="O181" s="741"/>
      <c r="P181" s="741"/>
      <c r="Q181" s="741"/>
      <c r="R181" s="788"/>
      <c r="S181" s="819"/>
      <c r="T181" s="820"/>
      <c r="U181" s="819"/>
      <c r="V181" s="820"/>
      <c r="W181" s="788"/>
      <c r="X181" s="803"/>
      <c r="Y181" s="803"/>
      <c r="Z181" s="803"/>
      <c r="AA181" s="711"/>
      <c r="AB181" s="711"/>
      <c r="AC181" s="711"/>
      <c r="AD181" s="736"/>
      <c r="AE181" s="736"/>
      <c r="AF181" s="799">
        <f t="shared" si="8"/>
        <v>117050</v>
      </c>
      <c r="AG181" s="658">
        <v>0.942100361170655</v>
      </c>
      <c r="AH181" s="659">
        <f t="shared" si="3"/>
        <v>0.9421003612</v>
      </c>
      <c r="AI181" s="641"/>
      <c r="AJ181" s="660">
        <f t="shared" si="6"/>
        <v>181</v>
      </c>
      <c r="AK181" s="676">
        <v>0.9405</v>
      </c>
      <c r="AL181" s="662">
        <v>92674.0</v>
      </c>
      <c r="AM181" s="677">
        <v>-0.9886325904696253</v>
      </c>
      <c r="AN181" s="678">
        <v>-0.0595</v>
      </c>
      <c r="AO181" s="662">
        <v>92674.0</v>
      </c>
      <c r="AP181" s="679">
        <v>-0.9873666494698806</v>
      </c>
      <c r="AQ181" s="662">
        <v>92674.0</v>
      </c>
      <c r="AR181" s="680">
        <v>-0.9860278783341178</v>
      </c>
      <c r="AS181" s="624"/>
      <c r="AT181" s="624"/>
      <c r="AU181" s="624"/>
      <c r="AV181" s="624"/>
      <c r="AW181" s="624"/>
      <c r="AX181" s="624"/>
      <c r="AY181" s="624"/>
      <c r="AZ181" s="624"/>
      <c r="BA181" s="624"/>
      <c r="BB181" s="624"/>
      <c r="BC181" s="624"/>
      <c r="BD181" s="624"/>
      <c r="BE181" s="624"/>
    </row>
    <row r="182" ht="16.5" customHeight="1">
      <c r="A182" s="711"/>
      <c r="B182" s="711"/>
      <c r="C182" s="711"/>
      <c r="D182" s="711"/>
      <c r="E182" s="711"/>
      <c r="F182" s="711"/>
      <c r="G182" s="711"/>
      <c r="H182" s="711"/>
      <c r="I182" s="711"/>
      <c r="J182" s="711"/>
      <c r="K182" s="741"/>
      <c r="L182" s="741"/>
      <c r="M182" s="788"/>
      <c r="N182" s="741"/>
      <c r="O182" s="741"/>
      <c r="P182" s="741"/>
      <c r="Q182" s="741"/>
      <c r="R182" s="788"/>
      <c r="S182" s="819"/>
      <c r="T182" s="820"/>
      <c r="U182" s="819"/>
      <c r="V182" s="820"/>
      <c r="W182" s="788"/>
      <c r="X182" s="803"/>
      <c r="Y182" s="803"/>
      <c r="Z182" s="803"/>
      <c r="AA182" s="711"/>
      <c r="AB182" s="711"/>
      <c r="AC182" s="711"/>
      <c r="AD182" s="736"/>
      <c r="AE182" s="736"/>
      <c r="AF182" s="799">
        <f t="shared" si="8"/>
        <v>117800</v>
      </c>
      <c r="AG182" s="658">
        <v>0.9419775944884119</v>
      </c>
      <c r="AH182" s="659">
        <f t="shared" si="3"/>
        <v>0.9419775945</v>
      </c>
      <c r="AI182" s="641"/>
      <c r="AJ182" s="660">
        <f t="shared" si="6"/>
        <v>182</v>
      </c>
      <c r="AK182" s="676">
        <v>0.934</v>
      </c>
      <c r="AL182" s="662">
        <v>92560.2733704338</v>
      </c>
      <c r="AM182" s="677">
        <v>-0.9885699655918396</v>
      </c>
      <c r="AN182" s="678">
        <v>-0.06599999999999995</v>
      </c>
      <c r="AO182" s="662">
        <v>92560.2733704338</v>
      </c>
      <c r="AP182" s="679">
        <v>-0.9872986962166546</v>
      </c>
      <c r="AQ182" s="662">
        <v>92560.2733704338</v>
      </c>
      <c r="AR182" s="680">
        <v>-0.9859544602024729</v>
      </c>
      <c r="AS182" s="624"/>
      <c r="AT182" s="624"/>
      <c r="AU182" s="624"/>
      <c r="AV182" s="624"/>
      <c r="AW182" s="624"/>
      <c r="AX182" s="624"/>
      <c r="AY182" s="624"/>
      <c r="AZ182" s="624"/>
      <c r="BA182" s="624"/>
      <c r="BB182" s="624"/>
      <c r="BC182" s="624"/>
      <c r="BD182" s="624"/>
      <c r="BE182" s="624"/>
    </row>
    <row r="183" ht="16.5" customHeight="1">
      <c r="A183" s="711"/>
      <c r="B183" s="711"/>
      <c r="C183" s="711"/>
      <c r="D183" s="711"/>
      <c r="E183" s="711"/>
      <c r="F183" s="711"/>
      <c r="G183" s="711"/>
      <c r="H183" s="711"/>
      <c r="I183" s="711"/>
      <c r="J183" s="711"/>
      <c r="K183" s="741"/>
      <c r="L183" s="741"/>
      <c r="M183" s="788"/>
      <c r="N183" s="741"/>
      <c r="O183" s="741"/>
      <c r="P183" s="741"/>
      <c r="Q183" s="741"/>
      <c r="R183" s="788"/>
      <c r="S183" s="819"/>
      <c r="T183" s="820"/>
      <c r="U183" s="819"/>
      <c r="V183" s="820"/>
      <c r="W183" s="788"/>
      <c r="X183" s="803"/>
      <c r="Y183" s="803"/>
      <c r="Z183" s="803"/>
      <c r="AA183" s="711"/>
      <c r="AB183" s="711"/>
      <c r="AC183" s="711"/>
      <c r="AD183" s="736"/>
      <c r="AE183" s="736"/>
      <c r="AF183" s="799">
        <f t="shared" si="8"/>
        <v>118550</v>
      </c>
      <c r="AG183" s="658">
        <v>0.9418550200096094</v>
      </c>
      <c r="AH183" s="659">
        <f t="shared" si="3"/>
        <v>0.94185502</v>
      </c>
      <c r="AI183" s="641"/>
      <c r="AJ183" s="660">
        <f t="shared" si="6"/>
        <v>183</v>
      </c>
      <c r="AK183" s="676">
        <v>0.8928</v>
      </c>
      <c r="AL183" s="662">
        <v>92242.0</v>
      </c>
      <c r="AM183" s="677">
        <v>-0.9883928647904863</v>
      </c>
      <c r="AN183" s="678">
        <v>-0.10719999999999996</v>
      </c>
      <c r="AO183" s="662">
        <v>92242.0</v>
      </c>
      <c r="AP183" s="679">
        <v>-0.9871065743343899</v>
      </c>
      <c r="AQ183" s="662">
        <v>92242.0</v>
      </c>
      <c r="AR183" s="680">
        <v>-0.9857469364603978</v>
      </c>
      <c r="AS183" s="624"/>
      <c r="AT183" s="624"/>
      <c r="AU183" s="624"/>
      <c r="AV183" s="624"/>
      <c r="AW183" s="624"/>
      <c r="AX183" s="624"/>
      <c r="AY183" s="624"/>
      <c r="AZ183" s="624"/>
      <c r="BA183" s="624"/>
      <c r="BB183" s="624"/>
      <c r="BC183" s="624"/>
      <c r="BD183" s="624"/>
      <c r="BE183" s="624"/>
    </row>
    <row r="184" ht="16.5" customHeight="1">
      <c r="A184" s="711"/>
      <c r="B184" s="711"/>
      <c r="C184" s="711"/>
      <c r="D184" s="711"/>
      <c r="E184" s="711"/>
      <c r="F184" s="711"/>
      <c r="G184" s="711"/>
      <c r="H184" s="711"/>
      <c r="I184" s="711"/>
      <c r="J184" s="711"/>
      <c r="K184" s="741"/>
      <c r="L184" s="741"/>
      <c r="M184" s="788"/>
      <c r="N184" s="741"/>
      <c r="O184" s="741"/>
      <c r="P184" s="741"/>
      <c r="Q184" s="741"/>
      <c r="R184" s="788"/>
      <c r="S184" s="819"/>
      <c r="T184" s="820"/>
      <c r="U184" s="819"/>
      <c r="V184" s="820"/>
      <c r="W184" s="788"/>
      <c r="X184" s="803"/>
      <c r="Y184" s="803"/>
      <c r="Z184" s="803"/>
      <c r="AA184" s="711"/>
      <c r="AB184" s="711"/>
      <c r="AC184" s="711"/>
      <c r="AD184" s="736"/>
      <c r="AE184" s="736"/>
      <c r="AF184" s="799">
        <f t="shared" si="8"/>
        <v>119300</v>
      </c>
      <c r="AG184" s="658">
        <v>0.9417326310534682</v>
      </c>
      <c r="AH184" s="659">
        <f t="shared" si="3"/>
        <v>0.9417326311</v>
      </c>
      <c r="AI184" s="641"/>
      <c r="AJ184" s="660">
        <f t="shared" si="6"/>
        <v>184</v>
      </c>
      <c r="AK184" s="676">
        <v>0.9111</v>
      </c>
      <c r="AL184" s="662">
        <v>92000.0</v>
      </c>
      <c r="AM184" s="677">
        <v>-0.9882563715429786</v>
      </c>
      <c r="AN184" s="678">
        <v>-0.08889999999999998</v>
      </c>
      <c r="AO184" s="662">
        <v>92000.0</v>
      </c>
      <c r="AP184" s="679">
        <v>-0.9869585514236433</v>
      </c>
      <c r="AQ184" s="662">
        <v>92000.0</v>
      </c>
      <c r="AR184" s="680">
        <v>-0.9855870956230823</v>
      </c>
      <c r="AS184" s="624"/>
      <c r="AT184" s="624"/>
      <c r="AU184" s="624"/>
      <c r="AV184" s="624"/>
      <c r="AW184" s="624"/>
      <c r="AX184" s="624"/>
      <c r="AY184" s="624"/>
      <c r="AZ184" s="624"/>
      <c r="BA184" s="624"/>
      <c r="BB184" s="624"/>
      <c r="BC184" s="624"/>
      <c r="BD184" s="624"/>
      <c r="BE184" s="624"/>
    </row>
    <row r="185" ht="16.5" customHeight="1">
      <c r="A185" s="711"/>
      <c r="B185" s="711"/>
      <c r="C185" s="711"/>
      <c r="D185" s="711"/>
      <c r="E185" s="711"/>
      <c r="F185" s="711"/>
      <c r="G185" s="711"/>
      <c r="H185" s="711"/>
      <c r="I185" s="711"/>
      <c r="J185" s="711"/>
      <c r="K185" s="741"/>
      <c r="L185" s="741"/>
      <c r="M185" s="788"/>
      <c r="N185" s="741"/>
      <c r="O185" s="741"/>
      <c r="P185" s="741"/>
      <c r="Q185" s="741"/>
      <c r="R185" s="788"/>
      <c r="S185" s="819"/>
      <c r="T185" s="820"/>
      <c r="U185" s="819"/>
      <c r="V185" s="820"/>
      <c r="W185" s="788"/>
      <c r="X185" s="803"/>
      <c r="Y185" s="803"/>
      <c r="Z185" s="803"/>
      <c r="AA185" s="711"/>
      <c r="AB185" s="711"/>
      <c r="AC185" s="711"/>
      <c r="AD185" s="736"/>
      <c r="AE185" s="736"/>
      <c r="AF185" s="799">
        <f t="shared" si="8"/>
        <v>120050</v>
      </c>
      <c r="AG185" s="658">
        <v>0.9416104211714256</v>
      </c>
      <c r="AH185" s="659">
        <f t="shared" si="3"/>
        <v>0.9416104212</v>
      </c>
      <c r="AI185" s="641"/>
      <c r="AJ185" s="660">
        <f t="shared" si="6"/>
        <v>185</v>
      </c>
      <c r="AK185" s="676">
        <v>0.9405</v>
      </c>
      <c r="AL185" s="662">
        <v>91947.0</v>
      </c>
      <c r="AM185" s="677">
        <v>-0.9882262647895134</v>
      </c>
      <c r="AN185" s="678">
        <v>-0.0595</v>
      </c>
      <c r="AO185" s="662">
        <v>91947.0</v>
      </c>
      <c r="AP185" s="679">
        <v>-0.9869259070136923</v>
      </c>
      <c r="AQ185" s="662">
        <v>91947.0</v>
      </c>
      <c r="AR185" s="680">
        <v>-0.9855518505749</v>
      </c>
      <c r="AS185" s="624"/>
      <c r="AT185" s="624"/>
      <c r="AU185" s="624"/>
      <c r="AV185" s="624"/>
      <c r="AW185" s="624"/>
      <c r="AX185" s="624"/>
      <c r="AY185" s="624"/>
      <c r="AZ185" s="624"/>
      <c r="BA185" s="624"/>
      <c r="BB185" s="624"/>
      <c r="BC185" s="624"/>
      <c r="BD185" s="624"/>
      <c r="BE185" s="624"/>
    </row>
    <row r="186" ht="16.5" customHeight="1">
      <c r="A186" s="711"/>
      <c r="B186" s="711"/>
      <c r="C186" s="711"/>
      <c r="D186" s="711"/>
      <c r="E186" s="711"/>
      <c r="F186" s="711"/>
      <c r="G186" s="711"/>
      <c r="H186" s="711"/>
      <c r="I186" s="711"/>
      <c r="J186" s="711"/>
      <c r="K186" s="741"/>
      <c r="L186" s="741"/>
      <c r="M186" s="788"/>
      <c r="N186" s="741"/>
      <c r="O186" s="741"/>
      <c r="P186" s="741"/>
      <c r="Q186" s="741"/>
      <c r="R186" s="788"/>
      <c r="S186" s="819"/>
      <c r="T186" s="820"/>
      <c r="U186" s="819"/>
      <c r="V186" s="820"/>
      <c r="W186" s="788"/>
      <c r="X186" s="803"/>
      <c r="Y186" s="803"/>
      <c r="Z186" s="803"/>
      <c r="AA186" s="711"/>
      <c r="AB186" s="711"/>
      <c r="AC186" s="711"/>
      <c r="AD186" s="736"/>
      <c r="AE186" s="736"/>
      <c r="AF186" s="799">
        <f t="shared" si="8"/>
        <v>120800</v>
      </c>
      <c r="AG186" s="658">
        <v>0.9414883841390642</v>
      </c>
      <c r="AH186" s="659">
        <f t="shared" si="3"/>
        <v>0.9414883841</v>
      </c>
      <c r="AI186" s="641"/>
      <c r="AJ186" s="660">
        <f t="shared" si="6"/>
        <v>186</v>
      </c>
      <c r="AK186" s="676">
        <v>0.9753</v>
      </c>
      <c r="AL186" s="662">
        <v>91770.0</v>
      </c>
      <c r="AM186" s="677">
        <v>-0.988125159174662</v>
      </c>
      <c r="AN186" s="678">
        <v>-0.024700000000000055</v>
      </c>
      <c r="AO186" s="662">
        <v>91770.0</v>
      </c>
      <c r="AP186" s="679">
        <v>-0.986816293724259</v>
      </c>
      <c r="AQ186" s="662">
        <v>91770.0</v>
      </c>
      <c r="AR186" s="680">
        <v>-0.9854335196764551</v>
      </c>
      <c r="AS186" s="624"/>
      <c r="AT186" s="624"/>
      <c r="AU186" s="624"/>
      <c r="AV186" s="624"/>
      <c r="AW186" s="624"/>
      <c r="AX186" s="624"/>
      <c r="AY186" s="624"/>
      <c r="AZ186" s="624"/>
      <c r="BA186" s="624"/>
      <c r="BB186" s="624"/>
      <c r="BC186" s="624"/>
      <c r="BD186" s="624"/>
      <c r="BE186" s="624"/>
    </row>
    <row r="187" ht="16.5" customHeight="1">
      <c r="A187" s="711"/>
      <c r="B187" s="711"/>
      <c r="C187" s="711"/>
      <c r="D187" s="711"/>
      <c r="E187" s="711"/>
      <c r="F187" s="711"/>
      <c r="G187" s="711"/>
      <c r="H187" s="711"/>
      <c r="I187" s="711"/>
      <c r="J187" s="711"/>
      <c r="K187" s="741"/>
      <c r="L187" s="741"/>
      <c r="M187" s="788"/>
      <c r="N187" s="741"/>
      <c r="O187" s="741"/>
      <c r="P187" s="741"/>
      <c r="Q187" s="741"/>
      <c r="R187" s="788"/>
      <c r="S187" s="819"/>
      <c r="T187" s="820"/>
      <c r="U187" s="819"/>
      <c r="V187" s="820"/>
      <c r="W187" s="788"/>
      <c r="X187" s="803"/>
      <c r="Y187" s="803"/>
      <c r="Z187" s="803"/>
      <c r="AA187" s="711"/>
      <c r="AB187" s="711"/>
      <c r="AC187" s="711"/>
      <c r="AD187" s="736"/>
      <c r="AE187" s="736"/>
      <c r="AF187" s="799">
        <f t="shared" si="8"/>
        <v>121550</v>
      </c>
      <c r="AG187" s="658">
        <v>0.9413665139483199</v>
      </c>
      <c r="AH187" s="659">
        <f t="shared" si="3"/>
        <v>0.9413665139</v>
      </c>
      <c r="AI187" s="641"/>
      <c r="AJ187" s="660">
        <f t="shared" si="6"/>
        <v>187</v>
      </c>
      <c r="AK187" s="676">
        <v>0.9368</v>
      </c>
      <c r="AL187" s="662">
        <v>91464.0</v>
      </c>
      <c r="AM187" s="677">
        <v>-0.9879483141544687</v>
      </c>
      <c r="AN187" s="678">
        <v>-0.06320000000000003</v>
      </c>
      <c r="AO187" s="662">
        <v>91464.0</v>
      </c>
      <c r="AP187" s="679">
        <v>-0.9866246206320242</v>
      </c>
      <c r="AQ187" s="662">
        <v>91464.0</v>
      </c>
      <c r="AR187" s="680">
        <v>-0.9852266570693865</v>
      </c>
      <c r="AS187" s="624"/>
      <c r="AT187" s="624"/>
      <c r="AU187" s="624"/>
      <c r="AV187" s="624"/>
      <c r="AW187" s="624"/>
      <c r="AX187" s="624"/>
      <c r="AY187" s="624"/>
      <c r="AZ187" s="624"/>
      <c r="BA187" s="624"/>
      <c r="BB187" s="624"/>
      <c r="BC187" s="624"/>
      <c r="BD187" s="624"/>
      <c r="BE187" s="624"/>
    </row>
    <row r="188" ht="16.5" customHeight="1">
      <c r="A188" s="711"/>
      <c r="B188" s="711"/>
      <c r="C188" s="711"/>
      <c r="D188" s="711"/>
      <c r="E188" s="711"/>
      <c r="F188" s="711"/>
      <c r="G188" s="711"/>
      <c r="H188" s="711"/>
      <c r="I188" s="711"/>
      <c r="J188" s="711"/>
      <c r="K188" s="741"/>
      <c r="L188" s="741"/>
      <c r="M188" s="788"/>
      <c r="N188" s="741"/>
      <c r="O188" s="741"/>
      <c r="P188" s="741"/>
      <c r="Q188" s="741"/>
      <c r="R188" s="788"/>
      <c r="S188" s="819"/>
      <c r="T188" s="820"/>
      <c r="U188" s="819"/>
      <c r="V188" s="820"/>
      <c r="W188" s="788"/>
      <c r="X188" s="803"/>
      <c r="Y188" s="803"/>
      <c r="Z188" s="803"/>
      <c r="AA188" s="711"/>
      <c r="AB188" s="711"/>
      <c r="AC188" s="711"/>
      <c r="AD188" s="736"/>
      <c r="AE188" s="736"/>
      <c r="AF188" s="799">
        <f t="shared" si="8"/>
        <v>122300</v>
      </c>
      <c r="AG188" s="658">
        <v>0.9412448047999629</v>
      </c>
      <c r="AH188" s="659">
        <f t="shared" si="3"/>
        <v>0.9412448048</v>
      </c>
      <c r="AI188" s="641"/>
      <c r="AJ188" s="660">
        <f t="shared" si="6"/>
        <v>188</v>
      </c>
      <c r="AK188" s="676">
        <v>0.9683</v>
      </c>
      <c r="AL188" s="662">
        <v>91273.0</v>
      </c>
      <c r="AM188" s="677">
        <v>-0.9878365979958894</v>
      </c>
      <c r="AN188" s="678">
        <v>-0.03169999999999995</v>
      </c>
      <c r="AO188" s="662">
        <v>91273.0</v>
      </c>
      <c r="AP188" s="679">
        <v>-0.9865035715618804</v>
      </c>
      <c r="AQ188" s="662">
        <v>91273.0</v>
      </c>
      <c r="AR188" s="680">
        <v>-0.9850960504734315</v>
      </c>
      <c r="AS188" s="624"/>
      <c r="AT188" s="624"/>
      <c r="AU188" s="624"/>
      <c r="AV188" s="624"/>
      <c r="AW188" s="624"/>
      <c r="AX188" s="624"/>
      <c r="AY188" s="624"/>
      <c r="AZ188" s="624"/>
      <c r="BA188" s="624"/>
      <c r="BB188" s="624"/>
      <c r="BC188" s="624"/>
      <c r="BD188" s="624"/>
      <c r="BE188" s="624"/>
    </row>
    <row r="189" ht="16.5" customHeight="1">
      <c r="A189" s="711"/>
      <c r="B189" s="711"/>
      <c r="C189" s="711"/>
      <c r="D189" s="711"/>
      <c r="E189" s="711"/>
      <c r="F189" s="711"/>
      <c r="G189" s="711"/>
      <c r="H189" s="711"/>
      <c r="I189" s="711"/>
      <c r="J189" s="711"/>
      <c r="K189" s="741"/>
      <c r="L189" s="741"/>
      <c r="M189" s="788"/>
      <c r="N189" s="741"/>
      <c r="O189" s="741"/>
      <c r="P189" s="741"/>
      <c r="Q189" s="741"/>
      <c r="R189" s="788"/>
      <c r="S189" s="819"/>
      <c r="T189" s="820"/>
      <c r="U189" s="819"/>
      <c r="V189" s="820"/>
      <c r="W189" s="788"/>
      <c r="X189" s="803"/>
      <c r="Y189" s="803"/>
      <c r="Z189" s="803"/>
      <c r="AA189" s="711"/>
      <c r="AB189" s="711"/>
      <c r="AC189" s="711"/>
      <c r="AD189" s="736"/>
      <c r="AE189" s="736"/>
      <c r="AF189" s="799">
        <f t="shared" si="8"/>
        <v>123050</v>
      </c>
      <c r="AG189" s="658">
        <v>0.9411232510963374</v>
      </c>
      <c r="AH189" s="659">
        <f t="shared" si="3"/>
        <v>0.9411232511</v>
      </c>
      <c r="AI189" s="641"/>
      <c r="AJ189" s="660">
        <f t="shared" si="6"/>
        <v>189</v>
      </c>
      <c r="AK189" s="676">
        <v>0.9449</v>
      </c>
      <c r="AL189" s="662">
        <v>90999.0</v>
      </c>
      <c r="AM189" s="677">
        <v>-0.9876745242146143</v>
      </c>
      <c r="AN189" s="678">
        <v>-0.05510000000000004</v>
      </c>
      <c r="AO189" s="662">
        <v>90999.0</v>
      </c>
      <c r="AP189" s="679">
        <v>-0.986328004473594</v>
      </c>
      <c r="AQ189" s="662">
        <v>90999.0</v>
      </c>
      <c r="AR189" s="680">
        <v>-0.9849066692384519</v>
      </c>
      <c r="AS189" s="624"/>
      <c r="AT189" s="624"/>
      <c r="AU189" s="624"/>
      <c r="AV189" s="624"/>
      <c r="AW189" s="624"/>
      <c r="AX189" s="624"/>
      <c r="AY189" s="624"/>
      <c r="AZ189" s="624"/>
      <c r="BA189" s="624"/>
      <c r="BB189" s="624"/>
      <c r="BC189" s="624"/>
      <c r="BD189" s="624"/>
      <c r="BE189" s="624"/>
    </row>
    <row r="190" ht="16.5" customHeight="1">
      <c r="A190" s="711"/>
      <c r="B190" s="711"/>
      <c r="C190" s="711"/>
      <c r="D190" s="711"/>
      <c r="E190" s="711"/>
      <c r="F190" s="711"/>
      <c r="G190" s="711"/>
      <c r="H190" s="711"/>
      <c r="I190" s="711"/>
      <c r="J190" s="711"/>
      <c r="K190" s="741"/>
      <c r="L190" s="741"/>
      <c r="M190" s="788"/>
      <c r="N190" s="741"/>
      <c r="O190" s="741"/>
      <c r="P190" s="741"/>
      <c r="Q190" s="741"/>
      <c r="R190" s="788"/>
      <c r="S190" s="819"/>
      <c r="T190" s="820"/>
      <c r="U190" s="819"/>
      <c r="V190" s="820"/>
      <c r="W190" s="788"/>
      <c r="X190" s="803"/>
      <c r="Y190" s="803"/>
      <c r="Z190" s="803"/>
      <c r="AA190" s="711"/>
      <c r="AB190" s="711"/>
      <c r="AC190" s="711"/>
      <c r="AD190" s="736"/>
      <c r="AE190" s="736"/>
      <c r="AF190" s="799">
        <f t="shared" si="8"/>
        <v>123800</v>
      </c>
      <c r="AG190" s="658">
        <v>0.9410018474343568</v>
      </c>
      <c r="AH190" s="659">
        <f t="shared" si="3"/>
        <v>0.9410018474</v>
      </c>
      <c r="AI190" s="641"/>
      <c r="AJ190" s="660">
        <f t="shared" si="6"/>
        <v>190</v>
      </c>
      <c r="AK190" s="676">
        <v>0.9474</v>
      </c>
      <c r="AL190" s="662">
        <v>90600.0</v>
      </c>
      <c r="AM190" s="677">
        <v>-0.9874346417192</v>
      </c>
      <c r="AN190" s="678">
        <v>-0.05259999999999998</v>
      </c>
      <c r="AO190" s="662">
        <v>90600.0</v>
      </c>
      <c r="AP190" s="679">
        <v>-0.9860682504837118</v>
      </c>
      <c r="AQ190" s="662">
        <v>90600.0</v>
      </c>
      <c r="AR190" s="680">
        <v>-0.9846265795783912</v>
      </c>
      <c r="AS190" s="624"/>
      <c r="AT190" s="624"/>
      <c r="AU190" s="624"/>
      <c r="AV190" s="624"/>
      <c r="AW190" s="624"/>
      <c r="AX190" s="624"/>
      <c r="AY190" s="624"/>
      <c r="AZ190" s="624"/>
      <c r="BA190" s="624"/>
      <c r="BB190" s="624"/>
      <c r="BC190" s="624"/>
      <c r="BD190" s="624"/>
      <c r="BE190" s="624"/>
    </row>
    <row r="191" ht="16.5" customHeight="1">
      <c r="A191" s="711"/>
      <c r="B191" s="711"/>
      <c r="C191" s="711"/>
      <c r="D191" s="711"/>
      <c r="E191" s="711"/>
      <c r="F191" s="711"/>
      <c r="G191" s="711"/>
      <c r="H191" s="711"/>
      <c r="I191" s="711"/>
      <c r="J191" s="711"/>
      <c r="K191" s="741"/>
      <c r="L191" s="741"/>
      <c r="M191" s="788"/>
      <c r="N191" s="741"/>
      <c r="O191" s="741"/>
      <c r="P191" s="741"/>
      <c r="Q191" s="741"/>
      <c r="R191" s="788"/>
      <c r="S191" s="819"/>
      <c r="T191" s="820"/>
      <c r="U191" s="819"/>
      <c r="V191" s="820"/>
      <c r="W191" s="788"/>
      <c r="X191" s="803"/>
      <c r="Y191" s="803"/>
      <c r="Z191" s="803"/>
      <c r="AA191" s="711"/>
      <c r="AB191" s="711"/>
      <c r="AC191" s="711"/>
      <c r="AD191" s="736"/>
      <c r="AE191" s="736"/>
      <c r="AF191" s="799">
        <f t="shared" si="8"/>
        <v>124550</v>
      </c>
      <c r="AG191" s="658">
        <v>0.9408805885987392</v>
      </c>
      <c r="AH191" s="659">
        <f t="shared" si="3"/>
        <v>0.9408805886</v>
      </c>
      <c r="AI191" s="641"/>
      <c r="AJ191" s="660">
        <f t="shared" si="6"/>
        <v>191</v>
      </c>
      <c r="AK191" s="676">
        <v>0.9289</v>
      </c>
      <c r="AL191" s="662">
        <v>90375.0</v>
      </c>
      <c r="AM191" s="677">
        <v>-0.9872973167586264</v>
      </c>
      <c r="AN191" s="678">
        <v>-0.07110000000000005</v>
      </c>
      <c r="AO191" s="662">
        <v>90375.0</v>
      </c>
      <c r="AP191" s="679">
        <v>-0.9859196025140319</v>
      </c>
      <c r="AQ191" s="662">
        <v>90375.0</v>
      </c>
      <c r="AR191" s="680">
        <v>-0.9844663484981826</v>
      </c>
      <c r="AS191" s="624"/>
      <c r="AT191" s="624"/>
      <c r="AU191" s="624"/>
      <c r="AV191" s="624"/>
      <c r="AW191" s="624"/>
      <c r="AX191" s="624"/>
      <c r="AY191" s="624"/>
      <c r="AZ191" s="624"/>
      <c r="BA191" s="624"/>
      <c r="BB191" s="624"/>
      <c r="BC191" s="624"/>
      <c r="BD191" s="624"/>
      <c r="BE191" s="624"/>
    </row>
    <row r="192" ht="16.5" customHeight="1">
      <c r="A192" s="711"/>
      <c r="B192" s="711"/>
      <c r="C192" s="711"/>
      <c r="D192" s="711"/>
      <c r="E192" s="711"/>
      <c r="F192" s="711"/>
      <c r="G192" s="711"/>
      <c r="H192" s="711"/>
      <c r="I192" s="711"/>
      <c r="J192" s="711"/>
      <c r="K192" s="741"/>
      <c r="L192" s="741"/>
      <c r="M192" s="788"/>
      <c r="N192" s="741"/>
      <c r="O192" s="741"/>
      <c r="P192" s="741"/>
      <c r="Q192" s="741"/>
      <c r="R192" s="788"/>
      <c r="S192" s="819"/>
      <c r="T192" s="820"/>
      <c r="U192" s="819"/>
      <c r="V192" s="820"/>
      <c r="W192" s="788"/>
      <c r="X192" s="803"/>
      <c r="Y192" s="803"/>
      <c r="Z192" s="803"/>
      <c r="AA192" s="711"/>
      <c r="AB192" s="711"/>
      <c r="AC192" s="711"/>
      <c r="AD192" s="736"/>
      <c r="AE192" s="736"/>
      <c r="AF192" s="799">
        <f t="shared" si="8"/>
        <v>125300</v>
      </c>
      <c r="AG192" s="658">
        <v>0.9407594695554805</v>
      </c>
      <c r="AH192" s="659">
        <f t="shared" si="3"/>
        <v>0.9407594696</v>
      </c>
      <c r="AI192" s="641"/>
      <c r="AJ192" s="660">
        <f t="shared" si="6"/>
        <v>192</v>
      </c>
      <c r="AK192" s="676">
        <v>0.9619</v>
      </c>
      <c r="AL192" s="662">
        <v>90000.0</v>
      </c>
      <c r="AM192" s="677">
        <v>-0.9870650986110502</v>
      </c>
      <c r="AN192" s="678">
        <v>-0.03810000000000002</v>
      </c>
      <c r="AO192" s="662">
        <v>90000.0</v>
      </c>
      <c r="AP192" s="679">
        <v>-0.9856683230300155</v>
      </c>
      <c r="AQ192" s="662">
        <v>90000.0</v>
      </c>
      <c r="AR192" s="680">
        <v>-0.9841955769426726</v>
      </c>
      <c r="AS192" s="624"/>
      <c r="AT192" s="624"/>
      <c r="AU192" s="624"/>
      <c r="AV192" s="624"/>
      <c r="AW192" s="624"/>
      <c r="AX192" s="624"/>
      <c r="AY192" s="624"/>
      <c r="AZ192" s="624"/>
      <c r="BA192" s="624"/>
      <c r="BB192" s="624"/>
      <c r="BC192" s="624"/>
      <c r="BD192" s="624"/>
      <c r="BE192" s="624"/>
    </row>
    <row r="193" ht="16.5" customHeight="1">
      <c r="A193" s="711"/>
      <c r="B193" s="711"/>
      <c r="C193" s="711"/>
      <c r="D193" s="711"/>
      <c r="E193" s="711"/>
      <c r="F193" s="711"/>
      <c r="G193" s="711"/>
      <c r="H193" s="711"/>
      <c r="I193" s="711"/>
      <c r="J193" s="711"/>
      <c r="K193" s="741"/>
      <c r="L193" s="741"/>
      <c r="M193" s="788"/>
      <c r="N193" s="741"/>
      <c r="O193" s="741"/>
      <c r="P193" s="741"/>
      <c r="Q193" s="741"/>
      <c r="R193" s="788"/>
      <c r="S193" s="819"/>
      <c r="T193" s="820"/>
      <c r="U193" s="819"/>
      <c r="V193" s="820"/>
      <c r="W193" s="788"/>
      <c r="X193" s="803"/>
      <c r="Y193" s="803"/>
      <c r="Z193" s="803"/>
      <c r="AA193" s="711"/>
      <c r="AB193" s="711"/>
      <c r="AC193" s="711"/>
      <c r="AD193" s="736"/>
      <c r="AE193" s="736"/>
      <c r="AF193" s="799">
        <f t="shared" si="8"/>
        <v>126050</v>
      </c>
      <c r="AG193" s="658">
        <v>0.9406384854455526</v>
      </c>
      <c r="AH193" s="659">
        <f t="shared" si="3"/>
        <v>0.9406384854</v>
      </c>
      <c r="AI193" s="641"/>
      <c r="AJ193" s="660">
        <f t="shared" si="6"/>
        <v>193</v>
      </c>
      <c r="AK193" s="676">
        <v>0.9771</v>
      </c>
      <c r="AL193" s="662">
        <v>90000.0</v>
      </c>
      <c r="AM193" s="677">
        <v>-0.9870650986110502</v>
      </c>
      <c r="AN193" s="678">
        <v>-0.02290000000000003</v>
      </c>
      <c r="AO193" s="662">
        <v>90000.0</v>
      </c>
      <c r="AP193" s="679">
        <v>-0.9856683230300155</v>
      </c>
      <c r="AQ193" s="662">
        <v>90000.0</v>
      </c>
      <c r="AR193" s="680">
        <v>-0.9841955769426726</v>
      </c>
      <c r="AS193" s="624"/>
      <c r="AT193" s="624"/>
      <c r="AU193" s="624"/>
      <c r="AV193" s="624"/>
      <c r="AW193" s="624"/>
      <c r="AX193" s="624"/>
      <c r="AY193" s="624"/>
      <c r="AZ193" s="624"/>
      <c r="BA193" s="624"/>
      <c r="BB193" s="624"/>
      <c r="BC193" s="624"/>
      <c r="BD193" s="624"/>
      <c r="BE193" s="624"/>
    </row>
    <row r="194" ht="16.5" customHeight="1">
      <c r="A194" s="711"/>
      <c r="B194" s="711"/>
      <c r="C194" s="711"/>
      <c r="D194" s="711"/>
      <c r="E194" s="711"/>
      <c r="F194" s="711"/>
      <c r="G194" s="711"/>
      <c r="H194" s="711"/>
      <c r="I194" s="711"/>
      <c r="J194" s="711"/>
      <c r="K194" s="741"/>
      <c r="L194" s="741"/>
      <c r="M194" s="788"/>
      <c r="N194" s="741"/>
      <c r="O194" s="741"/>
      <c r="P194" s="741"/>
      <c r="Q194" s="741"/>
      <c r="R194" s="788"/>
      <c r="S194" s="819"/>
      <c r="T194" s="820"/>
      <c r="U194" s="819"/>
      <c r="V194" s="820"/>
      <c r="W194" s="788"/>
      <c r="X194" s="803"/>
      <c r="Y194" s="803"/>
      <c r="Z194" s="803"/>
      <c r="AA194" s="711"/>
      <c r="AB194" s="711"/>
      <c r="AC194" s="711"/>
      <c r="AD194" s="736"/>
      <c r="AE194" s="736"/>
      <c r="AF194" s="799">
        <f t="shared" si="8"/>
        <v>126800</v>
      </c>
      <c r="AG194" s="658">
        <v>0.9405176315788224</v>
      </c>
      <c r="AH194" s="659">
        <f t="shared" si="3"/>
        <v>0.9405176316</v>
      </c>
      <c r="AI194" s="641"/>
      <c r="AJ194" s="660">
        <f t="shared" si="6"/>
        <v>194</v>
      </c>
      <c r="AK194" s="676">
        <v>0.9492</v>
      </c>
      <c r="AL194" s="662">
        <v>90000.0</v>
      </c>
      <c r="AM194" s="677">
        <v>-0.9870650986110502</v>
      </c>
      <c r="AN194" s="678">
        <v>-0.050799999999999956</v>
      </c>
      <c r="AO194" s="662">
        <v>90000.0</v>
      </c>
      <c r="AP194" s="679">
        <v>-0.9856683230300155</v>
      </c>
      <c r="AQ194" s="662">
        <v>90000.0</v>
      </c>
      <c r="AR194" s="680">
        <v>-0.9841955769426726</v>
      </c>
      <c r="AS194" s="624"/>
      <c r="AT194" s="624"/>
      <c r="AU194" s="624"/>
      <c r="AV194" s="624"/>
      <c r="AW194" s="624"/>
      <c r="AX194" s="624"/>
      <c r="AY194" s="624"/>
      <c r="AZ194" s="624"/>
      <c r="BA194" s="624"/>
      <c r="BB194" s="624"/>
      <c r="BC194" s="624"/>
      <c r="BD194" s="624"/>
      <c r="BE194" s="624"/>
    </row>
    <row r="195" ht="16.5" customHeight="1">
      <c r="A195" s="711"/>
      <c r="B195" s="711"/>
      <c r="C195" s="711"/>
      <c r="D195" s="711"/>
      <c r="E195" s="711"/>
      <c r="F195" s="711"/>
      <c r="G195" s="711"/>
      <c r="H195" s="711"/>
      <c r="I195" s="711"/>
      <c r="J195" s="711"/>
      <c r="K195" s="741"/>
      <c r="L195" s="741"/>
      <c r="M195" s="788"/>
      <c r="N195" s="741"/>
      <c r="O195" s="741"/>
      <c r="P195" s="741"/>
      <c r="Q195" s="741"/>
      <c r="R195" s="788"/>
      <c r="S195" s="819"/>
      <c r="T195" s="820"/>
      <c r="U195" s="819"/>
      <c r="V195" s="820"/>
      <c r="W195" s="788"/>
      <c r="X195" s="803"/>
      <c r="Y195" s="803"/>
      <c r="Z195" s="803"/>
      <c r="AA195" s="711"/>
      <c r="AB195" s="711"/>
      <c r="AC195" s="711"/>
      <c r="AD195" s="736"/>
      <c r="AE195" s="736"/>
      <c r="AF195" s="799">
        <f t="shared" si="8"/>
        <v>127550</v>
      </c>
      <c r="AG195" s="658">
        <v>0.9403969034281802</v>
      </c>
      <c r="AH195" s="659">
        <f t="shared" si="3"/>
        <v>0.9403969034</v>
      </c>
      <c r="AI195" s="641"/>
      <c r="AJ195" s="660">
        <f t="shared" si="6"/>
        <v>195</v>
      </c>
      <c r="AK195" s="676">
        <v>0.9749</v>
      </c>
      <c r="AL195" s="662">
        <v>90000.0</v>
      </c>
      <c r="AM195" s="677">
        <v>-0.9870650986110502</v>
      </c>
      <c r="AN195" s="678">
        <v>-0.02510000000000001</v>
      </c>
      <c r="AO195" s="662">
        <v>90000.0</v>
      </c>
      <c r="AP195" s="679">
        <v>-0.9856683230300155</v>
      </c>
      <c r="AQ195" s="662">
        <v>90000.0</v>
      </c>
      <c r="AR195" s="680">
        <v>-0.9841955769426726</v>
      </c>
      <c r="AS195" s="624"/>
      <c r="AT195" s="624"/>
      <c r="AU195" s="624"/>
      <c r="AV195" s="624"/>
      <c r="AW195" s="624"/>
      <c r="AX195" s="624"/>
      <c r="AY195" s="624"/>
      <c r="AZ195" s="624"/>
      <c r="BA195" s="624"/>
      <c r="BB195" s="624"/>
      <c r="BC195" s="624"/>
      <c r="BD195" s="624"/>
      <c r="BE195" s="624"/>
    </row>
    <row r="196" ht="16.5" customHeight="1">
      <c r="A196" s="711"/>
      <c r="B196" s="711"/>
      <c r="C196" s="711"/>
      <c r="D196" s="711"/>
      <c r="E196" s="711"/>
      <c r="F196" s="711"/>
      <c r="G196" s="711"/>
      <c r="H196" s="711"/>
      <c r="I196" s="711"/>
      <c r="J196" s="711"/>
      <c r="K196" s="741"/>
      <c r="L196" s="741"/>
      <c r="M196" s="788"/>
      <c r="N196" s="741"/>
      <c r="O196" s="741"/>
      <c r="P196" s="741"/>
      <c r="Q196" s="741"/>
      <c r="R196" s="788"/>
      <c r="S196" s="819"/>
      <c r="T196" s="820"/>
      <c r="U196" s="819"/>
      <c r="V196" s="820"/>
      <c r="W196" s="788"/>
      <c r="X196" s="803"/>
      <c r="Y196" s="803"/>
      <c r="Z196" s="803"/>
      <c r="AA196" s="711"/>
      <c r="AB196" s="711"/>
      <c r="AC196" s="711"/>
      <c r="AD196" s="736"/>
      <c r="AE196" s="736"/>
      <c r="AF196" s="799">
        <f t="shared" si="8"/>
        <v>128300</v>
      </c>
      <c r="AG196" s="658">
        <v>0.9402762966238738</v>
      </c>
      <c r="AH196" s="659">
        <f t="shared" si="3"/>
        <v>0.9402762966</v>
      </c>
      <c r="AI196" s="641"/>
      <c r="AJ196" s="660">
        <f t="shared" si="6"/>
        <v>196</v>
      </c>
      <c r="AK196" s="676">
        <v>0.9449</v>
      </c>
      <c r="AL196" s="662">
        <v>89983.0</v>
      </c>
      <c r="AM196" s="677">
        <v>-0.9870544713819345</v>
      </c>
      <c r="AN196" s="678">
        <v>-0.05510000000000004</v>
      </c>
      <c r="AO196" s="662">
        <v>89983.0</v>
      </c>
      <c r="AP196" s="679">
        <v>-0.9856568260385129</v>
      </c>
      <c r="AQ196" s="662">
        <v>89983.0</v>
      </c>
      <c r="AR196" s="680">
        <v>-0.9841831907463178</v>
      </c>
      <c r="AS196" s="624"/>
      <c r="AT196" s="624"/>
      <c r="AU196" s="624"/>
      <c r="AV196" s="624"/>
      <c r="AW196" s="624"/>
      <c r="AX196" s="624"/>
      <c r="AY196" s="624"/>
      <c r="AZ196" s="624"/>
      <c r="BA196" s="624"/>
      <c r="BB196" s="624"/>
      <c r="BC196" s="624"/>
      <c r="BD196" s="624"/>
      <c r="BE196" s="624"/>
    </row>
    <row r="197" ht="16.5" customHeight="1">
      <c r="A197" s="711"/>
      <c r="B197" s="711"/>
      <c r="C197" s="711"/>
      <c r="D197" s="711"/>
      <c r="E197" s="711"/>
      <c r="F197" s="711"/>
      <c r="G197" s="711"/>
      <c r="H197" s="711"/>
      <c r="I197" s="711"/>
      <c r="J197" s="711"/>
      <c r="K197" s="741"/>
      <c r="L197" s="741"/>
      <c r="M197" s="788"/>
      <c r="N197" s="741"/>
      <c r="O197" s="741"/>
      <c r="P197" s="741"/>
      <c r="Q197" s="741"/>
      <c r="R197" s="788"/>
      <c r="S197" s="819"/>
      <c r="T197" s="820"/>
      <c r="U197" s="819"/>
      <c r="V197" s="820"/>
      <c r="W197" s="788"/>
      <c r="X197" s="803"/>
      <c r="Y197" s="803"/>
      <c r="Z197" s="803"/>
      <c r="AA197" s="711"/>
      <c r="AB197" s="711"/>
      <c r="AC197" s="711"/>
      <c r="AD197" s="736"/>
      <c r="AE197" s="736"/>
      <c r="AF197" s="799">
        <f t="shared" si="8"/>
        <v>129050</v>
      </c>
      <c r="AG197" s="658">
        <v>0.9401558069480386</v>
      </c>
      <c r="AH197" s="659">
        <f t="shared" si="3"/>
        <v>0.9401558069</v>
      </c>
      <c r="AI197" s="641"/>
      <c r="AJ197" s="660">
        <f t="shared" si="6"/>
        <v>197</v>
      </c>
      <c r="AK197" s="676">
        <v>0.9373</v>
      </c>
      <c r="AL197" s="662">
        <v>89867.0</v>
      </c>
      <c r="AM197" s="677">
        <v>-0.9869817227442611</v>
      </c>
      <c r="AN197" s="678">
        <v>-0.06269999999999998</v>
      </c>
      <c r="AO197" s="662">
        <v>89867.0</v>
      </c>
      <c r="AP197" s="679">
        <v>-0.9855781294148714</v>
      </c>
      <c r="AQ197" s="662">
        <v>89867.0</v>
      </c>
      <c r="AR197" s="680">
        <v>-0.9840984136696784</v>
      </c>
      <c r="AS197" s="624"/>
      <c r="AT197" s="624"/>
      <c r="AU197" s="624"/>
      <c r="AV197" s="624"/>
      <c r="AW197" s="624"/>
      <c r="AX197" s="624"/>
      <c r="AY197" s="624"/>
      <c r="AZ197" s="624"/>
      <c r="BA197" s="624"/>
      <c r="BB197" s="624"/>
      <c r="BC197" s="624"/>
      <c r="BD197" s="624"/>
      <c r="BE197" s="624"/>
    </row>
    <row r="198" ht="16.5" customHeight="1">
      <c r="A198" s="711"/>
      <c r="B198" s="711"/>
      <c r="C198" s="711"/>
      <c r="D198" s="711"/>
      <c r="E198" s="711"/>
      <c r="F198" s="711"/>
      <c r="G198" s="711"/>
      <c r="H198" s="711"/>
      <c r="I198" s="711"/>
      <c r="J198" s="711"/>
      <c r="K198" s="741"/>
      <c r="L198" s="741"/>
      <c r="M198" s="788"/>
      <c r="N198" s="741"/>
      <c r="O198" s="741"/>
      <c r="P198" s="741"/>
      <c r="Q198" s="741"/>
      <c r="R198" s="788"/>
      <c r="S198" s="819"/>
      <c r="T198" s="820"/>
      <c r="U198" s="819"/>
      <c r="V198" s="820"/>
      <c r="W198" s="788"/>
      <c r="X198" s="803"/>
      <c r="Y198" s="803"/>
      <c r="Z198" s="803"/>
      <c r="AA198" s="711"/>
      <c r="AB198" s="711"/>
      <c r="AC198" s="711"/>
      <c r="AD198" s="736"/>
      <c r="AE198" s="736"/>
      <c r="AF198" s="799">
        <f t="shared" si="8"/>
        <v>129800</v>
      </c>
      <c r="AG198" s="658">
        <v>0.9400354303294186</v>
      </c>
      <c r="AH198" s="659">
        <f t="shared" si="3"/>
        <v>0.9400354303</v>
      </c>
      <c r="AI198" s="641"/>
      <c r="AJ198" s="660">
        <f t="shared" si="6"/>
        <v>198</v>
      </c>
      <c r="AK198" s="676">
        <v>0.9543</v>
      </c>
      <c r="AL198" s="662">
        <v>89850.0</v>
      </c>
      <c r="AM198" s="677">
        <v>-0.9869710270140867</v>
      </c>
      <c r="AN198" s="678">
        <v>-0.04569999999999996</v>
      </c>
      <c r="AO198" s="662">
        <v>89850.0</v>
      </c>
      <c r="AP198" s="679">
        <v>-0.985566560069294</v>
      </c>
      <c r="AQ198" s="662">
        <v>89850.0</v>
      </c>
      <c r="AR198" s="680">
        <v>-0.9840859513248067</v>
      </c>
      <c r="AS198" s="624"/>
      <c r="AT198" s="624"/>
      <c r="AU198" s="624"/>
      <c r="AV198" s="624"/>
      <c r="AW198" s="624"/>
      <c r="AX198" s="624"/>
      <c r="AY198" s="624"/>
      <c r="AZ198" s="624"/>
      <c r="BA198" s="624"/>
      <c r="BB198" s="624"/>
      <c r="BC198" s="624"/>
      <c r="BD198" s="624"/>
      <c r="BE198" s="624"/>
    </row>
    <row r="199" ht="16.5" customHeight="1">
      <c r="A199" s="711"/>
      <c r="B199" s="711"/>
      <c r="C199" s="711"/>
      <c r="D199" s="711"/>
      <c r="E199" s="711"/>
      <c r="F199" s="711"/>
      <c r="G199" s="711"/>
      <c r="H199" s="711"/>
      <c r="I199" s="711"/>
      <c r="J199" s="711"/>
      <c r="K199" s="741"/>
      <c r="L199" s="741"/>
      <c r="M199" s="788"/>
      <c r="N199" s="741"/>
      <c r="O199" s="741"/>
      <c r="P199" s="741"/>
      <c r="Q199" s="741"/>
      <c r="R199" s="788"/>
      <c r="S199" s="819"/>
      <c r="T199" s="820"/>
      <c r="U199" s="819"/>
      <c r="V199" s="820"/>
      <c r="W199" s="788"/>
      <c r="X199" s="803"/>
      <c r="Y199" s="803"/>
      <c r="Z199" s="803"/>
      <c r="AA199" s="711"/>
      <c r="AB199" s="711"/>
      <c r="AC199" s="711"/>
      <c r="AD199" s="736"/>
      <c r="AE199" s="736"/>
      <c r="AF199" s="799">
        <f t="shared" si="8"/>
        <v>130550</v>
      </c>
      <c r="AG199" s="658">
        <v>0.9399151628382699</v>
      </c>
      <c r="AH199" s="659">
        <f t="shared" si="3"/>
        <v>0.9399151628</v>
      </c>
      <c r="AI199" s="641"/>
      <c r="AJ199" s="660">
        <f t="shared" si="6"/>
        <v>199</v>
      </c>
      <c r="AK199" s="676">
        <v>0.9368</v>
      </c>
      <c r="AL199" s="662">
        <v>89753.0</v>
      </c>
      <c r="AM199" s="677">
        <v>-0.9869098301004683</v>
      </c>
      <c r="AN199" s="678">
        <v>-0.06320000000000003</v>
      </c>
      <c r="AO199" s="662">
        <v>89753.0</v>
      </c>
      <c r="AP199" s="679">
        <v>-0.9855003689610891</v>
      </c>
      <c r="AQ199" s="662">
        <v>89753.0</v>
      </c>
      <c r="AR199" s="680">
        <v>-0.9840146555649114</v>
      </c>
      <c r="AS199" s="624"/>
      <c r="AT199" s="624"/>
      <c r="AU199" s="624"/>
      <c r="AV199" s="624"/>
      <c r="AW199" s="624"/>
      <c r="AX199" s="624"/>
      <c r="AY199" s="624"/>
      <c r="AZ199" s="624"/>
      <c r="BA199" s="624"/>
      <c r="BB199" s="624"/>
      <c r="BC199" s="624"/>
      <c r="BD199" s="624"/>
      <c r="BE199" s="624"/>
    </row>
    <row r="200" ht="16.5" customHeight="1">
      <c r="A200" s="711"/>
      <c r="B200" s="711"/>
      <c r="C200" s="711"/>
      <c r="D200" s="711"/>
      <c r="E200" s="711"/>
      <c r="F200" s="711"/>
      <c r="G200" s="711"/>
      <c r="H200" s="711"/>
      <c r="I200" s="711"/>
      <c r="J200" s="711"/>
      <c r="K200" s="741"/>
      <c r="L200" s="741"/>
      <c r="M200" s="788"/>
      <c r="N200" s="741"/>
      <c r="O200" s="741"/>
      <c r="P200" s="741"/>
      <c r="Q200" s="741"/>
      <c r="R200" s="788"/>
      <c r="S200" s="819"/>
      <c r="T200" s="820"/>
      <c r="U200" s="819"/>
      <c r="V200" s="820"/>
      <c r="W200" s="788"/>
      <c r="X200" s="803"/>
      <c r="Y200" s="803"/>
      <c r="Z200" s="803"/>
      <c r="AA200" s="711"/>
      <c r="AB200" s="711"/>
      <c r="AC200" s="711"/>
      <c r="AD200" s="736"/>
      <c r="AE200" s="736"/>
      <c r="AF200" s="799">
        <f t="shared" si="8"/>
        <v>131300</v>
      </c>
      <c r="AG200" s="658">
        <v>0.9397950006814424</v>
      </c>
      <c r="AH200" s="659">
        <f t="shared" si="3"/>
        <v>0.9397950007</v>
      </c>
      <c r="AI200" s="641"/>
      <c r="AJ200" s="660">
        <f t="shared" si="6"/>
        <v>200</v>
      </c>
      <c r="AK200" s="676">
        <v>0.9487</v>
      </c>
      <c r="AL200" s="662">
        <v>89418.0</v>
      </c>
      <c r="AM200" s="677">
        <v>-0.986696260860093</v>
      </c>
      <c r="AN200" s="678">
        <v>-0.05130000000000001</v>
      </c>
      <c r="AO200" s="662">
        <v>89418.0</v>
      </c>
      <c r="AP200" s="679">
        <v>-0.9852694275836065</v>
      </c>
      <c r="AQ200" s="662">
        <v>89418.0</v>
      </c>
      <c r="AR200" s="680">
        <v>-0.9837659625099229</v>
      </c>
      <c r="AS200" s="624"/>
      <c r="AT200" s="624"/>
      <c r="AU200" s="624"/>
      <c r="AV200" s="624"/>
      <c r="AW200" s="624"/>
      <c r="AX200" s="624"/>
      <c r="AY200" s="624"/>
      <c r="AZ200" s="624"/>
      <c r="BA200" s="624"/>
      <c r="BB200" s="624"/>
      <c r="BC200" s="624"/>
      <c r="BD200" s="624"/>
      <c r="BE200" s="624"/>
    </row>
    <row r="201" ht="16.5" customHeight="1">
      <c r="A201" s="711"/>
      <c r="B201" s="711"/>
      <c r="C201" s="711"/>
      <c r="D201" s="711"/>
      <c r="E201" s="711"/>
      <c r="F201" s="711"/>
      <c r="G201" s="711"/>
      <c r="H201" s="711"/>
      <c r="I201" s="711"/>
      <c r="J201" s="711"/>
      <c r="K201" s="741"/>
      <c r="L201" s="741"/>
      <c r="M201" s="788"/>
      <c r="N201" s="741"/>
      <c r="O201" s="741"/>
      <c r="P201" s="741"/>
      <c r="Q201" s="741"/>
      <c r="R201" s="788"/>
      <c r="S201" s="819"/>
      <c r="T201" s="820"/>
      <c r="U201" s="819"/>
      <c r="V201" s="820"/>
      <c r="W201" s="788"/>
      <c r="X201" s="803"/>
      <c r="Y201" s="803"/>
      <c r="Z201" s="803"/>
      <c r="AA201" s="711"/>
      <c r="AB201" s="711"/>
      <c r="AC201" s="711"/>
      <c r="AD201" s="736"/>
      <c r="AE201" s="736"/>
      <c r="AF201" s="799">
        <f t="shared" si="8"/>
        <v>132050</v>
      </c>
      <c r="AG201" s="658">
        <v>0.9396749401976314</v>
      </c>
      <c r="AH201" s="659">
        <f t="shared" si="3"/>
        <v>0.9396749402</v>
      </c>
      <c r="AI201" s="641"/>
      <c r="AJ201" s="660">
        <f t="shared" si="6"/>
        <v>201</v>
      </c>
      <c r="AK201" s="676">
        <v>0.9323</v>
      </c>
      <c r="AL201" s="662">
        <v>89000.0</v>
      </c>
      <c r="AM201" s="677">
        <v>-0.9864248845448185</v>
      </c>
      <c r="AN201" s="678">
        <v>-0.06769999999999998</v>
      </c>
      <c r="AO201" s="662">
        <v>89000.0</v>
      </c>
      <c r="AP201" s="679">
        <v>-0.9849761029295363</v>
      </c>
      <c r="AQ201" s="662">
        <v>89000.0</v>
      </c>
      <c r="AR201" s="680">
        <v>-0.983450220300883</v>
      </c>
      <c r="AS201" s="624"/>
      <c r="AT201" s="624"/>
      <c r="AU201" s="624"/>
      <c r="AV201" s="624"/>
      <c r="AW201" s="624"/>
      <c r="AX201" s="624"/>
      <c r="AY201" s="624"/>
      <c r="AZ201" s="624"/>
      <c r="BA201" s="624"/>
      <c r="BB201" s="624"/>
      <c r="BC201" s="624"/>
      <c r="BD201" s="624"/>
      <c r="BE201" s="624"/>
    </row>
    <row r="202" ht="16.5" customHeight="1">
      <c r="A202" s="711"/>
      <c r="B202" s="711"/>
      <c r="C202" s="711"/>
      <c r="D202" s="711"/>
      <c r="E202" s="711"/>
      <c r="F202" s="711"/>
      <c r="G202" s="711"/>
      <c r="H202" s="711"/>
      <c r="I202" s="711"/>
      <c r="J202" s="711"/>
      <c r="K202" s="741"/>
      <c r="L202" s="741"/>
      <c r="M202" s="788"/>
      <c r="N202" s="741"/>
      <c r="O202" s="741"/>
      <c r="P202" s="741"/>
      <c r="Q202" s="741"/>
      <c r="R202" s="788"/>
      <c r="S202" s="819"/>
      <c r="T202" s="820"/>
      <c r="U202" s="819"/>
      <c r="V202" s="820"/>
      <c r="W202" s="788"/>
      <c r="X202" s="803"/>
      <c r="Y202" s="803"/>
      <c r="Z202" s="803"/>
      <c r="AA202" s="711"/>
      <c r="AB202" s="711"/>
      <c r="AC202" s="711"/>
      <c r="AD202" s="736"/>
      <c r="AE202" s="736"/>
      <c r="AF202" s="799">
        <f t="shared" si="8"/>
        <v>132800</v>
      </c>
      <c r="AG202" s="658">
        <v>0.9395549778527953</v>
      </c>
      <c r="AH202" s="659">
        <f t="shared" si="3"/>
        <v>0.9395549779</v>
      </c>
      <c r="AI202" s="641"/>
      <c r="AJ202" s="660">
        <f t="shared" si="6"/>
        <v>202</v>
      </c>
      <c r="AK202" s="676">
        <v>0.9788</v>
      </c>
      <c r="AL202" s="662">
        <v>88944.0</v>
      </c>
      <c r="AM202" s="677">
        <v>-0.986388109873707</v>
      </c>
      <c r="AN202" s="678">
        <v>-0.021199999999999997</v>
      </c>
      <c r="AO202" s="662">
        <v>88944.0</v>
      </c>
      <c r="AP202" s="679">
        <v>-0.9849363647023451</v>
      </c>
      <c r="AQ202" s="662">
        <v>88944.0</v>
      </c>
      <c r="AR202" s="680">
        <v>-0.9834074560360186</v>
      </c>
      <c r="AS202" s="624"/>
      <c r="AT202" s="624"/>
      <c r="AU202" s="624"/>
      <c r="AV202" s="624"/>
      <c r="AW202" s="624"/>
      <c r="AX202" s="624"/>
      <c r="AY202" s="624"/>
      <c r="AZ202" s="624"/>
      <c r="BA202" s="624"/>
      <c r="BB202" s="624"/>
      <c r="BC202" s="624"/>
      <c r="BD202" s="624"/>
      <c r="BE202" s="624"/>
    </row>
    <row r="203" ht="16.5" customHeight="1">
      <c r="A203" s="711"/>
      <c r="B203" s="711"/>
      <c r="C203" s="711"/>
      <c r="D203" s="711"/>
      <c r="E203" s="711"/>
      <c r="F203" s="711"/>
      <c r="G203" s="711"/>
      <c r="H203" s="711"/>
      <c r="I203" s="711"/>
      <c r="J203" s="711"/>
      <c r="K203" s="741"/>
      <c r="L203" s="741"/>
      <c r="M203" s="788"/>
      <c r="N203" s="741"/>
      <c r="O203" s="741"/>
      <c r="P203" s="741"/>
      <c r="Q203" s="741"/>
      <c r="R203" s="788"/>
      <c r="S203" s="819"/>
      <c r="T203" s="820"/>
      <c r="U203" s="819"/>
      <c r="V203" s="820"/>
      <c r="W203" s="788"/>
      <c r="X203" s="803"/>
      <c r="Y203" s="803"/>
      <c r="Z203" s="803"/>
      <c r="AA203" s="711"/>
      <c r="AB203" s="711"/>
      <c r="AC203" s="711"/>
      <c r="AD203" s="736"/>
      <c r="AE203" s="736"/>
      <c r="AF203" s="799">
        <f t="shared" si="8"/>
        <v>133550</v>
      </c>
      <c r="AG203" s="658">
        <v>0.9394351102357318</v>
      </c>
      <c r="AH203" s="659">
        <f t="shared" si="3"/>
        <v>0.9394351102</v>
      </c>
      <c r="AI203" s="641"/>
      <c r="AJ203" s="660">
        <f t="shared" si="6"/>
        <v>203</v>
      </c>
      <c r="AK203" s="676">
        <v>0.9656</v>
      </c>
      <c r="AL203" s="662">
        <v>88932.0</v>
      </c>
      <c r="AM203" s="677">
        <v>-0.986380216635235</v>
      </c>
      <c r="AN203" s="678">
        <v>-0.034399999999999986</v>
      </c>
      <c r="AO203" s="662">
        <v>88932.0</v>
      </c>
      <c r="AP203" s="679">
        <v>-0.9849278357026875</v>
      </c>
      <c r="AQ203" s="662">
        <v>88932.0</v>
      </c>
      <c r="AR203" s="680">
        <v>-0.9833982778981698</v>
      </c>
      <c r="AS203" s="624"/>
      <c r="AT203" s="624"/>
      <c r="AU203" s="624"/>
      <c r="AV203" s="624"/>
      <c r="AW203" s="624"/>
      <c r="AX203" s="624"/>
      <c r="AY203" s="624"/>
      <c r="AZ203" s="624"/>
      <c r="BA203" s="624"/>
      <c r="BB203" s="624"/>
      <c r="BC203" s="624"/>
      <c r="BD203" s="624"/>
      <c r="BE203" s="624"/>
    </row>
    <row r="204" ht="16.5" customHeight="1">
      <c r="A204" s="711"/>
      <c r="B204" s="711"/>
      <c r="C204" s="711"/>
      <c r="D204" s="711"/>
      <c r="E204" s="711"/>
      <c r="F204" s="711"/>
      <c r="G204" s="711"/>
      <c r="H204" s="711"/>
      <c r="I204" s="711"/>
      <c r="J204" s="711"/>
      <c r="K204" s="741"/>
      <c r="L204" s="741"/>
      <c r="M204" s="788"/>
      <c r="N204" s="741"/>
      <c r="O204" s="741"/>
      <c r="P204" s="741"/>
      <c r="Q204" s="741"/>
      <c r="R204" s="788"/>
      <c r="S204" s="819"/>
      <c r="T204" s="820"/>
      <c r="U204" s="819"/>
      <c r="V204" s="820"/>
      <c r="W204" s="788"/>
      <c r="X204" s="803"/>
      <c r="Y204" s="803"/>
      <c r="Z204" s="803"/>
      <c r="AA204" s="711"/>
      <c r="AB204" s="711"/>
      <c r="AC204" s="711"/>
      <c r="AD204" s="736"/>
      <c r="AE204" s="736"/>
      <c r="AF204" s="799">
        <f t="shared" si="8"/>
        <v>134300</v>
      </c>
      <c r="AG204" s="658">
        <v>0.9393153340538082</v>
      </c>
      <c r="AH204" s="659">
        <f t="shared" si="3"/>
        <v>0.9393153341</v>
      </c>
      <c r="AI204" s="641"/>
      <c r="AJ204" s="660">
        <f t="shared" si="6"/>
        <v>204</v>
      </c>
      <c r="AK204" s="676">
        <v>0.9506</v>
      </c>
      <c r="AL204" s="662">
        <v>88900.0</v>
      </c>
      <c r="AM204" s="677">
        <v>-0.9863591456150836</v>
      </c>
      <c r="AN204" s="678">
        <v>-0.0494</v>
      </c>
      <c r="AO204" s="662">
        <v>88900.0</v>
      </c>
      <c r="AP204" s="679">
        <v>-0.9849050680872291</v>
      </c>
      <c r="AQ204" s="662">
        <v>88900.0</v>
      </c>
      <c r="AR204" s="680">
        <v>-0.9833737780360173</v>
      </c>
      <c r="AS204" s="624"/>
      <c r="AT204" s="624"/>
      <c r="AU204" s="624"/>
      <c r="AV204" s="624"/>
      <c r="AW204" s="624"/>
      <c r="AX204" s="624"/>
      <c r="AY204" s="624"/>
      <c r="AZ204" s="624"/>
      <c r="BA204" s="624"/>
      <c r="BB204" s="624"/>
      <c r="BC204" s="624"/>
      <c r="BD204" s="624"/>
      <c r="BE204" s="624"/>
    </row>
    <row r="205" ht="16.5" customHeight="1">
      <c r="A205" s="711"/>
      <c r="B205" s="711"/>
      <c r="C205" s="711"/>
      <c r="D205" s="711"/>
      <c r="E205" s="711"/>
      <c r="F205" s="711"/>
      <c r="G205" s="711"/>
      <c r="H205" s="711"/>
      <c r="I205" s="711"/>
      <c r="J205" s="711"/>
      <c r="K205" s="741"/>
      <c r="L205" s="741"/>
      <c r="M205" s="788"/>
      <c r="N205" s="741"/>
      <c r="O205" s="741"/>
      <c r="P205" s="741"/>
      <c r="Q205" s="741"/>
      <c r="R205" s="788"/>
      <c r="S205" s="819"/>
      <c r="T205" s="820"/>
      <c r="U205" s="819"/>
      <c r="V205" s="820"/>
      <c r="W205" s="788"/>
      <c r="X205" s="803"/>
      <c r="Y205" s="803"/>
      <c r="Z205" s="803"/>
      <c r="AA205" s="711"/>
      <c r="AB205" s="711"/>
      <c r="AC205" s="711"/>
      <c r="AD205" s="736"/>
      <c r="AE205" s="736"/>
      <c r="AF205" s="799">
        <f t="shared" si="8"/>
        <v>135050</v>
      </c>
      <c r="AG205" s="658">
        <v>0.9391956461288402</v>
      </c>
      <c r="AH205" s="659">
        <f t="shared" si="3"/>
        <v>0.9391956461</v>
      </c>
      <c r="AI205" s="641"/>
      <c r="AJ205" s="660">
        <f t="shared" si="6"/>
        <v>205</v>
      </c>
      <c r="AK205" s="676">
        <v>0.9467</v>
      </c>
      <c r="AL205" s="662">
        <v>88870.0</v>
      </c>
      <c r="AM205" s="677">
        <v>-0.9863393619283606</v>
      </c>
      <c r="AN205" s="678">
        <v>-0.053300000000000014</v>
      </c>
      <c r="AO205" s="662">
        <v>88870.0</v>
      </c>
      <c r="AP205" s="679">
        <v>-0.9848836922136506</v>
      </c>
      <c r="AQ205" s="662">
        <v>88870.0</v>
      </c>
      <c r="AR205" s="680">
        <v>-0.9833507765797378</v>
      </c>
      <c r="AS205" s="624"/>
      <c r="AT205" s="624"/>
      <c r="AU205" s="624"/>
      <c r="AV205" s="624"/>
      <c r="AW205" s="624"/>
      <c r="AX205" s="624"/>
      <c r="AY205" s="624"/>
      <c r="AZ205" s="624"/>
      <c r="BA205" s="624"/>
      <c r="BB205" s="624"/>
      <c r="BC205" s="624"/>
      <c r="BD205" s="624"/>
      <c r="BE205" s="624"/>
    </row>
    <row r="206" ht="16.5" customHeight="1">
      <c r="A206" s="711"/>
      <c r="B206" s="711"/>
      <c r="C206" s="711"/>
      <c r="D206" s="711"/>
      <c r="E206" s="711"/>
      <c r="F206" s="711"/>
      <c r="G206" s="711"/>
      <c r="H206" s="711"/>
      <c r="I206" s="711"/>
      <c r="J206" s="711"/>
      <c r="K206" s="741"/>
      <c r="L206" s="741"/>
      <c r="M206" s="788"/>
      <c r="N206" s="741"/>
      <c r="O206" s="741"/>
      <c r="P206" s="741"/>
      <c r="Q206" s="741"/>
      <c r="R206" s="788"/>
      <c r="S206" s="819"/>
      <c r="T206" s="820"/>
      <c r="U206" s="819"/>
      <c r="V206" s="820"/>
      <c r="W206" s="788"/>
      <c r="X206" s="803"/>
      <c r="Y206" s="803"/>
      <c r="Z206" s="803"/>
      <c r="AA206" s="711"/>
      <c r="AB206" s="711"/>
      <c r="AC206" s="711"/>
      <c r="AD206" s="736"/>
      <c r="AE206" s="736"/>
      <c r="AF206" s="799">
        <f t="shared" si="8"/>
        <v>135800</v>
      </c>
      <c r="AG206" s="658">
        <v>0.9390760433931138</v>
      </c>
      <c r="AH206" s="659">
        <f t="shared" si="3"/>
        <v>0.9390760434</v>
      </c>
      <c r="AI206" s="641"/>
      <c r="AJ206" s="660">
        <f t="shared" si="6"/>
        <v>206</v>
      </c>
      <c r="AK206" s="676">
        <v>0.9368</v>
      </c>
      <c r="AL206" s="662">
        <v>88857.0</v>
      </c>
      <c r="AM206" s="677">
        <v>-0.9863307800891795</v>
      </c>
      <c r="AN206" s="678">
        <v>-0.06320000000000003</v>
      </c>
      <c r="AO206" s="662">
        <v>88857.0</v>
      </c>
      <c r="AP206" s="679">
        <v>-0.9848744199370061</v>
      </c>
      <c r="AQ206" s="662">
        <v>88857.0</v>
      </c>
      <c r="AR206" s="680">
        <v>-0.983340799402335</v>
      </c>
      <c r="AS206" s="624"/>
      <c r="AT206" s="624"/>
      <c r="AU206" s="624"/>
      <c r="AV206" s="624"/>
      <c r="AW206" s="624"/>
      <c r="AX206" s="624"/>
      <c r="AY206" s="624"/>
      <c r="AZ206" s="624"/>
      <c r="BA206" s="624"/>
      <c r="BB206" s="624"/>
      <c r="BC206" s="624"/>
      <c r="BD206" s="624"/>
      <c r="BE206" s="624"/>
    </row>
    <row r="207" ht="16.5" customHeight="1">
      <c r="A207" s="711"/>
      <c r="B207" s="711"/>
      <c r="C207" s="711"/>
      <c r="D207" s="711"/>
      <c r="E207" s="711"/>
      <c r="F207" s="711"/>
      <c r="G207" s="711"/>
      <c r="H207" s="711"/>
      <c r="I207" s="711"/>
      <c r="J207" s="711"/>
      <c r="K207" s="741"/>
      <c r="L207" s="741"/>
      <c r="M207" s="788"/>
      <c r="N207" s="741"/>
      <c r="O207" s="741"/>
      <c r="P207" s="741"/>
      <c r="Q207" s="741"/>
      <c r="R207" s="788"/>
      <c r="S207" s="819"/>
      <c r="T207" s="820"/>
      <c r="U207" s="819"/>
      <c r="V207" s="820"/>
      <c r="W207" s="788"/>
      <c r="X207" s="803"/>
      <c r="Y207" s="803"/>
      <c r="Z207" s="803"/>
      <c r="AA207" s="711"/>
      <c r="AB207" s="711"/>
      <c r="AC207" s="711"/>
      <c r="AD207" s="736"/>
      <c r="AE207" s="736"/>
      <c r="AF207" s="799">
        <f t="shared" si="8"/>
        <v>136550</v>
      </c>
      <c r="AG207" s="658">
        <v>0.9389565228855449</v>
      </c>
      <c r="AH207" s="659">
        <f t="shared" si="3"/>
        <v>0.9389565229</v>
      </c>
      <c r="AI207" s="641"/>
      <c r="AJ207" s="660">
        <f t="shared" si="6"/>
        <v>207</v>
      </c>
      <c r="AK207" s="676">
        <v>0.9449</v>
      </c>
      <c r="AL207" s="662">
        <v>88160.0</v>
      </c>
      <c r="AM207" s="677">
        <v>-0.9858626804008098</v>
      </c>
      <c r="AN207" s="678">
        <v>-0.05510000000000004</v>
      </c>
      <c r="AO207" s="662">
        <v>88160.0</v>
      </c>
      <c r="AP207" s="679">
        <v>-0.9843688657130165</v>
      </c>
      <c r="AQ207" s="662">
        <v>88160.0</v>
      </c>
      <c r="AR207" s="680">
        <v>-0.9827970226957768</v>
      </c>
      <c r="AS207" s="624"/>
      <c r="AT207" s="624"/>
      <c r="AU207" s="624"/>
      <c r="AV207" s="624"/>
      <c r="AW207" s="624"/>
      <c r="AX207" s="624"/>
      <c r="AY207" s="624"/>
      <c r="AZ207" s="624"/>
      <c r="BA207" s="624"/>
      <c r="BB207" s="624"/>
      <c r="BC207" s="624"/>
      <c r="BD207" s="624"/>
      <c r="BE207" s="624"/>
    </row>
    <row r="208" ht="16.5" customHeight="1">
      <c r="A208" s="711"/>
      <c r="B208" s="711"/>
      <c r="C208" s="711"/>
      <c r="D208" s="711"/>
      <c r="E208" s="711"/>
      <c r="F208" s="711"/>
      <c r="G208" s="711"/>
      <c r="H208" s="711"/>
      <c r="I208" s="711"/>
      <c r="J208" s="711"/>
      <c r="K208" s="741"/>
      <c r="L208" s="741"/>
      <c r="M208" s="788"/>
      <c r="N208" s="741"/>
      <c r="O208" s="741"/>
      <c r="P208" s="741"/>
      <c r="Q208" s="741"/>
      <c r="R208" s="788"/>
      <c r="S208" s="819"/>
      <c r="T208" s="820"/>
      <c r="U208" s="819"/>
      <c r="V208" s="820"/>
      <c r="W208" s="788"/>
      <c r="X208" s="803"/>
      <c r="Y208" s="803"/>
      <c r="Z208" s="803"/>
      <c r="AA208" s="711"/>
      <c r="AB208" s="711"/>
      <c r="AC208" s="711"/>
      <c r="AD208" s="736"/>
      <c r="AE208" s="736"/>
      <c r="AF208" s="799">
        <f t="shared" si="8"/>
        <v>137300</v>
      </c>
      <c r="AG208" s="658">
        <v>0.9388370817479736</v>
      </c>
      <c r="AH208" s="659">
        <f t="shared" si="3"/>
        <v>0.9388370817</v>
      </c>
      <c r="AI208" s="641"/>
      <c r="AJ208" s="660">
        <f t="shared" si="6"/>
        <v>208</v>
      </c>
      <c r="AK208" s="676">
        <v>0.96</v>
      </c>
      <c r="AL208" s="662">
        <v>87383.0</v>
      </c>
      <c r="AM208" s="677">
        <v>-0.985321933381167</v>
      </c>
      <c r="AN208" s="678">
        <v>-0.040000000000000036</v>
      </c>
      <c r="AO208" s="662">
        <v>87383.0</v>
      </c>
      <c r="AP208" s="679">
        <v>-0.9837853418640297</v>
      </c>
      <c r="AQ208" s="662">
        <v>87383.0</v>
      </c>
      <c r="AR208" s="680">
        <v>-0.9821698843246455</v>
      </c>
      <c r="AS208" s="624"/>
      <c r="AT208" s="624"/>
      <c r="AU208" s="624"/>
      <c r="AV208" s="624"/>
      <c r="AW208" s="624"/>
      <c r="AX208" s="624"/>
      <c r="AY208" s="624"/>
      <c r="AZ208" s="624"/>
      <c r="BA208" s="624"/>
      <c r="BB208" s="624"/>
      <c r="BC208" s="624"/>
      <c r="BD208" s="624"/>
      <c r="BE208" s="624"/>
    </row>
    <row r="209" ht="16.5" customHeight="1">
      <c r="A209" s="711"/>
      <c r="B209" s="711"/>
      <c r="C209" s="711"/>
      <c r="D209" s="711"/>
      <c r="E209" s="711"/>
      <c r="F209" s="711"/>
      <c r="G209" s="711"/>
      <c r="H209" s="711"/>
      <c r="I209" s="711"/>
      <c r="J209" s="711"/>
      <c r="K209" s="741"/>
      <c r="L209" s="741"/>
      <c r="M209" s="788"/>
      <c r="N209" s="741"/>
      <c r="O209" s="741"/>
      <c r="P209" s="741"/>
      <c r="Q209" s="741"/>
      <c r="R209" s="788"/>
      <c r="S209" s="819"/>
      <c r="T209" s="820"/>
      <c r="U209" s="819"/>
      <c r="V209" s="820"/>
      <c r="W209" s="788"/>
      <c r="X209" s="803"/>
      <c r="Y209" s="803"/>
      <c r="Z209" s="803"/>
      <c r="AA209" s="711"/>
      <c r="AB209" s="711"/>
      <c r="AC209" s="711"/>
      <c r="AD209" s="736"/>
      <c r="AE209" s="736"/>
      <c r="AF209" s="799">
        <f t="shared" si="8"/>
        <v>138050</v>
      </c>
      <c r="AG209" s="658">
        <v>0.9387177172215868</v>
      </c>
      <c r="AH209" s="659">
        <f t="shared" si="3"/>
        <v>0.9387177172</v>
      </c>
      <c r="AI209" s="641"/>
      <c r="AJ209" s="660">
        <f t="shared" si="6"/>
        <v>209</v>
      </c>
      <c r="AK209" s="676">
        <v>0.9398</v>
      </c>
      <c r="AL209" s="662">
        <v>86781.0</v>
      </c>
      <c r="AM209" s="677">
        <v>-0.9848887962574546</v>
      </c>
      <c r="AN209" s="678">
        <v>-0.06020000000000003</v>
      </c>
      <c r="AO209" s="662">
        <v>86781.0</v>
      </c>
      <c r="AP209" s="679">
        <v>-0.9833183071305373</v>
      </c>
      <c r="AQ209" s="662">
        <v>86781.0</v>
      </c>
      <c r="AR209" s="680">
        <v>-0.9816683173540153</v>
      </c>
      <c r="AS209" s="624"/>
      <c r="AT209" s="624"/>
      <c r="AU209" s="624"/>
      <c r="AV209" s="624"/>
      <c r="AW209" s="624"/>
      <c r="AX209" s="624"/>
      <c r="AY209" s="624"/>
      <c r="AZ209" s="624"/>
      <c r="BA209" s="624"/>
      <c r="BB209" s="624"/>
      <c r="BC209" s="624"/>
      <c r="BD209" s="624"/>
      <c r="BE209" s="624"/>
    </row>
    <row r="210" ht="16.5" customHeight="1">
      <c r="A210" s="711"/>
      <c r="B210" s="711"/>
      <c r="C210" s="711"/>
      <c r="D210" s="711"/>
      <c r="E210" s="711"/>
      <c r="F210" s="711"/>
      <c r="G210" s="711"/>
      <c r="H210" s="711"/>
      <c r="I210" s="711"/>
      <c r="J210" s="711"/>
      <c r="K210" s="741"/>
      <c r="L210" s="741"/>
      <c r="M210" s="788"/>
      <c r="N210" s="741"/>
      <c r="O210" s="741"/>
      <c r="P210" s="741"/>
      <c r="Q210" s="741"/>
      <c r="R210" s="788"/>
      <c r="S210" s="819"/>
      <c r="T210" s="820"/>
      <c r="U210" s="819"/>
      <c r="V210" s="820"/>
      <c r="W210" s="788"/>
      <c r="X210" s="803"/>
      <c r="Y210" s="803"/>
      <c r="Z210" s="803"/>
      <c r="AA210" s="711"/>
      <c r="AB210" s="711"/>
      <c r="AC210" s="711"/>
      <c r="AD210" s="736"/>
      <c r="AE210" s="736"/>
      <c r="AF210" s="799">
        <f t="shared" si="8"/>
        <v>138800</v>
      </c>
      <c r="AG210" s="658">
        <v>0.9385984266434643</v>
      </c>
      <c r="AH210" s="659">
        <f t="shared" si="3"/>
        <v>0.9385984266</v>
      </c>
      <c r="AI210" s="641"/>
      <c r="AJ210" s="660">
        <f t="shared" si="6"/>
        <v>210</v>
      </c>
      <c r="AK210" s="676">
        <v>0.9593</v>
      </c>
      <c r="AL210" s="662">
        <v>86130.0</v>
      </c>
      <c r="AM210" s="677">
        <v>-0.9844060079704448</v>
      </c>
      <c r="AN210" s="678">
        <v>-0.04069999999999996</v>
      </c>
      <c r="AO210" s="662">
        <v>86130.0</v>
      </c>
      <c r="AP210" s="679">
        <v>-0.9827981071028236</v>
      </c>
      <c r="AQ210" s="662">
        <v>86130.0</v>
      </c>
      <c r="AR210" s="680">
        <v>-0.9811100345024479</v>
      </c>
      <c r="AS210" s="624"/>
      <c r="AT210" s="624"/>
      <c r="AU210" s="624"/>
      <c r="AV210" s="624"/>
      <c r="AW210" s="624"/>
      <c r="AX210" s="624"/>
      <c r="AY210" s="624"/>
      <c r="AZ210" s="624"/>
      <c r="BA210" s="624"/>
      <c r="BB210" s="624"/>
      <c r="BC210" s="624"/>
      <c r="BD210" s="624"/>
      <c r="BE210" s="624"/>
    </row>
    <row r="211" ht="16.5" customHeight="1">
      <c r="A211" s="711"/>
      <c r="B211" s="711"/>
      <c r="C211" s="711"/>
      <c r="D211" s="711"/>
      <c r="E211" s="711"/>
      <c r="F211" s="711"/>
      <c r="G211" s="711"/>
      <c r="H211" s="711"/>
      <c r="I211" s="711"/>
      <c r="J211" s="711"/>
      <c r="K211" s="741"/>
      <c r="L211" s="741"/>
      <c r="M211" s="788"/>
      <c r="N211" s="741"/>
      <c r="O211" s="741"/>
      <c r="P211" s="741"/>
      <c r="Q211" s="741"/>
      <c r="R211" s="788"/>
      <c r="S211" s="819"/>
      <c r="T211" s="820"/>
      <c r="U211" s="819"/>
      <c r="V211" s="820"/>
      <c r="W211" s="788"/>
      <c r="X211" s="803"/>
      <c r="Y211" s="803"/>
      <c r="Z211" s="803"/>
      <c r="AA211" s="711"/>
      <c r="AB211" s="711"/>
      <c r="AC211" s="711"/>
      <c r="AD211" s="736"/>
      <c r="AE211" s="736"/>
      <c r="AF211" s="799">
        <f t="shared" si="8"/>
        <v>139550</v>
      </c>
      <c r="AG211" s="658">
        <v>0.9384792074432461</v>
      </c>
      <c r="AH211" s="659">
        <f t="shared" si="3"/>
        <v>0.9384792074</v>
      </c>
      <c r="AI211" s="641"/>
      <c r="AJ211" s="660">
        <f t="shared" si="6"/>
        <v>211</v>
      </c>
      <c r="AK211" s="676">
        <v>0.9187</v>
      </c>
      <c r="AL211" s="662">
        <v>86071.0</v>
      </c>
      <c r="AM211" s="677">
        <v>-0.9843614979244375</v>
      </c>
      <c r="AN211" s="678">
        <v>-0.08130000000000004</v>
      </c>
      <c r="AO211" s="662">
        <v>86071.0</v>
      </c>
      <c r="AP211" s="679">
        <v>-0.9827501672324869</v>
      </c>
      <c r="AQ211" s="662">
        <v>86071.0</v>
      </c>
      <c r="AR211" s="680">
        <v>-0.9810586048041554</v>
      </c>
      <c r="AS211" s="624"/>
      <c r="AT211" s="624"/>
      <c r="AU211" s="624"/>
      <c r="AV211" s="624"/>
      <c r="AW211" s="624"/>
      <c r="AX211" s="624"/>
      <c r="AY211" s="624"/>
      <c r="AZ211" s="624"/>
      <c r="BA211" s="624"/>
      <c r="BB211" s="624"/>
      <c r="BC211" s="624"/>
      <c r="BD211" s="624"/>
      <c r="BE211" s="624"/>
    </row>
    <row r="212" ht="16.5" customHeight="1">
      <c r="A212" s="711"/>
      <c r="B212" s="711"/>
      <c r="C212" s="711"/>
      <c r="D212" s="711"/>
      <c r="E212" s="711"/>
      <c r="F212" s="711"/>
      <c r="G212" s="711"/>
      <c r="H212" s="711"/>
      <c r="I212" s="711"/>
      <c r="J212" s="711"/>
      <c r="K212" s="741"/>
      <c r="L212" s="741"/>
      <c r="M212" s="788"/>
      <c r="N212" s="741"/>
      <c r="O212" s="741"/>
      <c r="P212" s="741"/>
      <c r="Q212" s="741"/>
      <c r="R212" s="788"/>
      <c r="S212" s="819"/>
      <c r="T212" s="820"/>
      <c r="U212" s="819"/>
      <c r="V212" s="820"/>
      <c r="W212" s="788"/>
      <c r="X212" s="803"/>
      <c r="Y212" s="803"/>
      <c r="Z212" s="803"/>
      <c r="AA212" s="711"/>
      <c r="AB212" s="711"/>
      <c r="AC212" s="711"/>
      <c r="AD212" s="736"/>
      <c r="AE212" s="736"/>
      <c r="AF212" s="799">
        <f t="shared" si="8"/>
        <v>140300</v>
      </c>
      <c r="AG212" s="658">
        <v>0.9383600571399152</v>
      </c>
      <c r="AH212" s="659">
        <f t="shared" si="3"/>
        <v>0.9383600571</v>
      </c>
      <c r="AI212" s="641"/>
      <c r="AJ212" s="660">
        <f t="shared" si="6"/>
        <v>212</v>
      </c>
      <c r="AK212" s="676">
        <v>0.9248</v>
      </c>
      <c r="AL212" s="662">
        <v>85000.0</v>
      </c>
      <c r="AM212" s="677">
        <v>-0.9835310780652902</v>
      </c>
      <c r="AN212" s="678">
        <v>-0.07520000000000004</v>
      </c>
      <c r="AO212" s="662">
        <v>85000.0</v>
      </c>
      <c r="AP212" s="679">
        <v>-0.9818563376717093</v>
      </c>
      <c r="AQ212" s="662">
        <v>85000.0</v>
      </c>
      <c r="AR212" s="680">
        <v>-0.9801003013631698</v>
      </c>
      <c r="AS212" s="624"/>
      <c r="AT212" s="624"/>
      <c r="AU212" s="624"/>
      <c r="AV212" s="624"/>
      <c r="AW212" s="624"/>
      <c r="AX212" s="624"/>
      <c r="AY212" s="624"/>
      <c r="AZ212" s="624"/>
      <c r="BA212" s="624"/>
      <c r="BB212" s="624"/>
      <c r="BC212" s="624"/>
      <c r="BD212" s="624"/>
      <c r="BE212" s="624"/>
    </row>
    <row r="213" ht="16.5" customHeight="1">
      <c r="A213" s="711"/>
      <c r="B213" s="711"/>
      <c r="C213" s="711"/>
      <c r="D213" s="711"/>
      <c r="E213" s="711"/>
      <c r="F213" s="711"/>
      <c r="G213" s="711"/>
      <c r="H213" s="711"/>
      <c r="I213" s="711"/>
      <c r="J213" s="711"/>
      <c r="K213" s="741"/>
      <c r="L213" s="741"/>
      <c r="M213" s="788"/>
      <c r="N213" s="741"/>
      <c r="O213" s="741"/>
      <c r="P213" s="741"/>
      <c r="Q213" s="741"/>
      <c r="R213" s="788"/>
      <c r="S213" s="819"/>
      <c r="T213" s="820"/>
      <c r="U213" s="819"/>
      <c r="V213" s="820"/>
      <c r="W213" s="788"/>
      <c r="X213" s="803"/>
      <c r="Y213" s="803"/>
      <c r="Z213" s="803"/>
      <c r="AA213" s="711"/>
      <c r="AB213" s="711"/>
      <c r="AC213" s="711"/>
      <c r="AD213" s="736"/>
      <c r="AE213" s="736"/>
      <c r="AF213" s="799">
        <f t="shared" si="8"/>
        <v>141050</v>
      </c>
      <c r="AG213" s="658">
        <v>0.938240973338692</v>
      </c>
      <c r="AH213" s="659">
        <f t="shared" si="3"/>
        <v>0.9382409733</v>
      </c>
      <c r="AI213" s="641"/>
      <c r="AJ213" s="660">
        <f t="shared" si="6"/>
        <v>213</v>
      </c>
      <c r="AK213" s="676">
        <v>0.9599</v>
      </c>
      <c r="AL213" s="662">
        <v>84877.0</v>
      </c>
      <c r="AM213" s="677">
        <v>-0.9834329279371287</v>
      </c>
      <c r="AN213" s="678">
        <v>-0.040100000000000025</v>
      </c>
      <c r="AO213" s="662">
        <v>84877.0</v>
      </c>
      <c r="AP213" s="679">
        <v>-0.9817507642304528</v>
      </c>
      <c r="AQ213" s="662">
        <v>84877.0</v>
      </c>
      <c r="AR213" s="680">
        <v>-0.9799871855575266</v>
      </c>
      <c r="AS213" s="624"/>
      <c r="AT213" s="624"/>
      <c r="AU213" s="624"/>
      <c r="AV213" s="624"/>
      <c r="AW213" s="624"/>
      <c r="AX213" s="624"/>
      <c r="AY213" s="624"/>
      <c r="AZ213" s="624"/>
      <c r="BA213" s="624"/>
      <c r="BB213" s="624"/>
      <c r="BC213" s="624"/>
      <c r="BD213" s="624"/>
      <c r="BE213" s="624"/>
    </row>
    <row r="214" ht="16.5" customHeight="1">
      <c r="A214" s="711"/>
      <c r="B214" s="711"/>
      <c r="C214" s="711"/>
      <c r="D214" s="711"/>
      <c r="E214" s="711"/>
      <c r="F214" s="711"/>
      <c r="G214" s="711"/>
      <c r="H214" s="711"/>
      <c r="I214" s="711"/>
      <c r="J214" s="711"/>
      <c r="K214" s="741"/>
      <c r="L214" s="741"/>
      <c r="M214" s="788"/>
      <c r="N214" s="741"/>
      <c r="O214" s="741"/>
      <c r="P214" s="741"/>
      <c r="Q214" s="741"/>
      <c r="R214" s="788"/>
      <c r="S214" s="819"/>
      <c r="T214" s="820"/>
      <c r="U214" s="819"/>
      <c r="V214" s="820"/>
      <c r="W214" s="788"/>
      <c r="X214" s="803"/>
      <c r="Y214" s="803"/>
      <c r="Z214" s="803"/>
      <c r="AA214" s="711"/>
      <c r="AB214" s="711"/>
      <c r="AC214" s="711"/>
      <c r="AD214" s="736"/>
      <c r="AE214" s="736"/>
      <c r="AF214" s="799">
        <f t="shared" si="8"/>
        <v>141800</v>
      </c>
      <c r="AG214" s="658">
        <v>0.9381219537280369</v>
      </c>
      <c r="AH214" s="659">
        <f t="shared" si="3"/>
        <v>0.9381219537</v>
      </c>
      <c r="AI214" s="641"/>
      <c r="AJ214" s="660">
        <f t="shared" si="6"/>
        <v>214</v>
      </c>
      <c r="AK214" s="676">
        <v>0.971</v>
      </c>
      <c r="AL214" s="662">
        <v>84753.0</v>
      </c>
      <c r="AM214" s="677">
        <v>-0.9833333877309921</v>
      </c>
      <c r="AN214" s="678">
        <v>-0.029000000000000026</v>
      </c>
      <c r="AO214" s="662">
        <v>84753.0</v>
      </c>
      <c r="AP214" s="679">
        <v>-0.981643710641415</v>
      </c>
      <c r="AQ214" s="662">
        <v>84753.0</v>
      </c>
      <c r="AR214" s="680">
        <v>-0.979872499254776</v>
      </c>
      <c r="AS214" s="624"/>
      <c r="AT214" s="624"/>
      <c r="AU214" s="624"/>
      <c r="AV214" s="624"/>
      <c r="AW214" s="624"/>
      <c r="AX214" s="624"/>
      <c r="AY214" s="624"/>
      <c r="AZ214" s="624"/>
      <c r="BA214" s="624"/>
      <c r="BB214" s="624"/>
      <c r="BC214" s="624"/>
      <c r="BD214" s="624"/>
      <c r="BE214" s="624"/>
    </row>
    <row r="215" ht="16.5" customHeight="1">
      <c r="A215" s="711"/>
      <c r="B215" s="711"/>
      <c r="C215" s="711"/>
      <c r="D215" s="711"/>
      <c r="E215" s="711"/>
      <c r="F215" s="711"/>
      <c r="G215" s="711"/>
      <c r="H215" s="711"/>
      <c r="I215" s="711"/>
      <c r="J215" s="711"/>
      <c r="K215" s="741"/>
      <c r="L215" s="741"/>
      <c r="M215" s="788"/>
      <c r="N215" s="741"/>
      <c r="O215" s="741"/>
      <c r="P215" s="741"/>
      <c r="Q215" s="741"/>
      <c r="R215" s="788"/>
      <c r="S215" s="819"/>
      <c r="T215" s="820"/>
      <c r="U215" s="819"/>
      <c r="V215" s="820"/>
      <c r="W215" s="788"/>
      <c r="X215" s="803"/>
      <c r="Y215" s="803"/>
      <c r="Z215" s="803"/>
      <c r="AA215" s="711"/>
      <c r="AB215" s="711"/>
      <c r="AC215" s="711"/>
      <c r="AD215" s="736"/>
      <c r="AE215" s="736"/>
      <c r="AF215" s="799">
        <f t="shared" si="8"/>
        <v>142550</v>
      </c>
      <c r="AG215" s="658">
        <v>0.9380029960767564</v>
      </c>
      <c r="AH215" s="659">
        <f t="shared" si="3"/>
        <v>0.9380029961</v>
      </c>
      <c r="AI215" s="641"/>
      <c r="AJ215" s="660">
        <f t="shared" si="6"/>
        <v>215</v>
      </c>
      <c r="AK215" s="676">
        <v>0.967</v>
      </c>
      <c r="AL215" s="662">
        <v>84561.0</v>
      </c>
      <c r="AM215" s="677">
        <v>-0.9831780797079349</v>
      </c>
      <c r="AN215" s="678">
        <v>-0.03300000000000003</v>
      </c>
      <c r="AO215" s="662">
        <v>84561.0</v>
      </c>
      <c r="AP215" s="679">
        <v>-0.981476709913708</v>
      </c>
      <c r="AQ215" s="662">
        <v>84561.0</v>
      </c>
      <c r="AR215" s="680">
        <v>-0.9796936224347383</v>
      </c>
      <c r="AS215" s="624"/>
      <c r="AT215" s="624"/>
      <c r="AU215" s="624"/>
      <c r="AV215" s="624"/>
      <c r="AW215" s="624"/>
      <c r="AX215" s="624"/>
      <c r="AY215" s="624"/>
      <c r="AZ215" s="624"/>
      <c r="BA215" s="624"/>
      <c r="BB215" s="624"/>
      <c r="BC215" s="624"/>
      <c r="BD215" s="624"/>
      <c r="BE215" s="624"/>
    </row>
    <row r="216" ht="16.5" customHeight="1">
      <c r="A216" s="711"/>
      <c r="B216" s="711"/>
      <c r="C216" s="711"/>
      <c r="D216" s="711"/>
      <c r="E216" s="711"/>
      <c r="F216" s="711"/>
      <c r="G216" s="711"/>
      <c r="H216" s="711"/>
      <c r="I216" s="711"/>
      <c r="J216" s="711"/>
      <c r="K216" s="741"/>
      <c r="L216" s="741"/>
      <c r="M216" s="788"/>
      <c r="N216" s="741"/>
      <c r="O216" s="741"/>
      <c r="P216" s="741"/>
      <c r="Q216" s="741"/>
      <c r="R216" s="788"/>
      <c r="S216" s="819"/>
      <c r="T216" s="820"/>
      <c r="U216" s="819"/>
      <c r="V216" s="820"/>
      <c r="W216" s="788"/>
      <c r="X216" s="803"/>
      <c r="Y216" s="803"/>
      <c r="Z216" s="803"/>
      <c r="AA216" s="711"/>
      <c r="AB216" s="711"/>
      <c r="AC216" s="711"/>
      <c r="AD216" s="736"/>
      <c r="AE216" s="736"/>
      <c r="AF216" s="799">
        <f t="shared" si="8"/>
        <v>143300</v>
      </c>
      <c r="AG216" s="658">
        <v>0.9378840982312114</v>
      </c>
      <c r="AH216" s="659">
        <f t="shared" si="3"/>
        <v>0.9378840982</v>
      </c>
      <c r="AI216" s="641"/>
      <c r="AJ216" s="660">
        <f t="shared" si="6"/>
        <v>216</v>
      </c>
      <c r="AK216" s="676">
        <v>0.9398</v>
      </c>
      <c r="AL216" s="662">
        <v>84000.0</v>
      </c>
      <c r="AM216" s="677">
        <v>-0.9827159473456017</v>
      </c>
      <c r="AN216" s="678">
        <v>-0.06020000000000003</v>
      </c>
      <c r="AO216" s="662">
        <v>84000.0</v>
      </c>
      <c r="AP216" s="679">
        <v>-0.9809799986510731</v>
      </c>
      <c r="AQ216" s="662">
        <v>84000.0</v>
      </c>
      <c r="AR216" s="680">
        <v>-0.9791618063295473</v>
      </c>
      <c r="AS216" s="624"/>
      <c r="AT216" s="624"/>
      <c r="AU216" s="624"/>
      <c r="AV216" s="624"/>
      <c r="AW216" s="624"/>
      <c r="AX216" s="624"/>
      <c r="AY216" s="624"/>
      <c r="AZ216" s="624"/>
      <c r="BA216" s="624"/>
      <c r="BB216" s="624"/>
      <c r="BC216" s="624"/>
      <c r="BD216" s="624"/>
      <c r="BE216" s="624"/>
    </row>
    <row r="217" ht="16.5" customHeight="1">
      <c r="A217" s="711"/>
      <c r="B217" s="711"/>
      <c r="C217" s="711"/>
      <c r="D217" s="711"/>
      <c r="E217" s="711"/>
      <c r="F217" s="711"/>
      <c r="G217" s="711"/>
      <c r="H217" s="711"/>
      <c r="I217" s="711"/>
      <c r="J217" s="711"/>
      <c r="K217" s="741"/>
      <c r="L217" s="741"/>
      <c r="M217" s="788"/>
      <c r="N217" s="741"/>
      <c r="O217" s="741"/>
      <c r="P217" s="741"/>
      <c r="Q217" s="741"/>
      <c r="R217" s="788"/>
      <c r="S217" s="819"/>
      <c r="T217" s="820"/>
      <c r="U217" s="819"/>
      <c r="V217" s="820"/>
      <c r="W217" s="788"/>
      <c r="X217" s="803"/>
      <c r="Y217" s="803"/>
      <c r="Z217" s="803"/>
      <c r="AA217" s="711"/>
      <c r="AB217" s="711"/>
      <c r="AC217" s="711"/>
      <c r="AD217" s="736"/>
      <c r="AE217" s="736"/>
      <c r="AF217" s="799">
        <f t="shared" si="8"/>
        <v>144050</v>
      </c>
      <c r="AG217" s="658">
        <v>0.9377652581126205</v>
      </c>
      <c r="AH217" s="659">
        <f t="shared" si="3"/>
        <v>0.9377652581</v>
      </c>
      <c r="AI217" s="641"/>
      <c r="AJ217" s="660">
        <f t="shared" si="6"/>
        <v>217</v>
      </c>
      <c r="AK217" s="676">
        <v>0.9574</v>
      </c>
      <c r="AL217" s="662">
        <v>84000.0</v>
      </c>
      <c r="AM217" s="677">
        <v>-0.9827159473456017</v>
      </c>
      <c r="AN217" s="678">
        <v>-0.04259999999999997</v>
      </c>
      <c r="AO217" s="662">
        <v>84000.0</v>
      </c>
      <c r="AP217" s="679">
        <v>-0.9809799986510731</v>
      </c>
      <c r="AQ217" s="662">
        <v>84000.0</v>
      </c>
      <c r="AR217" s="680">
        <v>-0.9791618063295473</v>
      </c>
      <c r="AS217" s="624"/>
      <c r="AT217" s="624"/>
      <c r="AU217" s="624"/>
      <c r="AV217" s="624"/>
      <c r="AW217" s="624"/>
      <c r="AX217" s="624"/>
      <c r="AY217" s="624"/>
      <c r="AZ217" s="624"/>
      <c r="BA217" s="624"/>
      <c r="BB217" s="624"/>
      <c r="BC217" s="624"/>
      <c r="BD217" s="624"/>
      <c r="BE217" s="624"/>
    </row>
    <row r="218" ht="16.5" customHeight="1">
      <c r="A218" s="711"/>
      <c r="B218" s="711"/>
      <c r="C218" s="711"/>
      <c r="D218" s="711"/>
      <c r="E218" s="711"/>
      <c r="F218" s="711"/>
      <c r="G218" s="711"/>
      <c r="H218" s="711"/>
      <c r="I218" s="711"/>
      <c r="J218" s="711"/>
      <c r="K218" s="741"/>
      <c r="L218" s="741"/>
      <c r="M218" s="788"/>
      <c r="N218" s="741"/>
      <c r="O218" s="741"/>
      <c r="P218" s="741"/>
      <c r="Q218" s="741"/>
      <c r="R218" s="788"/>
      <c r="S218" s="819"/>
      <c r="T218" s="820"/>
      <c r="U218" s="819"/>
      <c r="V218" s="820"/>
      <c r="W218" s="788"/>
      <c r="X218" s="803"/>
      <c r="Y218" s="803"/>
      <c r="Z218" s="803"/>
      <c r="AA218" s="711"/>
      <c r="AB218" s="711"/>
      <c r="AC218" s="711"/>
      <c r="AD218" s="736"/>
      <c r="AE218" s="736"/>
      <c r="AF218" s="799">
        <f t="shared" si="8"/>
        <v>144800</v>
      </c>
      <c r="AG218" s="658">
        <v>0.9376464737144588</v>
      </c>
      <c r="AH218" s="659">
        <f t="shared" si="3"/>
        <v>0.9376464737</v>
      </c>
      <c r="AI218" s="641"/>
      <c r="AJ218" s="660">
        <f t="shared" si="6"/>
        <v>218</v>
      </c>
      <c r="AK218" s="676">
        <v>0.9619</v>
      </c>
      <c r="AL218" s="662">
        <v>84000.0</v>
      </c>
      <c r="AM218" s="677">
        <v>-0.9827159473456017</v>
      </c>
      <c r="AN218" s="678">
        <v>-0.03810000000000002</v>
      </c>
      <c r="AO218" s="662">
        <v>84000.0</v>
      </c>
      <c r="AP218" s="679">
        <v>-0.9809799986510731</v>
      </c>
      <c r="AQ218" s="662">
        <v>84000.0</v>
      </c>
      <c r="AR218" s="680">
        <v>-0.9791618063295473</v>
      </c>
      <c r="AS218" s="624"/>
      <c r="AT218" s="624"/>
      <c r="AU218" s="624"/>
      <c r="AV218" s="624"/>
      <c r="AW218" s="624"/>
      <c r="AX218" s="624"/>
      <c r="AY218" s="624"/>
      <c r="AZ218" s="624"/>
      <c r="BA218" s="624"/>
      <c r="BB218" s="624"/>
      <c r="BC218" s="624"/>
      <c r="BD218" s="624"/>
      <c r="BE218" s="624"/>
    </row>
    <row r="219" ht="16.5" customHeight="1">
      <c r="A219" s="711"/>
      <c r="B219" s="711"/>
      <c r="C219" s="711"/>
      <c r="D219" s="711"/>
      <c r="E219" s="711"/>
      <c r="F219" s="711"/>
      <c r="G219" s="711"/>
      <c r="H219" s="711"/>
      <c r="I219" s="711"/>
      <c r="J219" s="711"/>
      <c r="K219" s="741"/>
      <c r="L219" s="741"/>
      <c r="M219" s="788"/>
      <c r="N219" s="741"/>
      <c r="O219" s="741"/>
      <c r="P219" s="741"/>
      <c r="Q219" s="741"/>
      <c r="R219" s="788"/>
      <c r="S219" s="819"/>
      <c r="T219" s="820"/>
      <c r="U219" s="819"/>
      <c r="V219" s="820"/>
      <c r="W219" s="788"/>
      <c r="X219" s="803"/>
      <c r="Y219" s="803"/>
      <c r="Z219" s="803"/>
      <c r="AA219" s="711"/>
      <c r="AB219" s="711"/>
      <c r="AC219" s="711"/>
      <c r="AD219" s="736"/>
      <c r="AE219" s="736"/>
      <c r="AF219" s="799">
        <f t="shared" si="8"/>
        <v>145550</v>
      </c>
      <c r="AG219" s="658">
        <v>0.9375277430999456</v>
      </c>
      <c r="AH219" s="659">
        <f t="shared" si="3"/>
        <v>0.9375277431</v>
      </c>
      <c r="AI219" s="641"/>
      <c r="AJ219" s="660">
        <f t="shared" si="6"/>
        <v>219</v>
      </c>
      <c r="AK219" s="676">
        <v>0.9568</v>
      </c>
      <c r="AL219" s="662">
        <v>83021.0</v>
      </c>
      <c r="AM219" s="677">
        <v>-0.981878864748887</v>
      </c>
      <c r="AN219" s="678">
        <v>-0.043200000000000016</v>
      </c>
      <c r="AO219" s="662">
        <v>83021.0</v>
      </c>
      <c r="AP219" s="679">
        <v>-0.9800810732374744</v>
      </c>
      <c r="AQ219" s="662">
        <v>83021.0</v>
      </c>
      <c r="AR219" s="680">
        <v>-0.9782001575126086</v>
      </c>
      <c r="AS219" s="624"/>
      <c r="AT219" s="624"/>
      <c r="AU219" s="624"/>
      <c r="AV219" s="624"/>
      <c r="AW219" s="624"/>
      <c r="AX219" s="624"/>
      <c r="AY219" s="624"/>
      <c r="AZ219" s="624"/>
      <c r="BA219" s="624"/>
      <c r="BB219" s="624"/>
      <c r="BC219" s="624"/>
      <c r="BD219" s="624"/>
      <c r="BE219" s="624"/>
    </row>
    <row r="220" ht="16.5" customHeight="1">
      <c r="A220" s="711"/>
      <c r="B220" s="711"/>
      <c r="C220" s="711"/>
      <c r="D220" s="711"/>
      <c r="E220" s="711"/>
      <c r="F220" s="711"/>
      <c r="G220" s="711"/>
      <c r="H220" s="711"/>
      <c r="I220" s="711"/>
      <c r="J220" s="711"/>
      <c r="K220" s="741"/>
      <c r="L220" s="741"/>
      <c r="M220" s="788"/>
      <c r="N220" s="741"/>
      <c r="O220" s="741"/>
      <c r="P220" s="741"/>
      <c r="Q220" s="741"/>
      <c r="R220" s="788"/>
      <c r="S220" s="819"/>
      <c r="T220" s="820"/>
      <c r="U220" s="819"/>
      <c r="V220" s="820"/>
      <c r="W220" s="788"/>
      <c r="X220" s="803"/>
      <c r="Y220" s="803"/>
      <c r="Z220" s="803"/>
      <c r="AA220" s="711"/>
      <c r="AB220" s="711"/>
      <c r="AC220" s="711"/>
      <c r="AD220" s="736"/>
      <c r="AE220" s="736"/>
      <c r="AF220" s="799">
        <f t="shared" si="8"/>
        <v>146300</v>
      </c>
      <c r="AG220" s="658">
        <v>0.9374090643996209</v>
      </c>
      <c r="AH220" s="659">
        <f t="shared" si="3"/>
        <v>0.9374090644</v>
      </c>
      <c r="AI220" s="641"/>
      <c r="AJ220" s="660">
        <f t="shared" si="6"/>
        <v>220</v>
      </c>
      <c r="AK220" s="676">
        <v>0.9148</v>
      </c>
      <c r="AL220" s="662">
        <v>83000.0</v>
      </c>
      <c r="AM220" s="677">
        <v>-0.9818604716602372</v>
      </c>
      <c r="AN220" s="678">
        <v>-0.08520000000000005</v>
      </c>
      <c r="AO220" s="662">
        <v>83000.0</v>
      </c>
      <c r="AP220" s="679">
        <v>-0.9800613324494524</v>
      </c>
      <c r="AQ220" s="662">
        <v>83000.0</v>
      </c>
      <c r="AR220" s="680">
        <v>-0.97817905067951</v>
      </c>
      <c r="AS220" s="624"/>
      <c r="AT220" s="624"/>
      <c r="AU220" s="624"/>
      <c r="AV220" s="624"/>
      <c r="AW220" s="624"/>
      <c r="AX220" s="624"/>
      <c r="AY220" s="624"/>
      <c r="AZ220" s="624"/>
      <c r="BA220" s="624"/>
      <c r="BB220" s="624"/>
      <c r="BC220" s="624"/>
      <c r="BD220" s="624"/>
      <c r="BE220" s="624"/>
    </row>
    <row r="221" ht="16.5" customHeight="1">
      <c r="A221" s="711"/>
      <c r="B221" s="711"/>
      <c r="C221" s="711"/>
      <c r="D221" s="711"/>
      <c r="E221" s="711"/>
      <c r="F221" s="711"/>
      <c r="G221" s="711"/>
      <c r="H221" s="711"/>
      <c r="I221" s="711"/>
      <c r="J221" s="711"/>
      <c r="K221" s="741"/>
      <c r="L221" s="741"/>
      <c r="M221" s="788"/>
      <c r="N221" s="741"/>
      <c r="O221" s="741"/>
      <c r="P221" s="741"/>
      <c r="Q221" s="741"/>
      <c r="R221" s="788"/>
      <c r="S221" s="819"/>
      <c r="T221" s="820"/>
      <c r="U221" s="819"/>
      <c r="V221" s="820"/>
      <c r="W221" s="788"/>
      <c r="X221" s="803"/>
      <c r="Y221" s="803"/>
      <c r="Z221" s="803"/>
      <c r="AA221" s="711"/>
      <c r="AB221" s="711"/>
      <c r="AC221" s="711"/>
      <c r="AD221" s="736"/>
      <c r="AE221" s="736"/>
      <c r="AF221" s="799">
        <f t="shared" si="8"/>
        <v>147050</v>
      </c>
      <c r="AG221" s="658">
        <v>0.9372904358090047</v>
      </c>
      <c r="AH221" s="659">
        <f t="shared" si="3"/>
        <v>0.9372904358</v>
      </c>
      <c r="AI221" s="641"/>
      <c r="AJ221" s="660">
        <f t="shared" si="6"/>
        <v>221</v>
      </c>
      <c r="AK221" s="676">
        <v>0.9449</v>
      </c>
      <c r="AL221" s="662">
        <v>83000.0</v>
      </c>
      <c r="AM221" s="677">
        <v>-0.9818604716602372</v>
      </c>
      <c r="AN221" s="678">
        <v>-0.05510000000000004</v>
      </c>
      <c r="AO221" s="662">
        <v>83000.0</v>
      </c>
      <c r="AP221" s="679">
        <v>-0.9800613324494524</v>
      </c>
      <c r="AQ221" s="662">
        <v>83000.0</v>
      </c>
      <c r="AR221" s="680">
        <v>-0.97817905067951</v>
      </c>
      <c r="AS221" s="624"/>
      <c r="AT221" s="624"/>
      <c r="AU221" s="624"/>
      <c r="AV221" s="624"/>
      <c r="AW221" s="624"/>
      <c r="AX221" s="624"/>
      <c r="AY221" s="624"/>
      <c r="AZ221" s="624"/>
      <c r="BA221" s="624"/>
      <c r="BB221" s="624"/>
      <c r="BC221" s="624"/>
      <c r="BD221" s="624"/>
      <c r="BE221" s="624"/>
    </row>
    <row r="222" ht="16.5" customHeight="1">
      <c r="A222" s="711"/>
      <c r="B222" s="711"/>
      <c r="C222" s="711"/>
      <c r="D222" s="711"/>
      <c r="E222" s="711"/>
      <c r="F222" s="711"/>
      <c r="G222" s="711"/>
      <c r="H222" s="711"/>
      <c r="I222" s="711"/>
      <c r="J222" s="711"/>
      <c r="K222" s="741"/>
      <c r="L222" s="741"/>
      <c r="M222" s="788"/>
      <c r="N222" s="741"/>
      <c r="O222" s="741"/>
      <c r="P222" s="741"/>
      <c r="Q222" s="741"/>
      <c r="R222" s="788"/>
      <c r="S222" s="819"/>
      <c r="T222" s="820"/>
      <c r="U222" s="819"/>
      <c r="V222" s="820"/>
      <c r="W222" s="788"/>
      <c r="X222" s="803"/>
      <c r="Y222" s="803"/>
      <c r="Z222" s="803"/>
      <c r="AA222" s="711"/>
      <c r="AB222" s="711"/>
      <c r="AC222" s="711"/>
      <c r="AD222" s="736"/>
      <c r="AE222" s="736"/>
      <c r="AF222" s="799">
        <f t="shared" si="8"/>
        <v>147800</v>
      </c>
      <c r="AG222" s="658">
        <v>0.9371718555863391</v>
      </c>
      <c r="AH222" s="659">
        <f t="shared" si="3"/>
        <v>0.9371718556</v>
      </c>
      <c r="AI222" s="641"/>
      <c r="AJ222" s="660">
        <f t="shared" si="6"/>
        <v>222</v>
      </c>
      <c r="AK222" s="676">
        <v>0.9411</v>
      </c>
      <c r="AL222" s="662">
        <v>82274.0</v>
      </c>
      <c r="AM222" s="677">
        <v>-0.9812129856144823</v>
      </c>
      <c r="AN222" s="678">
        <v>-0.05889999999999995</v>
      </c>
      <c r="AO222" s="662">
        <v>82274.0</v>
      </c>
      <c r="AP222" s="679">
        <v>-0.9793667010963274</v>
      </c>
      <c r="AQ222" s="662">
        <v>82274.0</v>
      </c>
      <c r="AR222" s="680">
        <v>-0.9774366545343329</v>
      </c>
      <c r="AS222" s="624"/>
      <c r="AT222" s="624"/>
      <c r="AU222" s="624"/>
      <c r="AV222" s="624"/>
      <c r="AW222" s="624"/>
      <c r="AX222" s="624"/>
      <c r="AY222" s="624"/>
      <c r="AZ222" s="624"/>
      <c r="BA222" s="624"/>
      <c r="BB222" s="624"/>
      <c r="BC222" s="624"/>
      <c r="BD222" s="624"/>
      <c r="BE222" s="624"/>
    </row>
    <row r="223" ht="16.5" customHeight="1">
      <c r="A223" s="711"/>
      <c r="B223" s="711"/>
      <c r="C223" s="711"/>
      <c r="D223" s="711"/>
      <c r="E223" s="711"/>
      <c r="F223" s="711"/>
      <c r="G223" s="711"/>
      <c r="H223" s="711"/>
      <c r="I223" s="711"/>
      <c r="J223" s="711"/>
      <c r="K223" s="741"/>
      <c r="L223" s="741"/>
      <c r="M223" s="788"/>
      <c r="N223" s="741"/>
      <c r="O223" s="741"/>
      <c r="P223" s="741"/>
      <c r="Q223" s="741"/>
      <c r="R223" s="788"/>
      <c r="S223" s="819"/>
      <c r="T223" s="820"/>
      <c r="U223" s="819"/>
      <c r="V223" s="820"/>
      <c r="W223" s="788"/>
      <c r="X223" s="803"/>
      <c r="Y223" s="803"/>
      <c r="Z223" s="803"/>
      <c r="AA223" s="711"/>
      <c r="AB223" s="711"/>
      <c r="AC223" s="711"/>
      <c r="AD223" s="736"/>
      <c r="AE223" s="736"/>
      <c r="AF223" s="799">
        <f t="shared" si="8"/>
        <v>148550</v>
      </c>
      <c r="AG223" s="658">
        <v>0.9370533220504076</v>
      </c>
      <c r="AH223" s="659">
        <f t="shared" si="3"/>
        <v>0.9370533221</v>
      </c>
      <c r="AI223" s="641"/>
      <c r="AJ223" s="660">
        <f t="shared" si="6"/>
        <v>223</v>
      </c>
      <c r="AK223" s="676">
        <v>0.9097</v>
      </c>
      <c r="AL223" s="662">
        <v>82059.0</v>
      </c>
      <c r="AM223" s="677">
        <v>-0.9810168379106274</v>
      </c>
      <c r="AN223" s="678">
        <v>-0.09030000000000005</v>
      </c>
      <c r="AO223" s="662">
        <v>82059.0</v>
      </c>
      <c r="AP223" s="679">
        <v>-0.9791563836351804</v>
      </c>
      <c r="AQ223" s="662">
        <v>82059.0</v>
      </c>
      <c r="AR223" s="680">
        <v>-0.977211989516679</v>
      </c>
      <c r="AS223" s="624"/>
      <c r="AT223" s="624"/>
      <c r="AU223" s="624"/>
      <c r="AV223" s="624"/>
      <c r="AW223" s="624"/>
      <c r="AX223" s="624"/>
      <c r="AY223" s="624"/>
      <c r="AZ223" s="624"/>
      <c r="BA223" s="624"/>
      <c r="BB223" s="624"/>
      <c r="BC223" s="624"/>
      <c r="BD223" s="624"/>
      <c r="BE223" s="624"/>
    </row>
    <row r="224" ht="16.5" customHeight="1">
      <c r="A224" s="711"/>
      <c r="B224" s="711"/>
      <c r="C224" s="711"/>
      <c r="D224" s="711"/>
      <c r="E224" s="711"/>
      <c r="F224" s="711"/>
      <c r="G224" s="711"/>
      <c r="H224" s="711"/>
      <c r="I224" s="711"/>
      <c r="J224" s="711"/>
      <c r="K224" s="741"/>
      <c r="L224" s="741"/>
      <c r="M224" s="788"/>
      <c r="N224" s="741"/>
      <c r="O224" s="741"/>
      <c r="P224" s="741"/>
      <c r="Q224" s="741"/>
      <c r="R224" s="788"/>
      <c r="S224" s="819"/>
      <c r="T224" s="820"/>
      <c r="U224" s="819"/>
      <c r="V224" s="820"/>
      <c r="W224" s="788"/>
      <c r="X224" s="803"/>
      <c r="Y224" s="803"/>
      <c r="Z224" s="803"/>
      <c r="AA224" s="711"/>
      <c r="AB224" s="711"/>
      <c r="AC224" s="711"/>
      <c r="AD224" s="736"/>
      <c r="AE224" s="736"/>
      <c r="AF224" s="799">
        <f t="shared" si="8"/>
        <v>149300</v>
      </c>
      <c r="AG224" s="658">
        <v>0.9369348335784308</v>
      </c>
      <c r="AH224" s="659">
        <f t="shared" si="3"/>
        <v>0.9369348336</v>
      </c>
      <c r="AI224" s="641"/>
      <c r="AJ224" s="660">
        <f t="shared" si="6"/>
        <v>224</v>
      </c>
      <c r="AK224" s="676">
        <v>0.939</v>
      </c>
      <c r="AL224" s="662">
        <v>81620.0</v>
      </c>
      <c r="AM224" s="677">
        <v>-0.980609948797817</v>
      </c>
      <c r="AN224" s="678">
        <v>-0.061000000000000054</v>
      </c>
      <c r="AO224" s="662">
        <v>81620.0</v>
      </c>
      <c r="AP224" s="679">
        <v>-0.9787202635616228</v>
      </c>
      <c r="AQ224" s="662">
        <v>81620.0</v>
      </c>
      <c r="AR224" s="680">
        <v>-0.9767462837864782</v>
      </c>
      <c r="AS224" s="624"/>
      <c r="AT224" s="624"/>
      <c r="AU224" s="624"/>
      <c r="AV224" s="624"/>
      <c r="AW224" s="624"/>
      <c r="AX224" s="624"/>
      <c r="AY224" s="624"/>
      <c r="AZ224" s="624"/>
      <c r="BA224" s="624"/>
      <c r="BB224" s="624"/>
      <c r="BC224" s="624"/>
      <c r="BD224" s="624"/>
      <c r="BE224" s="624"/>
    </row>
    <row r="225" ht="16.5" customHeight="1">
      <c r="A225" s="711"/>
      <c r="B225" s="711"/>
      <c r="C225" s="711"/>
      <c r="D225" s="711"/>
      <c r="E225" s="711"/>
      <c r="F225" s="711"/>
      <c r="G225" s="711"/>
      <c r="H225" s="711"/>
      <c r="I225" s="711"/>
      <c r="J225" s="711"/>
      <c r="K225" s="741"/>
      <c r="L225" s="741"/>
      <c r="M225" s="788"/>
      <c r="N225" s="741"/>
      <c r="O225" s="741"/>
      <c r="P225" s="741"/>
      <c r="Q225" s="741"/>
      <c r="R225" s="788"/>
      <c r="S225" s="819"/>
      <c r="T225" s="820"/>
      <c r="U225" s="819"/>
      <c r="V225" s="820"/>
      <c r="W225" s="788"/>
      <c r="X225" s="803"/>
      <c r="Y225" s="803"/>
      <c r="Z225" s="803"/>
      <c r="AA225" s="711"/>
      <c r="AB225" s="711"/>
      <c r="AC225" s="711"/>
      <c r="AD225" s="736"/>
      <c r="AE225" s="736"/>
      <c r="AF225" s="799">
        <f t="shared" si="8"/>
        <v>150050</v>
      </c>
      <c r="AG225" s="658">
        <v>0.9368163886040356</v>
      </c>
      <c r="AH225" s="659">
        <f t="shared" si="3"/>
        <v>0.9368163886</v>
      </c>
      <c r="AI225" s="641"/>
      <c r="AJ225" s="660">
        <f t="shared" si="6"/>
        <v>225</v>
      </c>
      <c r="AK225" s="676">
        <v>0.9162</v>
      </c>
      <c r="AL225" s="662">
        <v>81614.0</v>
      </c>
      <c r="AM225" s="677">
        <v>-0.9806043276785052</v>
      </c>
      <c r="AN225" s="678">
        <v>-0.08379999999999999</v>
      </c>
      <c r="AO225" s="662">
        <v>81614.0</v>
      </c>
      <c r="AP225" s="679">
        <v>-0.9787142401423758</v>
      </c>
      <c r="AQ225" s="662">
        <v>81614.0</v>
      </c>
      <c r="AR225" s="680">
        <v>-0.9767398532985586</v>
      </c>
      <c r="AS225" s="624"/>
      <c r="AT225" s="624"/>
      <c r="AU225" s="624"/>
      <c r="AV225" s="624"/>
      <c r="AW225" s="624"/>
      <c r="AX225" s="624"/>
      <c r="AY225" s="624"/>
      <c r="AZ225" s="624"/>
      <c r="BA225" s="624"/>
      <c r="BB225" s="624"/>
      <c r="BC225" s="624"/>
      <c r="BD225" s="624"/>
      <c r="BE225" s="624"/>
    </row>
    <row r="226" ht="16.5" customHeight="1">
      <c r="A226" s="711"/>
      <c r="B226" s="711"/>
      <c r="C226" s="711"/>
      <c r="D226" s="711"/>
      <c r="E226" s="711"/>
      <c r="F226" s="711"/>
      <c r="G226" s="711"/>
      <c r="H226" s="711"/>
      <c r="I226" s="711"/>
      <c r="J226" s="711"/>
      <c r="K226" s="741"/>
      <c r="L226" s="741"/>
      <c r="M226" s="788"/>
      <c r="N226" s="741"/>
      <c r="O226" s="741"/>
      <c r="P226" s="741"/>
      <c r="Q226" s="741"/>
      <c r="R226" s="788"/>
      <c r="S226" s="819"/>
      <c r="T226" s="820"/>
      <c r="U226" s="819"/>
      <c r="V226" s="820"/>
      <c r="W226" s="788"/>
      <c r="X226" s="803"/>
      <c r="Y226" s="803"/>
      <c r="Z226" s="803"/>
      <c r="AA226" s="711"/>
      <c r="AB226" s="711"/>
      <c r="AC226" s="711"/>
      <c r="AD226" s="736"/>
      <c r="AE226" s="736"/>
      <c r="AF226" s="799">
        <f t="shared" si="8"/>
        <v>150800</v>
      </c>
      <c r="AG226" s="658">
        <v>0.936697985615294</v>
      </c>
      <c r="AH226" s="659">
        <f t="shared" si="3"/>
        <v>0.9366979856</v>
      </c>
      <c r="AI226" s="641"/>
      <c r="AJ226" s="660">
        <f t="shared" si="6"/>
        <v>226</v>
      </c>
      <c r="AK226" s="676">
        <v>0.9173</v>
      </c>
      <c r="AL226" s="662">
        <v>81552.0</v>
      </c>
      <c r="AM226" s="677">
        <v>-0.9805461472738611</v>
      </c>
      <c r="AN226" s="678">
        <v>-0.0827</v>
      </c>
      <c r="AO226" s="662">
        <v>81552.0</v>
      </c>
      <c r="AP226" s="679">
        <v>-0.9786518982193194</v>
      </c>
      <c r="AQ226" s="662">
        <v>81552.0</v>
      </c>
      <c r="AR226" s="680">
        <v>-0.9766733007066971</v>
      </c>
      <c r="AS226" s="624"/>
      <c r="AT226" s="624"/>
      <c r="AU226" s="624"/>
      <c r="AV226" s="624"/>
      <c r="AW226" s="624"/>
      <c r="AX226" s="624"/>
      <c r="AY226" s="624"/>
      <c r="AZ226" s="624"/>
      <c r="BA226" s="624"/>
      <c r="BB226" s="624"/>
      <c r="BC226" s="624"/>
      <c r="BD226" s="624"/>
      <c r="BE226" s="624"/>
    </row>
    <row r="227" ht="16.5" customHeight="1">
      <c r="A227" s="711"/>
      <c r="B227" s="711"/>
      <c r="C227" s="711"/>
      <c r="D227" s="711"/>
      <c r="E227" s="711"/>
      <c r="F227" s="711"/>
      <c r="G227" s="711"/>
      <c r="H227" s="711"/>
      <c r="I227" s="711"/>
      <c r="J227" s="711"/>
      <c r="K227" s="741"/>
      <c r="L227" s="741"/>
      <c r="M227" s="788"/>
      <c r="N227" s="741"/>
      <c r="O227" s="741"/>
      <c r="P227" s="741"/>
      <c r="Q227" s="741"/>
      <c r="R227" s="788"/>
      <c r="S227" s="819"/>
      <c r="T227" s="820"/>
      <c r="U227" s="819"/>
      <c r="V227" s="820"/>
      <c r="W227" s="788"/>
      <c r="X227" s="803"/>
      <c r="Y227" s="803"/>
      <c r="Z227" s="803"/>
      <c r="AA227" s="711"/>
      <c r="AB227" s="711"/>
      <c r="AC227" s="711"/>
      <c r="AD227" s="736"/>
      <c r="AE227" s="736"/>
      <c r="AF227" s="799">
        <f t="shared" si="8"/>
        <v>151550</v>
      </c>
      <c r="AG227" s="658">
        <v>0.9365796231528314</v>
      </c>
      <c r="AH227" s="659">
        <f t="shared" si="3"/>
        <v>0.9365796232</v>
      </c>
      <c r="AI227" s="641"/>
      <c r="AJ227" s="660">
        <f t="shared" si="6"/>
        <v>227</v>
      </c>
      <c r="AK227" s="676">
        <v>0.9368</v>
      </c>
      <c r="AL227" s="662">
        <v>81288.0</v>
      </c>
      <c r="AM227" s="677">
        <v>-0.9802964512868783</v>
      </c>
      <c r="AN227" s="678">
        <v>-0.06320000000000003</v>
      </c>
      <c r="AO227" s="662">
        <v>81288.0</v>
      </c>
      <c r="AP227" s="679">
        <v>-0.9783843917837953</v>
      </c>
      <c r="AQ227" s="662">
        <v>81288.0</v>
      </c>
      <c r="AR227" s="680">
        <v>-0.9763877771443221</v>
      </c>
      <c r="AS227" s="624"/>
      <c r="AT227" s="624"/>
      <c r="AU227" s="624"/>
      <c r="AV227" s="624"/>
      <c r="AW227" s="624"/>
      <c r="AX227" s="624"/>
      <c r="AY227" s="624"/>
      <c r="AZ227" s="624"/>
      <c r="BA227" s="624"/>
      <c r="BB227" s="624"/>
      <c r="BC227" s="624"/>
      <c r="BD227" s="624"/>
      <c r="BE227" s="624"/>
    </row>
    <row r="228" ht="16.5" customHeight="1">
      <c r="A228" s="711"/>
      <c r="B228" s="711"/>
      <c r="C228" s="711"/>
      <c r="D228" s="711"/>
      <c r="E228" s="711"/>
      <c r="F228" s="711"/>
      <c r="G228" s="711"/>
      <c r="H228" s="711"/>
      <c r="I228" s="711"/>
      <c r="J228" s="711"/>
      <c r="K228" s="741"/>
      <c r="L228" s="741"/>
      <c r="M228" s="788"/>
      <c r="N228" s="741"/>
      <c r="O228" s="741"/>
      <c r="P228" s="741"/>
      <c r="Q228" s="741"/>
      <c r="R228" s="788"/>
      <c r="S228" s="819"/>
      <c r="T228" s="820"/>
      <c r="U228" s="819"/>
      <c r="V228" s="820"/>
      <c r="W228" s="788"/>
      <c r="X228" s="803"/>
      <c r="Y228" s="803"/>
      <c r="Z228" s="803"/>
      <c r="AA228" s="711"/>
      <c r="AB228" s="711"/>
      <c r="AC228" s="711"/>
      <c r="AD228" s="736"/>
      <c r="AE228" s="736"/>
      <c r="AF228" s="799">
        <f t="shared" si="8"/>
        <v>152300</v>
      </c>
      <c r="AG228" s="658">
        <v>0.9364612998079989</v>
      </c>
      <c r="AH228" s="659">
        <f t="shared" si="3"/>
        <v>0.9364612998</v>
      </c>
      <c r="AI228" s="641"/>
      <c r="AJ228" s="660">
        <f t="shared" si="6"/>
        <v>228</v>
      </c>
      <c r="AK228" s="676">
        <v>0.9518</v>
      </c>
      <c r="AL228" s="662">
        <v>81000.0</v>
      </c>
      <c r="AM228" s="677">
        <v>-0.9800203990465478</v>
      </c>
      <c r="AN228" s="678">
        <v>-0.04820000000000002</v>
      </c>
      <c r="AO228" s="662">
        <v>81000.0</v>
      </c>
      <c r="AP228" s="679">
        <v>-0.9780887421459903</v>
      </c>
      <c r="AQ228" s="662">
        <v>81000.0</v>
      </c>
      <c r="AR228" s="680">
        <v>-0.9760723095390937</v>
      </c>
      <c r="AS228" s="624"/>
      <c r="AT228" s="624"/>
      <c r="AU228" s="624"/>
      <c r="AV228" s="624"/>
      <c r="AW228" s="624"/>
      <c r="AX228" s="624"/>
      <c r="AY228" s="624"/>
      <c r="AZ228" s="624"/>
      <c r="BA228" s="624"/>
      <c r="BB228" s="624"/>
      <c r="BC228" s="624"/>
      <c r="BD228" s="624"/>
      <c r="BE228" s="624"/>
    </row>
    <row r="229" ht="16.5" customHeight="1">
      <c r="A229" s="711"/>
      <c r="B229" s="711"/>
      <c r="C229" s="711"/>
      <c r="D229" s="711"/>
      <c r="E229" s="711"/>
      <c r="F229" s="711"/>
      <c r="G229" s="711"/>
      <c r="H229" s="711"/>
      <c r="I229" s="711"/>
      <c r="J229" s="711"/>
      <c r="K229" s="741"/>
      <c r="L229" s="741"/>
      <c r="M229" s="788"/>
      <c r="N229" s="741"/>
      <c r="O229" s="741"/>
      <c r="P229" s="741"/>
      <c r="Q229" s="741"/>
      <c r="R229" s="788"/>
      <c r="S229" s="819"/>
      <c r="T229" s="820"/>
      <c r="U229" s="819"/>
      <c r="V229" s="820"/>
      <c r="W229" s="788"/>
      <c r="X229" s="803"/>
      <c r="Y229" s="803"/>
      <c r="Z229" s="803"/>
      <c r="AA229" s="711"/>
      <c r="AB229" s="711"/>
      <c r="AC229" s="711"/>
      <c r="AD229" s="736"/>
      <c r="AE229" s="736"/>
      <c r="AF229" s="799">
        <f t="shared" si="8"/>
        <v>153050</v>
      </c>
      <c r="AG229" s="658">
        <v>0.9363430142211109</v>
      </c>
      <c r="AH229" s="659">
        <f t="shared" si="3"/>
        <v>0.9363430142</v>
      </c>
      <c r="AI229" s="641"/>
      <c r="AJ229" s="660">
        <f t="shared" si="6"/>
        <v>229</v>
      </c>
      <c r="AK229" s="676">
        <v>0.9476</v>
      </c>
      <c r="AL229" s="662">
        <v>80950.0</v>
      </c>
      <c r="AM229" s="677">
        <v>-0.9799720808089963</v>
      </c>
      <c r="AN229" s="678">
        <v>-0.0524</v>
      </c>
      <c r="AO229" s="662">
        <v>80950.0</v>
      </c>
      <c r="AP229" s="679">
        <v>-0.978037003662672</v>
      </c>
      <c r="AQ229" s="662">
        <v>80950.0</v>
      </c>
      <c r="AR229" s="680">
        <v>-0.9760171130457547</v>
      </c>
      <c r="AS229" s="624"/>
      <c r="AT229" s="624"/>
      <c r="AU229" s="624"/>
      <c r="AV229" s="624"/>
      <c r="AW229" s="624"/>
      <c r="AX229" s="624"/>
      <c r="AY229" s="624"/>
      <c r="AZ229" s="624"/>
      <c r="BA229" s="624"/>
      <c r="BB229" s="624"/>
      <c r="BC229" s="624"/>
      <c r="BD229" s="624"/>
      <c r="BE229" s="624"/>
    </row>
    <row r="230" ht="16.5" customHeight="1">
      <c r="A230" s="711"/>
      <c r="B230" s="711"/>
      <c r="C230" s="711"/>
      <c r="D230" s="711"/>
      <c r="E230" s="711"/>
      <c r="F230" s="711"/>
      <c r="G230" s="711"/>
      <c r="H230" s="711"/>
      <c r="I230" s="711"/>
      <c r="J230" s="711"/>
      <c r="K230" s="741"/>
      <c r="L230" s="741"/>
      <c r="M230" s="788"/>
      <c r="N230" s="741"/>
      <c r="O230" s="741"/>
      <c r="P230" s="741"/>
      <c r="Q230" s="741"/>
      <c r="R230" s="788"/>
      <c r="S230" s="819"/>
      <c r="T230" s="820"/>
      <c r="U230" s="819"/>
      <c r="V230" s="820"/>
      <c r="W230" s="788"/>
      <c r="X230" s="803"/>
      <c r="Y230" s="803"/>
      <c r="Z230" s="803"/>
      <c r="AA230" s="711"/>
      <c r="AB230" s="711"/>
      <c r="AC230" s="711"/>
      <c r="AD230" s="736"/>
      <c r="AE230" s="736"/>
      <c r="AF230" s="799">
        <f t="shared" si="8"/>
        <v>153800</v>
      </c>
      <c r="AG230" s="658">
        <v>0.9362247650797431</v>
      </c>
      <c r="AH230" s="659">
        <f t="shared" si="3"/>
        <v>0.9362247651</v>
      </c>
      <c r="AI230" s="641"/>
      <c r="AJ230" s="660">
        <f t="shared" si="6"/>
        <v>230</v>
      </c>
      <c r="AK230" s="676">
        <v>0.9289</v>
      </c>
      <c r="AL230" s="662">
        <v>80941.0</v>
      </c>
      <c r="AM230" s="677">
        <v>-0.9799633711247713</v>
      </c>
      <c r="AN230" s="678">
        <v>-0.07110000000000005</v>
      </c>
      <c r="AO230" s="662">
        <v>80941.0</v>
      </c>
      <c r="AP230" s="679">
        <v>-0.9780276777697199</v>
      </c>
      <c r="AQ230" s="662">
        <v>80941.0</v>
      </c>
      <c r="AR230" s="680">
        <v>-0.9760071641632908</v>
      </c>
      <c r="AS230" s="624"/>
      <c r="AT230" s="624"/>
      <c r="AU230" s="624"/>
      <c r="AV230" s="624"/>
      <c r="AW230" s="624"/>
      <c r="AX230" s="624"/>
      <c r="AY230" s="624"/>
      <c r="AZ230" s="624"/>
      <c r="BA230" s="624"/>
      <c r="BB230" s="624"/>
      <c r="BC230" s="624"/>
      <c r="BD230" s="624"/>
      <c r="BE230" s="624"/>
    </row>
    <row r="231" ht="16.5" customHeight="1">
      <c r="A231" s="711"/>
      <c r="B231" s="711"/>
      <c r="C231" s="711"/>
      <c r="D231" s="711"/>
      <c r="E231" s="711"/>
      <c r="F231" s="711"/>
      <c r="G231" s="711"/>
      <c r="H231" s="711"/>
      <c r="I231" s="711"/>
      <c r="J231" s="711"/>
      <c r="K231" s="741"/>
      <c r="L231" s="741"/>
      <c r="M231" s="788"/>
      <c r="N231" s="741"/>
      <c r="O231" s="741"/>
      <c r="P231" s="741"/>
      <c r="Q231" s="741"/>
      <c r="R231" s="788"/>
      <c r="S231" s="819"/>
      <c r="T231" s="820"/>
      <c r="U231" s="819"/>
      <c r="V231" s="820"/>
      <c r="W231" s="788"/>
      <c r="X231" s="803"/>
      <c r="Y231" s="803"/>
      <c r="Z231" s="803"/>
      <c r="AA231" s="711"/>
      <c r="AB231" s="711"/>
      <c r="AC231" s="711"/>
      <c r="AD231" s="736"/>
      <c r="AE231" s="736"/>
      <c r="AF231" s="799">
        <f t="shared" si="8"/>
        <v>154550</v>
      </c>
      <c r="AG231" s="658">
        <v>0.9361065511170894</v>
      </c>
      <c r="AH231" s="659">
        <f t="shared" si="3"/>
        <v>0.9361065511</v>
      </c>
      <c r="AI231" s="641"/>
      <c r="AJ231" s="660">
        <f t="shared" si="6"/>
        <v>231</v>
      </c>
      <c r="AK231" s="676">
        <v>0.9599</v>
      </c>
      <c r="AL231" s="662">
        <v>80840.0</v>
      </c>
      <c r="AM231" s="677">
        <v>-0.9798653689701543</v>
      </c>
      <c r="AN231" s="678">
        <v>-0.040100000000000025</v>
      </c>
      <c r="AO231" s="662">
        <v>80840.0</v>
      </c>
      <c r="AP231" s="679">
        <v>-0.9779227485592051</v>
      </c>
      <c r="AQ231" s="662">
        <v>80840.0</v>
      </c>
      <c r="AR231" s="680">
        <v>-0.9758952321540229</v>
      </c>
      <c r="AS231" s="624"/>
      <c r="AT231" s="624"/>
      <c r="AU231" s="624"/>
      <c r="AV231" s="624"/>
      <c r="AW231" s="624"/>
      <c r="AX231" s="624"/>
      <c r="AY231" s="624"/>
      <c r="AZ231" s="624"/>
      <c r="BA231" s="624"/>
      <c r="BB231" s="624"/>
      <c r="BC231" s="624"/>
      <c r="BD231" s="624"/>
      <c r="BE231" s="624"/>
    </row>
    <row r="232" ht="16.5" customHeight="1">
      <c r="A232" s="711"/>
      <c r="B232" s="711"/>
      <c r="C232" s="711"/>
      <c r="D232" s="711"/>
      <c r="E232" s="711"/>
      <c r="F232" s="711"/>
      <c r="G232" s="711"/>
      <c r="H232" s="711"/>
      <c r="I232" s="711"/>
      <c r="J232" s="711"/>
      <c r="K232" s="741"/>
      <c r="L232" s="741"/>
      <c r="M232" s="788"/>
      <c r="N232" s="741"/>
      <c r="O232" s="741"/>
      <c r="P232" s="741"/>
      <c r="Q232" s="741"/>
      <c r="R232" s="788"/>
      <c r="S232" s="819"/>
      <c r="T232" s="820"/>
      <c r="U232" s="819"/>
      <c r="V232" s="820"/>
      <c r="W232" s="788"/>
      <c r="X232" s="803"/>
      <c r="Y232" s="803"/>
      <c r="Z232" s="803"/>
      <c r="AA232" s="711"/>
      <c r="AB232" s="711"/>
      <c r="AC232" s="711"/>
      <c r="AD232" s="736"/>
      <c r="AE232" s="736"/>
      <c r="AF232" s="799">
        <f t="shared" si="8"/>
        <v>155300</v>
      </c>
      <c r="AG232" s="658">
        <v>0.9359883711103768</v>
      </c>
      <c r="AH232" s="659">
        <f t="shared" si="3"/>
        <v>0.9359883711</v>
      </c>
      <c r="AI232" s="641"/>
      <c r="AJ232" s="660">
        <f t="shared" si="6"/>
        <v>232</v>
      </c>
      <c r="AK232" s="676">
        <v>0.9449</v>
      </c>
      <c r="AL232" s="662">
        <v>80829.0</v>
      </c>
      <c r="AM232" s="677">
        <v>-0.9798546665643888</v>
      </c>
      <c r="AN232" s="678">
        <v>-0.05510000000000004</v>
      </c>
      <c r="AO232" s="662">
        <v>80829.0</v>
      </c>
      <c r="AP232" s="679">
        <v>-0.9779112904091947</v>
      </c>
      <c r="AQ232" s="662">
        <v>80829.0</v>
      </c>
      <c r="AR232" s="680">
        <v>-0.9758830100497741</v>
      </c>
      <c r="AS232" s="624"/>
      <c r="AT232" s="624"/>
      <c r="AU232" s="624"/>
      <c r="AV232" s="624"/>
      <c r="AW232" s="624"/>
      <c r="AX232" s="624"/>
      <c r="AY232" s="624"/>
      <c r="AZ232" s="624"/>
      <c r="BA232" s="624"/>
      <c r="BB232" s="624"/>
      <c r="BC232" s="624"/>
      <c r="BD232" s="624"/>
      <c r="BE232" s="624"/>
    </row>
    <row r="233" ht="16.5" customHeight="1">
      <c r="A233" s="711"/>
      <c r="B233" s="711"/>
      <c r="C233" s="711"/>
      <c r="D233" s="711"/>
      <c r="E233" s="711"/>
      <c r="F233" s="711"/>
      <c r="G233" s="711"/>
      <c r="H233" s="711"/>
      <c r="I233" s="711"/>
      <c r="J233" s="711"/>
      <c r="K233" s="741"/>
      <c r="L233" s="741"/>
      <c r="M233" s="788"/>
      <c r="N233" s="741"/>
      <c r="O233" s="741"/>
      <c r="P233" s="741"/>
      <c r="Q233" s="741"/>
      <c r="R233" s="788"/>
      <c r="S233" s="819"/>
      <c r="T233" s="820"/>
      <c r="U233" s="819"/>
      <c r="V233" s="820"/>
      <c r="W233" s="788"/>
      <c r="X233" s="803"/>
      <c r="Y233" s="803"/>
      <c r="Z233" s="803"/>
      <c r="AA233" s="711"/>
      <c r="AB233" s="711"/>
      <c r="AC233" s="711"/>
      <c r="AD233" s="736"/>
      <c r="AE233" s="736"/>
      <c r="AF233" s="799">
        <f t="shared" si="8"/>
        <v>156050</v>
      </c>
      <c r="AG233" s="658">
        <v>0.9358702238793342</v>
      </c>
      <c r="AH233" s="659">
        <f t="shared" si="3"/>
        <v>0.9358702239</v>
      </c>
      <c r="AI233" s="641"/>
      <c r="AJ233" s="660">
        <f t="shared" si="6"/>
        <v>233</v>
      </c>
      <c r="AK233" s="676">
        <v>0.9315</v>
      </c>
      <c r="AL233" s="662">
        <v>80690.0</v>
      </c>
      <c r="AM233" s="677">
        <v>-0.979718935933033</v>
      </c>
      <c r="AN233" s="678">
        <v>-0.0685</v>
      </c>
      <c r="AO233" s="662">
        <v>80690.0</v>
      </c>
      <c r="AP233" s="679">
        <v>-0.9777659876668187</v>
      </c>
      <c r="AQ233" s="662">
        <v>80690.0</v>
      </c>
      <c r="AR233" s="680">
        <v>-0.9757280321202703</v>
      </c>
      <c r="AS233" s="624"/>
      <c r="AT233" s="624"/>
      <c r="AU233" s="624"/>
      <c r="AV233" s="624"/>
      <c r="AW233" s="624"/>
      <c r="AX233" s="624"/>
      <c r="AY233" s="624"/>
      <c r="AZ233" s="624"/>
      <c r="BA233" s="624"/>
      <c r="BB233" s="624"/>
      <c r="BC233" s="624"/>
      <c r="BD233" s="624"/>
      <c r="BE233" s="624"/>
    </row>
    <row r="234" ht="16.5" customHeight="1">
      <c r="A234" s="711"/>
      <c r="B234" s="711"/>
      <c r="C234" s="711"/>
      <c r="D234" s="711"/>
      <c r="E234" s="711"/>
      <c r="F234" s="711"/>
      <c r="G234" s="711"/>
      <c r="H234" s="711"/>
      <c r="I234" s="711"/>
      <c r="J234" s="711"/>
      <c r="K234" s="741"/>
      <c r="L234" s="741"/>
      <c r="M234" s="788"/>
      <c r="N234" s="741"/>
      <c r="O234" s="741"/>
      <c r="P234" s="741"/>
      <c r="Q234" s="741"/>
      <c r="R234" s="788"/>
      <c r="S234" s="819"/>
      <c r="T234" s="820"/>
      <c r="U234" s="819"/>
      <c r="V234" s="820"/>
      <c r="W234" s="788"/>
      <c r="X234" s="803"/>
      <c r="Y234" s="803"/>
      <c r="Z234" s="803"/>
      <c r="AA234" s="711"/>
      <c r="AB234" s="711"/>
      <c r="AC234" s="711"/>
      <c r="AD234" s="736"/>
      <c r="AE234" s="736"/>
      <c r="AF234" s="799">
        <f t="shared" si="8"/>
        <v>156800</v>
      </c>
      <c r="AG234" s="658">
        <v>0.9357521082847156</v>
      </c>
      <c r="AH234" s="659">
        <f t="shared" si="3"/>
        <v>0.9357521083</v>
      </c>
      <c r="AI234" s="641"/>
      <c r="AJ234" s="660">
        <f t="shared" si="6"/>
        <v>234</v>
      </c>
      <c r="AK234" s="676">
        <v>0.9719</v>
      </c>
      <c r="AL234" s="662">
        <v>80598.0</v>
      </c>
      <c r="AM234" s="677">
        <v>-0.9796285972666268</v>
      </c>
      <c r="AN234" s="678">
        <v>-0.028100000000000014</v>
      </c>
      <c r="AO234" s="662">
        <v>80598.0</v>
      </c>
      <c r="AP234" s="679">
        <v>-0.9776692907812412</v>
      </c>
      <c r="AQ234" s="662">
        <v>80598.0</v>
      </c>
      <c r="AR234" s="680">
        <v>-0.9756249094781231</v>
      </c>
      <c r="AS234" s="624"/>
      <c r="AT234" s="624"/>
      <c r="AU234" s="624"/>
      <c r="AV234" s="624"/>
      <c r="AW234" s="624"/>
      <c r="AX234" s="624"/>
      <c r="AY234" s="624"/>
      <c r="AZ234" s="624"/>
      <c r="BA234" s="624"/>
      <c r="BB234" s="624"/>
      <c r="BC234" s="624"/>
      <c r="BD234" s="624"/>
      <c r="BE234" s="624"/>
    </row>
    <row r="235" ht="16.5" customHeight="1">
      <c r="A235" s="711"/>
      <c r="B235" s="711"/>
      <c r="C235" s="711"/>
      <c r="D235" s="711"/>
      <c r="E235" s="711"/>
      <c r="F235" s="711"/>
      <c r="G235" s="711"/>
      <c r="H235" s="711"/>
      <c r="I235" s="711"/>
      <c r="J235" s="711"/>
      <c r="K235" s="741"/>
      <c r="L235" s="741"/>
      <c r="M235" s="788"/>
      <c r="N235" s="741"/>
      <c r="O235" s="741"/>
      <c r="P235" s="741"/>
      <c r="Q235" s="741"/>
      <c r="R235" s="788"/>
      <c r="S235" s="819"/>
      <c r="T235" s="820"/>
      <c r="U235" s="819"/>
      <c r="V235" s="820"/>
      <c r="W235" s="788"/>
      <c r="X235" s="803"/>
      <c r="Y235" s="803"/>
      <c r="Z235" s="803"/>
      <c r="AA235" s="711"/>
      <c r="AB235" s="711"/>
      <c r="AC235" s="711"/>
      <c r="AD235" s="736"/>
      <c r="AE235" s="736"/>
      <c r="AF235" s="799">
        <f t="shared" si="8"/>
        <v>157550</v>
      </c>
      <c r="AG235" s="658">
        <v>0.9356340232268737</v>
      </c>
      <c r="AH235" s="659">
        <f t="shared" si="3"/>
        <v>0.9356340232</v>
      </c>
      <c r="AI235" s="641"/>
      <c r="AJ235" s="660">
        <f t="shared" si="6"/>
        <v>235</v>
      </c>
      <c r="AK235" s="676">
        <v>0.9298</v>
      </c>
      <c r="AL235" s="662">
        <v>80500.0</v>
      </c>
      <c r="AM235" s="677">
        <v>-0.9795319242856495</v>
      </c>
      <c r="AN235" s="678">
        <v>-0.07020000000000004</v>
      </c>
      <c r="AO235" s="662">
        <v>80500.0</v>
      </c>
      <c r="AP235" s="679">
        <v>-0.9775658249594151</v>
      </c>
      <c r="AQ235" s="662">
        <v>80500.0</v>
      </c>
      <c r="AR235" s="680">
        <v>-0.9755145794794171</v>
      </c>
      <c r="AS235" s="624"/>
      <c r="AT235" s="624"/>
      <c r="AU235" s="624"/>
      <c r="AV235" s="624"/>
      <c r="AW235" s="624"/>
      <c r="AX235" s="624"/>
      <c r="AY235" s="624"/>
      <c r="AZ235" s="624"/>
      <c r="BA235" s="624"/>
      <c r="BB235" s="624"/>
      <c r="BC235" s="624"/>
      <c r="BD235" s="624"/>
      <c r="BE235" s="624"/>
    </row>
    <row r="236" ht="16.5" customHeight="1">
      <c r="A236" s="711"/>
      <c r="B236" s="711"/>
      <c r="C236" s="711"/>
      <c r="D236" s="711"/>
      <c r="E236" s="711"/>
      <c r="F236" s="711"/>
      <c r="G236" s="711"/>
      <c r="H236" s="711"/>
      <c r="I236" s="711"/>
      <c r="J236" s="711"/>
      <c r="K236" s="741"/>
      <c r="L236" s="741"/>
      <c r="M236" s="788"/>
      <c r="N236" s="741"/>
      <c r="O236" s="741"/>
      <c r="P236" s="741"/>
      <c r="Q236" s="741"/>
      <c r="R236" s="788"/>
      <c r="S236" s="819"/>
      <c r="T236" s="820"/>
      <c r="U236" s="819"/>
      <c r="V236" s="820"/>
      <c r="W236" s="788"/>
      <c r="X236" s="803"/>
      <c r="Y236" s="803"/>
      <c r="Z236" s="803"/>
      <c r="AA236" s="711"/>
      <c r="AB236" s="711"/>
      <c r="AC236" s="711"/>
      <c r="AD236" s="736"/>
      <c r="AE236" s="736"/>
      <c r="AF236" s="799">
        <f t="shared" si="8"/>
        <v>158300</v>
      </c>
      <c r="AG236" s="658">
        <v>0.9355159676443842</v>
      </c>
      <c r="AH236" s="659">
        <f t="shared" si="3"/>
        <v>0.9355159676</v>
      </c>
      <c r="AI236" s="641"/>
      <c r="AJ236" s="660">
        <f t="shared" si="6"/>
        <v>236</v>
      </c>
      <c r="AK236" s="676">
        <v>0.9637</v>
      </c>
      <c r="AL236" s="662">
        <v>80306.0</v>
      </c>
      <c r="AM236" s="677">
        <v>-0.9793391961641295</v>
      </c>
      <c r="AN236" s="678">
        <v>-0.0363</v>
      </c>
      <c r="AO236" s="662">
        <v>80306.0</v>
      </c>
      <c r="AP236" s="679">
        <v>-0.9773595889054275</v>
      </c>
      <c r="AQ236" s="662">
        <v>80306.0</v>
      </c>
      <c r="AR236" s="680">
        <v>-0.9752946961390954</v>
      </c>
      <c r="AS236" s="624"/>
      <c r="AT236" s="624"/>
      <c r="AU236" s="624"/>
      <c r="AV236" s="624"/>
      <c r="AW236" s="624"/>
      <c r="AX236" s="624"/>
      <c r="AY236" s="624"/>
      <c r="AZ236" s="624"/>
      <c r="BA236" s="624"/>
      <c r="BB236" s="624"/>
      <c r="BC236" s="624"/>
      <c r="BD236" s="624"/>
      <c r="BE236" s="624"/>
    </row>
    <row r="237" ht="16.5" customHeight="1">
      <c r="A237" s="711"/>
      <c r="B237" s="711"/>
      <c r="C237" s="711"/>
      <c r="D237" s="711"/>
      <c r="E237" s="711"/>
      <c r="F237" s="711"/>
      <c r="G237" s="711"/>
      <c r="H237" s="711"/>
      <c r="I237" s="711"/>
      <c r="J237" s="711"/>
      <c r="K237" s="741"/>
      <c r="L237" s="741"/>
      <c r="M237" s="788"/>
      <c r="N237" s="741"/>
      <c r="O237" s="741"/>
      <c r="P237" s="741"/>
      <c r="Q237" s="741"/>
      <c r="R237" s="788"/>
      <c r="S237" s="819"/>
      <c r="T237" s="820"/>
      <c r="U237" s="819"/>
      <c r="V237" s="820"/>
      <c r="W237" s="788"/>
      <c r="X237" s="803"/>
      <c r="Y237" s="803"/>
      <c r="Z237" s="803"/>
      <c r="AA237" s="711"/>
      <c r="AB237" s="711"/>
      <c r="AC237" s="711"/>
      <c r="AD237" s="736"/>
      <c r="AE237" s="736"/>
      <c r="AF237" s="799">
        <f t="shared" si="8"/>
        <v>159050</v>
      </c>
      <c r="AG237" s="658">
        <v>0.9353979405127162</v>
      </c>
      <c r="AH237" s="659">
        <f t="shared" si="3"/>
        <v>0.9353979405</v>
      </c>
      <c r="AI237" s="641"/>
      <c r="AJ237" s="660">
        <f t="shared" si="6"/>
        <v>237</v>
      </c>
      <c r="AK237" s="676">
        <v>0.967</v>
      </c>
      <c r="AL237" s="662">
        <v>80240.0</v>
      </c>
      <c r="AM237" s="677">
        <v>-0.9792732160075452</v>
      </c>
      <c r="AN237" s="678">
        <v>-0.03300000000000003</v>
      </c>
      <c r="AO237" s="662">
        <v>80240.0</v>
      </c>
      <c r="AP237" s="679">
        <v>-0.9772889947766665</v>
      </c>
      <c r="AQ237" s="662">
        <v>80240.0</v>
      </c>
      <c r="AR237" s="680">
        <v>-0.9752194411985893</v>
      </c>
      <c r="AS237" s="624"/>
      <c r="AT237" s="624"/>
      <c r="AU237" s="624"/>
      <c r="AV237" s="624"/>
      <c r="AW237" s="624"/>
      <c r="AX237" s="624"/>
      <c r="AY237" s="624"/>
      <c r="AZ237" s="624"/>
      <c r="BA237" s="624"/>
      <c r="BB237" s="624"/>
      <c r="BC237" s="624"/>
      <c r="BD237" s="624"/>
      <c r="BE237" s="624"/>
    </row>
    <row r="238" ht="16.5" customHeight="1">
      <c r="A238" s="711"/>
      <c r="B238" s="711"/>
      <c r="C238" s="711"/>
      <c r="D238" s="711"/>
      <c r="E238" s="711"/>
      <c r="F238" s="711"/>
      <c r="G238" s="711"/>
      <c r="H238" s="711"/>
      <c r="I238" s="711"/>
      <c r="J238" s="711"/>
      <c r="K238" s="741"/>
      <c r="L238" s="741"/>
      <c r="M238" s="788"/>
      <c r="N238" s="741"/>
      <c r="O238" s="741"/>
      <c r="P238" s="741"/>
      <c r="Q238" s="741"/>
      <c r="R238" s="788"/>
      <c r="S238" s="819"/>
      <c r="T238" s="820"/>
      <c r="U238" s="819"/>
      <c r="V238" s="820"/>
      <c r="W238" s="788"/>
      <c r="X238" s="803"/>
      <c r="Y238" s="803"/>
      <c r="Z238" s="803"/>
      <c r="AA238" s="711"/>
      <c r="AB238" s="711"/>
      <c r="AC238" s="711"/>
      <c r="AD238" s="736"/>
      <c r="AE238" s="736"/>
      <c r="AF238" s="799">
        <f t="shared" si="8"/>
        <v>159800</v>
      </c>
      <c r="AG238" s="658">
        <v>0.9352799408429506</v>
      </c>
      <c r="AH238" s="659">
        <f t="shared" si="3"/>
        <v>0.9352799408</v>
      </c>
      <c r="AI238" s="641"/>
      <c r="AJ238" s="660">
        <f t="shared" si="6"/>
        <v>238</v>
      </c>
      <c r="AK238" s="676">
        <v>0.9365</v>
      </c>
      <c r="AL238" s="662">
        <v>80150.0</v>
      </c>
      <c r="AM238" s="677">
        <v>-0.9791829033658438</v>
      </c>
      <c r="AN238" s="678">
        <v>-0.0635</v>
      </c>
      <c r="AO238" s="662">
        <v>80150.0</v>
      </c>
      <c r="AP238" s="679">
        <v>-0.9771923751882112</v>
      </c>
      <c r="AQ238" s="662">
        <v>80150.0</v>
      </c>
      <c r="AR238" s="680">
        <v>-0.9751164512614605</v>
      </c>
      <c r="AS238" s="624"/>
      <c r="AT238" s="624"/>
      <c r="AU238" s="624"/>
      <c r="AV238" s="624"/>
      <c r="AW238" s="624"/>
      <c r="AX238" s="624"/>
      <c r="AY238" s="624"/>
      <c r="AZ238" s="624"/>
      <c r="BA238" s="624"/>
      <c r="BB238" s="624"/>
      <c r="BC238" s="624"/>
      <c r="BD238" s="624"/>
      <c r="BE238" s="624"/>
    </row>
    <row r="239" ht="16.5" customHeight="1">
      <c r="A239" s="711"/>
      <c r="B239" s="711"/>
      <c r="C239" s="711"/>
      <c r="D239" s="711"/>
      <c r="E239" s="711"/>
      <c r="F239" s="711"/>
      <c r="G239" s="711"/>
      <c r="H239" s="711"/>
      <c r="I239" s="711"/>
      <c r="J239" s="711"/>
      <c r="K239" s="741"/>
      <c r="L239" s="741"/>
      <c r="M239" s="788"/>
      <c r="N239" s="741"/>
      <c r="O239" s="741"/>
      <c r="P239" s="741"/>
      <c r="Q239" s="741"/>
      <c r="R239" s="788"/>
      <c r="S239" s="819"/>
      <c r="T239" s="820"/>
      <c r="U239" s="819"/>
      <c r="V239" s="820"/>
      <c r="W239" s="788"/>
      <c r="X239" s="803"/>
      <c r="Y239" s="803"/>
      <c r="Z239" s="803"/>
      <c r="AA239" s="711"/>
      <c r="AB239" s="711"/>
      <c r="AC239" s="711"/>
      <c r="AD239" s="736"/>
      <c r="AE239" s="736"/>
      <c r="AF239" s="799">
        <f t="shared" si="8"/>
        <v>160550</v>
      </c>
      <c r="AG239" s="658">
        <v>0.9351619676805422</v>
      </c>
      <c r="AH239" s="659">
        <f t="shared" si="3"/>
        <v>0.9351619677</v>
      </c>
      <c r="AI239" s="641"/>
      <c r="AJ239" s="660">
        <f t="shared" si="6"/>
        <v>239</v>
      </c>
      <c r="AK239" s="676">
        <v>0.971</v>
      </c>
      <c r="AL239" s="662">
        <v>80104.0</v>
      </c>
      <c r="AM239" s="677">
        <v>-0.9791365917127672</v>
      </c>
      <c r="AN239" s="678">
        <v>-0.029000000000000026</v>
      </c>
      <c r="AO239" s="662">
        <v>80104.0</v>
      </c>
      <c r="AP239" s="679">
        <v>-0.9771428332167672</v>
      </c>
      <c r="AQ239" s="662">
        <v>80104.0</v>
      </c>
      <c r="AR239" s="680">
        <v>-0.9750636467768508</v>
      </c>
      <c r="AS239" s="624"/>
      <c r="AT239" s="624"/>
      <c r="AU239" s="624"/>
      <c r="AV239" s="624"/>
      <c r="AW239" s="624"/>
      <c r="AX239" s="624"/>
      <c r="AY239" s="624"/>
      <c r="AZ239" s="624"/>
      <c r="BA239" s="624"/>
      <c r="BB239" s="624"/>
      <c r="BC239" s="624"/>
      <c r="BD239" s="624"/>
      <c r="BE239" s="624"/>
    </row>
    <row r="240" ht="16.5" customHeight="1">
      <c r="A240" s="711"/>
      <c r="B240" s="711"/>
      <c r="C240" s="711"/>
      <c r="D240" s="711"/>
      <c r="E240" s="711"/>
      <c r="F240" s="711"/>
      <c r="G240" s="711"/>
      <c r="H240" s="711"/>
      <c r="I240" s="711"/>
      <c r="J240" s="711"/>
      <c r="K240" s="741"/>
      <c r="L240" s="741"/>
      <c r="M240" s="788"/>
      <c r="N240" s="741"/>
      <c r="O240" s="741"/>
      <c r="P240" s="741"/>
      <c r="Q240" s="741"/>
      <c r="R240" s="788"/>
      <c r="S240" s="819"/>
      <c r="T240" s="820"/>
      <c r="U240" s="819"/>
      <c r="V240" s="820"/>
      <c r="W240" s="788"/>
      <c r="X240" s="803"/>
      <c r="Y240" s="803"/>
      <c r="Z240" s="803"/>
      <c r="AA240" s="711"/>
      <c r="AB240" s="711"/>
      <c r="AC240" s="711"/>
      <c r="AD240" s="736"/>
      <c r="AE240" s="736"/>
      <c r="AF240" s="799">
        <f t="shared" si="8"/>
        <v>161300</v>
      </c>
      <c r="AG240" s="658">
        <v>0.9350440201041245</v>
      </c>
      <c r="AH240" s="659">
        <f t="shared" si="3"/>
        <v>0.9350440201</v>
      </c>
      <c r="AI240" s="641"/>
      <c r="AJ240" s="660">
        <f t="shared" si="6"/>
        <v>240</v>
      </c>
      <c r="AK240" s="676">
        <v>0.9048</v>
      </c>
      <c r="AL240" s="662">
        <v>80000.0</v>
      </c>
      <c r="AM240" s="677">
        <v>-0.9790315069643072</v>
      </c>
      <c r="AN240" s="678">
        <v>-0.09519999999999995</v>
      </c>
      <c r="AO240" s="662">
        <v>80000.0</v>
      </c>
      <c r="AP240" s="679">
        <v>-0.9770304282344294</v>
      </c>
      <c r="AQ240" s="662">
        <v>80000.0</v>
      </c>
      <c r="AR240" s="680">
        <v>-0.9749438493009042</v>
      </c>
      <c r="AS240" s="624"/>
      <c r="AT240" s="624"/>
      <c r="AU240" s="624"/>
      <c r="AV240" s="624"/>
      <c r="AW240" s="624"/>
      <c r="AX240" s="624"/>
      <c r="AY240" s="624"/>
      <c r="AZ240" s="624"/>
      <c r="BA240" s="624"/>
      <c r="BB240" s="624"/>
      <c r="BC240" s="624"/>
      <c r="BD240" s="624"/>
      <c r="BE240" s="624"/>
    </row>
    <row r="241" ht="16.5" customHeight="1">
      <c r="A241" s="711"/>
      <c r="B241" s="711"/>
      <c r="C241" s="711"/>
      <c r="D241" s="711"/>
      <c r="E241" s="711"/>
      <c r="F241" s="711"/>
      <c r="G241" s="711"/>
      <c r="H241" s="711"/>
      <c r="I241" s="711"/>
      <c r="J241" s="711"/>
      <c r="K241" s="741"/>
      <c r="L241" s="741"/>
      <c r="M241" s="788"/>
      <c r="N241" s="741"/>
      <c r="O241" s="741"/>
      <c r="P241" s="741"/>
      <c r="Q241" s="741"/>
      <c r="R241" s="788"/>
      <c r="S241" s="819"/>
      <c r="T241" s="820"/>
      <c r="U241" s="819"/>
      <c r="V241" s="820"/>
      <c r="W241" s="788"/>
      <c r="X241" s="803"/>
      <c r="Y241" s="803"/>
      <c r="Z241" s="803"/>
      <c r="AA241" s="711"/>
      <c r="AB241" s="711"/>
      <c r="AC241" s="711"/>
      <c r="AD241" s="736"/>
      <c r="AE241" s="736"/>
      <c r="AF241" s="799">
        <f t="shared" si="8"/>
        <v>162050</v>
      </c>
      <c r="AG241" s="658">
        <v>0.9349260972243567</v>
      </c>
      <c r="AH241" s="659">
        <f t="shared" si="3"/>
        <v>0.9349260972</v>
      </c>
      <c r="AI241" s="641"/>
      <c r="AJ241" s="660">
        <f t="shared" si="6"/>
        <v>241</v>
      </c>
      <c r="AK241" s="676">
        <v>0.9568</v>
      </c>
      <c r="AL241" s="662">
        <v>80000.0</v>
      </c>
      <c r="AM241" s="677">
        <v>-0.9790315069643072</v>
      </c>
      <c r="AN241" s="678">
        <v>-0.043200000000000016</v>
      </c>
      <c r="AO241" s="662">
        <v>80000.0</v>
      </c>
      <c r="AP241" s="679">
        <v>-0.9770304282344294</v>
      </c>
      <c r="AQ241" s="662">
        <v>80000.0</v>
      </c>
      <c r="AR241" s="680">
        <v>-0.9749438493009042</v>
      </c>
      <c r="AS241" s="624"/>
      <c r="AT241" s="624"/>
      <c r="AU241" s="624"/>
      <c r="AV241" s="624"/>
      <c r="AW241" s="624"/>
      <c r="AX241" s="624"/>
      <c r="AY241" s="624"/>
      <c r="AZ241" s="624"/>
      <c r="BA241" s="624"/>
      <c r="BB241" s="624"/>
      <c r="BC241" s="624"/>
      <c r="BD241" s="624"/>
      <c r="BE241" s="624"/>
    </row>
    <row r="242" ht="16.5" customHeight="1">
      <c r="A242" s="711"/>
      <c r="B242" s="711"/>
      <c r="C242" s="711"/>
      <c r="D242" s="711"/>
      <c r="E242" s="711"/>
      <c r="F242" s="711"/>
      <c r="G242" s="711"/>
      <c r="H242" s="711"/>
      <c r="I242" s="711"/>
      <c r="J242" s="711"/>
      <c r="K242" s="741"/>
      <c r="L242" s="741"/>
      <c r="M242" s="788"/>
      <c r="N242" s="741"/>
      <c r="O242" s="741"/>
      <c r="P242" s="741"/>
      <c r="Q242" s="741"/>
      <c r="R242" s="788"/>
      <c r="S242" s="819"/>
      <c r="T242" s="820"/>
      <c r="U242" s="819"/>
      <c r="V242" s="820"/>
      <c r="W242" s="788"/>
      <c r="X242" s="803"/>
      <c r="Y242" s="803"/>
      <c r="Z242" s="803"/>
      <c r="AA242" s="711"/>
      <c r="AB242" s="711"/>
      <c r="AC242" s="711"/>
      <c r="AD242" s="736"/>
      <c r="AE242" s="736"/>
      <c r="AF242" s="799">
        <f t="shared" si="8"/>
        <v>162800</v>
      </c>
      <c r="AG242" s="658">
        <v>0.9348081981828106</v>
      </c>
      <c r="AH242" s="659">
        <f t="shared" si="3"/>
        <v>0.9348081982</v>
      </c>
      <c r="AI242" s="641"/>
      <c r="AJ242" s="660">
        <f t="shared" si="6"/>
        <v>242</v>
      </c>
      <c r="AK242" s="676">
        <v>0.9524</v>
      </c>
      <c r="AL242" s="662">
        <v>79984.0</v>
      </c>
      <c r="AM242" s="677">
        <v>-0.9790152931680641</v>
      </c>
      <c r="AN242" s="678">
        <v>-0.047599999999999976</v>
      </c>
      <c r="AO242" s="662">
        <v>79984.0</v>
      </c>
      <c r="AP242" s="679">
        <v>-0.9770130861652148</v>
      </c>
      <c r="AQ242" s="662">
        <v>79984.0</v>
      </c>
      <c r="AR242" s="680">
        <v>-0.9749253679071639</v>
      </c>
      <c r="AS242" s="624"/>
      <c r="AT242" s="624"/>
      <c r="AU242" s="624"/>
      <c r="AV242" s="624"/>
      <c r="AW242" s="624"/>
      <c r="AX242" s="624"/>
      <c r="AY242" s="624"/>
      <c r="AZ242" s="624"/>
      <c r="BA242" s="624"/>
      <c r="BB242" s="624"/>
      <c r="BC242" s="624"/>
      <c r="BD242" s="624"/>
      <c r="BE242" s="624"/>
    </row>
    <row r="243" ht="16.5" customHeight="1">
      <c r="A243" s="711"/>
      <c r="B243" s="711"/>
      <c r="C243" s="711"/>
      <c r="D243" s="711"/>
      <c r="E243" s="711"/>
      <c r="F243" s="711"/>
      <c r="G243" s="711"/>
      <c r="H243" s="711"/>
      <c r="I243" s="711"/>
      <c r="J243" s="711"/>
      <c r="K243" s="741"/>
      <c r="L243" s="741"/>
      <c r="M243" s="788"/>
      <c r="N243" s="741"/>
      <c r="O243" s="741"/>
      <c r="P243" s="741"/>
      <c r="Q243" s="741"/>
      <c r="R243" s="788"/>
      <c r="S243" s="819"/>
      <c r="T243" s="820"/>
      <c r="U243" s="819"/>
      <c r="V243" s="820"/>
      <c r="W243" s="788"/>
      <c r="X243" s="803"/>
      <c r="Y243" s="803"/>
      <c r="Z243" s="803"/>
      <c r="AA243" s="711"/>
      <c r="AB243" s="711"/>
      <c r="AC243" s="711"/>
      <c r="AD243" s="736"/>
      <c r="AE243" s="736"/>
      <c r="AF243" s="799">
        <f t="shared" si="8"/>
        <v>163550</v>
      </c>
      <c r="AG243" s="658">
        <v>0.9346903221508958</v>
      </c>
      <c r="AH243" s="659">
        <f t="shared" si="3"/>
        <v>0.9346903222</v>
      </c>
      <c r="AI243" s="641"/>
      <c r="AJ243" s="660">
        <f t="shared" si="6"/>
        <v>243</v>
      </c>
      <c r="AK243" s="676">
        <v>0.9749</v>
      </c>
      <c r="AL243" s="662">
        <v>79950.0</v>
      </c>
      <c r="AM243" s="677">
        <v>-0.9789807972113969</v>
      </c>
      <c r="AN243" s="678">
        <v>-0.02510000000000001</v>
      </c>
      <c r="AO243" s="662">
        <v>79950.0</v>
      </c>
      <c r="AP243" s="679">
        <v>-0.9769761907819957</v>
      </c>
      <c r="AQ243" s="662">
        <v>79950.0</v>
      </c>
      <c r="AR243" s="680">
        <v>-0.9748860496709137</v>
      </c>
      <c r="AS243" s="624"/>
      <c r="AT243" s="624"/>
      <c r="AU243" s="624"/>
      <c r="AV243" s="624"/>
      <c r="AW243" s="624"/>
      <c r="AX243" s="624"/>
      <c r="AY243" s="624"/>
      <c r="AZ243" s="624"/>
      <c r="BA243" s="624"/>
      <c r="BB243" s="624"/>
      <c r="BC243" s="624"/>
      <c r="BD243" s="624"/>
      <c r="BE243" s="624"/>
    </row>
    <row r="244" ht="16.5" customHeight="1">
      <c r="A244" s="711"/>
      <c r="B244" s="711"/>
      <c r="C244" s="711"/>
      <c r="D244" s="711"/>
      <c r="E244" s="711"/>
      <c r="F244" s="711"/>
      <c r="G244" s="711"/>
      <c r="H244" s="711"/>
      <c r="I244" s="711"/>
      <c r="J244" s="711"/>
      <c r="K244" s="741"/>
      <c r="L244" s="741"/>
      <c r="M244" s="788"/>
      <c r="N244" s="741"/>
      <c r="O244" s="741"/>
      <c r="P244" s="741"/>
      <c r="Q244" s="741"/>
      <c r="R244" s="788"/>
      <c r="S244" s="819"/>
      <c r="T244" s="820"/>
      <c r="U244" s="819"/>
      <c r="V244" s="820"/>
      <c r="W244" s="788"/>
      <c r="X244" s="803"/>
      <c r="Y244" s="803"/>
      <c r="Z244" s="803"/>
      <c r="AA244" s="711"/>
      <c r="AB244" s="711"/>
      <c r="AC244" s="711"/>
      <c r="AD244" s="736"/>
      <c r="AE244" s="736"/>
      <c r="AF244" s="799">
        <f t="shared" si="8"/>
        <v>164300</v>
      </c>
      <c r="AG244" s="658">
        <v>0.9345724683288232</v>
      </c>
      <c r="AH244" s="659">
        <f t="shared" si="3"/>
        <v>0.9345724683</v>
      </c>
      <c r="AI244" s="641"/>
      <c r="AJ244" s="660">
        <f t="shared" si="6"/>
        <v>244</v>
      </c>
      <c r="AK244" s="676">
        <v>0.9619</v>
      </c>
      <c r="AL244" s="662">
        <v>79921.0</v>
      </c>
      <c r="AM244" s="677">
        <v>-0.9789513293821879</v>
      </c>
      <c r="AN244" s="678">
        <v>-0.03810000000000002</v>
      </c>
      <c r="AO244" s="662">
        <v>79921.0</v>
      </c>
      <c r="AP244" s="679">
        <v>-0.9769446743975283</v>
      </c>
      <c r="AQ244" s="662">
        <v>79921.0</v>
      </c>
      <c r="AR244" s="680">
        <v>-0.9748524648123181</v>
      </c>
      <c r="AS244" s="624"/>
      <c r="AT244" s="624"/>
      <c r="AU244" s="624"/>
      <c r="AV244" s="624"/>
      <c r="AW244" s="624"/>
      <c r="AX244" s="624"/>
      <c r="AY244" s="624"/>
      <c r="AZ244" s="624"/>
      <c r="BA244" s="624"/>
      <c r="BB244" s="624"/>
      <c r="BC244" s="624"/>
      <c r="BD244" s="624"/>
      <c r="BE244" s="624"/>
    </row>
    <row r="245" ht="16.5" customHeight="1">
      <c r="A245" s="711"/>
      <c r="B245" s="711"/>
      <c r="C245" s="711"/>
      <c r="D245" s="711"/>
      <c r="E245" s="711"/>
      <c r="F245" s="711"/>
      <c r="G245" s="711"/>
      <c r="H245" s="711"/>
      <c r="I245" s="711"/>
      <c r="J245" s="711"/>
      <c r="K245" s="741"/>
      <c r="L245" s="741"/>
      <c r="M245" s="788"/>
      <c r="N245" s="741"/>
      <c r="O245" s="741"/>
      <c r="P245" s="741"/>
      <c r="Q245" s="741"/>
      <c r="R245" s="788"/>
      <c r="S245" s="819"/>
      <c r="T245" s="820"/>
      <c r="U245" s="819"/>
      <c r="V245" s="820"/>
      <c r="W245" s="788"/>
      <c r="X245" s="803"/>
      <c r="Y245" s="803"/>
      <c r="Z245" s="803"/>
      <c r="AA245" s="711"/>
      <c r="AB245" s="711"/>
      <c r="AC245" s="711"/>
      <c r="AD245" s="736"/>
      <c r="AE245" s="736"/>
      <c r="AF245" s="799">
        <f t="shared" si="8"/>
        <v>165050</v>
      </c>
      <c r="AG245" s="658">
        <v>0.9344546359446032</v>
      </c>
      <c r="AH245" s="659">
        <f t="shared" si="3"/>
        <v>0.9344546359</v>
      </c>
      <c r="AI245" s="641"/>
      <c r="AJ245" s="660">
        <f t="shared" si="6"/>
        <v>245</v>
      </c>
      <c r="AK245" s="676">
        <v>0.9405</v>
      </c>
      <c r="AL245" s="662">
        <v>79886.0</v>
      </c>
      <c r="AM245" s="677">
        <v>-0.978915709737756</v>
      </c>
      <c r="AN245" s="678">
        <v>-0.0595</v>
      </c>
      <c r="AO245" s="662">
        <v>79886.0</v>
      </c>
      <c r="AP245" s="679">
        <v>-0.9769065799227188</v>
      </c>
      <c r="AQ245" s="662">
        <v>79886.0</v>
      </c>
      <c r="AR245" s="680">
        <v>-0.9748118715439862</v>
      </c>
      <c r="AS245" s="624"/>
      <c r="AT245" s="624"/>
      <c r="AU245" s="624"/>
      <c r="AV245" s="624"/>
      <c r="AW245" s="624"/>
      <c r="AX245" s="624"/>
      <c r="AY245" s="624"/>
      <c r="AZ245" s="624"/>
      <c r="BA245" s="624"/>
      <c r="BB245" s="624"/>
      <c r="BC245" s="624"/>
      <c r="BD245" s="624"/>
      <c r="BE245" s="624"/>
    </row>
    <row r="246" ht="16.5" customHeight="1">
      <c r="A246" s="711"/>
      <c r="B246" s="711"/>
      <c r="C246" s="711"/>
      <c r="D246" s="711"/>
      <c r="E246" s="711"/>
      <c r="F246" s="711"/>
      <c r="G246" s="711"/>
      <c r="H246" s="711"/>
      <c r="I246" s="711"/>
      <c r="J246" s="711"/>
      <c r="K246" s="741"/>
      <c r="L246" s="741"/>
      <c r="M246" s="788"/>
      <c r="N246" s="741"/>
      <c r="O246" s="741"/>
      <c r="P246" s="741"/>
      <c r="Q246" s="741"/>
      <c r="R246" s="788"/>
      <c r="S246" s="819"/>
      <c r="T246" s="820"/>
      <c r="U246" s="819"/>
      <c r="V246" s="820"/>
      <c r="W246" s="788"/>
      <c r="X246" s="803"/>
      <c r="Y246" s="803"/>
      <c r="Z246" s="803"/>
      <c r="AA246" s="711"/>
      <c r="AB246" s="711"/>
      <c r="AC246" s="711"/>
      <c r="AD246" s="736"/>
      <c r="AE246" s="736"/>
      <c r="AF246" s="799">
        <f t="shared" si="8"/>
        <v>165800</v>
      </c>
      <c r="AG246" s="658">
        <v>0.9343368242530796</v>
      </c>
      <c r="AH246" s="659">
        <f t="shared" si="3"/>
        <v>0.9343368243</v>
      </c>
      <c r="AI246" s="641"/>
      <c r="AJ246" s="660">
        <f t="shared" si="6"/>
        <v>246</v>
      </c>
      <c r="AK246" s="676">
        <v>0.9543</v>
      </c>
      <c r="AL246" s="662">
        <v>79700.0</v>
      </c>
      <c r="AM246" s="677">
        <v>-0.978725402973852</v>
      </c>
      <c r="AN246" s="678">
        <v>-0.04569999999999996</v>
      </c>
      <c r="AO246" s="662">
        <v>79700.0</v>
      </c>
      <c r="AP246" s="679">
        <v>-0.9767030764186749</v>
      </c>
      <c r="AQ246" s="662">
        <v>79700.0</v>
      </c>
      <c r="AR246" s="680">
        <v>-0.9745950453725627</v>
      </c>
      <c r="AS246" s="624"/>
      <c r="AT246" s="624"/>
      <c r="AU246" s="624"/>
      <c r="AV246" s="624"/>
      <c r="AW246" s="624"/>
      <c r="AX246" s="624"/>
      <c r="AY246" s="624"/>
      <c r="AZ246" s="624"/>
      <c r="BA246" s="624"/>
      <c r="BB246" s="624"/>
      <c r="BC246" s="624"/>
      <c r="BD246" s="624"/>
      <c r="BE246" s="624"/>
    </row>
    <row r="247" ht="16.5" customHeight="1">
      <c r="A247" s="711"/>
      <c r="B247" s="711"/>
      <c r="C247" s="711"/>
      <c r="D247" s="711"/>
      <c r="E247" s="711"/>
      <c r="F247" s="711"/>
      <c r="G247" s="711"/>
      <c r="H247" s="711"/>
      <c r="I247" s="711"/>
      <c r="J247" s="711"/>
      <c r="K247" s="741"/>
      <c r="L247" s="741"/>
      <c r="M247" s="788"/>
      <c r="N247" s="741"/>
      <c r="O247" s="741"/>
      <c r="P247" s="741"/>
      <c r="Q247" s="741"/>
      <c r="R247" s="788"/>
      <c r="S247" s="819"/>
      <c r="T247" s="820"/>
      <c r="U247" s="819"/>
      <c r="V247" s="820"/>
      <c r="W247" s="788"/>
      <c r="X247" s="803"/>
      <c r="Y247" s="803"/>
      <c r="Z247" s="803"/>
      <c r="AA247" s="711"/>
      <c r="AB247" s="711"/>
      <c r="AC247" s="711"/>
      <c r="AD247" s="736"/>
      <c r="AE247" s="736"/>
      <c r="AF247" s="799">
        <f t="shared" si="8"/>
        <v>166550</v>
      </c>
      <c r="AG247" s="658">
        <v>0.9342190325349974</v>
      </c>
      <c r="AH247" s="659">
        <f t="shared" si="3"/>
        <v>0.9342190325</v>
      </c>
      <c r="AI247" s="641"/>
      <c r="AJ247" s="660">
        <f t="shared" si="6"/>
        <v>247</v>
      </c>
      <c r="AK247" s="676">
        <v>0.9788</v>
      </c>
      <c r="AL247" s="662">
        <v>79667.0</v>
      </c>
      <c r="AM247" s="677">
        <v>-0.9786914599007235</v>
      </c>
      <c r="AN247" s="678">
        <v>-0.021199999999999997</v>
      </c>
      <c r="AO247" s="662">
        <v>79667.0</v>
      </c>
      <c r="AP247" s="679">
        <v>-0.9766667841004637</v>
      </c>
      <c r="AQ247" s="662">
        <v>79667.0</v>
      </c>
      <c r="AR247" s="680">
        <v>-0.9745563817185856</v>
      </c>
      <c r="AS247" s="624"/>
      <c r="AT247" s="624"/>
      <c r="AU247" s="624"/>
      <c r="AV247" s="624"/>
      <c r="AW247" s="624"/>
      <c r="AX247" s="624"/>
      <c r="AY247" s="624"/>
      <c r="AZ247" s="624"/>
      <c r="BA247" s="624"/>
      <c r="BB247" s="624"/>
      <c r="BC247" s="624"/>
      <c r="BD247" s="624"/>
      <c r="BE247" s="624"/>
    </row>
    <row r="248" ht="16.5" customHeight="1">
      <c r="A248" s="711"/>
      <c r="B248" s="711"/>
      <c r="C248" s="711"/>
      <c r="D248" s="711"/>
      <c r="E248" s="711"/>
      <c r="F248" s="711"/>
      <c r="G248" s="711"/>
      <c r="H248" s="711"/>
      <c r="I248" s="711"/>
      <c r="J248" s="711"/>
      <c r="K248" s="741"/>
      <c r="L248" s="741"/>
      <c r="M248" s="788"/>
      <c r="N248" s="741"/>
      <c r="O248" s="741"/>
      <c r="P248" s="741"/>
      <c r="Q248" s="741"/>
      <c r="R248" s="788"/>
      <c r="S248" s="819"/>
      <c r="T248" s="820"/>
      <c r="U248" s="819"/>
      <c r="V248" s="820"/>
      <c r="W248" s="788"/>
      <c r="X248" s="803"/>
      <c r="Y248" s="803"/>
      <c r="Z248" s="803"/>
      <c r="AA248" s="711"/>
      <c r="AB248" s="711"/>
      <c r="AC248" s="711"/>
      <c r="AD248" s="736"/>
      <c r="AE248" s="736"/>
      <c r="AF248" s="799">
        <f t="shared" si="8"/>
        <v>167300</v>
      </c>
      <c r="AG248" s="658">
        <v>0.9341012600961016</v>
      </c>
      <c r="AH248" s="659">
        <f t="shared" si="3"/>
        <v>0.9341012601</v>
      </c>
      <c r="AI248" s="641"/>
      <c r="AJ248" s="660">
        <f t="shared" si="6"/>
        <v>248</v>
      </c>
      <c r="AK248" s="676">
        <v>0.9111</v>
      </c>
      <c r="AL248" s="662">
        <v>79470.0</v>
      </c>
      <c r="AM248" s="677">
        <v>-0.9784877004383027</v>
      </c>
      <c r="AN248" s="678">
        <v>-0.08889999999999998</v>
      </c>
      <c r="AO248" s="662">
        <v>79470.0</v>
      </c>
      <c r="AP248" s="679">
        <v>-0.9764489507567895</v>
      </c>
      <c r="AQ248" s="662">
        <v>79470.0</v>
      </c>
      <c r="AR248" s="680">
        <v>-0.9743243442110272</v>
      </c>
      <c r="AS248" s="624"/>
      <c r="AT248" s="624"/>
      <c r="AU248" s="624"/>
      <c r="AV248" s="624"/>
      <c r="AW248" s="624"/>
      <c r="AX248" s="624"/>
      <c r="AY248" s="624"/>
      <c r="AZ248" s="624"/>
      <c r="BA248" s="624"/>
      <c r="BB248" s="624"/>
      <c r="BC248" s="624"/>
      <c r="BD248" s="624"/>
      <c r="BE248" s="624"/>
    </row>
    <row r="249" ht="16.5" customHeight="1">
      <c r="A249" s="711"/>
      <c r="B249" s="711"/>
      <c r="C249" s="711"/>
      <c r="D249" s="711"/>
      <c r="E249" s="711"/>
      <c r="F249" s="711"/>
      <c r="G249" s="711"/>
      <c r="H249" s="711"/>
      <c r="I249" s="711"/>
      <c r="J249" s="711"/>
      <c r="K249" s="741"/>
      <c r="L249" s="741"/>
      <c r="M249" s="788"/>
      <c r="N249" s="741"/>
      <c r="O249" s="741"/>
      <c r="P249" s="741"/>
      <c r="Q249" s="741"/>
      <c r="R249" s="788"/>
      <c r="S249" s="819"/>
      <c r="T249" s="820"/>
      <c r="U249" s="819"/>
      <c r="V249" s="820"/>
      <c r="W249" s="788"/>
      <c r="X249" s="803"/>
      <c r="Y249" s="803"/>
      <c r="Z249" s="803"/>
      <c r="AA249" s="711"/>
      <c r="AB249" s="711"/>
      <c r="AC249" s="711"/>
      <c r="AD249" s="736"/>
      <c r="AE249" s="736"/>
      <c r="AF249" s="799">
        <f t="shared" si="8"/>
        <v>168050</v>
      </c>
      <c r="AG249" s="658">
        <v>0.9339835062662691</v>
      </c>
      <c r="AH249" s="659">
        <f t="shared" si="3"/>
        <v>0.9339835063</v>
      </c>
      <c r="AI249" s="641"/>
      <c r="AJ249" s="660">
        <f t="shared" si="6"/>
        <v>249</v>
      </c>
      <c r="AK249" s="676">
        <v>1.0089</v>
      </c>
      <c r="AL249" s="662">
        <v>79065.0</v>
      </c>
      <c r="AM249" s="677">
        <v>-0.9780626632063912</v>
      </c>
      <c r="AN249" s="678">
        <v>0.008899999999999908</v>
      </c>
      <c r="AO249" s="662">
        <v>79065.0</v>
      </c>
      <c r="AP249" s="679">
        <v>-0.9759947118200754</v>
      </c>
      <c r="AQ249" s="662">
        <v>79065.0</v>
      </c>
      <c r="AR249" s="680">
        <v>-0.9738406444359093</v>
      </c>
      <c r="AS249" s="624"/>
      <c r="AT249" s="624"/>
      <c r="AU249" s="624"/>
      <c r="AV249" s="624"/>
      <c r="AW249" s="624"/>
      <c r="AX249" s="624"/>
      <c r="AY249" s="624"/>
      <c r="AZ249" s="624"/>
      <c r="BA249" s="624"/>
      <c r="BB249" s="624"/>
      <c r="BC249" s="624"/>
      <c r="BD249" s="624"/>
      <c r="BE249" s="624"/>
    </row>
    <row r="250" ht="16.5" customHeight="1">
      <c r="A250" s="711"/>
      <c r="B250" s="711"/>
      <c r="C250" s="711"/>
      <c r="D250" s="711"/>
      <c r="E250" s="711"/>
      <c r="F250" s="711"/>
      <c r="G250" s="711"/>
      <c r="H250" s="711"/>
      <c r="I250" s="711"/>
      <c r="J250" s="711"/>
      <c r="K250" s="741"/>
      <c r="L250" s="741"/>
      <c r="M250" s="788"/>
      <c r="N250" s="741"/>
      <c r="O250" s="741"/>
      <c r="P250" s="741"/>
      <c r="Q250" s="741"/>
      <c r="R250" s="788"/>
      <c r="S250" s="819"/>
      <c r="T250" s="820"/>
      <c r="U250" s="819"/>
      <c r="V250" s="820"/>
      <c r="W250" s="788"/>
      <c r="X250" s="803"/>
      <c r="Y250" s="803"/>
      <c r="Z250" s="803"/>
      <c r="AA250" s="711"/>
      <c r="AB250" s="711"/>
      <c r="AC250" s="711"/>
      <c r="AD250" s="736"/>
      <c r="AE250" s="736"/>
      <c r="AF250" s="799">
        <f t="shared" si="8"/>
        <v>168800</v>
      </c>
      <c r="AG250" s="658">
        <v>0.9338657703986696</v>
      </c>
      <c r="AH250" s="659">
        <f t="shared" si="3"/>
        <v>0.9338657704</v>
      </c>
      <c r="AI250" s="641"/>
      <c r="AJ250" s="660">
        <f t="shared" si="6"/>
        <v>250</v>
      </c>
      <c r="AK250" s="676">
        <v>0.9264</v>
      </c>
      <c r="AL250" s="662">
        <v>78676.0</v>
      </c>
      <c r="AM250" s="677">
        <v>-0.9776465128807421</v>
      </c>
      <c r="AN250" s="678">
        <v>-0.0736</v>
      </c>
      <c r="AO250" s="662">
        <v>78676.0</v>
      </c>
      <c r="AP250" s="679">
        <v>-0.9755501714528342</v>
      </c>
      <c r="AQ250" s="662">
        <v>78676.0</v>
      </c>
      <c r="AR250" s="680">
        <v>-0.9733674764391955</v>
      </c>
      <c r="AS250" s="624"/>
      <c r="AT250" s="624"/>
      <c r="AU250" s="624"/>
      <c r="AV250" s="624"/>
      <c r="AW250" s="624"/>
      <c r="AX250" s="624"/>
      <c r="AY250" s="624"/>
      <c r="AZ250" s="624"/>
      <c r="BA250" s="624"/>
      <c r="BB250" s="624"/>
      <c r="BC250" s="624"/>
      <c r="BD250" s="624"/>
      <c r="BE250" s="624"/>
    </row>
    <row r="251" ht="16.5" customHeight="1">
      <c r="A251" s="711"/>
      <c r="B251" s="711"/>
      <c r="C251" s="711"/>
      <c r="D251" s="711"/>
      <c r="E251" s="711"/>
      <c r="F251" s="711"/>
      <c r="G251" s="711"/>
      <c r="H251" s="711"/>
      <c r="I251" s="711"/>
      <c r="J251" s="711"/>
      <c r="K251" s="741"/>
      <c r="L251" s="741"/>
      <c r="M251" s="788"/>
      <c r="N251" s="741"/>
      <c r="O251" s="741"/>
      <c r="P251" s="741"/>
      <c r="Q251" s="741"/>
      <c r="R251" s="788"/>
      <c r="S251" s="819"/>
      <c r="T251" s="820"/>
      <c r="U251" s="819"/>
      <c r="V251" s="820"/>
      <c r="W251" s="788"/>
      <c r="X251" s="803"/>
      <c r="Y251" s="803"/>
      <c r="Z251" s="803"/>
      <c r="AA251" s="711"/>
      <c r="AB251" s="711"/>
      <c r="AC251" s="711"/>
      <c r="AD251" s="736"/>
      <c r="AE251" s="736"/>
      <c r="AF251" s="799">
        <f t="shared" si="8"/>
        <v>169550</v>
      </c>
      <c r="AG251" s="658">
        <v>0.9337480518689554</v>
      </c>
      <c r="AH251" s="659">
        <f t="shared" si="3"/>
        <v>0.9337480519</v>
      </c>
      <c r="AI251" s="641"/>
      <c r="AJ251" s="660">
        <f t="shared" si="6"/>
        <v>251</v>
      </c>
      <c r="AK251" s="676">
        <v>0.9441</v>
      </c>
      <c r="AL251" s="662">
        <v>78527.0</v>
      </c>
      <c r="AM251" s="677">
        <v>-0.9774850304852545</v>
      </c>
      <c r="AN251" s="678">
        <v>-0.05589999999999995</v>
      </c>
      <c r="AO251" s="662">
        <v>78527.0</v>
      </c>
      <c r="AP251" s="679">
        <v>-0.9753777253850723</v>
      </c>
      <c r="AQ251" s="662">
        <v>78527.0</v>
      </c>
      <c r="AR251" s="680">
        <v>-0.9731839786996727</v>
      </c>
      <c r="AS251" s="624"/>
      <c r="AT251" s="624"/>
      <c r="AU251" s="624"/>
      <c r="AV251" s="624"/>
      <c r="AW251" s="624"/>
      <c r="AX251" s="624"/>
      <c r="AY251" s="624"/>
      <c r="AZ251" s="624"/>
      <c r="BA251" s="624"/>
      <c r="BB251" s="624"/>
      <c r="BC251" s="624"/>
      <c r="BD251" s="624"/>
      <c r="BE251" s="624"/>
    </row>
    <row r="252" ht="16.5" customHeight="1">
      <c r="A252" s="711"/>
      <c r="B252" s="711"/>
      <c r="C252" s="711"/>
      <c r="D252" s="711"/>
      <c r="E252" s="711"/>
      <c r="F252" s="711"/>
      <c r="G252" s="711"/>
      <c r="H252" s="711"/>
      <c r="I252" s="711"/>
      <c r="J252" s="711"/>
      <c r="K252" s="741"/>
      <c r="L252" s="741"/>
      <c r="M252" s="788"/>
      <c r="N252" s="741"/>
      <c r="O252" s="741"/>
      <c r="P252" s="741"/>
      <c r="Q252" s="741"/>
      <c r="R252" s="788"/>
      <c r="S252" s="819"/>
      <c r="T252" s="820"/>
      <c r="U252" s="819"/>
      <c r="V252" s="820"/>
      <c r="W252" s="788"/>
      <c r="X252" s="803"/>
      <c r="Y252" s="803"/>
      <c r="Z252" s="803"/>
      <c r="AA252" s="711"/>
      <c r="AB252" s="711"/>
      <c r="AC252" s="711"/>
      <c r="AD252" s="736"/>
      <c r="AE252" s="736"/>
      <c r="AF252" s="799">
        <f t="shared" si="8"/>
        <v>170300</v>
      </c>
      <c r="AG252" s="658">
        <v>0.933630350074481</v>
      </c>
      <c r="AH252" s="659">
        <f t="shared" si="3"/>
        <v>0.9336303501</v>
      </c>
      <c r="AI252" s="641"/>
      <c r="AJ252" s="660">
        <f t="shared" si="6"/>
        <v>252</v>
      </c>
      <c r="AK252" s="676">
        <v>0.9518</v>
      </c>
      <c r="AL252" s="662">
        <v>78500.0</v>
      </c>
      <c r="AM252" s="677">
        <v>-0.977455643972763</v>
      </c>
      <c r="AN252" s="678">
        <v>-0.04820000000000002</v>
      </c>
      <c r="AO252" s="662">
        <v>78500.0</v>
      </c>
      <c r="AP252" s="679">
        <v>-0.9753463468504071</v>
      </c>
      <c r="AQ252" s="662">
        <v>78500.0</v>
      </c>
      <c r="AR252" s="680">
        <v>-0.9731505923772305</v>
      </c>
      <c r="AS252" s="624"/>
      <c r="AT252" s="624"/>
      <c r="AU252" s="624"/>
      <c r="AV252" s="624"/>
      <c r="AW252" s="624"/>
      <c r="AX252" s="624"/>
      <c r="AY252" s="624"/>
      <c r="AZ252" s="624"/>
      <c r="BA252" s="624"/>
      <c r="BB252" s="624"/>
      <c r="BC252" s="624"/>
      <c r="BD252" s="624"/>
      <c r="BE252" s="624"/>
    </row>
    <row r="253" ht="16.5" customHeight="1">
      <c r="A253" s="711"/>
      <c r="B253" s="711"/>
      <c r="C253" s="711"/>
      <c r="D253" s="711"/>
      <c r="E253" s="711"/>
      <c r="F253" s="711"/>
      <c r="G253" s="711"/>
      <c r="H253" s="711"/>
      <c r="I253" s="711"/>
      <c r="J253" s="711"/>
      <c r="K253" s="741"/>
      <c r="L253" s="741"/>
      <c r="M253" s="788"/>
      <c r="N253" s="741"/>
      <c r="O253" s="741"/>
      <c r="P253" s="741"/>
      <c r="Q253" s="741"/>
      <c r="R253" s="788"/>
      <c r="S253" s="819"/>
      <c r="T253" s="820"/>
      <c r="U253" s="819"/>
      <c r="V253" s="820"/>
      <c r="W253" s="788"/>
      <c r="X253" s="803"/>
      <c r="Y253" s="803"/>
      <c r="Z253" s="803"/>
      <c r="AA253" s="711"/>
      <c r="AB253" s="711"/>
      <c r="AC253" s="711"/>
      <c r="AD253" s="736"/>
      <c r="AE253" s="736"/>
      <c r="AF253" s="799">
        <f t="shared" si="8"/>
        <v>171050</v>
      </c>
      <c r="AG253" s="658">
        <v>0.9335126644335479</v>
      </c>
      <c r="AH253" s="659">
        <f t="shared" si="3"/>
        <v>0.9335126644</v>
      </c>
      <c r="AI253" s="641"/>
      <c r="AJ253" s="660">
        <f t="shared" si="6"/>
        <v>253</v>
      </c>
      <c r="AK253" s="676">
        <v>0.9703</v>
      </c>
      <c r="AL253" s="662">
        <v>78500.0</v>
      </c>
      <c r="AM253" s="677">
        <v>-0.977455643972763</v>
      </c>
      <c r="AN253" s="678">
        <v>-0.02969999999999995</v>
      </c>
      <c r="AO253" s="662">
        <v>78500.0</v>
      </c>
      <c r="AP253" s="679">
        <v>-0.9753463468504071</v>
      </c>
      <c r="AQ253" s="662">
        <v>78500.0</v>
      </c>
      <c r="AR253" s="680">
        <v>-0.9731505923772305</v>
      </c>
      <c r="AS253" s="624"/>
      <c r="AT253" s="624"/>
      <c r="AU253" s="624"/>
      <c r="AV253" s="624"/>
      <c r="AW253" s="624"/>
      <c r="AX253" s="624"/>
      <c r="AY253" s="624"/>
      <c r="AZ253" s="624"/>
      <c r="BA253" s="624"/>
      <c r="BB253" s="624"/>
      <c r="BC253" s="624"/>
      <c r="BD253" s="624"/>
      <c r="BE253" s="624"/>
    </row>
    <row r="254" ht="16.5" customHeight="1">
      <c r="A254" s="711"/>
      <c r="B254" s="711"/>
      <c r="C254" s="711"/>
      <c r="D254" s="711"/>
      <c r="E254" s="711"/>
      <c r="F254" s="711"/>
      <c r="G254" s="711"/>
      <c r="H254" s="711"/>
      <c r="I254" s="711"/>
      <c r="J254" s="711"/>
      <c r="K254" s="741"/>
      <c r="L254" s="741"/>
      <c r="M254" s="788"/>
      <c r="N254" s="741"/>
      <c r="O254" s="741"/>
      <c r="P254" s="741"/>
      <c r="Q254" s="741"/>
      <c r="R254" s="788"/>
      <c r="S254" s="819"/>
      <c r="T254" s="820"/>
      <c r="U254" s="819"/>
      <c r="V254" s="820"/>
      <c r="W254" s="788"/>
      <c r="X254" s="803"/>
      <c r="Y254" s="803"/>
      <c r="Z254" s="803"/>
      <c r="AA254" s="711"/>
      <c r="AB254" s="711"/>
      <c r="AC254" s="711"/>
      <c r="AD254" s="736"/>
      <c r="AE254" s="736"/>
      <c r="AF254" s="799">
        <f t="shared" si="8"/>
        <v>171800</v>
      </c>
      <c r="AG254" s="658">
        <v>0.9333949943846769</v>
      </c>
      <c r="AH254" s="659">
        <f t="shared" si="3"/>
        <v>0.9333949944</v>
      </c>
      <c r="AI254" s="641"/>
      <c r="AJ254" s="660">
        <f t="shared" si="6"/>
        <v>254</v>
      </c>
      <c r="AK254" s="676">
        <v>0.9543</v>
      </c>
      <c r="AL254" s="662">
        <v>78456.0</v>
      </c>
      <c r="AM254" s="677">
        <v>-0.9774076726364966</v>
      </c>
      <c r="AN254" s="678">
        <v>-0.04569999999999996</v>
      </c>
      <c r="AO254" s="662">
        <v>78456.0</v>
      </c>
      <c r="AP254" s="679">
        <v>-0.9752951257554601</v>
      </c>
      <c r="AQ254" s="662">
        <v>78456.0</v>
      </c>
      <c r="AR254" s="680">
        <v>-0.9730960959508888</v>
      </c>
      <c r="AS254" s="624"/>
      <c r="AT254" s="624"/>
      <c r="AU254" s="624"/>
      <c r="AV254" s="624"/>
      <c r="AW254" s="624"/>
      <c r="AX254" s="624"/>
      <c r="AY254" s="624"/>
      <c r="AZ254" s="624"/>
      <c r="BA254" s="624"/>
      <c r="BB254" s="624"/>
      <c r="BC254" s="624"/>
      <c r="BD254" s="624"/>
      <c r="BE254" s="624"/>
    </row>
    <row r="255" ht="16.5" customHeight="1">
      <c r="A255" s="711"/>
      <c r="B255" s="711"/>
      <c r="C255" s="711"/>
      <c r="D255" s="711"/>
      <c r="E255" s="711"/>
      <c r="F255" s="711"/>
      <c r="G255" s="711"/>
      <c r="H255" s="711"/>
      <c r="I255" s="711"/>
      <c r="J255" s="711"/>
      <c r="K255" s="741"/>
      <c r="L255" s="741"/>
      <c r="M255" s="788"/>
      <c r="N255" s="741"/>
      <c r="O255" s="741"/>
      <c r="P255" s="741"/>
      <c r="Q255" s="741"/>
      <c r="R255" s="788"/>
      <c r="S255" s="819"/>
      <c r="T255" s="820"/>
      <c r="U255" s="819"/>
      <c r="V255" s="820"/>
      <c r="W255" s="788"/>
      <c r="X255" s="803"/>
      <c r="Y255" s="803"/>
      <c r="Z255" s="803"/>
      <c r="AA255" s="711"/>
      <c r="AB255" s="711"/>
      <c r="AC255" s="711"/>
      <c r="AD255" s="736"/>
      <c r="AE255" s="736"/>
      <c r="AF255" s="799">
        <f t="shared" si="8"/>
        <v>172550</v>
      </c>
      <c r="AG255" s="658">
        <v>0.9332773393859052</v>
      </c>
      <c r="AH255" s="659">
        <f t="shared" si="3"/>
        <v>0.9332773394</v>
      </c>
      <c r="AI255" s="641"/>
      <c r="AJ255" s="660">
        <f t="shared" si="6"/>
        <v>255</v>
      </c>
      <c r="AK255" s="676">
        <v>0.9593</v>
      </c>
      <c r="AL255" s="662">
        <v>78372.0</v>
      </c>
      <c r="AM255" s="677">
        <v>-0.9773158073596534</v>
      </c>
      <c r="AN255" s="678">
        <v>-0.04069999999999996</v>
      </c>
      <c r="AO255" s="662">
        <v>78372.0</v>
      </c>
      <c r="AP255" s="679">
        <v>-0.9751970443339566</v>
      </c>
      <c r="AQ255" s="662">
        <v>78372.0</v>
      </c>
      <c r="AR255" s="680">
        <v>-0.9729917499765288</v>
      </c>
      <c r="AS255" s="624"/>
      <c r="AT255" s="624"/>
      <c r="AU255" s="624"/>
      <c r="AV255" s="624"/>
      <c r="AW255" s="624"/>
      <c r="AX255" s="624"/>
      <c r="AY255" s="624"/>
      <c r="AZ255" s="624"/>
      <c r="BA255" s="624"/>
      <c r="BB255" s="624"/>
      <c r="BC255" s="624"/>
      <c r="BD255" s="624"/>
      <c r="BE255" s="624"/>
    </row>
    <row r="256" ht="16.5" customHeight="1">
      <c r="A256" s="711"/>
      <c r="B256" s="711"/>
      <c r="C256" s="711"/>
      <c r="D256" s="711"/>
      <c r="E256" s="711"/>
      <c r="F256" s="711"/>
      <c r="G256" s="711"/>
      <c r="H256" s="711"/>
      <c r="I256" s="711"/>
      <c r="J256" s="711"/>
      <c r="K256" s="741"/>
      <c r="L256" s="741"/>
      <c r="M256" s="788"/>
      <c r="N256" s="741"/>
      <c r="O256" s="741"/>
      <c r="P256" s="741"/>
      <c r="Q256" s="741"/>
      <c r="R256" s="788"/>
      <c r="S256" s="819"/>
      <c r="T256" s="820"/>
      <c r="U256" s="819"/>
      <c r="V256" s="820"/>
      <c r="W256" s="788"/>
      <c r="X256" s="803"/>
      <c r="Y256" s="803"/>
      <c r="Z256" s="803"/>
      <c r="AA256" s="711"/>
      <c r="AB256" s="711"/>
      <c r="AC256" s="711"/>
      <c r="AD256" s="736"/>
      <c r="AE256" s="736"/>
      <c r="AF256" s="799">
        <f t="shared" si="8"/>
        <v>173300</v>
      </c>
      <c r="AG256" s="658">
        <v>0.9331596989141078</v>
      </c>
      <c r="AH256" s="659">
        <f t="shared" si="3"/>
        <v>0.9331596989</v>
      </c>
      <c r="AI256" s="641"/>
      <c r="AJ256" s="660">
        <f t="shared" si="6"/>
        <v>256</v>
      </c>
      <c r="AK256" s="676">
        <v>0.9543</v>
      </c>
      <c r="AL256" s="662">
        <v>78334.0</v>
      </c>
      <c r="AM256" s="677">
        <v>-0.977274126634445</v>
      </c>
      <c r="AN256" s="678">
        <v>-0.04569999999999996</v>
      </c>
      <c r="AO256" s="662">
        <v>78334.0</v>
      </c>
      <c r="AP256" s="679">
        <v>-0.97515254633751</v>
      </c>
      <c r="AQ256" s="662">
        <v>78334.0</v>
      </c>
      <c r="AR256" s="680">
        <v>-0.9729444129884566</v>
      </c>
      <c r="AS256" s="624"/>
      <c r="AT256" s="624"/>
      <c r="AU256" s="624"/>
      <c r="AV256" s="624"/>
      <c r="AW256" s="624"/>
      <c r="AX256" s="624"/>
      <c r="AY256" s="624"/>
      <c r="AZ256" s="624"/>
      <c r="BA256" s="624"/>
      <c r="BB256" s="624"/>
      <c r="BC256" s="624"/>
      <c r="BD256" s="624"/>
      <c r="BE256" s="624"/>
    </row>
    <row r="257" ht="16.5" customHeight="1">
      <c r="A257" s="711"/>
      <c r="B257" s="711"/>
      <c r="C257" s="711"/>
      <c r="D257" s="711"/>
      <c r="E257" s="711"/>
      <c r="F257" s="711"/>
      <c r="G257" s="711"/>
      <c r="H257" s="711"/>
      <c r="I257" s="711"/>
      <c r="J257" s="711"/>
      <c r="K257" s="741"/>
      <c r="L257" s="741"/>
      <c r="M257" s="788"/>
      <c r="N257" s="741"/>
      <c r="O257" s="741"/>
      <c r="P257" s="741"/>
      <c r="Q257" s="741"/>
      <c r="R257" s="788"/>
      <c r="S257" s="819"/>
      <c r="T257" s="820"/>
      <c r="U257" s="819"/>
      <c r="V257" s="820"/>
      <c r="W257" s="788"/>
      <c r="X257" s="803"/>
      <c r="Y257" s="803"/>
      <c r="Z257" s="803"/>
      <c r="AA257" s="711"/>
      <c r="AB257" s="711"/>
      <c r="AC257" s="711"/>
      <c r="AD257" s="736"/>
      <c r="AE257" s="736"/>
      <c r="AF257" s="799">
        <f t="shared" si="8"/>
        <v>174050</v>
      </c>
      <c r="AG257" s="658">
        <v>0.9330420724643432</v>
      </c>
      <c r="AH257" s="659">
        <f t="shared" si="3"/>
        <v>0.9330420725</v>
      </c>
      <c r="AI257" s="641"/>
      <c r="AJ257" s="660">
        <f t="shared" si="6"/>
        <v>257</v>
      </c>
      <c r="AK257" s="676">
        <v>0.9411</v>
      </c>
      <c r="AL257" s="662">
        <v>77562.0</v>
      </c>
      <c r="AM257" s="677">
        <v>-0.9764105693655343</v>
      </c>
      <c r="AN257" s="678">
        <v>-0.05889999999999995</v>
      </c>
      <c r="AO257" s="662">
        <v>77562.0</v>
      </c>
      <c r="AP257" s="679">
        <v>-0.974231047563804</v>
      </c>
      <c r="AQ257" s="662">
        <v>77562.0</v>
      </c>
      <c r="AR257" s="680">
        <v>-0.9719645560588738</v>
      </c>
      <c r="AS257" s="624"/>
      <c r="AT257" s="624"/>
      <c r="AU257" s="624"/>
      <c r="AV257" s="624"/>
      <c r="AW257" s="624"/>
      <c r="AX257" s="624"/>
      <c r="AY257" s="624"/>
      <c r="AZ257" s="624"/>
      <c r="BA257" s="624"/>
      <c r="BB257" s="624"/>
      <c r="BC257" s="624"/>
      <c r="BD257" s="624"/>
      <c r="BE257" s="624"/>
    </row>
    <row r="258" ht="16.5" customHeight="1">
      <c r="A258" s="711"/>
      <c r="B258" s="711"/>
      <c r="C258" s="711"/>
      <c r="D258" s="711"/>
      <c r="E258" s="711"/>
      <c r="F258" s="711"/>
      <c r="G258" s="711"/>
      <c r="H258" s="711"/>
      <c r="I258" s="711"/>
      <c r="J258" s="711"/>
      <c r="K258" s="741"/>
      <c r="L258" s="741"/>
      <c r="M258" s="788"/>
      <c r="N258" s="741"/>
      <c r="O258" s="741"/>
      <c r="P258" s="741"/>
      <c r="Q258" s="741"/>
      <c r="R258" s="788"/>
      <c r="S258" s="819"/>
      <c r="T258" s="820"/>
      <c r="U258" s="819"/>
      <c r="V258" s="820"/>
      <c r="W258" s="788"/>
      <c r="X258" s="803"/>
      <c r="Y258" s="803"/>
      <c r="Z258" s="803"/>
      <c r="AA258" s="711"/>
      <c r="AB258" s="711"/>
      <c r="AC258" s="711"/>
      <c r="AD258" s="736"/>
      <c r="AE258" s="736"/>
      <c r="AF258" s="799">
        <f t="shared" si="8"/>
        <v>174800</v>
      </c>
      <c r="AG258" s="658">
        <v>0.9329244595492212</v>
      </c>
      <c r="AH258" s="659">
        <f t="shared" si="3"/>
        <v>0.9329244595</v>
      </c>
      <c r="AI258" s="641"/>
      <c r="AJ258" s="660">
        <f t="shared" si="6"/>
        <v>258</v>
      </c>
      <c r="AK258" s="676">
        <v>0.9574</v>
      </c>
      <c r="AL258" s="662">
        <v>77500.0</v>
      </c>
      <c r="AM258" s="677">
        <v>-0.9763398091156761</v>
      </c>
      <c r="AN258" s="678">
        <v>-0.04259999999999997</v>
      </c>
      <c r="AO258" s="662">
        <v>77500.0</v>
      </c>
      <c r="AP258" s="679">
        <v>-0.9741555752263931</v>
      </c>
      <c r="AQ258" s="662">
        <v>77500.0</v>
      </c>
      <c r="AR258" s="680">
        <v>-0.971884340251028</v>
      </c>
      <c r="AS258" s="624"/>
      <c r="AT258" s="624"/>
      <c r="AU258" s="624"/>
      <c r="AV258" s="624"/>
      <c r="AW258" s="624"/>
      <c r="AX258" s="624"/>
      <c r="AY258" s="624"/>
      <c r="AZ258" s="624"/>
      <c r="BA258" s="624"/>
      <c r="BB258" s="624"/>
      <c r="BC258" s="624"/>
      <c r="BD258" s="624"/>
      <c r="BE258" s="624"/>
    </row>
    <row r="259" ht="16.5" customHeight="1">
      <c r="A259" s="711"/>
      <c r="B259" s="711"/>
      <c r="C259" s="711"/>
      <c r="D259" s="711"/>
      <c r="E259" s="711"/>
      <c r="F259" s="711"/>
      <c r="G259" s="711"/>
      <c r="H259" s="711"/>
      <c r="I259" s="711"/>
      <c r="J259" s="711"/>
      <c r="K259" s="741"/>
      <c r="L259" s="741"/>
      <c r="M259" s="788"/>
      <c r="N259" s="741"/>
      <c r="O259" s="741"/>
      <c r="P259" s="741"/>
      <c r="Q259" s="741"/>
      <c r="R259" s="788"/>
      <c r="S259" s="819"/>
      <c r="T259" s="820"/>
      <c r="U259" s="819"/>
      <c r="V259" s="820"/>
      <c r="W259" s="788"/>
      <c r="X259" s="803"/>
      <c r="Y259" s="803"/>
      <c r="Z259" s="803"/>
      <c r="AA259" s="711"/>
      <c r="AB259" s="711"/>
      <c r="AC259" s="711"/>
      <c r="AD259" s="736"/>
      <c r="AE259" s="736"/>
      <c r="AF259" s="799">
        <f t="shared" si="8"/>
        <v>175550</v>
      </c>
      <c r="AG259" s="658">
        <v>0.9328068596982926</v>
      </c>
      <c r="AH259" s="659">
        <f t="shared" si="3"/>
        <v>0.9328068597</v>
      </c>
      <c r="AI259" s="641"/>
      <c r="AJ259" s="660">
        <f t="shared" si="6"/>
        <v>259</v>
      </c>
      <c r="AK259" s="676">
        <v>0.9568</v>
      </c>
      <c r="AL259" s="662">
        <v>77430.0</v>
      </c>
      <c r="AM259" s="677">
        <v>-0.9762596633725874</v>
      </c>
      <c r="AN259" s="678">
        <v>-0.043200000000000016</v>
      </c>
      <c r="AO259" s="662">
        <v>77430.0</v>
      </c>
      <c r="AP259" s="679">
        <v>-0.9740700988225286</v>
      </c>
      <c r="AQ259" s="662">
        <v>77430.0</v>
      </c>
      <c r="AR259" s="680">
        <v>-0.9717934981336481</v>
      </c>
      <c r="AS259" s="624"/>
      <c r="AT259" s="624"/>
      <c r="AU259" s="624"/>
      <c r="AV259" s="624"/>
      <c r="AW259" s="624"/>
      <c r="AX259" s="624"/>
      <c r="AY259" s="624"/>
      <c r="AZ259" s="624"/>
      <c r="BA259" s="624"/>
      <c r="BB259" s="624"/>
      <c r="BC259" s="624"/>
      <c r="BD259" s="624"/>
      <c r="BE259" s="624"/>
    </row>
    <row r="260" ht="16.5" customHeight="1">
      <c r="A260" s="711"/>
      <c r="B260" s="711"/>
      <c r="C260" s="711"/>
      <c r="D260" s="711"/>
      <c r="E260" s="711"/>
      <c r="F260" s="711"/>
      <c r="G260" s="711"/>
      <c r="H260" s="711"/>
      <c r="I260" s="711"/>
      <c r="J260" s="711"/>
      <c r="K260" s="741"/>
      <c r="L260" s="741"/>
      <c r="M260" s="788"/>
      <c r="N260" s="741"/>
      <c r="O260" s="741"/>
      <c r="P260" s="741"/>
      <c r="Q260" s="741"/>
      <c r="R260" s="788"/>
      <c r="S260" s="819"/>
      <c r="T260" s="820"/>
      <c r="U260" s="819"/>
      <c r="V260" s="820"/>
      <c r="W260" s="788"/>
      <c r="X260" s="803"/>
      <c r="Y260" s="803"/>
      <c r="Z260" s="803"/>
      <c r="AA260" s="711"/>
      <c r="AB260" s="711"/>
      <c r="AC260" s="711"/>
      <c r="AD260" s="736"/>
      <c r="AE260" s="736"/>
      <c r="AF260" s="799">
        <f t="shared" si="8"/>
        <v>176300</v>
      </c>
      <c r="AG260" s="658">
        <v>0.9326892724574603</v>
      </c>
      <c r="AH260" s="659">
        <f t="shared" si="3"/>
        <v>0.9326892725</v>
      </c>
      <c r="AI260" s="641"/>
      <c r="AJ260" s="660">
        <f t="shared" si="6"/>
        <v>260</v>
      </c>
      <c r="AK260" s="676">
        <v>0.9405</v>
      </c>
      <c r="AL260" s="662">
        <v>77334.0</v>
      </c>
      <c r="AM260" s="677">
        <v>-0.976149307560953</v>
      </c>
      <c r="AN260" s="678">
        <v>-0.0595</v>
      </c>
      <c r="AO260" s="662">
        <v>77334.0</v>
      </c>
      <c r="AP260" s="679">
        <v>-0.9739524141473327</v>
      </c>
      <c r="AQ260" s="662">
        <v>77334.0</v>
      </c>
      <c r="AR260" s="680">
        <v>-0.9716684371807084</v>
      </c>
      <c r="AS260" s="624"/>
      <c r="AT260" s="624"/>
      <c r="AU260" s="624"/>
      <c r="AV260" s="624"/>
      <c r="AW260" s="624"/>
      <c r="AX260" s="624"/>
      <c r="AY260" s="624"/>
      <c r="AZ260" s="624"/>
      <c r="BA260" s="624"/>
      <c r="BB260" s="624"/>
      <c r="BC260" s="624"/>
      <c r="BD260" s="624"/>
      <c r="BE260" s="624"/>
    </row>
    <row r="261" ht="16.5" customHeight="1">
      <c r="A261" s="711"/>
      <c r="B261" s="711"/>
      <c r="C261" s="711"/>
      <c r="D261" s="711"/>
      <c r="E261" s="711"/>
      <c r="F261" s="711"/>
      <c r="G261" s="711"/>
      <c r="H261" s="711"/>
      <c r="I261" s="711"/>
      <c r="J261" s="711"/>
      <c r="K261" s="741"/>
      <c r="L261" s="741"/>
      <c r="M261" s="788"/>
      <c r="N261" s="741"/>
      <c r="O261" s="741"/>
      <c r="P261" s="741"/>
      <c r="Q261" s="741"/>
      <c r="R261" s="788"/>
      <c r="S261" s="819"/>
      <c r="T261" s="820"/>
      <c r="U261" s="819"/>
      <c r="V261" s="820"/>
      <c r="W261" s="788"/>
      <c r="X261" s="803"/>
      <c r="Y261" s="803"/>
      <c r="Z261" s="803"/>
      <c r="AA261" s="711"/>
      <c r="AB261" s="711"/>
      <c r="AC261" s="711"/>
      <c r="AD261" s="736"/>
      <c r="AE261" s="736"/>
      <c r="AF261" s="799">
        <f t="shared" si="8"/>
        <v>177050</v>
      </c>
      <c r="AG261" s="658">
        <v>0.9325716973884114</v>
      </c>
      <c r="AH261" s="659">
        <f t="shared" si="3"/>
        <v>0.9325716974</v>
      </c>
      <c r="AI261" s="641"/>
      <c r="AJ261" s="660">
        <f t="shared" si="6"/>
        <v>261</v>
      </c>
      <c r="AK261" s="676">
        <v>0.9524</v>
      </c>
      <c r="AL261" s="662">
        <v>77041.0</v>
      </c>
      <c r="AM261" s="677">
        <v>-0.9758093102184435</v>
      </c>
      <c r="AN261" s="678">
        <v>-0.047599999999999976</v>
      </c>
      <c r="AO261" s="662">
        <v>77041.0</v>
      </c>
      <c r="AP261" s="679">
        <v>-0.9735899176347185</v>
      </c>
      <c r="AQ261" s="662">
        <v>77041.0</v>
      </c>
      <c r="AR261" s="680">
        <v>-0.971283301544527</v>
      </c>
      <c r="AS261" s="624"/>
      <c r="AT261" s="624"/>
      <c r="AU261" s="624"/>
      <c r="AV261" s="624"/>
      <c r="AW261" s="624"/>
      <c r="AX261" s="624"/>
      <c r="AY261" s="624"/>
      <c r="AZ261" s="624"/>
      <c r="BA261" s="624"/>
      <c r="BB261" s="624"/>
      <c r="BC261" s="624"/>
      <c r="BD261" s="624"/>
      <c r="BE261" s="624"/>
    </row>
    <row r="262" ht="16.5" customHeight="1">
      <c r="A262" s="711"/>
      <c r="B262" s="711"/>
      <c r="C262" s="711"/>
      <c r="D262" s="711"/>
      <c r="E262" s="711"/>
      <c r="F262" s="711"/>
      <c r="G262" s="711"/>
      <c r="H262" s="711"/>
      <c r="I262" s="711"/>
      <c r="J262" s="711"/>
      <c r="K262" s="741"/>
      <c r="L262" s="741"/>
      <c r="M262" s="788"/>
      <c r="N262" s="741"/>
      <c r="O262" s="741"/>
      <c r="P262" s="741"/>
      <c r="Q262" s="741"/>
      <c r="R262" s="788"/>
      <c r="S262" s="819"/>
      <c r="T262" s="820"/>
      <c r="U262" s="819"/>
      <c r="V262" s="820"/>
      <c r="W262" s="788"/>
      <c r="X262" s="803"/>
      <c r="Y262" s="803"/>
      <c r="Z262" s="803"/>
      <c r="AA262" s="711"/>
      <c r="AB262" s="711"/>
      <c r="AC262" s="711"/>
      <c r="AD262" s="736"/>
      <c r="AE262" s="736"/>
      <c r="AF262" s="799">
        <f t="shared" si="8"/>
        <v>177800</v>
      </c>
      <c r="AG262" s="658">
        <v>0.9324541340680681</v>
      </c>
      <c r="AH262" s="659">
        <f t="shared" si="3"/>
        <v>0.9324541341</v>
      </c>
      <c r="AI262" s="641"/>
      <c r="AJ262" s="660">
        <f t="shared" si="6"/>
        <v>262</v>
      </c>
      <c r="AK262" s="676">
        <v>0.9543</v>
      </c>
      <c r="AL262" s="662">
        <v>76800.0</v>
      </c>
      <c r="AM262" s="677">
        <v>-0.9755260239384377</v>
      </c>
      <c r="AN262" s="678">
        <v>-0.04569999999999996</v>
      </c>
      <c r="AO262" s="662">
        <v>76800.0</v>
      </c>
      <c r="AP262" s="679">
        <v>-0.9732879768431749</v>
      </c>
      <c r="AQ262" s="662">
        <v>76800.0</v>
      </c>
      <c r="AR262" s="680">
        <v>-0.9709625965793436</v>
      </c>
      <c r="AS262" s="624"/>
      <c r="AT262" s="624"/>
      <c r="AU262" s="624"/>
      <c r="AV262" s="624"/>
      <c r="AW262" s="624"/>
      <c r="AX262" s="624"/>
      <c r="AY262" s="624"/>
      <c r="AZ262" s="624"/>
      <c r="BA262" s="624"/>
      <c r="BB262" s="624"/>
      <c r="BC262" s="624"/>
      <c r="BD262" s="624"/>
      <c r="BE262" s="624"/>
    </row>
    <row r="263" ht="16.5" customHeight="1">
      <c r="A263" s="711"/>
      <c r="B263" s="711"/>
      <c r="C263" s="711"/>
      <c r="D263" s="711"/>
      <c r="E263" s="711"/>
      <c r="F263" s="711"/>
      <c r="G263" s="711"/>
      <c r="H263" s="711"/>
      <c r="I263" s="711"/>
      <c r="J263" s="711"/>
      <c r="K263" s="741"/>
      <c r="L263" s="741"/>
      <c r="M263" s="788"/>
      <c r="N263" s="741"/>
      <c r="O263" s="741"/>
      <c r="P263" s="741"/>
      <c r="Q263" s="741"/>
      <c r="R263" s="788"/>
      <c r="S263" s="819"/>
      <c r="T263" s="820"/>
      <c r="U263" s="819"/>
      <c r="V263" s="820"/>
      <c r="W263" s="788"/>
      <c r="X263" s="803"/>
      <c r="Y263" s="803"/>
      <c r="Z263" s="803"/>
      <c r="AA263" s="711"/>
      <c r="AB263" s="711"/>
      <c r="AC263" s="711"/>
      <c r="AD263" s="736"/>
      <c r="AE263" s="736"/>
      <c r="AF263" s="799">
        <f t="shared" si="8"/>
        <v>178550</v>
      </c>
      <c r="AG263" s="658">
        <v>0.9323365820880584</v>
      </c>
      <c r="AH263" s="659">
        <f t="shared" si="3"/>
        <v>0.9323365821</v>
      </c>
      <c r="AI263" s="641"/>
      <c r="AJ263" s="660">
        <f t="shared" si="6"/>
        <v>263</v>
      </c>
      <c r="AK263" s="676">
        <v>0.9474</v>
      </c>
      <c r="AL263" s="662">
        <v>76550.0</v>
      </c>
      <c r="AM263" s="677">
        <v>-0.9752286524101835</v>
      </c>
      <c r="AN263" s="678">
        <v>-0.05259999999999998</v>
      </c>
      <c r="AO263" s="662">
        <v>76550.0</v>
      </c>
      <c r="AP263" s="679">
        <v>-0.9729711119348357</v>
      </c>
      <c r="AQ263" s="662">
        <v>76550.0</v>
      </c>
      <c r="AR263" s="680">
        <v>-0.9706261298308775</v>
      </c>
      <c r="AS263" s="624"/>
      <c r="AT263" s="624"/>
      <c r="AU263" s="624"/>
      <c r="AV263" s="624"/>
      <c r="AW263" s="624"/>
      <c r="AX263" s="624"/>
      <c r="AY263" s="624"/>
      <c r="AZ263" s="624"/>
      <c r="BA263" s="624"/>
      <c r="BB263" s="624"/>
      <c r="BC263" s="624"/>
      <c r="BD263" s="624"/>
      <c r="BE263" s="624"/>
    </row>
    <row r="264" ht="16.5" customHeight="1">
      <c r="A264" s="711"/>
      <c r="B264" s="711"/>
      <c r="C264" s="711"/>
      <c r="D264" s="711"/>
      <c r="E264" s="711"/>
      <c r="F264" s="711"/>
      <c r="G264" s="711"/>
      <c r="H264" s="711"/>
      <c r="I264" s="711"/>
      <c r="J264" s="711"/>
      <c r="K264" s="741"/>
      <c r="L264" s="741"/>
      <c r="M264" s="788"/>
      <c r="N264" s="741"/>
      <c r="O264" s="741"/>
      <c r="P264" s="741"/>
      <c r="Q264" s="741"/>
      <c r="R264" s="788"/>
      <c r="S264" s="819"/>
      <c r="T264" s="820"/>
      <c r="U264" s="819"/>
      <c r="V264" s="820"/>
      <c r="W264" s="788"/>
      <c r="X264" s="803"/>
      <c r="Y264" s="803"/>
      <c r="Z264" s="803"/>
      <c r="AA264" s="711"/>
      <c r="AB264" s="711"/>
      <c r="AC264" s="711"/>
      <c r="AD264" s="736"/>
      <c r="AE264" s="736"/>
      <c r="AF264" s="799">
        <f t="shared" si="8"/>
        <v>179300</v>
      </c>
      <c r="AG264" s="658">
        <v>0.9322190410542048</v>
      </c>
      <c r="AH264" s="659">
        <f t="shared" si="3"/>
        <v>0.9322190411</v>
      </c>
      <c r="AI264" s="641"/>
      <c r="AJ264" s="660">
        <f t="shared" si="6"/>
        <v>264</v>
      </c>
      <c r="AK264" s="676">
        <v>0.9441</v>
      </c>
      <c r="AL264" s="662">
        <v>76500.0</v>
      </c>
      <c r="AM264" s="677">
        <v>-0.975168745915549</v>
      </c>
      <c r="AN264" s="678">
        <v>-0.05589999999999995</v>
      </c>
      <c r="AO264" s="662">
        <v>76500.0</v>
      </c>
      <c r="AP264" s="679">
        <v>-0.9729072893243954</v>
      </c>
      <c r="AQ264" s="662">
        <v>76500.0</v>
      </c>
      <c r="AR264" s="680">
        <v>-0.970558370068113</v>
      </c>
      <c r="AS264" s="624"/>
      <c r="AT264" s="624"/>
      <c r="AU264" s="624"/>
      <c r="AV264" s="624"/>
      <c r="AW264" s="624"/>
      <c r="AX264" s="624"/>
      <c r="AY264" s="624"/>
      <c r="AZ264" s="624"/>
      <c r="BA264" s="624"/>
      <c r="BB264" s="624"/>
      <c r="BC264" s="624"/>
      <c r="BD264" s="624"/>
      <c r="BE264" s="624"/>
    </row>
    <row r="265" ht="16.5" customHeight="1">
      <c r="A265" s="711"/>
      <c r="B265" s="711"/>
      <c r="C265" s="711"/>
      <c r="D265" s="711"/>
      <c r="E265" s="711"/>
      <c r="F265" s="711"/>
      <c r="G265" s="711"/>
      <c r="H265" s="711"/>
      <c r="I265" s="711"/>
      <c r="J265" s="711"/>
      <c r="K265" s="741"/>
      <c r="L265" s="741"/>
      <c r="M265" s="788"/>
      <c r="N265" s="741"/>
      <c r="O265" s="741"/>
      <c r="P265" s="741"/>
      <c r="Q265" s="741"/>
      <c r="R265" s="788"/>
      <c r="S265" s="819"/>
      <c r="T265" s="820"/>
      <c r="U265" s="819"/>
      <c r="V265" s="820"/>
      <c r="W265" s="788"/>
      <c r="X265" s="803"/>
      <c r="Y265" s="803"/>
      <c r="Z265" s="803"/>
      <c r="AA265" s="711"/>
      <c r="AB265" s="711"/>
      <c r="AC265" s="711"/>
      <c r="AD265" s="736"/>
      <c r="AE265" s="736"/>
      <c r="AF265" s="799">
        <f t="shared" si="8"/>
        <v>180050</v>
      </c>
      <c r="AG265" s="658">
        <v>0.9321015105860312</v>
      </c>
      <c r="AH265" s="659">
        <f t="shared" si="3"/>
        <v>0.9321015106</v>
      </c>
      <c r="AI265" s="641"/>
      <c r="AJ265" s="660">
        <f t="shared" si="6"/>
        <v>265</v>
      </c>
      <c r="AK265" s="676">
        <v>0.9628</v>
      </c>
      <c r="AL265" s="662">
        <v>76114.0</v>
      </c>
      <c r="AM265" s="677">
        <v>-0.9747013648392158</v>
      </c>
      <c r="AN265" s="678">
        <v>-0.03720000000000001</v>
      </c>
      <c r="AO265" s="662">
        <v>76114.0</v>
      </c>
      <c r="AP265" s="679">
        <v>-0.9724094793197793</v>
      </c>
      <c r="AQ265" s="662">
        <v>76114.0</v>
      </c>
      <c r="AR265" s="680">
        <v>-0.9700299762048017</v>
      </c>
      <c r="AS265" s="624"/>
      <c r="AT265" s="624"/>
      <c r="AU265" s="624"/>
      <c r="AV265" s="624"/>
      <c r="AW265" s="624"/>
      <c r="AX265" s="624"/>
      <c r="AY265" s="624"/>
      <c r="AZ265" s="624"/>
      <c r="BA265" s="624"/>
      <c r="BB265" s="624"/>
      <c r="BC265" s="624"/>
      <c r="BD265" s="624"/>
      <c r="BE265" s="624"/>
    </row>
    <row r="266" ht="16.5" customHeight="1">
      <c r="A266" s="711"/>
      <c r="B266" s="711"/>
      <c r="C266" s="711"/>
      <c r="D266" s="711"/>
      <c r="E266" s="711"/>
      <c r="F266" s="711"/>
      <c r="G266" s="711"/>
      <c r="H266" s="711"/>
      <c r="I266" s="711"/>
      <c r="J266" s="711"/>
      <c r="K266" s="741"/>
      <c r="L266" s="741"/>
      <c r="M266" s="788"/>
      <c r="N266" s="741"/>
      <c r="O266" s="741"/>
      <c r="P266" s="741"/>
      <c r="Q266" s="741"/>
      <c r="R266" s="788"/>
      <c r="S266" s="819"/>
      <c r="T266" s="820"/>
      <c r="U266" s="819"/>
      <c r="V266" s="820"/>
      <c r="W266" s="788"/>
      <c r="X266" s="803"/>
      <c r="Y266" s="803"/>
      <c r="Z266" s="803"/>
      <c r="AA266" s="711"/>
      <c r="AB266" s="711"/>
      <c r="AC266" s="711"/>
      <c r="AD266" s="736"/>
      <c r="AE266" s="736"/>
      <c r="AF266" s="799">
        <f t="shared" si="8"/>
        <v>180800</v>
      </c>
      <c r="AG266" s="658">
        <v>0.9319839903162861</v>
      </c>
      <c r="AH266" s="659">
        <f t="shared" si="3"/>
        <v>0.9319839903</v>
      </c>
      <c r="AI266" s="641"/>
      <c r="AJ266" s="660">
        <f t="shared" si="6"/>
        <v>266</v>
      </c>
      <c r="AK266" s="676">
        <v>0.9549</v>
      </c>
      <c r="AL266" s="662">
        <v>75443.0</v>
      </c>
      <c r="AM266" s="677">
        <v>-0.9738678617607545</v>
      </c>
      <c r="AN266" s="678">
        <v>-0.04510000000000003</v>
      </c>
      <c r="AO266" s="662">
        <v>75443.0</v>
      </c>
      <c r="AP266" s="679">
        <v>-0.9715222465001828</v>
      </c>
      <c r="AQ266" s="662">
        <v>75443.0</v>
      </c>
      <c r="AR266" s="680">
        <v>-0.9690887766155557</v>
      </c>
      <c r="AS266" s="624"/>
      <c r="AT266" s="624"/>
      <c r="AU266" s="624"/>
      <c r="AV266" s="624"/>
      <c r="AW266" s="624"/>
      <c r="AX266" s="624"/>
      <c r="AY266" s="624"/>
      <c r="AZ266" s="624"/>
      <c r="BA266" s="624"/>
      <c r="BB266" s="624"/>
      <c r="BC266" s="624"/>
      <c r="BD266" s="624"/>
      <c r="BE266" s="624"/>
    </row>
    <row r="267" ht="16.5" customHeight="1">
      <c r="A267" s="711"/>
      <c r="B267" s="711"/>
      <c r="C267" s="711"/>
      <c r="D267" s="711"/>
      <c r="E267" s="711"/>
      <c r="F267" s="711"/>
      <c r="G267" s="711"/>
      <c r="H267" s="711"/>
      <c r="I267" s="711"/>
      <c r="J267" s="711"/>
      <c r="K267" s="741"/>
      <c r="L267" s="741"/>
      <c r="M267" s="788"/>
      <c r="N267" s="741"/>
      <c r="O267" s="741"/>
      <c r="P267" s="741"/>
      <c r="Q267" s="741"/>
      <c r="R267" s="788"/>
      <c r="S267" s="819"/>
      <c r="T267" s="820"/>
      <c r="U267" s="819"/>
      <c r="V267" s="820"/>
      <c r="W267" s="788"/>
      <c r="X267" s="803"/>
      <c r="Y267" s="803"/>
      <c r="Z267" s="803"/>
      <c r="AA267" s="711"/>
      <c r="AB267" s="711"/>
      <c r="AC267" s="711"/>
      <c r="AD267" s="736"/>
      <c r="AE267" s="736"/>
      <c r="AF267" s="799">
        <f t="shared" si="8"/>
        <v>181550</v>
      </c>
      <c r="AG267" s="658">
        <v>0.9318664798904834</v>
      </c>
      <c r="AH267" s="659">
        <f t="shared" si="3"/>
        <v>0.9318664799</v>
      </c>
      <c r="AI267" s="641"/>
      <c r="AJ267" s="660">
        <f t="shared" si="6"/>
        <v>267</v>
      </c>
      <c r="AK267" s="676">
        <v>0.9474</v>
      </c>
      <c r="AL267" s="662">
        <v>75000.0</v>
      </c>
      <c r="AM267" s="677">
        <v>-0.9733025815574949</v>
      </c>
      <c r="AN267" s="678">
        <v>-0.05259999999999998</v>
      </c>
      <c r="AO267" s="662">
        <v>75000.0</v>
      </c>
      <c r="AP267" s="679">
        <v>-0.9709209079430986</v>
      </c>
      <c r="AQ267" s="662">
        <v>75000.0</v>
      </c>
      <c r="AR267" s="680">
        <v>-0.9684512464578809</v>
      </c>
      <c r="AS267" s="624"/>
      <c r="AT267" s="624"/>
      <c r="AU267" s="624"/>
      <c r="AV267" s="624"/>
      <c r="AW267" s="624"/>
      <c r="AX267" s="624"/>
      <c r="AY267" s="624"/>
      <c r="AZ267" s="624"/>
      <c r="BA267" s="624"/>
      <c r="BB267" s="624"/>
      <c r="BC267" s="624"/>
      <c r="BD267" s="624"/>
      <c r="BE267" s="624"/>
    </row>
    <row r="268" ht="16.5" customHeight="1">
      <c r="A268" s="711"/>
      <c r="B268" s="711"/>
      <c r="C268" s="711"/>
      <c r="D268" s="711"/>
      <c r="E268" s="711"/>
      <c r="F268" s="711"/>
      <c r="G268" s="711"/>
      <c r="H268" s="711"/>
      <c r="I268" s="711"/>
      <c r="J268" s="711"/>
      <c r="K268" s="741"/>
      <c r="L268" s="741"/>
      <c r="M268" s="788"/>
      <c r="N268" s="741"/>
      <c r="O268" s="741"/>
      <c r="P268" s="741"/>
      <c r="Q268" s="741"/>
      <c r="R268" s="788"/>
      <c r="S268" s="819"/>
      <c r="T268" s="820"/>
      <c r="U268" s="819"/>
      <c r="V268" s="820"/>
      <c r="W268" s="788"/>
      <c r="X268" s="803"/>
      <c r="Y268" s="803"/>
      <c r="Z268" s="803"/>
      <c r="AA268" s="711"/>
      <c r="AB268" s="711"/>
      <c r="AC268" s="711"/>
      <c r="AD268" s="736"/>
      <c r="AE268" s="736"/>
      <c r="AF268" s="799">
        <f t="shared" si="8"/>
        <v>182300</v>
      </c>
      <c r="AG268" s="658">
        <v>0.9317489789664586</v>
      </c>
      <c r="AH268" s="659">
        <f t="shared" si="3"/>
        <v>0.931748979</v>
      </c>
      <c r="AI268" s="641"/>
      <c r="AJ268" s="660">
        <f t="shared" si="6"/>
        <v>268</v>
      </c>
      <c r="AK268" s="676">
        <v>0.982</v>
      </c>
      <c r="AL268" s="662">
        <v>74973.0</v>
      </c>
      <c r="AM268" s="677">
        <v>-0.9732677361174406</v>
      </c>
      <c r="AN268" s="678">
        <v>-0.018000000000000016</v>
      </c>
      <c r="AO268" s="662">
        <v>74973.0</v>
      </c>
      <c r="AP268" s="679">
        <v>-0.9708838496569568</v>
      </c>
      <c r="AQ268" s="662">
        <v>74973.0</v>
      </c>
      <c r="AR268" s="680">
        <v>-0.9684119678174514</v>
      </c>
      <c r="AS268" s="624"/>
      <c r="AT268" s="624"/>
      <c r="AU268" s="624"/>
      <c r="AV268" s="624"/>
      <c r="AW268" s="624"/>
      <c r="AX268" s="624"/>
      <c r="AY268" s="624"/>
      <c r="AZ268" s="624"/>
      <c r="BA268" s="624"/>
      <c r="BB268" s="624"/>
      <c r="BC268" s="624"/>
      <c r="BD268" s="624"/>
      <c r="BE268" s="624"/>
    </row>
    <row r="269" ht="16.5" customHeight="1">
      <c r="A269" s="711"/>
      <c r="B269" s="711"/>
      <c r="C269" s="711"/>
      <c r="D269" s="711"/>
      <c r="E269" s="711"/>
      <c r="F269" s="711"/>
      <c r="G269" s="711"/>
      <c r="H269" s="711"/>
      <c r="I269" s="711"/>
      <c r="J269" s="711"/>
      <c r="K269" s="741"/>
      <c r="L269" s="741"/>
      <c r="M269" s="788"/>
      <c r="N269" s="741"/>
      <c r="O269" s="741"/>
      <c r="P269" s="741"/>
      <c r="Q269" s="741"/>
      <c r="R269" s="788"/>
      <c r="S269" s="819"/>
      <c r="T269" s="820"/>
      <c r="U269" s="819"/>
      <c r="V269" s="820"/>
      <c r="W269" s="788"/>
      <c r="X269" s="803"/>
      <c r="Y269" s="803"/>
      <c r="Z269" s="803"/>
      <c r="AA269" s="711"/>
      <c r="AB269" s="711"/>
      <c r="AC269" s="711"/>
      <c r="AD269" s="736"/>
      <c r="AE269" s="736"/>
      <c r="AF269" s="799">
        <f t="shared" si="8"/>
        <v>183050</v>
      </c>
      <c r="AG269" s="658">
        <v>0.9316314872139403</v>
      </c>
      <c r="AH269" s="659">
        <f t="shared" si="3"/>
        <v>0.9316314872</v>
      </c>
      <c r="AI269" s="641"/>
      <c r="AJ269" s="660">
        <f t="shared" si="6"/>
        <v>269</v>
      </c>
      <c r="AK269" s="676">
        <v>0.9442</v>
      </c>
      <c r="AL269" s="662">
        <v>74929.0</v>
      </c>
      <c r="AM269" s="677">
        <v>-0.9732108534804594</v>
      </c>
      <c r="AN269" s="678">
        <v>-0.05579999999999996</v>
      </c>
      <c r="AO269" s="662">
        <v>74929.0</v>
      </c>
      <c r="AP269" s="679">
        <v>-0.9708233571574412</v>
      </c>
      <c r="AQ269" s="662">
        <v>74929.0</v>
      </c>
      <c r="AR269" s="680">
        <v>-0.9683478533724215</v>
      </c>
      <c r="AS269" s="624"/>
      <c r="AT269" s="624"/>
      <c r="AU269" s="624"/>
      <c r="AV269" s="624"/>
      <c r="AW269" s="624"/>
      <c r="AX269" s="624"/>
      <c r="AY269" s="624"/>
      <c r="AZ269" s="624"/>
      <c r="BA269" s="624"/>
      <c r="BB269" s="624"/>
      <c r="BC269" s="624"/>
      <c r="BD269" s="624"/>
      <c r="BE269" s="624"/>
    </row>
    <row r="270" ht="16.5" customHeight="1">
      <c r="A270" s="711"/>
      <c r="B270" s="711"/>
      <c r="C270" s="711"/>
      <c r="D270" s="711"/>
      <c r="E270" s="711"/>
      <c r="F270" s="711"/>
      <c r="G270" s="711"/>
      <c r="H270" s="711"/>
      <c r="I270" s="711"/>
      <c r="J270" s="711"/>
      <c r="K270" s="741"/>
      <c r="L270" s="741"/>
      <c r="M270" s="788"/>
      <c r="N270" s="741"/>
      <c r="O270" s="741"/>
      <c r="P270" s="741"/>
      <c r="Q270" s="741"/>
      <c r="R270" s="788"/>
      <c r="S270" s="819"/>
      <c r="T270" s="820"/>
      <c r="U270" s="819"/>
      <c r="V270" s="820"/>
      <c r="W270" s="788"/>
      <c r="X270" s="803"/>
      <c r="Y270" s="803"/>
      <c r="Z270" s="803"/>
      <c r="AA270" s="711"/>
      <c r="AB270" s="711"/>
      <c r="AC270" s="711"/>
      <c r="AD270" s="736"/>
      <c r="AE270" s="736"/>
      <c r="AF270" s="799">
        <f t="shared" si="8"/>
        <v>183800</v>
      </c>
      <c r="AG270" s="658">
        <v>0.9315140043141372</v>
      </c>
      <c r="AH270" s="659">
        <f t="shared" si="3"/>
        <v>0.9315140043</v>
      </c>
      <c r="AI270" s="641"/>
      <c r="AJ270" s="660">
        <f t="shared" si="6"/>
        <v>270</v>
      </c>
      <c r="AK270" s="676">
        <v>0.9405</v>
      </c>
      <c r="AL270" s="662">
        <v>74809.0</v>
      </c>
      <c r="AM270" s="677">
        <v>-0.9730551030660534</v>
      </c>
      <c r="AN270" s="678">
        <v>-0.0595</v>
      </c>
      <c r="AO270" s="662">
        <v>74809.0</v>
      </c>
      <c r="AP270" s="679">
        <v>-0.9706577380577985</v>
      </c>
      <c r="AQ270" s="662">
        <v>74809.0</v>
      </c>
      <c r="AR270" s="680">
        <v>-0.9681723335993553</v>
      </c>
      <c r="AS270" s="624"/>
      <c r="AT270" s="624"/>
      <c r="AU270" s="624"/>
      <c r="AV270" s="624"/>
      <c r="AW270" s="624"/>
      <c r="AX270" s="624"/>
      <c r="AY270" s="624"/>
      <c r="AZ270" s="624"/>
      <c r="BA270" s="624"/>
      <c r="BB270" s="624"/>
      <c r="BC270" s="624"/>
      <c r="BD270" s="624"/>
      <c r="BE270" s="624"/>
    </row>
    <row r="271" ht="16.5" customHeight="1">
      <c r="A271" s="711"/>
      <c r="B271" s="711"/>
      <c r="C271" s="711"/>
      <c r="D271" s="711"/>
      <c r="E271" s="711"/>
      <c r="F271" s="711"/>
      <c r="G271" s="711"/>
      <c r="H271" s="711"/>
      <c r="I271" s="711"/>
      <c r="J271" s="711"/>
      <c r="K271" s="741"/>
      <c r="L271" s="741"/>
      <c r="M271" s="788"/>
      <c r="N271" s="741"/>
      <c r="O271" s="741"/>
      <c r="P271" s="741"/>
      <c r="Q271" s="741"/>
      <c r="R271" s="788"/>
      <c r="S271" s="819"/>
      <c r="T271" s="820"/>
      <c r="U271" s="819"/>
      <c r="V271" s="820"/>
      <c r="W271" s="788"/>
      <c r="X271" s="803"/>
      <c r="Y271" s="803"/>
      <c r="Z271" s="803"/>
      <c r="AA271" s="711"/>
      <c r="AB271" s="711"/>
      <c r="AC271" s="711"/>
      <c r="AD271" s="736"/>
      <c r="AE271" s="736"/>
      <c r="AF271" s="799">
        <f t="shared" si="8"/>
        <v>184550</v>
      </c>
      <c r="AG271" s="658">
        <v>0.9313965299593385</v>
      </c>
      <c r="AH271" s="659">
        <f t="shared" si="3"/>
        <v>0.93139653</v>
      </c>
      <c r="AI271" s="641"/>
      <c r="AJ271" s="660">
        <f t="shared" si="6"/>
        <v>271</v>
      </c>
      <c r="AK271" s="676">
        <v>0.9123</v>
      </c>
      <c r="AL271" s="662">
        <v>74631.0</v>
      </c>
      <c r="AM271" s="677">
        <v>-0.9728224039261301</v>
      </c>
      <c r="AN271" s="678">
        <v>-0.0877</v>
      </c>
      <c r="AO271" s="662">
        <v>74631.0</v>
      </c>
      <c r="AP271" s="679">
        <v>-0.9704103366171573</v>
      </c>
      <c r="AQ271" s="662">
        <v>74631.0</v>
      </c>
      <c r="AR271" s="680">
        <v>-0.9679101850304508</v>
      </c>
      <c r="AS271" s="624"/>
      <c r="AT271" s="624"/>
      <c r="AU271" s="624"/>
      <c r="AV271" s="624"/>
      <c r="AW271" s="624"/>
      <c r="AX271" s="624"/>
      <c r="AY271" s="624"/>
      <c r="AZ271" s="624"/>
      <c r="BA271" s="624"/>
      <c r="BB271" s="624"/>
      <c r="BC271" s="624"/>
      <c r="BD271" s="624"/>
      <c r="BE271" s="624"/>
    </row>
    <row r="272" ht="16.5" customHeight="1">
      <c r="A272" s="711"/>
      <c r="B272" s="711"/>
      <c r="C272" s="711"/>
      <c r="D272" s="711"/>
      <c r="E272" s="711"/>
      <c r="F272" s="711"/>
      <c r="G272" s="711"/>
      <c r="H272" s="711"/>
      <c r="I272" s="711"/>
      <c r="J272" s="711"/>
      <c r="K272" s="741"/>
      <c r="L272" s="741"/>
      <c r="M272" s="788"/>
      <c r="N272" s="741"/>
      <c r="O272" s="741"/>
      <c r="P272" s="741"/>
      <c r="Q272" s="741"/>
      <c r="R272" s="788"/>
      <c r="S272" s="819"/>
      <c r="T272" s="820"/>
      <c r="U272" s="819"/>
      <c r="V272" s="820"/>
      <c r="W272" s="788"/>
      <c r="X272" s="803"/>
      <c r="Y272" s="803"/>
      <c r="Z272" s="803"/>
      <c r="AA272" s="711"/>
      <c r="AB272" s="711"/>
      <c r="AC272" s="711"/>
      <c r="AD272" s="736"/>
      <c r="AE272" s="736"/>
      <c r="AF272" s="799">
        <f t="shared" si="8"/>
        <v>185300</v>
      </c>
      <c r="AG272" s="658">
        <v>0.9312790638525296</v>
      </c>
      <c r="AH272" s="659">
        <f t="shared" si="3"/>
        <v>0.9312790639</v>
      </c>
      <c r="AI272" s="641"/>
      <c r="AJ272" s="660">
        <f t="shared" si="6"/>
        <v>272</v>
      </c>
      <c r="AK272" s="676">
        <v>0.9726</v>
      </c>
      <c r="AL272" s="662">
        <v>74611.0</v>
      </c>
      <c r="AM272" s="677">
        <v>-0.972796132689824</v>
      </c>
      <c r="AN272" s="678">
        <v>-0.02739999999999998</v>
      </c>
      <c r="AO272" s="662">
        <v>74611.0</v>
      </c>
      <c r="AP272" s="679">
        <v>-0.9703824086688919</v>
      </c>
      <c r="AQ272" s="662">
        <v>74611.0</v>
      </c>
      <c r="AR272" s="680">
        <v>-0.9678805955304998</v>
      </c>
      <c r="AS272" s="624"/>
      <c r="AT272" s="624"/>
      <c r="AU272" s="624"/>
      <c r="AV272" s="624"/>
      <c r="AW272" s="624"/>
      <c r="AX272" s="624"/>
      <c r="AY272" s="624"/>
      <c r="AZ272" s="624"/>
      <c r="BA272" s="624"/>
      <c r="BB272" s="624"/>
      <c r="BC272" s="624"/>
      <c r="BD272" s="624"/>
      <c r="BE272" s="624"/>
    </row>
    <row r="273" ht="16.5" customHeight="1">
      <c r="A273" s="711"/>
      <c r="B273" s="711"/>
      <c r="C273" s="711"/>
      <c r="D273" s="711"/>
      <c r="E273" s="711"/>
      <c r="F273" s="711"/>
      <c r="G273" s="711"/>
      <c r="H273" s="711"/>
      <c r="I273" s="711"/>
      <c r="J273" s="711"/>
      <c r="K273" s="741"/>
      <c r="L273" s="741"/>
      <c r="M273" s="788"/>
      <c r="N273" s="741"/>
      <c r="O273" s="741"/>
      <c r="P273" s="741"/>
      <c r="Q273" s="741"/>
      <c r="R273" s="788"/>
      <c r="S273" s="819"/>
      <c r="T273" s="820"/>
      <c r="U273" s="819"/>
      <c r="V273" s="820"/>
      <c r="W273" s="788"/>
      <c r="X273" s="803"/>
      <c r="Y273" s="803"/>
      <c r="Z273" s="803"/>
      <c r="AA273" s="711"/>
      <c r="AB273" s="711"/>
      <c r="AC273" s="711"/>
      <c r="AD273" s="736"/>
      <c r="AE273" s="736"/>
      <c r="AF273" s="799">
        <f t="shared" si="8"/>
        <v>186050</v>
      </c>
      <c r="AG273" s="658">
        <v>0.9311616057070193</v>
      </c>
      <c r="AH273" s="659">
        <f t="shared" si="3"/>
        <v>0.9311616057</v>
      </c>
      <c r="AI273" s="641"/>
      <c r="AJ273" s="660">
        <f t="shared" si="6"/>
        <v>273</v>
      </c>
      <c r="AK273" s="676">
        <v>0.9487</v>
      </c>
      <c r="AL273" s="662">
        <v>74569.0</v>
      </c>
      <c r="AM273" s="677">
        <v>-0.9727408804032214</v>
      </c>
      <c r="AN273" s="678">
        <v>-0.05130000000000001</v>
      </c>
      <c r="AO273" s="662">
        <v>74569.0</v>
      </c>
      <c r="AP273" s="679">
        <v>-0.970323674147496</v>
      </c>
      <c r="AQ273" s="662">
        <v>74569.0</v>
      </c>
      <c r="AR273" s="680">
        <v>-0.967818368741156</v>
      </c>
      <c r="AS273" s="624"/>
      <c r="AT273" s="624"/>
      <c r="AU273" s="624"/>
      <c r="AV273" s="624"/>
      <c r="AW273" s="624"/>
      <c r="AX273" s="624"/>
      <c r="AY273" s="624"/>
      <c r="AZ273" s="624"/>
      <c r="BA273" s="624"/>
      <c r="BB273" s="624"/>
      <c r="BC273" s="624"/>
      <c r="BD273" s="624"/>
      <c r="BE273" s="624"/>
    </row>
    <row r="274" ht="16.5" customHeight="1">
      <c r="A274" s="711"/>
      <c r="B274" s="711"/>
      <c r="C274" s="711"/>
      <c r="D274" s="711"/>
      <c r="E274" s="711"/>
      <c r="F274" s="711"/>
      <c r="G274" s="711"/>
      <c r="H274" s="711"/>
      <c r="I274" s="711"/>
      <c r="J274" s="711"/>
      <c r="K274" s="741"/>
      <c r="L274" s="741"/>
      <c r="M274" s="788"/>
      <c r="N274" s="741"/>
      <c r="O274" s="741"/>
      <c r="P274" s="741"/>
      <c r="Q274" s="741"/>
      <c r="R274" s="788"/>
      <c r="S274" s="819"/>
      <c r="T274" s="820"/>
      <c r="U274" s="819"/>
      <c r="V274" s="820"/>
      <c r="W274" s="788"/>
      <c r="X274" s="803"/>
      <c r="Y274" s="803"/>
      <c r="Z274" s="803"/>
      <c r="AA274" s="711"/>
      <c r="AB274" s="711"/>
      <c r="AC274" s="711"/>
      <c r="AD274" s="736"/>
      <c r="AE274" s="736"/>
      <c r="AF274" s="799">
        <f t="shared" si="8"/>
        <v>186800</v>
      </c>
      <c r="AG274" s="658">
        <v>0.9310441552460818</v>
      </c>
      <c r="AH274" s="659">
        <f t="shared" si="3"/>
        <v>0.9310441552</v>
      </c>
      <c r="AI274" s="641"/>
      <c r="AJ274" s="660">
        <f t="shared" si="6"/>
        <v>274</v>
      </c>
      <c r="AK274" s="676">
        <v>0.9721</v>
      </c>
      <c r="AL274" s="662">
        <v>74532.0</v>
      </c>
      <c r="AM274" s="677">
        <v>-0.9726921128014366</v>
      </c>
      <c r="AN274" s="678">
        <v>-0.027900000000000036</v>
      </c>
      <c r="AO274" s="662">
        <v>74532.0</v>
      </c>
      <c r="AP274" s="679">
        <v>-0.9702718353363833</v>
      </c>
      <c r="AQ274" s="662">
        <v>74532.0</v>
      </c>
      <c r="AR274" s="680">
        <v>-0.9677634500285276</v>
      </c>
      <c r="AS274" s="624"/>
      <c r="AT274" s="624"/>
      <c r="AU274" s="624"/>
      <c r="AV274" s="624"/>
      <c r="AW274" s="624"/>
      <c r="AX274" s="624"/>
      <c r="AY274" s="624"/>
      <c r="AZ274" s="624"/>
      <c r="BA274" s="624"/>
      <c r="BB274" s="624"/>
      <c r="BC274" s="624"/>
      <c r="BD274" s="624"/>
      <c r="BE274" s="624"/>
    </row>
    <row r="275" ht="16.5" customHeight="1">
      <c r="A275" s="711"/>
      <c r="B275" s="711"/>
      <c r="C275" s="711"/>
      <c r="D275" s="711"/>
      <c r="E275" s="711"/>
      <c r="F275" s="711"/>
      <c r="G275" s="711"/>
      <c r="H275" s="711"/>
      <c r="I275" s="711"/>
      <c r="J275" s="711"/>
      <c r="K275" s="741"/>
      <c r="L275" s="741"/>
      <c r="M275" s="788"/>
      <c r="N275" s="741"/>
      <c r="O275" s="741"/>
      <c r="P275" s="741"/>
      <c r="Q275" s="741"/>
      <c r="R275" s="788"/>
      <c r="S275" s="819"/>
      <c r="T275" s="820"/>
      <c r="U275" s="819"/>
      <c r="V275" s="820"/>
      <c r="W275" s="788"/>
      <c r="X275" s="803"/>
      <c r="Y275" s="803"/>
      <c r="Z275" s="803"/>
      <c r="AA275" s="711"/>
      <c r="AB275" s="711"/>
      <c r="AC275" s="711"/>
      <c r="AD275" s="736"/>
      <c r="AE275" s="736"/>
      <c r="AF275" s="799">
        <f t="shared" si="8"/>
        <v>187550</v>
      </c>
      <c r="AG275" s="658">
        <v>0.9309267122026096</v>
      </c>
      <c r="AH275" s="659">
        <f t="shared" si="3"/>
        <v>0.9309267122</v>
      </c>
      <c r="AI275" s="641"/>
      <c r="AJ275" s="660">
        <f t="shared" si="6"/>
        <v>275</v>
      </c>
      <c r="AK275" s="676">
        <v>0.9524</v>
      </c>
      <c r="AL275" s="662">
        <v>74500.0</v>
      </c>
      <c r="AM275" s="677">
        <v>-0.9726498650632722</v>
      </c>
      <c r="AN275" s="678">
        <v>-0.047599999999999976</v>
      </c>
      <c r="AO275" s="662">
        <v>74500.0</v>
      </c>
      <c r="AP275" s="679">
        <v>-0.9702269287517685</v>
      </c>
      <c r="AQ275" s="662">
        <v>74500.0</v>
      </c>
      <c r="AR275" s="680">
        <v>-0.9677158771908587</v>
      </c>
      <c r="AS275" s="624"/>
      <c r="AT275" s="624"/>
      <c r="AU275" s="624"/>
      <c r="AV275" s="624"/>
      <c r="AW275" s="624"/>
      <c r="AX275" s="624"/>
      <c r="AY275" s="624"/>
      <c r="AZ275" s="624"/>
      <c r="BA275" s="624"/>
      <c r="BB275" s="624"/>
      <c r="BC275" s="624"/>
      <c r="BD275" s="624"/>
      <c r="BE275" s="624"/>
    </row>
    <row r="276" ht="16.5" customHeight="1">
      <c r="A276" s="711"/>
      <c r="B276" s="711"/>
      <c r="C276" s="711"/>
      <c r="D276" s="711"/>
      <c r="E276" s="711"/>
      <c r="F276" s="711"/>
      <c r="G276" s="711"/>
      <c r="H276" s="711"/>
      <c r="I276" s="711"/>
      <c r="J276" s="711"/>
      <c r="K276" s="741"/>
      <c r="L276" s="741"/>
      <c r="M276" s="788"/>
      <c r="N276" s="741"/>
      <c r="O276" s="741"/>
      <c r="P276" s="741"/>
      <c r="Q276" s="741"/>
      <c r="R276" s="788"/>
      <c r="S276" s="819"/>
      <c r="T276" s="820"/>
      <c r="U276" s="819"/>
      <c r="V276" s="820"/>
      <c r="W276" s="788"/>
      <c r="X276" s="803"/>
      <c r="Y276" s="803"/>
      <c r="Z276" s="803"/>
      <c r="AA276" s="711"/>
      <c r="AB276" s="711"/>
      <c r="AC276" s="711"/>
      <c r="AD276" s="736"/>
      <c r="AE276" s="736"/>
      <c r="AF276" s="799">
        <f t="shared" si="8"/>
        <v>188300</v>
      </c>
      <c r="AG276" s="658">
        <v>0.93080927631878</v>
      </c>
      <c r="AH276" s="659">
        <f t="shared" si="3"/>
        <v>0.9308092763</v>
      </c>
      <c r="AI276" s="641"/>
      <c r="AJ276" s="660">
        <f t="shared" si="6"/>
        <v>276</v>
      </c>
      <c r="AK276" s="676">
        <v>0.9619</v>
      </c>
      <c r="AL276" s="662">
        <v>74500.0</v>
      </c>
      <c r="AM276" s="677">
        <v>-0.9726498650632722</v>
      </c>
      <c r="AN276" s="678">
        <v>-0.03810000000000002</v>
      </c>
      <c r="AO276" s="662">
        <v>74500.0</v>
      </c>
      <c r="AP276" s="679">
        <v>-0.9702269287517685</v>
      </c>
      <c r="AQ276" s="662">
        <v>74500.0</v>
      </c>
      <c r="AR276" s="680">
        <v>-0.9677158771908587</v>
      </c>
      <c r="AS276" s="624"/>
      <c r="AT276" s="624"/>
      <c r="AU276" s="624"/>
      <c r="AV276" s="624"/>
      <c r="AW276" s="624"/>
      <c r="AX276" s="624"/>
      <c r="AY276" s="624"/>
      <c r="AZ276" s="624"/>
      <c r="BA276" s="624"/>
      <c r="BB276" s="624"/>
      <c r="BC276" s="624"/>
      <c r="BD276" s="624"/>
      <c r="BE276" s="624"/>
    </row>
    <row r="277" ht="16.5" customHeight="1">
      <c r="A277" s="711"/>
      <c r="B277" s="711"/>
      <c r="C277" s="711"/>
      <c r="D277" s="711"/>
      <c r="E277" s="711"/>
      <c r="F277" s="711"/>
      <c r="G277" s="711"/>
      <c r="H277" s="711"/>
      <c r="I277" s="711"/>
      <c r="J277" s="711"/>
      <c r="K277" s="741"/>
      <c r="L277" s="741"/>
      <c r="M277" s="788"/>
      <c r="N277" s="741"/>
      <c r="O277" s="741"/>
      <c r="P277" s="741"/>
      <c r="Q277" s="741"/>
      <c r="R277" s="788"/>
      <c r="S277" s="819"/>
      <c r="T277" s="820"/>
      <c r="U277" s="819"/>
      <c r="V277" s="820"/>
      <c r="W277" s="788"/>
      <c r="X277" s="803"/>
      <c r="Y277" s="803"/>
      <c r="Z277" s="803"/>
      <c r="AA277" s="711"/>
      <c r="AB277" s="711"/>
      <c r="AC277" s="711"/>
      <c r="AD277" s="736"/>
      <c r="AE277" s="736"/>
      <c r="AF277" s="799">
        <f t="shared" si="8"/>
        <v>189050</v>
      </c>
      <c r="AG277" s="658">
        <v>0.9306918473457317</v>
      </c>
      <c r="AH277" s="659">
        <f t="shared" si="3"/>
        <v>0.9306918473</v>
      </c>
      <c r="AI277" s="641"/>
      <c r="AJ277" s="660">
        <f t="shared" si="6"/>
        <v>277</v>
      </c>
      <c r="AK277" s="676">
        <v>0.9644</v>
      </c>
      <c r="AL277" s="662">
        <v>74181.0</v>
      </c>
      <c r="AM277" s="677">
        <v>-0.9722251179032181</v>
      </c>
      <c r="AN277" s="678">
        <v>-0.035599999999999965</v>
      </c>
      <c r="AO277" s="662">
        <v>74181.0</v>
      </c>
      <c r="AP277" s="679">
        <v>-0.9697755407537697</v>
      </c>
      <c r="AQ277" s="662">
        <v>74181.0</v>
      </c>
      <c r="AR277" s="680">
        <v>-0.9672377801948476</v>
      </c>
      <c r="AS277" s="624"/>
      <c r="AT277" s="624"/>
      <c r="AU277" s="624"/>
      <c r="AV277" s="624"/>
      <c r="AW277" s="624"/>
      <c r="AX277" s="624"/>
      <c r="AY277" s="624"/>
      <c r="AZ277" s="624"/>
      <c r="BA277" s="624"/>
      <c r="BB277" s="624"/>
      <c r="BC277" s="624"/>
      <c r="BD277" s="624"/>
      <c r="BE277" s="624"/>
    </row>
    <row r="278" ht="16.5" customHeight="1">
      <c r="A278" s="711"/>
      <c r="B278" s="711"/>
      <c r="C278" s="711"/>
      <c r="D278" s="711"/>
      <c r="E278" s="711"/>
      <c r="F278" s="711"/>
      <c r="G278" s="711"/>
      <c r="H278" s="711"/>
      <c r="I278" s="711"/>
      <c r="J278" s="711"/>
      <c r="K278" s="741"/>
      <c r="L278" s="741"/>
      <c r="M278" s="788"/>
      <c r="N278" s="741"/>
      <c r="O278" s="741"/>
      <c r="P278" s="741"/>
      <c r="Q278" s="741"/>
      <c r="R278" s="788"/>
      <c r="S278" s="819"/>
      <c r="T278" s="820"/>
      <c r="U278" s="819"/>
      <c r="V278" s="820"/>
      <c r="W278" s="788"/>
      <c r="X278" s="803"/>
      <c r="Y278" s="803"/>
      <c r="Z278" s="803"/>
      <c r="AA278" s="711"/>
      <c r="AB278" s="711"/>
      <c r="AC278" s="711"/>
      <c r="AD278" s="736"/>
      <c r="AE278" s="736"/>
      <c r="AF278" s="799">
        <f t="shared" si="8"/>
        <v>189800</v>
      </c>
      <c r="AG278" s="658">
        <v>0.9305744250432536</v>
      </c>
      <c r="AH278" s="659">
        <f t="shared" si="3"/>
        <v>0.930574425</v>
      </c>
      <c r="AI278" s="641"/>
      <c r="AJ278" s="660">
        <f t="shared" si="6"/>
        <v>278</v>
      </c>
      <c r="AK278" s="676">
        <v>0.922</v>
      </c>
      <c r="AL278" s="662">
        <v>74030.0</v>
      </c>
      <c r="AM278" s="677">
        <v>-0.9720217680750597</v>
      </c>
      <c r="AN278" s="678">
        <v>-0.07799999999999996</v>
      </c>
      <c r="AO278" s="662">
        <v>74030.0</v>
      </c>
      <c r="AP278" s="679">
        <v>-0.9695594942682817</v>
      </c>
      <c r="AQ278" s="662">
        <v>74030.0</v>
      </c>
      <c r="AR278" s="680">
        <v>-0.9670090084239855</v>
      </c>
      <c r="AS278" s="624"/>
      <c r="AT278" s="624"/>
      <c r="AU278" s="624"/>
      <c r="AV278" s="624"/>
      <c r="AW278" s="624"/>
      <c r="AX278" s="624"/>
      <c r="AY278" s="624"/>
      <c r="AZ278" s="624"/>
      <c r="BA278" s="624"/>
      <c r="BB278" s="624"/>
      <c r="BC278" s="624"/>
      <c r="BD278" s="624"/>
      <c r="BE278" s="624"/>
    </row>
    <row r="279" ht="16.5" customHeight="1">
      <c r="A279" s="711"/>
      <c r="B279" s="711"/>
      <c r="C279" s="711"/>
      <c r="D279" s="711"/>
      <c r="E279" s="711"/>
      <c r="F279" s="711"/>
      <c r="G279" s="711"/>
      <c r="H279" s="711"/>
      <c r="I279" s="711"/>
      <c r="J279" s="711"/>
      <c r="K279" s="741"/>
      <c r="L279" s="741"/>
      <c r="M279" s="788"/>
      <c r="N279" s="741"/>
      <c r="O279" s="741"/>
      <c r="P279" s="741"/>
      <c r="Q279" s="741"/>
      <c r="R279" s="788"/>
      <c r="S279" s="819"/>
      <c r="T279" s="820"/>
      <c r="U279" s="819"/>
      <c r="V279" s="820"/>
      <c r="W279" s="788"/>
      <c r="X279" s="803"/>
      <c r="Y279" s="803"/>
      <c r="Z279" s="803"/>
      <c r="AA279" s="711"/>
      <c r="AB279" s="711"/>
      <c r="AC279" s="711"/>
      <c r="AD279" s="736"/>
      <c r="AE279" s="736"/>
      <c r="AF279" s="799">
        <f t="shared" si="8"/>
        <v>190550</v>
      </c>
      <c r="AG279" s="658">
        <v>0.930457009179484</v>
      </c>
      <c r="AH279" s="659">
        <f t="shared" si="3"/>
        <v>0.9304570092</v>
      </c>
      <c r="AI279" s="641"/>
      <c r="AJ279" s="660">
        <f t="shared" si="6"/>
        <v>279</v>
      </c>
      <c r="AK279" s="676">
        <v>0.9518</v>
      </c>
      <c r="AL279" s="662">
        <v>74020.0</v>
      </c>
      <c r="AM279" s="677">
        <v>-0.9720082487557166</v>
      </c>
      <c r="AN279" s="678">
        <v>-0.04820000000000002</v>
      </c>
      <c r="AO279" s="662">
        <v>74020.0</v>
      </c>
      <c r="AP279" s="679">
        <v>-0.9695451321521378</v>
      </c>
      <c r="AQ279" s="662">
        <v>74020.0</v>
      </c>
      <c r="AR279" s="680">
        <v>-0.9669938016984764</v>
      </c>
      <c r="AS279" s="624"/>
      <c r="AT279" s="624"/>
      <c r="AU279" s="624"/>
      <c r="AV279" s="624"/>
      <c r="AW279" s="624"/>
      <c r="AX279" s="624"/>
      <c r="AY279" s="624"/>
      <c r="AZ279" s="624"/>
      <c r="BA279" s="624"/>
      <c r="BB279" s="624"/>
      <c r="BC279" s="624"/>
      <c r="BD279" s="624"/>
      <c r="BE279" s="624"/>
    </row>
    <row r="280" ht="16.5" customHeight="1">
      <c r="A280" s="711"/>
      <c r="B280" s="711"/>
      <c r="C280" s="711"/>
      <c r="D280" s="711"/>
      <c r="E280" s="711"/>
      <c r="F280" s="711"/>
      <c r="G280" s="711"/>
      <c r="H280" s="711"/>
      <c r="I280" s="711"/>
      <c r="J280" s="711"/>
      <c r="K280" s="741"/>
      <c r="L280" s="741"/>
      <c r="M280" s="788"/>
      <c r="N280" s="741"/>
      <c r="O280" s="741"/>
      <c r="P280" s="741"/>
      <c r="Q280" s="741"/>
      <c r="R280" s="788"/>
      <c r="S280" s="819"/>
      <c r="T280" s="820"/>
      <c r="U280" s="819"/>
      <c r="V280" s="820"/>
      <c r="W280" s="788"/>
      <c r="X280" s="803"/>
      <c r="Y280" s="803"/>
      <c r="Z280" s="803"/>
      <c r="AA280" s="711"/>
      <c r="AB280" s="711"/>
      <c r="AC280" s="711"/>
      <c r="AD280" s="736"/>
      <c r="AE280" s="736"/>
      <c r="AF280" s="799">
        <f t="shared" si="8"/>
        <v>191300</v>
      </c>
      <c r="AG280" s="658">
        <v>0.9303395995306206</v>
      </c>
      <c r="AH280" s="659">
        <f t="shared" si="3"/>
        <v>0.9303395995</v>
      </c>
      <c r="AI280" s="641"/>
      <c r="AJ280" s="660">
        <f t="shared" si="6"/>
        <v>280</v>
      </c>
      <c r="AK280" s="676">
        <v>0.934</v>
      </c>
      <c r="AL280" s="662">
        <v>74000.0</v>
      </c>
      <c r="AM280" s="677">
        <v>-0.9719811905159237</v>
      </c>
      <c r="AN280" s="678">
        <v>-0.06599999999999995</v>
      </c>
      <c r="AO280" s="662">
        <v>74000.0</v>
      </c>
      <c r="AP280" s="679">
        <v>-0.9695163875881093</v>
      </c>
      <c r="AQ280" s="662">
        <v>74000.0</v>
      </c>
      <c r="AR280" s="680">
        <v>-0.9669633672162596</v>
      </c>
      <c r="AS280" s="624"/>
      <c r="AT280" s="624"/>
      <c r="AU280" s="624"/>
      <c r="AV280" s="624"/>
      <c r="AW280" s="624"/>
      <c r="AX280" s="624"/>
      <c r="AY280" s="624"/>
      <c r="AZ280" s="624"/>
      <c r="BA280" s="624"/>
      <c r="BB280" s="624"/>
      <c r="BC280" s="624"/>
      <c r="BD280" s="624"/>
      <c r="BE280" s="624"/>
    </row>
    <row r="281" ht="16.5" customHeight="1">
      <c r="A281" s="711"/>
      <c r="B281" s="711"/>
      <c r="C281" s="711"/>
      <c r="D281" s="711"/>
      <c r="E281" s="711"/>
      <c r="F281" s="711"/>
      <c r="G281" s="711"/>
      <c r="H281" s="711"/>
      <c r="I281" s="711"/>
      <c r="J281" s="711"/>
      <c r="K281" s="741"/>
      <c r="L281" s="741"/>
      <c r="M281" s="788"/>
      <c r="N281" s="741"/>
      <c r="O281" s="741"/>
      <c r="P281" s="741"/>
      <c r="Q281" s="741"/>
      <c r="R281" s="788"/>
      <c r="S281" s="819"/>
      <c r="T281" s="820"/>
      <c r="U281" s="819"/>
      <c r="V281" s="820"/>
      <c r="W281" s="788"/>
      <c r="X281" s="803"/>
      <c r="Y281" s="803"/>
      <c r="Z281" s="803"/>
      <c r="AA281" s="711"/>
      <c r="AB281" s="711"/>
      <c r="AC281" s="711"/>
      <c r="AD281" s="736"/>
      <c r="AE281" s="736"/>
      <c r="AF281" s="799">
        <f t="shared" si="8"/>
        <v>192050</v>
      </c>
      <c r="AG281" s="658">
        <v>0.93022219588064</v>
      </c>
      <c r="AH281" s="659">
        <f t="shared" si="3"/>
        <v>0.9302221959</v>
      </c>
      <c r="AI281" s="641"/>
      <c r="AJ281" s="660">
        <f t="shared" si="6"/>
        <v>281</v>
      </c>
      <c r="AK281" s="676">
        <v>0.9549</v>
      </c>
      <c r="AL281" s="662">
        <v>74000.0</v>
      </c>
      <c r="AM281" s="677">
        <v>-0.9719811905159237</v>
      </c>
      <c r="AN281" s="678">
        <v>-0.04510000000000003</v>
      </c>
      <c r="AO281" s="662">
        <v>74000.0</v>
      </c>
      <c r="AP281" s="679">
        <v>-0.9695163875881093</v>
      </c>
      <c r="AQ281" s="662">
        <v>74000.0</v>
      </c>
      <c r="AR281" s="680">
        <v>-0.9669633672162596</v>
      </c>
      <c r="AS281" s="624"/>
      <c r="AT281" s="624"/>
      <c r="AU281" s="624"/>
      <c r="AV281" s="624"/>
      <c r="AW281" s="624"/>
      <c r="AX281" s="624"/>
      <c r="AY281" s="624"/>
      <c r="AZ281" s="624"/>
      <c r="BA281" s="624"/>
      <c r="BB281" s="624"/>
      <c r="BC281" s="624"/>
      <c r="BD281" s="624"/>
      <c r="BE281" s="624"/>
    </row>
    <row r="282" ht="16.5" customHeight="1">
      <c r="A282" s="711"/>
      <c r="B282" s="711"/>
      <c r="C282" s="711"/>
      <c r="D282" s="711"/>
      <c r="E282" s="711"/>
      <c r="F282" s="711"/>
      <c r="G282" s="711"/>
      <c r="H282" s="711"/>
      <c r="I282" s="711"/>
      <c r="J282" s="711"/>
      <c r="K282" s="741"/>
      <c r="L282" s="741"/>
      <c r="M282" s="788"/>
      <c r="N282" s="741"/>
      <c r="O282" s="741"/>
      <c r="P282" s="741"/>
      <c r="Q282" s="741"/>
      <c r="R282" s="788"/>
      <c r="S282" s="819"/>
      <c r="T282" s="820"/>
      <c r="U282" s="819"/>
      <c r="V282" s="820"/>
      <c r="W282" s="788"/>
      <c r="X282" s="803"/>
      <c r="Y282" s="803"/>
      <c r="Z282" s="803"/>
      <c r="AA282" s="711"/>
      <c r="AB282" s="711"/>
      <c r="AC282" s="711"/>
      <c r="AD282" s="736"/>
      <c r="AE282" s="736"/>
      <c r="AF282" s="799">
        <f t="shared" si="8"/>
        <v>192800</v>
      </c>
      <c r="AG282" s="658">
        <v>0.9301047980210279</v>
      </c>
      <c r="AH282" s="659">
        <f t="shared" si="3"/>
        <v>0.930104798</v>
      </c>
      <c r="AI282" s="641"/>
      <c r="AJ282" s="660">
        <f t="shared" si="6"/>
        <v>282</v>
      </c>
      <c r="AK282" s="676">
        <v>0.9432</v>
      </c>
      <c r="AL282" s="662">
        <v>73964.0</v>
      </c>
      <c r="AM282" s="677">
        <v>-0.9719324197545384</v>
      </c>
      <c r="AN282" s="678">
        <v>-0.05679999999999996</v>
      </c>
      <c r="AO282" s="662">
        <v>73964.0</v>
      </c>
      <c r="AP282" s="679">
        <v>-0.9694645789872739</v>
      </c>
      <c r="AQ282" s="662">
        <v>73964.0</v>
      </c>
      <c r="AR282" s="680">
        <v>-0.9669085144117575</v>
      </c>
      <c r="AS282" s="624"/>
      <c r="AT282" s="624"/>
      <c r="AU282" s="624"/>
      <c r="AV282" s="624"/>
      <c r="AW282" s="624"/>
      <c r="AX282" s="624"/>
      <c r="AY282" s="624"/>
      <c r="AZ282" s="624"/>
      <c r="BA282" s="624"/>
      <c r="BB282" s="624"/>
      <c r="BC282" s="624"/>
      <c r="BD282" s="624"/>
      <c r="BE282" s="624"/>
    </row>
    <row r="283" ht="16.5" customHeight="1">
      <c r="A283" s="711"/>
      <c r="B283" s="711"/>
      <c r="C283" s="711"/>
      <c r="D283" s="711"/>
      <c r="E283" s="711"/>
      <c r="F283" s="711"/>
      <c r="G283" s="711"/>
      <c r="H283" s="711"/>
      <c r="I283" s="711"/>
      <c r="J283" s="711"/>
      <c r="K283" s="741"/>
      <c r="L283" s="741"/>
      <c r="M283" s="788"/>
      <c r="N283" s="741"/>
      <c r="O283" s="741"/>
      <c r="P283" s="741"/>
      <c r="Q283" s="741"/>
      <c r="R283" s="788"/>
      <c r="S283" s="819"/>
      <c r="T283" s="820"/>
      <c r="U283" s="819"/>
      <c r="V283" s="820"/>
      <c r="W283" s="788"/>
      <c r="X283" s="803"/>
      <c r="Y283" s="803"/>
      <c r="Z283" s="803"/>
      <c r="AA283" s="711"/>
      <c r="AB283" s="711"/>
      <c r="AC283" s="711"/>
      <c r="AD283" s="736"/>
      <c r="AE283" s="736"/>
      <c r="AF283" s="799">
        <f t="shared" si="8"/>
        <v>193550</v>
      </c>
      <c r="AG283" s="658">
        <v>0.9299874057505172</v>
      </c>
      <c r="AH283" s="659">
        <f t="shared" si="3"/>
        <v>0.9299874058</v>
      </c>
      <c r="AI283" s="641"/>
      <c r="AJ283" s="660">
        <f t="shared" si="6"/>
        <v>283</v>
      </c>
      <c r="AK283" s="676">
        <v>0.9608</v>
      </c>
      <c r="AL283" s="662">
        <v>73770.0</v>
      </c>
      <c r="AM283" s="677">
        <v>-0.9716681344308072</v>
      </c>
      <c r="AN283" s="678">
        <v>-0.03920000000000001</v>
      </c>
      <c r="AO283" s="662">
        <v>73770.0</v>
      </c>
      <c r="AP283" s="679">
        <v>-0.9691838686547065</v>
      </c>
      <c r="AQ283" s="662">
        <v>73770.0</v>
      </c>
      <c r="AR283" s="680">
        <v>-0.9666113471084135</v>
      </c>
      <c r="AS283" s="624"/>
      <c r="AT283" s="624"/>
      <c r="AU283" s="624"/>
      <c r="AV283" s="624"/>
      <c r="AW283" s="624"/>
      <c r="AX283" s="624"/>
      <c r="AY283" s="624"/>
      <c r="AZ283" s="624"/>
      <c r="BA283" s="624"/>
      <c r="BB283" s="624"/>
      <c r="BC283" s="624"/>
      <c r="BD283" s="624"/>
      <c r="BE283" s="624"/>
    </row>
    <row r="284" ht="16.5" customHeight="1">
      <c r="A284" s="711"/>
      <c r="B284" s="711"/>
      <c r="C284" s="711"/>
      <c r="D284" s="711"/>
      <c r="E284" s="711"/>
      <c r="F284" s="711"/>
      <c r="G284" s="711"/>
      <c r="H284" s="711"/>
      <c r="I284" s="711"/>
      <c r="J284" s="711"/>
      <c r="K284" s="741"/>
      <c r="L284" s="741"/>
      <c r="M284" s="788"/>
      <c r="N284" s="741"/>
      <c r="O284" s="741"/>
      <c r="P284" s="741"/>
      <c r="Q284" s="741"/>
      <c r="R284" s="788"/>
      <c r="S284" s="819"/>
      <c r="T284" s="820"/>
      <c r="U284" s="819"/>
      <c r="V284" s="820"/>
      <c r="W284" s="788"/>
      <c r="X284" s="803"/>
      <c r="Y284" s="803"/>
      <c r="Z284" s="803"/>
      <c r="AA284" s="711"/>
      <c r="AB284" s="711"/>
      <c r="AC284" s="711"/>
      <c r="AD284" s="736"/>
      <c r="AE284" s="736"/>
      <c r="AF284" s="799">
        <f t="shared" si="8"/>
        <v>194300</v>
      </c>
      <c r="AG284" s="658">
        <v>0.929870018874837</v>
      </c>
      <c r="AH284" s="659">
        <f t="shared" si="3"/>
        <v>0.9298700189</v>
      </c>
      <c r="AI284" s="641"/>
      <c r="AJ284" s="660">
        <f t="shared" si="6"/>
        <v>284</v>
      </c>
      <c r="AK284" s="676">
        <v>0.9353</v>
      </c>
      <c r="AL284" s="662">
        <v>73623.0</v>
      </c>
      <c r="AM284" s="677">
        <v>-0.9714662210342696</v>
      </c>
      <c r="AN284" s="678">
        <v>-0.06469999999999998</v>
      </c>
      <c r="AO284" s="662">
        <v>73623.0</v>
      </c>
      <c r="AP284" s="679">
        <v>-0.9689694482303731</v>
      </c>
      <c r="AQ284" s="662">
        <v>73623.0</v>
      </c>
      <c r="AR284" s="680">
        <v>-0.9663843980809717</v>
      </c>
      <c r="AS284" s="624"/>
      <c r="AT284" s="624"/>
      <c r="AU284" s="624"/>
      <c r="AV284" s="624"/>
      <c r="AW284" s="624"/>
      <c r="AX284" s="624"/>
      <c r="AY284" s="624"/>
      <c r="AZ284" s="624"/>
      <c r="BA284" s="624"/>
      <c r="BB284" s="624"/>
      <c r="BC284" s="624"/>
      <c r="BD284" s="624"/>
      <c r="BE284" s="624"/>
    </row>
    <row r="285" ht="16.5" customHeight="1">
      <c r="A285" s="711"/>
      <c r="B285" s="711"/>
      <c r="C285" s="711"/>
      <c r="D285" s="711"/>
      <c r="E285" s="711"/>
      <c r="F285" s="711"/>
      <c r="G285" s="711"/>
      <c r="H285" s="711"/>
      <c r="I285" s="711"/>
      <c r="J285" s="711"/>
      <c r="K285" s="741"/>
      <c r="L285" s="741"/>
      <c r="M285" s="788"/>
      <c r="N285" s="741"/>
      <c r="O285" s="741"/>
      <c r="P285" s="741"/>
      <c r="Q285" s="741"/>
      <c r="R285" s="788"/>
      <c r="S285" s="819"/>
      <c r="T285" s="820"/>
      <c r="U285" s="819"/>
      <c r="V285" s="820"/>
      <c r="W285" s="788"/>
      <c r="X285" s="803"/>
      <c r="Y285" s="803"/>
      <c r="Z285" s="803"/>
      <c r="AA285" s="711"/>
      <c r="AB285" s="711"/>
      <c r="AC285" s="711"/>
      <c r="AD285" s="736"/>
      <c r="AE285" s="736"/>
      <c r="AF285" s="799">
        <f t="shared" si="8"/>
        <v>195050</v>
      </c>
      <c r="AG285" s="658">
        <v>0.9297526372064691</v>
      </c>
      <c r="AH285" s="659">
        <f t="shared" si="3"/>
        <v>0.9297526372</v>
      </c>
      <c r="AI285" s="641"/>
      <c r="AJ285" s="660">
        <f t="shared" si="6"/>
        <v>285</v>
      </c>
      <c r="AK285" s="676">
        <v>0.9599</v>
      </c>
      <c r="AL285" s="662">
        <v>73402.0</v>
      </c>
      <c r="AM285" s="677">
        <v>-0.971159953036873</v>
      </c>
      <c r="AN285" s="678">
        <v>-0.040100000000000025</v>
      </c>
      <c r="AO285" s="662">
        <v>73402.0</v>
      </c>
      <c r="AP285" s="679">
        <v>-0.9686442774338504</v>
      </c>
      <c r="AQ285" s="662">
        <v>73402.0</v>
      </c>
      <c r="AR285" s="680">
        <v>-0.9660402963887599</v>
      </c>
      <c r="AS285" s="624"/>
      <c r="AT285" s="624"/>
      <c r="AU285" s="624"/>
      <c r="AV285" s="624"/>
      <c r="AW285" s="624"/>
      <c r="AX285" s="624"/>
      <c r="AY285" s="624"/>
      <c r="AZ285" s="624"/>
      <c r="BA285" s="624"/>
      <c r="BB285" s="624"/>
      <c r="BC285" s="624"/>
      <c r="BD285" s="624"/>
      <c r="BE285" s="624"/>
    </row>
    <row r="286" ht="16.5" customHeight="1">
      <c r="A286" s="711"/>
      <c r="B286" s="711"/>
      <c r="C286" s="711"/>
      <c r="D286" s="711"/>
      <c r="E286" s="711"/>
      <c r="F286" s="711"/>
      <c r="G286" s="711"/>
      <c r="H286" s="711"/>
      <c r="I286" s="711"/>
      <c r="J286" s="711"/>
      <c r="K286" s="741"/>
      <c r="L286" s="741"/>
      <c r="M286" s="788"/>
      <c r="N286" s="741"/>
      <c r="O286" s="741"/>
      <c r="P286" s="741"/>
      <c r="Q286" s="741"/>
      <c r="R286" s="788"/>
      <c r="S286" s="819"/>
      <c r="T286" s="820"/>
      <c r="U286" s="819"/>
      <c r="V286" s="820"/>
      <c r="W286" s="788"/>
      <c r="X286" s="803"/>
      <c r="Y286" s="803"/>
      <c r="Z286" s="803"/>
      <c r="AA286" s="711"/>
      <c r="AB286" s="711"/>
      <c r="AC286" s="711"/>
      <c r="AD286" s="736"/>
      <c r="AE286" s="736"/>
      <c r="AF286" s="799">
        <f t="shared" si="8"/>
        <v>195800</v>
      </c>
      <c r="AG286" s="658">
        <v>0.9296352605644129</v>
      </c>
      <c r="AH286" s="659">
        <f t="shared" si="3"/>
        <v>0.9296352606</v>
      </c>
      <c r="AI286" s="641"/>
      <c r="AJ286" s="660">
        <f t="shared" si="6"/>
        <v>286</v>
      </c>
      <c r="AK286" s="676">
        <v>0.9499</v>
      </c>
      <c r="AL286" s="662">
        <v>73397.0</v>
      </c>
      <c r="AM286" s="677">
        <v>-0.9711529860005587</v>
      </c>
      <c r="AN286" s="678">
        <v>-0.05010000000000003</v>
      </c>
      <c r="AO286" s="662">
        <v>73397.0</v>
      </c>
      <c r="AP286" s="679">
        <v>-0.968636881344118</v>
      </c>
      <c r="AQ286" s="662">
        <v>73397.0</v>
      </c>
      <c r="AR286" s="680">
        <v>-0.9660324706707138</v>
      </c>
      <c r="AS286" s="624"/>
      <c r="AT286" s="624"/>
      <c r="AU286" s="624"/>
      <c r="AV286" s="624"/>
      <c r="AW286" s="624"/>
      <c r="AX286" s="624"/>
      <c r="AY286" s="624"/>
      <c r="AZ286" s="624"/>
      <c r="BA286" s="624"/>
      <c r="BB286" s="624"/>
      <c r="BC286" s="624"/>
      <c r="BD286" s="624"/>
      <c r="BE286" s="624"/>
    </row>
    <row r="287" ht="16.5" customHeight="1">
      <c r="A287" s="711"/>
      <c r="B287" s="711"/>
      <c r="C287" s="711"/>
      <c r="D287" s="711"/>
      <c r="E287" s="711"/>
      <c r="F287" s="711"/>
      <c r="G287" s="711"/>
      <c r="H287" s="711"/>
      <c r="I287" s="711"/>
      <c r="J287" s="711"/>
      <c r="K287" s="741"/>
      <c r="L287" s="741"/>
      <c r="M287" s="788"/>
      <c r="N287" s="741"/>
      <c r="O287" s="741"/>
      <c r="P287" s="741"/>
      <c r="Q287" s="741"/>
      <c r="R287" s="788"/>
      <c r="S287" s="819"/>
      <c r="T287" s="820"/>
      <c r="U287" s="819"/>
      <c r="V287" s="820"/>
      <c r="W287" s="788"/>
      <c r="X287" s="803"/>
      <c r="Y287" s="803"/>
      <c r="Z287" s="803"/>
      <c r="AA287" s="711"/>
      <c r="AB287" s="711"/>
      <c r="AC287" s="711"/>
      <c r="AD287" s="736"/>
      <c r="AE287" s="736"/>
      <c r="AF287" s="799">
        <f t="shared" si="8"/>
        <v>196550</v>
      </c>
      <c r="AG287" s="658">
        <v>0.9295178887739595</v>
      </c>
      <c r="AH287" s="659">
        <f t="shared" si="3"/>
        <v>0.9295178888</v>
      </c>
      <c r="AI287" s="641"/>
      <c r="AJ287" s="660">
        <f t="shared" si="6"/>
        <v>287</v>
      </c>
      <c r="AK287" s="676">
        <v>0.962</v>
      </c>
      <c r="AL287" s="662">
        <v>73353.0</v>
      </c>
      <c r="AM287" s="677">
        <v>-0.9710916034617461</v>
      </c>
      <c r="AN287" s="678">
        <v>-0.038000000000000034</v>
      </c>
      <c r="AO287" s="662">
        <v>73353.0</v>
      </c>
      <c r="AP287" s="679">
        <v>-0.9685717204826116</v>
      </c>
      <c r="AQ287" s="662">
        <v>73353.0</v>
      </c>
      <c r="AR287" s="680">
        <v>-0.9659635265440458</v>
      </c>
      <c r="AS287" s="624"/>
      <c r="AT287" s="624"/>
      <c r="AU287" s="624"/>
      <c r="AV287" s="624"/>
      <c r="AW287" s="624"/>
      <c r="AX287" s="624"/>
      <c r="AY287" s="624"/>
      <c r="AZ287" s="624"/>
      <c r="BA287" s="624"/>
      <c r="BB287" s="624"/>
      <c r="BC287" s="624"/>
      <c r="BD287" s="624"/>
      <c r="BE287" s="624"/>
    </row>
    <row r="288" ht="16.5" customHeight="1">
      <c r="A288" s="711"/>
      <c r="B288" s="711"/>
      <c r="C288" s="711"/>
      <c r="D288" s="711"/>
      <c r="E288" s="711"/>
      <c r="F288" s="711"/>
      <c r="G288" s="711"/>
      <c r="H288" s="711"/>
      <c r="I288" s="711"/>
      <c r="J288" s="711"/>
      <c r="K288" s="741"/>
      <c r="L288" s="741"/>
      <c r="M288" s="788"/>
      <c r="N288" s="741"/>
      <c r="O288" s="741"/>
      <c r="P288" s="741"/>
      <c r="Q288" s="741"/>
      <c r="R288" s="788"/>
      <c r="S288" s="819"/>
      <c r="T288" s="820"/>
      <c r="U288" s="819"/>
      <c r="V288" s="820"/>
      <c r="W288" s="788"/>
      <c r="X288" s="803"/>
      <c r="Y288" s="803"/>
      <c r="Z288" s="803"/>
      <c r="AA288" s="711"/>
      <c r="AB288" s="711"/>
      <c r="AC288" s="711"/>
      <c r="AD288" s="736"/>
      <c r="AE288" s="736"/>
      <c r="AF288" s="799">
        <f t="shared" si="8"/>
        <v>197300</v>
      </c>
      <c r="AG288" s="658">
        <v>0.9294005216664725</v>
      </c>
      <c r="AH288" s="659">
        <f t="shared" si="3"/>
        <v>0.9294005217</v>
      </c>
      <c r="AI288" s="641"/>
      <c r="AJ288" s="660">
        <f t="shared" si="6"/>
        <v>288</v>
      </c>
      <c r="AK288" s="676">
        <v>0.9692</v>
      </c>
      <c r="AL288" s="662">
        <v>73225.0</v>
      </c>
      <c r="AM288" s="677">
        <v>-0.9709122924067993</v>
      </c>
      <c r="AN288" s="678">
        <v>-0.03080000000000005</v>
      </c>
      <c r="AO288" s="662">
        <v>73225.0</v>
      </c>
      <c r="AP288" s="679">
        <v>-0.9683813908308079</v>
      </c>
      <c r="AQ288" s="662">
        <v>73225.0</v>
      </c>
      <c r="AR288" s="680">
        <v>-0.9657621651124969</v>
      </c>
      <c r="AS288" s="624"/>
      <c r="AT288" s="624"/>
      <c r="AU288" s="624"/>
      <c r="AV288" s="624"/>
      <c r="AW288" s="624"/>
      <c r="AX288" s="624"/>
      <c r="AY288" s="624"/>
      <c r="AZ288" s="624"/>
      <c r="BA288" s="624"/>
      <c r="BB288" s="624"/>
      <c r="BC288" s="624"/>
      <c r="BD288" s="624"/>
      <c r="BE288" s="624"/>
    </row>
    <row r="289" ht="16.5" customHeight="1">
      <c r="A289" s="711"/>
      <c r="B289" s="711"/>
      <c r="C289" s="711"/>
      <c r="D289" s="711"/>
      <c r="E289" s="711"/>
      <c r="F289" s="711"/>
      <c r="G289" s="711"/>
      <c r="H289" s="711"/>
      <c r="I289" s="711"/>
      <c r="J289" s="711"/>
      <c r="K289" s="741"/>
      <c r="L289" s="741"/>
      <c r="M289" s="788"/>
      <c r="N289" s="741"/>
      <c r="O289" s="741"/>
      <c r="P289" s="741"/>
      <c r="Q289" s="741"/>
      <c r="R289" s="788"/>
      <c r="S289" s="819"/>
      <c r="T289" s="820"/>
      <c r="U289" s="819"/>
      <c r="V289" s="820"/>
      <c r="W289" s="788"/>
      <c r="X289" s="803"/>
      <c r="Y289" s="803"/>
      <c r="Z289" s="803"/>
      <c r="AA289" s="711"/>
      <c r="AB289" s="711"/>
      <c r="AC289" s="711"/>
      <c r="AD289" s="736"/>
      <c r="AE289" s="736"/>
      <c r="AF289" s="799">
        <f t="shared" si="8"/>
        <v>198050</v>
      </c>
      <c r="AG289" s="658">
        <v>0.9292831590791772</v>
      </c>
      <c r="AH289" s="659">
        <f t="shared" si="3"/>
        <v>0.9292831591</v>
      </c>
      <c r="AI289" s="641"/>
      <c r="AJ289" s="660">
        <f t="shared" si="6"/>
        <v>289</v>
      </c>
      <c r="AK289" s="676">
        <v>0.9794</v>
      </c>
      <c r="AL289" s="662">
        <v>73105.0</v>
      </c>
      <c r="AM289" s="677">
        <v>-0.970743178302755</v>
      </c>
      <c r="AN289" s="678">
        <v>-0.02059999999999995</v>
      </c>
      <c r="AO289" s="662">
        <v>73105.0</v>
      </c>
      <c r="AP289" s="679">
        <v>-0.9682019100861995</v>
      </c>
      <c r="AQ289" s="662">
        <v>73105.0</v>
      </c>
      <c r="AR289" s="680">
        <v>-0.9655723069938537</v>
      </c>
      <c r="AS289" s="624"/>
      <c r="AT289" s="624"/>
      <c r="AU289" s="624"/>
      <c r="AV289" s="624"/>
      <c r="AW289" s="624"/>
      <c r="AX289" s="624"/>
      <c r="AY289" s="624"/>
      <c r="AZ289" s="624"/>
      <c r="BA289" s="624"/>
      <c r="BB289" s="624"/>
      <c r="BC289" s="624"/>
      <c r="BD289" s="624"/>
      <c r="BE289" s="624"/>
    </row>
    <row r="290" ht="16.5" customHeight="1">
      <c r="A290" s="711"/>
      <c r="B290" s="711"/>
      <c r="C290" s="711"/>
      <c r="D290" s="711"/>
      <c r="E290" s="711"/>
      <c r="F290" s="711"/>
      <c r="G290" s="711"/>
      <c r="H290" s="711"/>
      <c r="I290" s="711"/>
      <c r="J290" s="711"/>
      <c r="K290" s="741"/>
      <c r="L290" s="741"/>
      <c r="M290" s="788"/>
      <c r="N290" s="741"/>
      <c r="O290" s="741"/>
      <c r="P290" s="741"/>
      <c r="Q290" s="741"/>
      <c r="R290" s="788"/>
      <c r="S290" s="819"/>
      <c r="T290" s="820"/>
      <c r="U290" s="819"/>
      <c r="V290" s="820"/>
      <c r="W290" s="788"/>
      <c r="X290" s="803"/>
      <c r="Y290" s="803"/>
      <c r="Z290" s="803"/>
      <c r="AA290" s="711"/>
      <c r="AB290" s="711"/>
      <c r="AC290" s="711"/>
      <c r="AD290" s="736"/>
      <c r="AE290" s="736"/>
      <c r="AF290" s="799">
        <f t="shared" si="8"/>
        <v>198800</v>
      </c>
      <c r="AG290" s="658">
        <v>0.9291658008549567</v>
      </c>
      <c r="AH290" s="659">
        <f t="shared" si="3"/>
        <v>0.9291658009</v>
      </c>
      <c r="AI290" s="641"/>
      <c r="AJ290" s="660">
        <f t="shared" si="6"/>
        <v>290</v>
      </c>
      <c r="AK290" s="676">
        <v>0.9148</v>
      </c>
      <c r="AL290" s="662">
        <v>73019.0</v>
      </c>
      <c r="AM290" s="677">
        <v>-0.9706213753769025</v>
      </c>
      <c r="AN290" s="678">
        <v>-0.08520000000000005</v>
      </c>
      <c r="AO290" s="662">
        <v>73019.0</v>
      </c>
      <c r="AP290" s="679">
        <v>-0.9680726558452927</v>
      </c>
      <c r="AQ290" s="662">
        <v>73019.0</v>
      </c>
      <c r="AR290" s="680">
        <v>-0.965435594719967</v>
      </c>
      <c r="AS290" s="624"/>
      <c r="AT290" s="624"/>
      <c r="AU290" s="624"/>
      <c r="AV290" s="624"/>
      <c r="AW290" s="624"/>
      <c r="AX290" s="624"/>
      <c r="AY290" s="624"/>
      <c r="AZ290" s="624"/>
      <c r="BA290" s="624"/>
      <c r="BB290" s="624"/>
      <c r="BC290" s="624"/>
      <c r="BD290" s="624"/>
      <c r="BE290" s="624"/>
    </row>
    <row r="291" ht="16.5" customHeight="1">
      <c r="A291" s="711"/>
      <c r="B291" s="711"/>
      <c r="C291" s="711"/>
      <c r="D291" s="711"/>
      <c r="E291" s="711"/>
      <c r="F291" s="711"/>
      <c r="G291" s="711"/>
      <c r="H291" s="711"/>
      <c r="I291" s="711"/>
      <c r="J291" s="711"/>
      <c r="K291" s="741"/>
      <c r="L291" s="741"/>
      <c r="M291" s="788"/>
      <c r="N291" s="741"/>
      <c r="O291" s="741"/>
      <c r="P291" s="741"/>
      <c r="Q291" s="741"/>
      <c r="R291" s="788"/>
      <c r="S291" s="819"/>
      <c r="T291" s="820"/>
      <c r="U291" s="819"/>
      <c r="V291" s="820"/>
      <c r="W291" s="788"/>
      <c r="X291" s="803"/>
      <c r="Y291" s="803"/>
      <c r="Z291" s="803"/>
      <c r="AA291" s="711"/>
      <c r="AB291" s="711"/>
      <c r="AC291" s="711"/>
      <c r="AD291" s="736"/>
      <c r="AE291" s="736"/>
      <c r="AF291" s="799">
        <f t="shared" si="8"/>
        <v>199550</v>
      </c>
      <c r="AG291" s="658">
        <v>0.9290484468421553</v>
      </c>
      <c r="AH291" s="659">
        <f t="shared" si="3"/>
        <v>0.9290484468</v>
      </c>
      <c r="AI291" s="641"/>
      <c r="AJ291" s="660">
        <f t="shared" si="6"/>
        <v>291</v>
      </c>
      <c r="AK291" s="676">
        <v>0.9499</v>
      </c>
      <c r="AL291" s="662">
        <v>73000.0</v>
      </c>
      <c r="AM291" s="677">
        <v>-0.9705943971101312</v>
      </c>
      <c r="AN291" s="678">
        <v>-0.05010000000000003</v>
      </c>
      <c r="AO291" s="662">
        <v>73000.0</v>
      </c>
      <c r="AP291" s="679">
        <v>-0.9680440288898967</v>
      </c>
      <c r="AQ291" s="662">
        <v>73000.0</v>
      </c>
      <c r="AR291" s="680">
        <v>-0.9654053177019938</v>
      </c>
      <c r="AS291" s="624"/>
      <c r="AT291" s="624"/>
      <c r="AU291" s="624"/>
      <c r="AV291" s="624"/>
      <c r="AW291" s="624"/>
      <c r="AX291" s="624"/>
      <c r="AY291" s="624"/>
      <c r="AZ291" s="624"/>
      <c r="BA291" s="624"/>
      <c r="BB291" s="624"/>
      <c r="BC291" s="624"/>
      <c r="BD291" s="624"/>
      <c r="BE291" s="624"/>
    </row>
    <row r="292" ht="16.5" customHeight="1">
      <c r="A292" s="711"/>
      <c r="B292" s="711"/>
      <c r="C292" s="711"/>
      <c r="D292" s="711"/>
      <c r="E292" s="711"/>
      <c r="F292" s="711"/>
      <c r="G292" s="711"/>
      <c r="H292" s="711"/>
      <c r="I292" s="711"/>
      <c r="J292" s="711"/>
      <c r="K292" s="741"/>
      <c r="L292" s="741"/>
      <c r="M292" s="788"/>
      <c r="N292" s="741"/>
      <c r="O292" s="741"/>
      <c r="P292" s="741"/>
      <c r="Q292" s="741"/>
      <c r="R292" s="788"/>
      <c r="S292" s="819"/>
      <c r="T292" s="820"/>
      <c r="U292" s="819"/>
      <c r="V292" s="820"/>
      <c r="W292" s="788"/>
      <c r="X292" s="803"/>
      <c r="Y292" s="803"/>
      <c r="Z292" s="803"/>
      <c r="AA292" s="711"/>
      <c r="AB292" s="711"/>
      <c r="AC292" s="711"/>
      <c r="AD292" s="736"/>
      <c r="AE292" s="736"/>
      <c r="AF292" s="799">
        <f t="shared" si="8"/>
        <v>200300</v>
      </c>
      <c r="AG292" s="658">
        <v>0.9289310968943888</v>
      </c>
      <c r="AH292" s="659">
        <f t="shared" si="3"/>
        <v>0.9289310969</v>
      </c>
      <c r="AI292" s="641"/>
      <c r="AJ292" s="660">
        <f t="shared" si="6"/>
        <v>292</v>
      </c>
      <c r="AK292" s="676">
        <v>0.9656</v>
      </c>
      <c r="AL292" s="662">
        <v>72843.0</v>
      </c>
      <c r="AM292" s="677">
        <v>-0.9703705211826632</v>
      </c>
      <c r="AN292" s="678">
        <v>-0.034399999999999986</v>
      </c>
      <c r="AO292" s="662">
        <v>72843.0</v>
      </c>
      <c r="AP292" s="679">
        <v>-0.9678064953601042</v>
      </c>
      <c r="AQ292" s="662">
        <v>72843.0</v>
      </c>
      <c r="AR292" s="680">
        <v>-0.9651541167518944</v>
      </c>
      <c r="AS292" s="624"/>
      <c r="AT292" s="624"/>
      <c r="AU292" s="624"/>
      <c r="AV292" s="624"/>
      <c r="AW292" s="624"/>
      <c r="AX292" s="624"/>
      <c r="AY292" s="624"/>
      <c r="AZ292" s="624"/>
      <c r="BA292" s="624"/>
      <c r="BB292" s="624"/>
      <c r="BC292" s="624"/>
      <c r="BD292" s="624"/>
      <c r="BE292" s="624"/>
    </row>
    <row r="293" ht="16.5" customHeight="1">
      <c r="A293" s="711"/>
      <c r="B293" s="711"/>
      <c r="C293" s="711"/>
      <c r="D293" s="711"/>
      <c r="E293" s="711"/>
      <c r="F293" s="711"/>
      <c r="G293" s="711"/>
      <c r="H293" s="711"/>
      <c r="I293" s="711"/>
      <c r="J293" s="711"/>
      <c r="K293" s="741"/>
      <c r="L293" s="741"/>
      <c r="M293" s="788"/>
      <c r="N293" s="741"/>
      <c r="O293" s="741"/>
      <c r="P293" s="741"/>
      <c r="Q293" s="741"/>
      <c r="R293" s="788"/>
      <c r="S293" s="819"/>
      <c r="T293" s="820"/>
      <c r="U293" s="819"/>
      <c r="V293" s="820"/>
      <c r="W293" s="788"/>
      <c r="X293" s="803"/>
      <c r="Y293" s="803"/>
      <c r="Z293" s="803"/>
      <c r="AA293" s="711"/>
      <c r="AB293" s="711"/>
      <c r="AC293" s="711"/>
      <c r="AD293" s="736"/>
      <c r="AE293" s="736"/>
      <c r="AF293" s="799">
        <f t="shared" si="8"/>
        <v>201050</v>
      </c>
      <c r="AG293" s="658">
        <v>0.928813750870361</v>
      </c>
      <c r="AH293" s="659">
        <f t="shared" si="3"/>
        <v>0.9288137509</v>
      </c>
      <c r="AI293" s="641"/>
      <c r="AJ293" s="660">
        <f t="shared" si="6"/>
        <v>293</v>
      </c>
      <c r="AK293" s="676">
        <v>0.945</v>
      </c>
      <c r="AL293" s="662">
        <v>72778.0</v>
      </c>
      <c r="AM293" s="677">
        <v>-0.9702773355270132</v>
      </c>
      <c r="AN293" s="678">
        <v>-0.05500000000000005</v>
      </c>
      <c r="AO293" s="662">
        <v>72778.0</v>
      </c>
      <c r="AP293" s="679">
        <v>-0.9677076373863336</v>
      </c>
      <c r="AQ293" s="662">
        <v>72778.0</v>
      </c>
      <c r="AR293" s="680">
        <v>-0.965049583200951</v>
      </c>
      <c r="AS293" s="624"/>
      <c r="AT293" s="624"/>
      <c r="AU293" s="624"/>
      <c r="AV293" s="624"/>
      <c r="AW293" s="624"/>
      <c r="AX293" s="624"/>
      <c r="AY293" s="624"/>
      <c r="AZ293" s="624"/>
      <c r="BA293" s="624"/>
      <c r="BB293" s="624"/>
      <c r="BC293" s="624"/>
      <c r="BD293" s="624"/>
      <c r="BE293" s="624"/>
    </row>
    <row r="294" ht="16.5" customHeight="1">
      <c r="A294" s="711"/>
      <c r="B294" s="711"/>
      <c r="C294" s="711"/>
      <c r="D294" s="711"/>
      <c r="E294" s="711"/>
      <c r="F294" s="711"/>
      <c r="G294" s="711"/>
      <c r="H294" s="711"/>
      <c r="I294" s="711"/>
      <c r="J294" s="711"/>
      <c r="K294" s="741"/>
      <c r="L294" s="741"/>
      <c r="M294" s="788"/>
      <c r="N294" s="741"/>
      <c r="O294" s="741"/>
      <c r="P294" s="741"/>
      <c r="Q294" s="741"/>
      <c r="R294" s="788"/>
      <c r="S294" s="819"/>
      <c r="T294" s="820"/>
      <c r="U294" s="819"/>
      <c r="V294" s="820"/>
      <c r="W294" s="788"/>
      <c r="X294" s="803"/>
      <c r="Y294" s="803"/>
      <c r="Z294" s="803"/>
      <c r="AA294" s="711"/>
      <c r="AB294" s="711"/>
      <c r="AC294" s="711"/>
      <c r="AD294" s="736"/>
      <c r="AE294" s="736"/>
      <c r="AF294" s="799">
        <f t="shared" si="8"/>
        <v>201800</v>
      </c>
      <c r="AG294" s="658">
        <v>0.9286964086336872</v>
      </c>
      <c r="AH294" s="659">
        <f t="shared" si="3"/>
        <v>0.9286964086</v>
      </c>
      <c r="AI294" s="641"/>
      <c r="AJ294" s="660">
        <f t="shared" si="6"/>
        <v>294</v>
      </c>
      <c r="AK294" s="676">
        <v>0.9695</v>
      </c>
      <c r="AL294" s="662">
        <v>72626.0</v>
      </c>
      <c r="AM294" s="677">
        <v>-0.9700582788636515</v>
      </c>
      <c r="AN294" s="678">
        <v>-0.03049999999999997</v>
      </c>
      <c r="AO294" s="662">
        <v>72626.0</v>
      </c>
      <c r="AP294" s="679">
        <v>-0.9674752752383162</v>
      </c>
      <c r="AQ294" s="662">
        <v>72626.0</v>
      </c>
      <c r="AR294" s="680">
        <v>-0.9648039098030555</v>
      </c>
      <c r="AS294" s="624"/>
      <c r="AT294" s="624"/>
      <c r="AU294" s="624"/>
      <c r="AV294" s="624"/>
      <c r="AW294" s="624"/>
      <c r="AX294" s="624"/>
      <c r="AY294" s="624"/>
      <c r="AZ294" s="624"/>
      <c r="BA294" s="624"/>
      <c r="BB294" s="624"/>
      <c r="BC294" s="624"/>
      <c r="BD294" s="624"/>
      <c r="BE294" s="624"/>
    </row>
    <row r="295" ht="16.5" customHeight="1">
      <c r="A295" s="711"/>
      <c r="B295" s="711"/>
      <c r="C295" s="711"/>
      <c r="D295" s="711"/>
      <c r="E295" s="711"/>
      <c r="F295" s="711"/>
      <c r="G295" s="711"/>
      <c r="H295" s="711"/>
      <c r="I295" s="711"/>
      <c r="J295" s="711"/>
      <c r="K295" s="741"/>
      <c r="L295" s="741"/>
      <c r="M295" s="788"/>
      <c r="N295" s="741"/>
      <c r="O295" s="741"/>
      <c r="P295" s="741"/>
      <c r="Q295" s="741"/>
      <c r="R295" s="788"/>
      <c r="S295" s="819"/>
      <c r="T295" s="820"/>
      <c r="U295" s="819"/>
      <c r="V295" s="820"/>
      <c r="W295" s="788"/>
      <c r="X295" s="803"/>
      <c r="Y295" s="803"/>
      <c r="Z295" s="803"/>
      <c r="AA295" s="711"/>
      <c r="AB295" s="711"/>
      <c r="AC295" s="711"/>
      <c r="AD295" s="736"/>
      <c r="AE295" s="736"/>
      <c r="AF295" s="799">
        <f t="shared" si="8"/>
        <v>202550</v>
      </c>
      <c r="AG295" s="658">
        <v>0.928579070052723</v>
      </c>
      <c r="AH295" s="659">
        <f t="shared" si="3"/>
        <v>0.9285790701</v>
      </c>
      <c r="AI295" s="641"/>
      <c r="AJ295" s="660">
        <f t="shared" si="6"/>
        <v>295</v>
      </c>
      <c r="AK295" s="676">
        <v>0.9442</v>
      </c>
      <c r="AL295" s="662">
        <v>72232.0</v>
      </c>
      <c r="AM295" s="677">
        <v>-0.9694829153285537</v>
      </c>
      <c r="AN295" s="678">
        <v>-0.05579999999999996</v>
      </c>
      <c r="AO295" s="662">
        <v>72232.0</v>
      </c>
      <c r="AP295" s="679">
        <v>-0.9668651543384549</v>
      </c>
      <c r="AQ295" s="662">
        <v>72232.0</v>
      </c>
      <c r="AR295" s="680">
        <v>-0.9641590288516746</v>
      </c>
      <c r="AS295" s="624"/>
      <c r="AT295" s="624"/>
      <c r="AU295" s="624"/>
      <c r="AV295" s="624"/>
      <c r="AW295" s="624"/>
      <c r="AX295" s="624"/>
      <c r="AY295" s="624"/>
      <c r="AZ295" s="624"/>
      <c r="BA295" s="624"/>
      <c r="BB295" s="624"/>
      <c r="BC295" s="624"/>
      <c r="BD295" s="624"/>
      <c r="BE295" s="624"/>
    </row>
    <row r="296" ht="16.5" customHeight="1">
      <c r="A296" s="711"/>
      <c r="B296" s="711"/>
      <c r="C296" s="711"/>
      <c r="D296" s="711"/>
      <c r="E296" s="711"/>
      <c r="F296" s="711"/>
      <c r="G296" s="711"/>
      <c r="H296" s="711"/>
      <c r="I296" s="711"/>
      <c r="J296" s="711"/>
      <c r="K296" s="741"/>
      <c r="L296" s="741"/>
      <c r="M296" s="788"/>
      <c r="N296" s="741"/>
      <c r="O296" s="741"/>
      <c r="P296" s="741"/>
      <c r="Q296" s="741"/>
      <c r="R296" s="788"/>
      <c r="S296" s="819"/>
      <c r="T296" s="820"/>
      <c r="U296" s="819"/>
      <c r="V296" s="820"/>
      <c r="W296" s="788"/>
      <c r="X296" s="803"/>
      <c r="Y296" s="803"/>
      <c r="Z296" s="803"/>
      <c r="AA296" s="711"/>
      <c r="AB296" s="711"/>
      <c r="AC296" s="711"/>
      <c r="AD296" s="736"/>
      <c r="AE296" s="736"/>
      <c r="AF296" s="799">
        <f t="shared" si="8"/>
        <v>203300</v>
      </c>
      <c r="AG296" s="658">
        <v>0.9284617350004002</v>
      </c>
      <c r="AH296" s="659">
        <f t="shared" si="3"/>
        <v>0.928461735</v>
      </c>
      <c r="AI296" s="641"/>
      <c r="AJ296" s="660">
        <f t="shared" si="6"/>
        <v>296</v>
      </c>
      <c r="AK296" s="676">
        <v>0.939</v>
      </c>
      <c r="AL296" s="662">
        <v>71820.0</v>
      </c>
      <c r="AM296" s="677">
        <v>-0.968869437253629</v>
      </c>
      <c r="AN296" s="678">
        <v>-0.061000000000000054</v>
      </c>
      <c r="AO296" s="662">
        <v>71820.0</v>
      </c>
      <c r="AP296" s="679">
        <v>-0.966214915100844</v>
      </c>
      <c r="AQ296" s="662">
        <v>71820.0</v>
      </c>
      <c r="AR296" s="680">
        <v>-0.963472044935262</v>
      </c>
      <c r="AS296" s="624"/>
      <c r="AT296" s="624"/>
      <c r="AU296" s="624"/>
      <c r="AV296" s="624"/>
      <c r="AW296" s="624"/>
      <c r="AX296" s="624"/>
      <c r="AY296" s="624"/>
      <c r="AZ296" s="624"/>
      <c r="BA296" s="624"/>
      <c r="BB296" s="624"/>
      <c r="BC296" s="624"/>
      <c r="BD296" s="624"/>
      <c r="BE296" s="624"/>
    </row>
    <row r="297" ht="16.5" customHeight="1">
      <c r="A297" s="711"/>
      <c r="B297" s="711"/>
      <c r="C297" s="711"/>
      <c r="D297" s="711"/>
      <c r="E297" s="711"/>
      <c r="F297" s="711"/>
      <c r="G297" s="711"/>
      <c r="H297" s="711"/>
      <c r="I297" s="711"/>
      <c r="J297" s="711"/>
      <c r="K297" s="741"/>
      <c r="L297" s="741"/>
      <c r="M297" s="788"/>
      <c r="N297" s="741"/>
      <c r="O297" s="741"/>
      <c r="P297" s="741"/>
      <c r="Q297" s="741"/>
      <c r="R297" s="788"/>
      <c r="S297" s="819"/>
      <c r="T297" s="820"/>
      <c r="U297" s="819"/>
      <c r="V297" s="820"/>
      <c r="W297" s="788"/>
      <c r="X297" s="803"/>
      <c r="Y297" s="803"/>
      <c r="Z297" s="803"/>
      <c r="AA297" s="711"/>
      <c r="AB297" s="711"/>
      <c r="AC297" s="711"/>
      <c r="AD297" s="736"/>
      <c r="AE297" s="736"/>
      <c r="AF297" s="799">
        <f t="shared" si="8"/>
        <v>204050</v>
      </c>
      <c r="AG297" s="658">
        <v>0.9283444033540668</v>
      </c>
      <c r="AH297" s="659">
        <f t="shared" si="3"/>
        <v>0.9283444034</v>
      </c>
      <c r="AI297" s="641"/>
      <c r="AJ297" s="660">
        <f t="shared" si="6"/>
        <v>297</v>
      </c>
      <c r="AK297" s="676">
        <v>0.9656</v>
      </c>
      <c r="AL297" s="662">
        <v>71619.0</v>
      </c>
      <c r="AM297" s="677">
        <v>-0.9685656826135675</v>
      </c>
      <c r="AN297" s="678">
        <v>-0.034399999999999986</v>
      </c>
      <c r="AO297" s="662">
        <v>71619.0</v>
      </c>
      <c r="AP297" s="679">
        <v>-0.9658930709361448</v>
      </c>
      <c r="AQ297" s="662">
        <v>71619.0</v>
      </c>
      <c r="AR297" s="680">
        <v>-0.9631321265931784</v>
      </c>
      <c r="AS297" s="624"/>
      <c r="AT297" s="624"/>
      <c r="AU297" s="624"/>
      <c r="AV297" s="624"/>
      <c r="AW297" s="624"/>
      <c r="AX297" s="624"/>
      <c r="AY297" s="624"/>
      <c r="AZ297" s="624"/>
      <c r="BA297" s="624"/>
      <c r="BB297" s="624"/>
      <c r="BC297" s="624"/>
      <c r="BD297" s="624"/>
      <c r="BE297" s="624"/>
    </row>
    <row r="298" ht="16.5" customHeight="1">
      <c r="A298" s="711"/>
      <c r="B298" s="711"/>
      <c r="C298" s="711"/>
      <c r="D298" s="711"/>
      <c r="E298" s="711"/>
      <c r="F298" s="711"/>
      <c r="G298" s="711"/>
      <c r="H298" s="711"/>
      <c r="I298" s="711"/>
      <c r="J298" s="711"/>
      <c r="K298" s="741"/>
      <c r="L298" s="741"/>
      <c r="M298" s="788"/>
      <c r="N298" s="741"/>
      <c r="O298" s="741"/>
      <c r="P298" s="741"/>
      <c r="Q298" s="741"/>
      <c r="R298" s="788"/>
      <c r="S298" s="819"/>
      <c r="T298" s="820"/>
      <c r="U298" s="819"/>
      <c r="V298" s="820"/>
      <c r="W298" s="788"/>
      <c r="X298" s="803"/>
      <c r="Y298" s="803"/>
      <c r="Z298" s="803"/>
      <c r="AA298" s="711"/>
      <c r="AB298" s="711"/>
      <c r="AC298" s="711"/>
      <c r="AD298" s="736"/>
      <c r="AE298" s="736"/>
      <c r="AF298" s="799">
        <f t="shared" si="8"/>
        <v>204800</v>
      </c>
      <c r="AG298" s="658">
        <v>0.9282270749953347</v>
      </c>
      <c r="AH298" s="659">
        <f t="shared" si="3"/>
        <v>0.928227075</v>
      </c>
      <c r="AI298" s="641"/>
      <c r="AJ298" s="660">
        <f t="shared" si="6"/>
        <v>298</v>
      </c>
      <c r="AK298" s="676">
        <v>0.9405</v>
      </c>
      <c r="AL298" s="662">
        <v>71164.0</v>
      </c>
      <c r="AM298" s="677">
        <v>-0.9678670853645343</v>
      </c>
      <c r="AN298" s="678">
        <v>-0.0595</v>
      </c>
      <c r="AO298" s="662">
        <v>71164.0</v>
      </c>
      <c r="AP298" s="679">
        <v>-0.9651531471981367</v>
      </c>
      <c r="AQ298" s="662">
        <v>71164.0</v>
      </c>
      <c r="AR298" s="680">
        <v>-0.962350929185717</v>
      </c>
      <c r="AS298" s="624"/>
      <c r="AT298" s="624"/>
      <c r="AU298" s="624"/>
      <c r="AV298" s="624"/>
      <c r="AW298" s="624"/>
      <c r="AX298" s="624"/>
      <c r="AY298" s="624"/>
      <c r="AZ298" s="624"/>
      <c r="BA298" s="624"/>
      <c r="BB298" s="624"/>
      <c r="BC298" s="624"/>
      <c r="BD298" s="624"/>
      <c r="BE298" s="624"/>
    </row>
    <row r="299" ht="16.5" customHeight="1">
      <c r="A299" s="711"/>
      <c r="B299" s="711"/>
      <c r="C299" s="711"/>
      <c r="D299" s="711"/>
      <c r="E299" s="711"/>
      <c r="F299" s="711"/>
      <c r="G299" s="711"/>
      <c r="H299" s="711"/>
      <c r="I299" s="711"/>
      <c r="J299" s="711"/>
      <c r="K299" s="741"/>
      <c r="L299" s="741"/>
      <c r="M299" s="788"/>
      <c r="N299" s="741"/>
      <c r="O299" s="741"/>
      <c r="P299" s="741"/>
      <c r="Q299" s="741"/>
      <c r="R299" s="788"/>
      <c r="S299" s="819"/>
      <c r="T299" s="820"/>
      <c r="U299" s="819"/>
      <c r="V299" s="820"/>
      <c r="W299" s="788"/>
      <c r="X299" s="803"/>
      <c r="Y299" s="803"/>
      <c r="Z299" s="803"/>
      <c r="AA299" s="711"/>
      <c r="AB299" s="711"/>
      <c r="AC299" s="711"/>
      <c r="AD299" s="736"/>
      <c r="AE299" s="736"/>
      <c r="AF299" s="799">
        <f t="shared" si="8"/>
        <v>205550</v>
      </c>
      <c r="AG299" s="658">
        <v>0.9281097498099304</v>
      </c>
      <c r="AH299" s="659">
        <f t="shared" si="3"/>
        <v>0.9281097498</v>
      </c>
      <c r="AI299" s="641"/>
      <c r="AJ299" s="660">
        <f t="shared" si="6"/>
        <v>299</v>
      </c>
      <c r="AK299" s="676">
        <v>0.9467</v>
      </c>
      <c r="AL299" s="662">
        <v>71050.0</v>
      </c>
      <c r="AM299" s="677">
        <v>-0.9676896332992162</v>
      </c>
      <c r="AN299" s="678">
        <v>-0.053300000000000014</v>
      </c>
      <c r="AO299" s="662">
        <v>71050.0</v>
      </c>
      <c r="AP299" s="679">
        <v>-0.9649652584585473</v>
      </c>
      <c r="AQ299" s="662">
        <v>71050.0</v>
      </c>
      <c r="AR299" s="680">
        <v>-0.9621526209948146</v>
      </c>
      <c r="AS299" s="624"/>
      <c r="AT299" s="624"/>
      <c r="AU299" s="624"/>
      <c r="AV299" s="624"/>
      <c r="AW299" s="624"/>
      <c r="AX299" s="624"/>
      <c r="AY299" s="624"/>
      <c r="AZ299" s="624"/>
      <c r="BA299" s="624"/>
      <c r="BB299" s="624"/>
      <c r="BC299" s="624"/>
      <c r="BD299" s="624"/>
      <c r="BE299" s="624"/>
    </row>
    <row r="300" ht="16.5" customHeight="1">
      <c r="A300" s="711"/>
      <c r="B300" s="711"/>
      <c r="C300" s="711"/>
      <c r="D300" s="711"/>
      <c r="E300" s="711"/>
      <c r="F300" s="711"/>
      <c r="G300" s="711"/>
      <c r="H300" s="711"/>
      <c r="I300" s="711"/>
      <c r="J300" s="711"/>
      <c r="K300" s="741"/>
      <c r="L300" s="741"/>
      <c r="M300" s="788"/>
      <c r="N300" s="741"/>
      <c r="O300" s="741"/>
      <c r="P300" s="741"/>
      <c r="Q300" s="741"/>
      <c r="R300" s="788"/>
      <c r="S300" s="819"/>
      <c r="T300" s="820"/>
      <c r="U300" s="819"/>
      <c r="V300" s="820"/>
      <c r="W300" s="788"/>
      <c r="X300" s="803"/>
      <c r="Y300" s="803"/>
      <c r="Z300" s="803"/>
      <c r="AA300" s="711"/>
      <c r="AB300" s="711"/>
      <c r="AC300" s="711"/>
      <c r="AD300" s="736"/>
      <c r="AE300" s="736"/>
      <c r="AF300" s="799">
        <f t="shared" si="8"/>
        <v>206300</v>
      </c>
      <c r="AG300" s="658">
        <v>0.9279924276875525</v>
      </c>
      <c r="AH300" s="659">
        <f t="shared" si="3"/>
        <v>0.9279924277</v>
      </c>
      <c r="AI300" s="641"/>
      <c r="AJ300" s="660">
        <f t="shared" si="6"/>
        <v>300</v>
      </c>
      <c r="AK300" s="676">
        <v>0.9543</v>
      </c>
      <c r="AL300" s="662">
        <v>71000.0</v>
      </c>
      <c r="AM300" s="677">
        <v>-0.9676114946027896</v>
      </c>
      <c r="AN300" s="678">
        <v>-0.04569999999999996</v>
      </c>
      <c r="AO300" s="662">
        <v>71000.0</v>
      </c>
      <c r="AP300" s="679">
        <v>-0.9648825318345041</v>
      </c>
      <c r="AQ300" s="662">
        <v>71000.0</v>
      </c>
      <c r="AR300" s="680">
        <v>-0.9620653145075221</v>
      </c>
      <c r="AS300" s="624"/>
      <c r="AT300" s="624"/>
      <c r="AU300" s="624"/>
      <c r="AV300" s="624"/>
      <c r="AW300" s="624"/>
      <c r="AX300" s="624"/>
      <c r="AY300" s="624"/>
      <c r="AZ300" s="624"/>
      <c r="BA300" s="624"/>
      <c r="BB300" s="624"/>
      <c r="BC300" s="624"/>
      <c r="BD300" s="624"/>
      <c r="BE300" s="624"/>
    </row>
    <row r="301" ht="16.5" customHeight="1">
      <c r="A301" s="711"/>
      <c r="B301" s="711"/>
      <c r="C301" s="711"/>
      <c r="D301" s="711"/>
      <c r="E301" s="711"/>
      <c r="F301" s="711"/>
      <c r="G301" s="711"/>
      <c r="H301" s="711"/>
      <c r="I301" s="711"/>
      <c r="J301" s="711"/>
      <c r="K301" s="741"/>
      <c r="L301" s="741"/>
      <c r="M301" s="788"/>
      <c r="N301" s="741"/>
      <c r="O301" s="741"/>
      <c r="P301" s="741"/>
      <c r="Q301" s="741"/>
      <c r="R301" s="788"/>
      <c r="S301" s="819"/>
      <c r="T301" s="820"/>
      <c r="U301" s="819"/>
      <c r="V301" s="820"/>
      <c r="W301" s="788"/>
      <c r="X301" s="803"/>
      <c r="Y301" s="803"/>
      <c r="Z301" s="803"/>
      <c r="AA301" s="711"/>
      <c r="AB301" s="711"/>
      <c r="AC301" s="711"/>
      <c r="AD301" s="736"/>
      <c r="AE301" s="736"/>
      <c r="AF301" s="799">
        <f t="shared" si="8"/>
        <v>207050</v>
      </c>
      <c r="AG301" s="658">
        <v>0.9278751085217336</v>
      </c>
      <c r="AH301" s="659">
        <f t="shared" si="3"/>
        <v>0.9278751085</v>
      </c>
      <c r="AI301" s="641"/>
      <c r="AJ301" s="660">
        <f t="shared" si="6"/>
        <v>301</v>
      </c>
      <c r="AK301" s="676">
        <v>0.9248</v>
      </c>
      <c r="AL301" s="662">
        <v>70614.0</v>
      </c>
      <c r="AM301" s="677">
        <v>-0.9670018687473299</v>
      </c>
      <c r="AN301" s="678">
        <v>-0.07520000000000004</v>
      </c>
      <c r="AO301" s="662">
        <v>70614.0</v>
      </c>
      <c r="AP301" s="679">
        <v>-0.9642372724066495</v>
      </c>
      <c r="AQ301" s="662">
        <v>70614.0</v>
      </c>
      <c r="AR301" s="680">
        <v>-0.9613844943536365</v>
      </c>
      <c r="AS301" s="624"/>
      <c r="AT301" s="624"/>
      <c r="AU301" s="624"/>
      <c r="AV301" s="624"/>
      <c r="AW301" s="624"/>
      <c r="AX301" s="624"/>
      <c r="AY301" s="624"/>
      <c r="AZ301" s="624"/>
      <c r="BA301" s="624"/>
      <c r="BB301" s="624"/>
      <c r="BC301" s="624"/>
      <c r="BD301" s="624"/>
      <c r="BE301" s="624"/>
    </row>
    <row r="302" ht="16.5" customHeight="1">
      <c r="A302" s="711"/>
      <c r="B302" s="711"/>
      <c r="C302" s="711"/>
      <c r="D302" s="711"/>
      <c r="E302" s="711"/>
      <c r="F302" s="711"/>
      <c r="G302" s="711"/>
      <c r="H302" s="711"/>
      <c r="I302" s="711"/>
      <c r="J302" s="711"/>
      <c r="K302" s="741"/>
      <c r="L302" s="741"/>
      <c r="M302" s="788"/>
      <c r="N302" s="741"/>
      <c r="O302" s="741"/>
      <c r="P302" s="741"/>
      <c r="Q302" s="741"/>
      <c r="R302" s="788"/>
      <c r="S302" s="819"/>
      <c r="T302" s="820"/>
      <c r="U302" s="819"/>
      <c r="V302" s="820"/>
      <c r="W302" s="788"/>
      <c r="X302" s="803"/>
      <c r="Y302" s="803"/>
      <c r="Z302" s="803"/>
      <c r="AA302" s="711"/>
      <c r="AB302" s="711"/>
      <c r="AC302" s="711"/>
      <c r="AD302" s="736"/>
      <c r="AE302" s="736"/>
      <c r="AF302" s="799">
        <f t="shared" si="8"/>
        <v>207800</v>
      </c>
      <c r="AG302" s="658">
        <v>0.927757792209707</v>
      </c>
      <c r="AH302" s="659">
        <f t="shared" si="3"/>
        <v>0.9277577922</v>
      </c>
      <c r="AI302" s="641"/>
      <c r="AJ302" s="660">
        <f t="shared" si="6"/>
        <v>302</v>
      </c>
      <c r="AK302" s="676">
        <v>0.9773</v>
      </c>
      <c r="AL302" s="662">
        <v>70532.0</v>
      </c>
      <c r="AM302" s="677">
        <v>-0.9668708922616681</v>
      </c>
      <c r="AN302" s="678">
        <v>-0.022700000000000053</v>
      </c>
      <c r="AO302" s="662">
        <v>70532.0</v>
      </c>
      <c r="AP302" s="679">
        <v>-0.9640986770099168</v>
      </c>
      <c r="AQ302" s="662">
        <v>70532.0</v>
      </c>
      <c r="AR302" s="680">
        <v>-0.9612382979600843</v>
      </c>
      <c r="AS302" s="624"/>
      <c r="AT302" s="624"/>
      <c r="AU302" s="624"/>
      <c r="AV302" s="624"/>
      <c r="AW302" s="624"/>
      <c r="AX302" s="624"/>
      <c r="AY302" s="624"/>
      <c r="AZ302" s="624"/>
      <c r="BA302" s="624"/>
      <c r="BB302" s="624"/>
      <c r="BC302" s="624"/>
      <c r="BD302" s="624"/>
      <c r="BE302" s="624"/>
    </row>
    <row r="303" ht="16.5" customHeight="1">
      <c r="A303" s="711"/>
      <c r="B303" s="711"/>
      <c r="C303" s="711"/>
      <c r="D303" s="711"/>
      <c r="E303" s="711"/>
      <c r="F303" s="711"/>
      <c r="G303" s="711"/>
      <c r="H303" s="711"/>
      <c r="I303" s="711"/>
      <c r="J303" s="711"/>
      <c r="K303" s="741"/>
      <c r="L303" s="741"/>
      <c r="M303" s="788"/>
      <c r="N303" s="741"/>
      <c r="O303" s="741"/>
      <c r="P303" s="741"/>
      <c r="Q303" s="741"/>
      <c r="R303" s="788"/>
      <c r="S303" s="819"/>
      <c r="T303" s="820"/>
      <c r="U303" s="819"/>
      <c r="V303" s="820"/>
      <c r="W303" s="788"/>
      <c r="X303" s="803"/>
      <c r="Y303" s="803"/>
      <c r="Z303" s="803"/>
      <c r="AA303" s="711"/>
      <c r="AB303" s="711"/>
      <c r="AC303" s="711"/>
      <c r="AD303" s="736"/>
      <c r="AE303" s="736"/>
      <c r="AF303" s="799">
        <f t="shared" si="8"/>
        <v>208550</v>
      </c>
      <c r="AG303" s="658">
        <v>0.927640478652278</v>
      </c>
      <c r="AH303" s="659">
        <f t="shared" si="3"/>
        <v>0.9276404787</v>
      </c>
      <c r="AI303" s="641"/>
      <c r="AJ303" s="660">
        <f t="shared" si="6"/>
        <v>303</v>
      </c>
      <c r="AK303" s="676">
        <v>0.9724</v>
      </c>
      <c r="AL303" s="662">
        <v>70518.0</v>
      </c>
      <c r="AM303" s="677">
        <v>-0.9668484785231743</v>
      </c>
      <c r="AN303" s="678">
        <v>-0.027599999999999958</v>
      </c>
      <c r="AO303" s="662">
        <v>70518.0</v>
      </c>
      <c r="AP303" s="679">
        <v>-0.9640749607590986</v>
      </c>
      <c r="AQ303" s="662">
        <v>70518.0</v>
      </c>
      <c r="AR303" s="680">
        <v>-0.9612132823416946</v>
      </c>
      <c r="AS303" s="624"/>
      <c r="AT303" s="624"/>
      <c r="AU303" s="624"/>
      <c r="AV303" s="624"/>
      <c r="AW303" s="624"/>
      <c r="AX303" s="624"/>
      <c r="AY303" s="624"/>
      <c r="AZ303" s="624"/>
      <c r="BA303" s="624"/>
      <c r="BB303" s="624"/>
      <c r="BC303" s="624"/>
      <c r="BD303" s="624"/>
      <c r="BE303" s="624"/>
    </row>
    <row r="304" ht="16.5" customHeight="1">
      <c r="A304" s="711"/>
      <c r="B304" s="711"/>
      <c r="C304" s="711"/>
      <c r="D304" s="711"/>
      <c r="E304" s="711"/>
      <c r="F304" s="711"/>
      <c r="G304" s="711"/>
      <c r="H304" s="711"/>
      <c r="I304" s="711"/>
      <c r="J304" s="711"/>
      <c r="K304" s="741"/>
      <c r="L304" s="741"/>
      <c r="M304" s="788"/>
      <c r="N304" s="741"/>
      <c r="O304" s="741"/>
      <c r="P304" s="741"/>
      <c r="Q304" s="741"/>
      <c r="R304" s="788"/>
      <c r="S304" s="819"/>
      <c r="T304" s="820"/>
      <c r="U304" s="819"/>
      <c r="V304" s="820"/>
      <c r="W304" s="788"/>
      <c r="X304" s="803"/>
      <c r="Y304" s="803"/>
      <c r="Z304" s="803"/>
      <c r="AA304" s="711"/>
      <c r="AB304" s="711"/>
      <c r="AC304" s="711"/>
      <c r="AD304" s="736"/>
      <c r="AE304" s="736"/>
      <c r="AF304" s="799">
        <f t="shared" si="8"/>
        <v>209300</v>
      </c>
      <c r="AG304" s="658">
        <v>0.9275231677536999</v>
      </c>
      <c r="AH304" s="659">
        <f t="shared" si="3"/>
        <v>0.9275231678</v>
      </c>
      <c r="AI304" s="641"/>
      <c r="AJ304" s="660">
        <f t="shared" si="6"/>
        <v>304</v>
      </c>
      <c r="AK304" s="676">
        <v>0.9449</v>
      </c>
      <c r="AL304" s="662">
        <v>70352.0</v>
      </c>
      <c r="AM304" s="677">
        <v>-0.9665815569072987</v>
      </c>
      <c r="AN304" s="678">
        <v>-0.05510000000000004</v>
      </c>
      <c r="AO304" s="662">
        <v>70352.0</v>
      </c>
      <c r="AP304" s="679">
        <v>-0.9637925567280009</v>
      </c>
      <c r="AQ304" s="662">
        <v>70352.0</v>
      </c>
      <c r="AR304" s="680">
        <v>-0.9609154351097671</v>
      </c>
      <c r="AS304" s="624"/>
      <c r="AT304" s="624"/>
      <c r="AU304" s="624"/>
      <c r="AV304" s="624"/>
      <c r="AW304" s="624"/>
      <c r="AX304" s="624"/>
      <c r="AY304" s="624"/>
      <c r="AZ304" s="624"/>
      <c r="BA304" s="624"/>
      <c r="BB304" s="624"/>
      <c r="BC304" s="624"/>
      <c r="BD304" s="624"/>
      <c r="BE304" s="624"/>
    </row>
    <row r="305" ht="16.5" customHeight="1">
      <c r="A305" s="711"/>
      <c r="B305" s="711"/>
      <c r="C305" s="711"/>
      <c r="D305" s="711"/>
      <c r="E305" s="711"/>
      <c r="F305" s="711"/>
      <c r="G305" s="711"/>
      <c r="H305" s="711"/>
      <c r="I305" s="711"/>
      <c r="J305" s="711"/>
      <c r="K305" s="741"/>
      <c r="L305" s="741"/>
      <c r="M305" s="788"/>
      <c r="N305" s="741"/>
      <c r="O305" s="741"/>
      <c r="P305" s="741"/>
      <c r="Q305" s="741"/>
      <c r="R305" s="788"/>
      <c r="S305" s="819"/>
      <c r="T305" s="820"/>
      <c r="U305" s="819"/>
      <c r="V305" s="820"/>
      <c r="W305" s="788"/>
      <c r="X305" s="803"/>
      <c r="Y305" s="803"/>
      <c r="Z305" s="803"/>
      <c r="AA305" s="711"/>
      <c r="AB305" s="711"/>
      <c r="AC305" s="711"/>
      <c r="AD305" s="736"/>
      <c r="AE305" s="736"/>
      <c r="AF305" s="799">
        <f t="shared" si="8"/>
        <v>210050</v>
      </c>
      <c r="AG305" s="658">
        <v>0.927405859421554</v>
      </c>
      <c r="AH305" s="659">
        <f t="shared" si="3"/>
        <v>0.9274058594</v>
      </c>
      <c r="AI305" s="641"/>
      <c r="AJ305" s="660">
        <f t="shared" si="6"/>
        <v>305</v>
      </c>
      <c r="AK305" s="676">
        <v>0.9695</v>
      </c>
      <c r="AL305" s="662">
        <v>70300.0</v>
      </c>
      <c r="AM305" s="677">
        <v>-0.9664975016627488</v>
      </c>
      <c r="AN305" s="678">
        <v>-0.03049999999999997</v>
      </c>
      <c r="AO305" s="662">
        <v>70300.0</v>
      </c>
      <c r="AP305" s="679">
        <v>-0.9637036370101856</v>
      </c>
      <c r="AQ305" s="662">
        <v>70300.0</v>
      </c>
      <c r="AR305" s="680">
        <v>-0.9608216639369069</v>
      </c>
      <c r="AS305" s="624"/>
      <c r="AT305" s="624"/>
      <c r="AU305" s="624"/>
      <c r="AV305" s="624"/>
      <c r="AW305" s="624"/>
      <c r="AX305" s="624"/>
      <c r="AY305" s="624"/>
      <c r="AZ305" s="624"/>
      <c r="BA305" s="624"/>
      <c r="BB305" s="624"/>
      <c r="BC305" s="624"/>
      <c r="BD305" s="624"/>
      <c r="BE305" s="624"/>
    </row>
    <row r="306" ht="16.5" customHeight="1">
      <c r="A306" s="711"/>
      <c r="B306" s="711"/>
      <c r="C306" s="711"/>
      <c r="D306" s="711"/>
      <c r="E306" s="711"/>
      <c r="F306" s="711"/>
      <c r="G306" s="711"/>
      <c r="H306" s="711"/>
      <c r="I306" s="711"/>
      <c r="J306" s="711"/>
      <c r="K306" s="741"/>
      <c r="L306" s="741"/>
      <c r="M306" s="788"/>
      <c r="N306" s="741"/>
      <c r="O306" s="741"/>
      <c r="P306" s="741"/>
      <c r="Q306" s="741"/>
      <c r="R306" s="788"/>
      <c r="S306" s="819"/>
      <c r="T306" s="820"/>
      <c r="U306" s="819"/>
      <c r="V306" s="820"/>
      <c r="W306" s="788"/>
      <c r="X306" s="803"/>
      <c r="Y306" s="803"/>
      <c r="Z306" s="803"/>
      <c r="AA306" s="711"/>
      <c r="AB306" s="711"/>
      <c r="AC306" s="711"/>
      <c r="AD306" s="736"/>
      <c r="AE306" s="736"/>
      <c r="AF306" s="799">
        <f t="shared" si="8"/>
        <v>210800</v>
      </c>
      <c r="AG306" s="658">
        <v>0.9272885535666338</v>
      </c>
      <c r="AH306" s="659">
        <f t="shared" si="3"/>
        <v>0.9272885536</v>
      </c>
      <c r="AI306" s="641"/>
      <c r="AJ306" s="660">
        <f t="shared" si="6"/>
        <v>306</v>
      </c>
      <c r="AK306" s="676">
        <v>0.9405</v>
      </c>
      <c r="AL306" s="662">
        <v>70172.0</v>
      </c>
      <c r="AM306" s="677">
        <v>-0.9662896946225952</v>
      </c>
      <c r="AN306" s="678">
        <v>-0.0595</v>
      </c>
      <c r="AO306" s="662">
        <v>70172.0</v>
      </c>
      <c r="AP306" s="679">
        <v>-0.9634838262462596</v>
      </c>
      <c r="AQ306" s="662">
        <v>70172.0</v>
      </c>
      <c r="AR306" s="680">
        <v>-0.9605898829962176</v>
      </c>
      <c r="AS306" s="624"/>
      <c r="AT306" s="624"/>
      <c r="AU306" s="624"/>
      <c r="AV306" s="624"/>
      <c r="AW306" s="624"/>
      <c r="AX306" s="624"/>
      <c r="AY306" s="624"/>
      <c r="AZ306" s="624"/>
      <c r="BA306" s="624"/>
      <c r="BB306" s="624"/>
      <c r="BC306" s="624"/>
      <c r="BD306" s="624"/>
      <c r="BE306" s="624"/>
    </row>
    <row r="307" ht="16.5" customHeight="1">
      <c r="A307" s="711"/>
      <c r="B307" s="711"/>
      <c r="C307" s="711"/>
      <c r="D307" s="711"/>
      <c r="E307" s="711"/>
      <c r="F307" s="711"/>
      <c r="G307" s="711"/>
      <c r="H307" s="711"/>
      <c r="I307" s="711"/>
      <c r="J307" s="711"/>
      <c r="K307" s="741"/>
      <c r="L307" s="741"/>
      <c r="M307" s="788"/>
      <c r="N307" s="741"/>
      <c r="O307" s="741"/>
      <c r="P307" s="741"/>
      <c r="Q307" s="741"/>
      <c r="R307" s="788"/>
      <c r="S307" s="819"/>
      <c r="T307" s="820"/>
      <c r="U307" s="819"/>
      <c r="V307" s="820"/>
      <c r="W307" s="788"/>
      <c r="X307" s="803"/>
      <c r="Y307" s="803"/>
      <c r="Z307" s="803"/>
      <c r="AA307" s="711"/>
      <c r="AB307" s="711"/>
      <c r="AC307" s="711"/>
      <c r="AD307" s="736"/>
      <c r="AE307" s="736"/>
      <c r="AF307" s="799">
        <f t="shared" si="8"/>
        <v>211550</v>
      </c>
      <c r="AG307" s="658">
        <v>0.9271712501028337</v>
      </c>
      <c r="AH307" s="659">
        <f t="shared" si="3"/>
        <v>0.9271712501</v>
      </c>
      <c r="AI307" s="641"/>
      <c r="AJ307" s="660">
        <f t="shared" si="6"/>
        <v>307</v>
      </c>
      <c r="AK307" s="676">
        <v>0.9746</v>
      </c>
      <c r="AL307" s="662">
        <v>70000.0</v>
      </c>
      <c r="AM307" s="677">
        <v>-0.966008422718745</v>
      </c>
      <c r="AN307" s="678">
        <v>-0.025399999999999978</v>
      </c>
      <c r="AO307" s="662">
        <v>70000.0</v>
      </c>
      <c r="AP307" s="679">
        <v>-0.9631863578701447</v>
      </c>
      <c r="AQ307" s="662">
        <v>70000.0</v>
      </c>
      <c r="AR307" s="680">
        <v>-0.9602762666135589</v>
      </c>
      <c r="AS307" s="624"/>
      <c r="AT307" s="624"/>
      <c r="AU307" s="624"/>
      <c r="AV307" s="624"/>
      <c r="AW307" s="624"/>
      <c r="AX307" s="624"/>
      <c r="AY307" s="624"/>
      <c r="AZ307" s="624"/>
      <c r="BA307" s="624"/>
      <c r="BB307" s="624"/>
      <c r="BC307" s="624"/>
      <c r="BD307" s="624"/>
      <c r="BE307" s="624"/>
    </row>
    <row r="308" ht="16.5" customHeight="1">
      <c r="A308" s="711"/>
      <c r="B308" s="711"/>
      <c r="C308" s="711"/>
      <c r="D308" s="711"/>
      <c r="E308" s="711"/>
      <c r="F308" s="711"/>
      <c r="G308" s="711"/>
      <c r="H308" s="711"/>
      <c r="I308" s="711"/>
      <c r="J308" s="711"/>
      <c r="K308" s="741"/>
      <c r="L308" s="741"/>
      <c r="M308" s="788"/>
      <c r="N308" s="741"/>
      <c r="O308" s="741"/>
      <c r="P308" s="741"/>
      <c r="Q308" s="741"/>
      <c r="R308" s="788"/>
      <c r="S308" s="819"/>
      <c r="T308" s="820"/>
      <c r="U308" s="819"/>
      <c r="V308" s="820"/>
      <c r="W308" s="788"/>
      <c r="X308" s="803"/>
      <c r="Y308" s="803"/>
      <c r="Z308" s="803"/>
      <c r="AA308" s="711"/>
      <c r="AB308" s="711"/>
      <c r="AC308" s="711"/>
      <c r="AD308" s="736"/>
      <c r="AE308" s="736"/>
      <c r="AF308" s="799">
        <f t="shared" si="8"/>
        <v>212300</v>
      </c>
      <c r="AG308" s="658">
        <v>0.9270539489470412</v>
      </c>
      <c r="AH308" s="659">
        <f t="shared" si="3"/>
        <v>0.9270539489</v>
      </c>
      <c r="AI308" s="641"/>
      <c r="AJ308" s="660">
        <f t="shared" si="6"/>
        <v>308</v>
      </c>
      <c r="AK308" s="676">
        <v>0.9589</v>
      </c>
      <c r="AL308" s="662">
        <v>70000.0</v>
      </c>
      <c r="AM308" s="677">
        <v>-0.966008422718745</v>
      </c>
      <c r="AN308" s="678">
        <v>-0.041100000000000025</v>
      </c>
      <c r="AO308" s="662">
        <v>70000.0</v>
      </c>
      <c r="AP308" s="679">
        <v>-0.9631863578701447</v>
      </c>
      <c r="AQ308" s="662">
        <v>70000.0</v>
      </c>
      <c r="AR308" s="680">
        <v>-0.9602762666135589</v>
      </c>
      <c r="AS308" s="624"/>
      <c r="AT308" s="624"/>
      <c r="AU308" s="624"/>
      <c r="AV308" s="624"/>
      <c r="AW308" s="624"/>
      <c r="AX308" s="624"/>
      <c r="AY308" s="624"/>
      <c r="AZ308" s="624"/>
      <c r="BA308" s="624"/>
      <c r="BB308" s="624"/>
      <c r="BC308" s="624"/>
      <c r="BD308" s="624"/>
      <c r="BE308" s="624"/>
    </row>
    <row r="309" ht="16.5" customHeight="1">
      <c r="A309" s="711"/>
      <c r="B309" s="711"/>
      <c r="C309" s="711"/>
      <c r="D309" s="711"/>
      <c r="E309" s="711"/>
      <c r="F309" s="711"/>
      <c r="G309" s="711"/>
      <c r="H309" s="711"/>
      <c r="I309" s="711"/>
      <c r="J309" s="711"/>
      <c r="K309" s="741"/>
      <c r="L309" s="741"/>
      <c r="M309" s="788"/>
      <c r="N309" s="741"/>
      <c r="O309" s="741"/>
      <c r="P309" s="741"/>
      <c r="Q309" s="741"/>
      <c r="R309" s="788"/>
      <c r="S309" s="819"/>
      <c r="T309" s="820"/>
      <c r="U309" s="819"/>
      <c r="V309" s="820"/>
      <c r="W309" s="788"/>
      <c r="X309" s="803"/>
      <c r="Y309" s="803"/>
      <c r="Z309" s="803"/>
      <c r="AA309" s="711"/>
      <c r="AB309" s="711"/>
      <c r="AC309" s="711"/>
      <c r="AD309" s="736"/>
      <c r="AE309" s="736"/>
      <c r="AF309" s="799">
        <f t="shared" si="8"/>
        <v>213050</v>
      </c>
      <c r="AG309" s="658">
        <v>0.9269366500190322</v>
      </c>
      <c r="AH309" s="659">
        <f t="shared" si="3"/>
        <v>0.92693665</v>
      </c>
      <c r="AI309" s="641"/>
      <c r="AJ309" s="660">
        <f t="shared" si="6"/>
        <v>309</v>
      </c>
      <c r="AK309" s="676">
        <v>0.9411</v>
      </c>
      <c r="AL309" s="662">
        <v>69744.0</v>
      </c>
      <c r="AM309" s="677">
        <v>-0.9655854335982902</v>
      </c>
      <c r="AN309" s="678">
        <v>-0.05889999999999995</v>
      </c>
      <c r="AO309" s="662">
        <v>69744.0</v>
      </c>
      <c r="AP309" s="679">
        <v>-0.9627391209124386</v>
      </c>
      <c r="AQ309" s="662">
        <v>69744.0</v>
      </c>
      <c r="AR309" s="680">
        <v>-0.9598048612220069</v>
      </c>
      <c r="AS309" s="624"/>
      <c r="AT309" s="624"/>
      <c r="AU309" s="624"/>
      <c r="AV309" s="624"/>
      <c r="AW309" s="624"/>
      <c r="AX309" s="624"/>
      <c r="AY309" s="624"/>
      <c r="AZ309" s="624"/>
      <c r="BA309" s="624"/>
      <c r="BB309" s="624"/>
      <c r="BC309" s="624"/>
      <c r="BD309" s="624"/>
      <c r="BE309" s="624"/>
    </row>
    <row r="310" ht="16.5" customHeight="1">
      <c r="A310" s="711"/>
      <c r="B310" s="711"/>
      <c r="C310" s="711"/>
      <c r="D310" s="711"/>
      <c r="E310" s="711"/>
      <c r="F310" s="711"/>
      <c r="G310" s="711"/>
      <c r="H310" s="711"/>
      <c r="I310" s="711"/>
      <c r="J310" s="711"/>
      <c r="K310" s="741"/>
      <c r="L310" s="741"/>
      <c r="M310" s="788"/>
      <c r="N310" s="741"/>
      <c r="O310" s="741"/>
      <c r="P310" s="741"/>
      <c r="Q310" s="741"/>
      <c r="R310" s="788"/>
      <c r="S310" s="819"/>
      <c r="T310" s="820"/>
      <c r="U310" s="819"/>
      <c r="V310" s="820"/>
      <c r="W310" s="788"/>
      <c r="X310" s="803"/>
      <c r="Y310" s="803"/>
      <c r="Z310" s="803"/>
      <c r="AA310" s="711"/>
      <c r="AB310" s="711"/>
      <c r="AC310" s="711"/>
      <c r="AD310" s="736"/>
      <c r="AE310" s="736"/>
      <c r="AF310" s="799">
        <f t="shared" si="8"/>
        <v>213800</v>
      </c>
      <c r="AG310" s="658">
        <v>0.9268193532413717</v>
      </c>
      <c r="AH310" s="659">
        <f t="shared" si="3"/>
        <v>0.9268193532</v>
      </c>
      <c r="AI310" s="641"/>
      <c r="AJ310" s="660">
        <f t="shared" si="6"/>
        <v>310</v>
      </c>
      <c r="AK310" s="676">
        <v>0.9416</v>
      </c>
      <c r="AL310" s="662">
        <v>69300.0</v>
      </c>
      <c r="AM310" s="677">
        <v>-0.9648392926015081</v>
      </c>
      <c r="AN310" s="678">
        <v>-0.05840000000000001</v>
      </c>
      <c r="AO310" s="662">
        <v>69300.0</v>
      </c>
      <c r="AP310" s="679">
        <v>-0.961950522417353</v>
      </c>
      <c r="AQ310" s="662">
        <v>69300.0</v>
      </c>
      <c r="AR310" s="680">
        <v>-0.9589739639042665</v>
      </c>
      <c r="AS310" s="624"/>
      <c r="AT310" s="624"/>
      <c r="AU310" s="624"/>
      <c r="AV310" s="624"/>
      <c r="AW310" s="624"/>
      <c r="AX310" s="624"/>
      <c r="AY310" s="624"/>
      <c r="AZ310" s="624"/>
      <c r="BA310" s="624"/>
      <c r="BB310" s="624"/>
      <c r="BC310" s="624"/>
      <c r="BD310" s="624"/>
      <c r="BE310" s="624"/>
    </row>
    <row r="311" ht="16.5" customHeight="1">
      <c r="A311" s="711"/>
      <c r="B311" s="711"/>
      <c r="C311" s="711"/>
      <c r="D311" s="711"/>
      <c r="E311" s="711"/>
      <c r="F311" s="711"/>
      <c r="G311" s="711"/>
      <c r="H311" s="711"/>
      <c r="I311" s="711"/>
      <c r="J311" s="711"/>
      <c r="K311" s="741"/>
      <c r="L311" s="741"/>
      <c r="M311" s="788"/>
      <c r="N311" s="741"/>
      <c r="O311" s="741"/>
      <c r="P311" s="741"/>
      <c r="Q311" s="741"/>
      <c r="R311" s="788"/>
      <c r="S311" s="819"/>
      <c r="T311" s="820"/>
      <c r="U311" s="819"/>
      <c r="V311" s="820"/>
      <c r="W311" s="788"/>
      <c r="X311" s="803"/>
      <c r="Y311" s="803"/>
      <c r="Z311" s="803"/>
      <c r="AA311" s="711"/>
      <c r="AB311" s="711"/>
      <c r="AC311" s="711"/>
      <c r="AD311" s="736"/>
      <c r="AE311" s="736"/>
      <c r="AF311" s="799">
        <f t="shared" si="8"/>
        <v>214550</v>
      </c>
      <c r="AG311" s="658">
        <v>0.9267020585393159</v>
      </c>
      <c r="AH311" s="659">
        <f t="shared" si="3"/>
        <v>0.9267020585</v>
      </c>
      <c r="AI311" s="641"/>
      <c r="AJ311" s="660">
        <f t="shared" si="6"/>
        <v>311</v>
      </c>
      <c r="AK311" s="676">
        <v>0.9699</v>
      </c>
      <c r="AL311" s="662">
        <v>69255.0</v>
      </c>
      <c r="AM311" s="677">
        <v>-0.9647627731378818</v>
      </c>
      <c r="AN311" s="678">
        <v>-0.030100000000000016</v>
      </c>
      <c r="AO311" s="662">
        <v>69255.0</v>
      </c>
      <c r="AP311" s="679">
        <v>-0.9618696712381463</v>
      </c>
      <c r="AQ311" s="662">
        <v>69255.0</v>
      </c>
      <c r="AR311" s="680">
        <v>-0.9588887985963657</v>
      </c>
      <c r="AS311" s="624"/>
      <c r="AT311" s="624"/>
      <c r="AU311" s="624"/>
      <c r="AV311" s="624"/>
      <c r="AW311" s="624"/>
      <c r="AX311" s="624"/>
      <c r="AY311" s="624"/>
      <c r="AZ311" s="624"/>
      <c r="BA311" s="624"/>
      <c r="BB311" s="624"/>
      <c r="BC311" s="624"/>
      <c r="BD311" s="624"/>
      <c r="BE311" s="624"/>
    </row>
    <row r="312" ht="16.5" customHeight="1">
      <c r="A312" s="711"/>
      <c r="B312" s="711"/>
      <c r="C312" s="711"/>
      <c r="D312" s="711"/>
      <c r="E312" s="711"/>
      <c r="F312" s="711"/>
      <c r="G312" s="711"/>
      <c r="H312" s="711"/>
      <c r="I312" s="711"/>
      <c r="J312" s="711"/>
      <c r="K312" s="741"/>
      <c r="L312" s="741"/>
      <c r="M312" s="788"/>
      <c r="N312" s="741"/>
      <c r="O312" s="741"/>
      <c r="P312" s="741"/>
      <c r="Q312" s="741"/>
      <c r="R312" s="788"/>
      <c r="S312" s="819"/>
      <c r="T312" s="820"/>
      <c r="U312" s="819"/>
      <c r="V312" s="820"/>
      <c r="W312" s="788"/>
      <c r="X312" s="803"/>
      <c r="Y312" s="803"/>
      <c r="Z312" s="803"/>
      <c r="AA312" s="711"/>
      <c r="AB312" s="711"/>
      <c r="AC312" s="711"/>
      <c r="AD312" s="736"/>
      <c r="AE312" s="736"/>
      <c r="AF312" s="799">
        <f t="shared" si="8"/>
        <v>215300</v>
      </c>
      <c r="AG312" s="658">
        <v>0.9265847658407189</v>
      </c>
      <c r="AH312" s="659">
        <f t="shared" si="3"/>
        <v>0.9265847658</v>
      </c>
      <c r="AI312" s="641"/>
      <c r="AJ312" s="660">
        <f t="shared" si="6"/>
        <v>312</v>
      </c>
      <c r="AK312" s="676">
        <v>0.9148</v>
      </c>
      <c r="AL312" s="662">
        <v>69239.0</v>
      </c>
      <c r="AM312" s="677">
        <v>-0.9647355261051295</v>
      </c>
      <c r="AN312" s="678">
        <v>-0.08520000000000005</v>
      </c>
      <c r="AO312" s="662">
        <v>69239.0</v>
      </c>
      <c r="AP312" s="679">
        <v>-0.9618408827693269</v>
      </c>
      <c r="AQ312" s="662">
        <v>69239.0</v>
      </c>
      <c r="AR312" s="680">
        <v>-0.958858475011973</v>
      </c>
      <c r="AS312" s="624"/>
      <c r="AT312" s="624"/>
      <c r="AU312" s="624"/>
      <c r="AV312" s="624"/>
      <c r="AW312" s="624"/>
      <c r="AX312" s="624"/>
      <c r="AY312" s="624"/>
      <c r="AZ312" s="624"/>
      <c r="BA312" s="624"/>
      <c r="BB312" s="624"/>
      <c r="BC312" s="624"/>
      <c r="BD312" s="624"/>
      <c r="BE312" s="624"/>
    </row>
    <row r="313" ht="16.5" customHeight="1">
      <c r="A313" s="711"/>
      <c r="B313" s="711"/>
      <c r="C313" s="711"/>
      <c r="D313" s="711"/>
      <c r="E313" s="711"/>
      <c r="F313" s="711"/>
      <c r="G313" s="711"/>
      <c r="H313" s="711"/>
      <c r="I313" s="711"/>
      <c r="J313" s="711"/>
      <c r="K313" s="741"/>
      <c r="L313" s="741"/>
      <c r="M313" s="788"/>
      <c r="N313" s="741"/>
      <c r="O313" s="741"/>
      <c r="P313" s="741"/>
      <c r="Q313" s="741"/>
      <c r="R313" s="788"/>
      <c r="S313" s="819"/>
      <c r="T313" s="820"/>
      <c r="U313" s="819"/>
      <c r="V313" s="820"/>
      <c r="W313" s="788"/>
      <c r="X313" s="803"/>
      <c r="Y313" s="803"/>
      <c r="Z313" s="803"/>
      <c r="AA313" s="711"/>
      <c r="AB313" s="711"/>
      <c r="AC313" s="711"/>
      <c r="AD313" s="736"/>
      <c r="AE313" s="736"/>
      <c r="AF313" s="799">
        <f t="shared" si="8"/>
        <v>216050</v>
      </c>
      <c r="AG313" s="658">
        <v>0.926467475075943</v>
      </c>
      <c r="AH313" s="659">
        <f t="shared" si="3"/>
        <v>0.9264674751</v>
      </c>
      <c r="AI313" s="641"/>
      <c r="AJ313" s="660">
        <f t="shared" si="6"/>
        <v>313</v>
      </c>
      <c r="AK313" s="676">
        <v>0.9847</v>
      </c>
      <c r="AL313" s="662">
        <v>69189.0</v>
      </c>
      <c r="AM313" s="677">
        <v>-0.9646502432593532</v>
      </c>
      <c r="AN313" s="678">
        <v>-0.01529999999999998</v>
      </c>
      <c r="AO313" s="662">
        <v>69189.0</v>
      </c>
      <c r="AP313" s="679">
        <v>-0.9617507786382252</v>
      </c>
      <c r="AQ313" s="662">
        <v>69189.0</v>
      </c>
      <c r="AR313" s="680">
        <v>-0.9587635695753755</v>
      </c>
      <c r="AS313" s="624"/>
      <c r="AT313" s="624"/>
      <c r="AU313" s="624"/>
      <c r="AV313" s="624"/>
      <c r="AW313" s="624"/>
      <c r="AX313" s="624"/>
      <c r="AY313" s="624"/>
      <c r="AZ313" s="624"/>
      <c r="BA313" s="624"/>
      <c r="BB313" s="624"/>
      <c r="BC313" s="624"/>
      <c r="BD313" s="624"/>
      <c r="BE313" s="624"/>
    </row>
    <row r="314" ht="16.5" customHeight="1">
      <c r="A314" s="711"/>
      <c r="B314" s="711"/>
      <c r="C314" s="711"/>
      <c r="D314" s="711"/>
      <c r="E314" s="711"/>
      <c r="F314" s="711"/>
      <c r="G314" s="711"/>
      <c r="H314" s="711"/>
      <c r="I314" s="711"/>
      <c r="J314" s="711"/>
      <c r="K314" s="741"/>
      <c r="L314" s="741"/>
      <c r="M314" s="788"/>
      <c r="N314" s="741"/>
      <c r="O314" s="741"/>
      <c r="P314" s="741"/>
      <c r="Q314" s="741"/>
      <c r="R314" s="788"/>
      <c r="S314" s="819"/>
      <c r="T314" s="820"/>
      <c r="U314" s="819"/>
      <c r="V314" s="820"/>
      <c r="W314" s="788"/>
      <c r="X314" s="803"/>
      <c r="Y314" s="803"/>
      <c r="Z314" s="803"/>
      <c r="AA314" s="711"/>
      <c r="AB314" s="711"/>
      <c r="AC314" s="711"/>
      <c r="AD314" s="736"/>
      <c r="AE314" s="736"/>
      <c r="AF314" s="799">
        <f t="shared" si="8"/>
        <v>216800</v>
      </c>
      <c r="AG314" s="658">
        <v>0.9263501861777703</v>
      </c>
      <c r="AH314" s="659">
        <f t="shared" si="3"/>
        <v>0.9263501862</v>
      </c>
      <c r="AI314" s="641"/>
      <c r="AJ314" s="660">
        <f t="shared" si="6"/>
        <v>314</v>
      </c>
      <c r="AK314" s="676">
        <v>0.9173</v>
      </c>
      <c r="AL314" s="662">
        <v>69161.0</v>
      </c>
      <c r="AM314" s="677">
        <v>-0.964602394809304</v>
      </c>
      <c r="AN314" s="678">
        <v>-0.0827</v>
      </c>
      <c r="AO314" s="662">
        <v>69161.0</v>
      </c>
      <c r="AP314" s="679">
        <v>-0.9617002274231614</v>
      </c>
      <c r="AQ314" s="662">
        <v>69161.0</v>
      </c>
      <c r="AR314" s="680">
        <v>-0.9587103269353502</v>
      </c>
      <c r="AS314" s="624"/>
      <c r="AT314" s="624"/>
      <c r="AU314" s="624"/>
      <c r="AV314" s="624"/>
      <c r="AW314" s="624"/>
      <c r="AX314" s="624"/>
      <c r="AY314" s="624"/>
      <c r="AZ314" s="624"/>
      <c r="BA314" s="624"/>
      <c r="BB314" s="624"/>
      <c r="BC314" s="624"/>
      <c r="BD314" s="624"/>
      <c r="BE314" s="624"/>
    </row>
    <row r="315" ht="16.5" customHeight="1">
      <c r="A315" s="711"/>
      <c r="B315" s="711"/>
      <c r="C315" s="711"/>
      <c r="D315" s="711"/>
      <c r="E315" s="711"/>
      <c r="F315" s="711"/>
      <c r="G315" s="711"/>
      <c r="H315" s="711"/>
      <c r="I315" s="711"/>
      <c r="J315" s="711"/>
      <c r="K315" s="741"/>
      <c r="L315" s="741"/>
      <c r="M315" s="788"/>
      <c r="N315" s="741"/>
      <c r="O315" s="741"/>
      <c r="P315" s="741"/>
      <c r="Q315" s="741"/>
      <c r="R315" s="788"/>
      <c r="S315" s="819"/>
      <c r="T315" s="820"/>
      <c r="U315" s="819"/>
      <c r="V315" s="820"/>
      <c r="W315" s="788"/>
      <c r="X315" s="803"/>
      <c r="Y315" s="803"/>
      <c r="Z315" s="803"/>
      <c r="AA315" s="711"/>
      <c r="AB315" s="711"/>
      <c r="AC315" s="711"/>
      <c r="AD315" s="736"/>
      <c r="AE315" s="736"/>
      <c r="AF315" s="799">
        <f t="shared" si="8"/>
        <v>217550</v>
      </c>
      <c r="AG315" s="658">
        <v>0.9262328990813201</v>
      </c>
      <c r="AH315" s="659">
        <f t="shared" si="3"/>
        <v>0.9262328991</v>
      </c>
      <c r="AI315" s="641"/>
      <c r="AJ315" s="660">
        <f t="shared" si="6"/>
        <v>315</v>
      </c>
      <c r="AK315" s="676">
        <v>0.9467</v>
      </c>
      <c r="AL315" s="662">
        <v>69000.0</v>
      </c>
      <c r="AM315" s="677">
        <v>-0.9643260066527476</v>
      </c>
      <c r="AN315" s="678">
        <v>-0.053300000000000014</v>
      </c>
      <c r="AO315" s="662">
        <v>69000.0</v>
      </c>
      <c r="AP315" s="679">
        <v>-0.9614082586911368</v>
      </c>
      <c r="AQ315" s="662">
        <v>69000.0</v>
      </c>
      <c r="AR315" s="680">
        <v>-0.9584028449512269</v>
      </c>
      <c r="AS315" s="624"/>
      <c r="AT315" s="624"/>
      <c r="AU315" s="624"/>
      <c r="AV315" s="624"/>
      <c r="AW315" s="624"/>
      <c r="AX315" s="624"/>
      <c r="AY315" s="624"/>
      <c r="AZ315" s="624"/>
      <c r="BA315" s="624"/>
      <c r="BB315" s="624"/>
      <c r="BC315" s="624"/>
      <c r="BD315" s="624"/>
      <c r="BE315" s="624"/>
    </row>
    <row r="316" ht="16.5" customHeight="1">
      <c r="A316" s="711"/>
      <c r="B316" s="711"/>
      <c r="C316" s="711"/>
      <c r="D316" s="711"/>
      <c r="E316" s="711"/>
      <c r="F316" s="711"/>
      <c r="G316" s="711"/>
      <c r="H316" s="711"/>
      <c r="I316" s="711"/>
      <c r="J316" s="711"/>
      <c r="K316" s="741"/>
      <c r="L316" s="741"/>
      <c r="M316" s="788"/>
      <c r="N316" s="741"/>
      <c r="O316" s="741"/>
      <c r="P316" s="741"/>
      <c r="Q316" s="741"/>
      <c r="R316" s="788"/>
      <c r="S316" s="819"/>
      <c r="T316" s="820"/>
      <c r="U316" s="819"/>
      <c r="V316" s="820"/>
      <c r="W316" s="788"/>
      <c r="X316" s="803"/>
      <c r="Y316" s="803"/>
      <c r="Z316" s="803"/>
      <c r="AA316" s="711"/>
      <c r="AB316" s="711"/>
      <c r="AC316" s="711"/>
      <c r="AD316" s="736"/>
      <c r="AE316" s="736"/>
      <c r="AF316" s="799">
        <f t="shared" si="8"/>
        <v>218300</v>
      </c>
      <c r="AG316" s="658">
        <v>0.9261156137239664</v>
      </c>
      <c r="AH316" s="659">
        <f t="shared" si="3"/>
        <v>0.9261156137</v>
      </c>
      <c r="AI316" s="641"/>
      <c r="AJ316" s="660">
        <f t="shared" si="6"/>
        <v>316</v>
      </c>
      <c r="AK316" s="676">
        <v>0.9644</v>
      </c>
      <c r="AL316" s="662">
        <v>68900.0</v>
      </c>
      <c r="AM316" s="677">
        <v>-0.9641532515738123</v>
      </c>
      <c r="AN316" s="678">
        <v>-0.035599999999999965</v>
      </c>
      <c r="AO316" s="662">
        <v>68900.0</v>
      </c>
      <c r="AP316" s="679">
        <v>-0.961225792168278</v>
      </c>
      <c r="AQ316" s="662">
        <v>68900.0</v>
      </c>
      <c r="AR316" s="680">
        <v>-0.9582107106266795</v>
      </c>
      <c r="AS316" s="624"/>
      <c r="AT316" s="624"/>
      <c r="AU316" s="624"/>
      <c r="AV316" s="624"/>
      <c r="AW316" s="624"/>
      <c r="AX316" s="624"/>
      <c r="AY316" s="624"/>
      <c r="AZ316" s="624"/>
      <c r="BA316" s="624"/>
      <c r="BB316" s="624"/>
      <c r="BC316" s="624"/>
      <c r="BD316" s="624"/>
      <c r="BE316" s="624"/>
    </row>
    <row r="317" ht="16.5" customHeight="1">
      <c r="A317" s="711"/>
      <c r="B317" s="711"/>
      <c r="C317" s="711"/>
      <c r="D317" s="711"/>
      <c r="E317" s="711"/>
      <c r="F317" s="711"/>
      <c r="G317" s="711"/>
      <c r="H317" s="711"/>
      <c r="I317" s="711"/>
      <c r="J317" s="711"/>
      <c r="K317" s="741"/>
      <c r="L317" s="741"/>
      <c r="M317" s="788"/>
      <c r="N317" s="741"/>
      <c r="O317" s="741"/>
      <c r="P317" s="741"/>
      <c r="Q317" s="741"/>
      <c r="R317" s="788"/>
      <c r="S317" s="819"/>
      <c r="T317" s="820"/>
      <c r="U317" s="819"/>
      <c r="V317" s="820"/>
      <c r="W317" s="788"/>
      <c r="X317" s="803"/>
      <c r="Y317" s="803"/>
      <c r="Z317" s="803"/>
      <c r="AA317" s="711"/>
      <c r="AB317" s="711"/>
      <c r="AC317" s="711"/>
      <c r="AD317" s="736"/>
      <c r="AE317" s="736"/>
      <c r="AF317" s="799">
        <f t="shared" si="8"/>
        <v>219050</v>
      </c>
      <c r="AG317" s="658">
        <v>0.9259983300452601</v>
      </c>
      <c r="AH317" s="659">
        <f t="shared" si="3"/>
        <v>0.92599833</v>
      </c>
      <c r="AI317" s="641"/>
      <c r="AJ317" s="660">
        <f t="shared" si="6"/>
        <v>317</v>
      </c>
      <c r="AK317" s="676">
        <v>0.9681</v>
      </c>
      <c r="AL317" s="662">
        <v>68877.0</v>
      </c>
      <c r="AM317" s="677">
        <v>-0.9641133997175185</v>
      </c>
      <c r="AN317" s="678">
        <v>-0.03190000000000004</v>
      </c>
      <c r="AO317" s="662">
        <v>68877.0</v>
      </c>
      <c r="AP317" s="679">
        <v>-0.9611837029834556</v>
      </c>
      <c r="AQ317" s="662">
        <v>68877.0</v>
      </c>
      <c r="AR317" s="680">
        <v>-0.9581663943500556</v>
      </c>
      <c r="AS317" s="624"/>
      <c r="AT317" s="624"/>
      <c r="AU317" s="624"/>
      <c r="AV317" s="624"/>
      <c r="AW317" s="624"/>
      <c r="AX317" s="624"/>
      <c r="AY317" s="624"/>
      <c r="AZ317" s="624"/>
      <c r="BA317" s="624"/>
      <c r="BB317" s="624"/>
      <c r="BC317" s="624"/>
      <c r="BD317" s="624"/>
      <c r="BE317" s="624"/>
    </row>
    <row r="318" ht="16.5" customHeight="1">
      <c r="A318" s="711"/>
      <c r="B318" s="711"/>
      <c r="C318" s="711"/>
      <c r="D318" s="711"/>
      <c r="E318" s="711"/>
      <c r="F318" s="711"/>
      <c r="G318" s="711"/>
      <c r="H318" s="711"/>
      <c r="I318" s="711"/>
      <c r="J318" s="711"/>
      <c r="K318" s="741"/>
      <c r="L318" s="741"/>
      <c r="M318" s="788"/>
      <c r="N318" s="741"/>
      <c r="O318" s="741"/>
      <c r="P318" s="741"/>
      <c r="Q318" s="741"/>
      <c r="R318" s="788"/>
      <c r="S318" s="819"/>
      <c r="T318" s="820"/>
      <c r="U318" s="819"/>
      <c r="V318" s="820"/>
      <c r="W318" s="788"/>
      <c r="X318" s="803"/>
      <c r="Y318" s="803"/>
      <c r="Z318" s="803"/>
      <c r="AA318" s="711"/>
      <c r="AB318" s="711"/>
      <c r="AC318" s="711"/>
      <c r="AD318" s="736"/>
      <c r="AE318" s="736"/>
      <c r="AF318" s="799">
        <f t="shared" si="8"/>
        <v>219800</v>
      </c>
      <c r="AG318" s="658">
        <v>0.9258810479868533</v>
      </c>
      <c r="AH318" s="659">
        <f t="shared" si="3"/>
        <v>0.925881048</v>
      </c>
      <c r="AI318" s="641"/>
      <c r="AJ318" s="660">
        <f t="shared" si="6"/>
        <v>318</v>
      </c>
      <c r="AK318" s="676">
        <v>0.9773</v>
      </c>
      <c r="AL318" s="662">
        <v>68687.0</v>
      </c>
      <c r="AM318" s="677">
        <v>-0.9637824894548389</v>
      </c>
      <c r="AN318" s="678">
        <v>-0.022700000000000053</v>
      </c>
      <c r="AO318" s="662">
        <v>68687.0</v>
      </c>
      <c r="AP318" s="679">
        <v>-0.9608342575039002</v>
      </c>
      <c r="AQ318" s="662">
        <v>68687.0</v>
      </c>
      <c r="AR318" s="680">
        <v>-0.9577985010813005</v>
      </c>
      <c r="AS318" s="624"/>
      <c r="AT318" s="624"/>
      <c r="AU318" s="624"/>
      <c r="AV318" s="624"/>
      <c r="AW318" s="624"/>
      <c r="AX318" s="624"/>
      <c r="AY318" s="624"/>
      <c r="AZ318" s="624"/>
      <c r="BA318" s="624"/>
      <c r="BB318" s="624"/>
      <c r="BC318" s="624"/>
      <c r="BD318" s="624"/>
      <c r="BE318" s="624"/>
    </row>
    <row r="319" ht="16.5" customHeight="1">
      <c r="A319" s="711"/>
      <c r="B319" s="711"/>
      <c r="C319" s="711"/>
      <c r="D319" s="711"/>
      <c r="E319" s="711"/>
      <c r="F319" s="711"/>
      <c r="G319" s="711"/>
      <c r="H319" s="711"/>
      <c r="I319" s="711"/>
      <c r="J319" s="711"/>
      <c r="K319" s="741"/>
      <c r="L319" s="741"/>
      <c r="M319" s="788"/>
      <c r="N319" s="741"/>
      <c r="O319" s="741"/>
      <c r="P319" s="741"/>
      <c r="Q319" s="741"/>
      <c r="R319" s="788"/>
      <c r="S319" s="819"/>
      <c r="T319" s="820"/>
      <c r="U319" s="819"/>
      <c r="V319" s="820"/>
      <c r="W319" s="788"/>
      <c r="X319" s="803"/>
      <c r="Y319" s="803"/>
      <c r="Z319" s="803"/>
      <c r="AA319" s="711"/>
      <c r="AB319" s="711"/>
      <c r="AC319" s="711"/>
      <c r="AD319" s="736"/>
      <c r="AE319" s="736"/>
      <c r="AF319" s="799">
        <f t="shared" si="8"/>
        <v>220550</v>
      </c>
      <c r="AG319" s="658">
        <v>0.9257637674924262</v>
      </c>
      <c r="AH319" s="659">
        <f t="shared" si="3"/>
        <v>0.9257637675</v>
      </c>
      <c r="AI319" s="641"/>
      <c r="AJ319" s="660">
        <f t="shared" si="6"/>
        <v>319</v>
      </c>
      <c r="AK319" s="676">
        <v>0.9624</v>
      </c>
      <c r="AL319" s="662">
        <v>68439.0</v>
      </c>
      <c r="AM319" s="677">
        <v>-0.9633459695028154</v>
      </c>
      <c r="AN319" s="678">
        <v>-0.03759999999999997</v>
      </c>
      <c r="AO319" s="662">
        <v>68439.0</v>
      </c>
      <c r="AP319" s="679">
        <v>-0.9603734018993086</v>
      </c>
      <c r="AQ319" s="662">
        <v>68439.0</v>
      </c>
      <c r="AR319" s="680">
        <v>-0.9573134316910837</v>
      </c>
      <c r="AS319" s="624"/>
      <c r="AT319" s="624"/>
      <c r="AU319" s="624"/>
      <c r="AV319" s="624"/>
      <c r="AW319" s="624"/>
      <c r="AX319" s="624"/>
      <c r="AY319" s="624"/>
      <c r="AZ319" s="624"/>
      <c r="BA319" s="624"/>
      <c r="BB319" s="624"/>
      <c r="BC319" s="624"/>
      <c r="BD319" s="624"/>
      <c r="BE319" s="624"/>
    </row>
    <row r="320" ht="16.5" customHeight="1">
      <c r="A320" s="711"/>
      <c r="B320" s="711"/>
      <c r="C320" s="711"/>
      <c r="D320" s="711"/>
      <c r="E320" s="711"/>
      <c r="F320" s="711"/>
      <c r="G320" s="711"/>
      <c r="H320" s="711"/>
      <c r="I320" s="711"/>
      <c r="J320" s="711"/>
      <c r="K320" s="741"/>
      <c r="L320" s="741"/>
      <c r="M320" s="788"/>
      <c r="N320" s="741"/>
      <c r="O320" s="741"/>
      <c r="P320" s="741"/>
      <c r="Q320" s="741"/>
      <c r="R320" s="788"/>
      <c r="S320" s="819"/>
      <c r="T320" s="820"/>
      <c r="U320" s="819"/>
      <c r="V320" s="820"/>
      <c r="W320" s="788"/>
      <c r="X320" s="803"/>
      <c r="Y320" s="803"/>
      <c r="Z320" s="803"/>
      <c r="AA320" s="711"/>
      <c r="AB320" s="711"/>
      <c r="AC320" s="711"/>
      <c r="AD320" s="736"/>
      <c r="AE320" s="736"/>
      <c r="AF320" s="799">
        <f t="shared" si="8"/>
        <v>221300</v>
      </c>
      <c r="AG320" s="658">
        <v>0.9256464885076164</v>
      </c>
      <c r="AH320" s="659">
        <f t="shared" si="3"/>
        <v>0.9256464885</v>
      </c>
      <c r="AI320" s="641"/>
      <c r="AJ320" s="660">
        <f t="shared" si="6"/>
        <v>320</v>
      </c>
      <c r="AK320" s="676">
        <v>0.9543</v>
      </c>
      <c r="AL320" s="662">
        <v>68068.0</v>
      </c>
      <c r="AM320" s="677">
        <v>-0.9626831077212522</v>
      </c>
      <c r="AN320" s="678">
        <v>-0.04569999999999996</v>
      </c>
      <c r="AO320" s="662">
        <v>68068.0</v>
      </c>
      <c r="AP320" s="679">
        <v>-0.9596738330586796</v>
      </c>
      <c r="AQ320" s="662">
        <v>68068.0</v>
      </c>
      <c r="AR320" s="680">
        <v>-0.9565773547303165</v>
      </c>
      <c r="AS320" s="624"/>
      <c r="AT320" s="624"/>
      <c r="AU320" s="624"/>
      <c r="AV320" s="624"/>
      <c r="AW320" s="624"/>
      <c r="AX320" s="624"/>
      <c r="AY320" s="624"/>
      <c r="AZ320" s="624"/>
      <c r="BA320" s="624"/>
      <c r="BB320" s="624"/>
      <c r="BC320" s="624"/>
      <c r="BD320" s="624"/>
      <c r="BE320" s="624"/>
    </row>
    <row r="321" ht="16.5" customHeight="1">
      <c r="A321" s="711"/>
      <c r="B321" s="711"/>
      <c r="C321" s="711"/>
      <c r="D321" s="711"/>
      <c r="E321" s="711"/>
      <c r="F321" s="711"/>
      <c r="G321" s="711"/>
      <c r="H321" s="711"/>
      <c r="I321" s="711"/>
      <c r="J321" s="711"/>
      <c r="K321" s="741"/>
      <c r="L321" s="741"/>
      <c r="M321" s="788"/>
      <c r="N321" s="741"/>
      <c r="O321" s="741"/>
      <c r="P321" s="741"/>
      <c r="Q321" s="741"/>
      <c r="R321" s="788"/>
      <c r="S321" s="819"/>
      <c r="T321" s="820"/>
      <c r="U321" s="819"/>
      <c r="V321" s="820"/>
      <c r="W321" s="788"/>
      <c r="X321" s="803"/>
      <c r="Y321" s="803"/>
      <c r="Z321" s="803"/>
      <c r="AA321" s="711"/>
      <c r="AB321" s="711"/>
      <c r="AC321" s="711"/>
      <c r="AD321" s="736"/>
      <c r="AE321" s="736"/>
      <c r="AF321" s="799">
        <f t="shared" si="8"/>
        <v>222050</v>
      </c>
      <c r="AG321" s="658">
        <v>0.9255292109799517</v>
      </c>
      <c r="AH321" s="659">
        <f t="shared" si="3"/>
        <v>0.925529211</v>
      </c>
      <c r="AI321" s="641"/>
      <c r="AJ321" s="660">
        <f t="shared" si="6"/>
        <v>321</v>
      </c>
      <c r="AK321" s="676">
        <v>0.9467</v>
      </c>
      <c r="AL321" s="662">
        <v>68018.0</v>
      </c>
      <c r="AM321" s="677">
        <v>-0.9625928613509663</v>
      </c>
      <c r="AN321" s="678">
        <v>-0.053300000000000014</v>
      </c>
      <c r="AO321" s="662">
        <v>68018.0</v>
      </c>
      <c r="AP321" s="679">
        <v>-0.9595786119294554</v>
      </c>
      <c r="AQ321" s="662">
        <v>68018.0</v>
      </c>
      <c r="AR321" s="680">
        <v>-0.9564771871962074</v>
      </c>
      <c r="AS321" s="624"/>
      <c r="AT321" s="624"/>
      <c r="AU321" s="624"/>
      <c r="AV321" s="624"/>
      <c r="AW321" s="624"/>
      <c r="AX321" s="624"/>
      <c r="AY321" s="624"/>
      <c r="AZ321" s="624"/>
      <c r="BA321" s="624"/>
      <c r="BB321" s="624"/>
      <c r="BC321" s="624"/>
      <c r="BD321" s="624"/>
      <c r="BE321" s="624"/>
    </row>
    <row r="322" ht="16.5" customHeight="1">
      <c r="A322" s="711"/>
      <c r="B322" s="711"/>
      <c r="C322" s="711"/>
      <c r="D322" s="711"/>
      <c r="E322" s="711"/>
      <c r="F322" s="711"/>
      <c r="G322" s="711"/>
      <c r="H322" s="711"/>
      <c r="I322" s="711"/>
      <c r="J322" s="711"/>
      <c r="K322" s="741"/>
      <c r="L322" s="741"/>
      <c r="M322" s="788"/>
      <c r="N322" s="741"/>
      <c r="O322" s="741"/>
      <c r="P322" s="741"/>
      <c r="Q322" s="741"/>
      <c r="R322" s="788"/>
      <c r="S322" s="819"/>
      <c r="T322" s="820"/>
      <c r="U322" s="819"/>
      <c r="V322" s="820"/>
      <c r="W322" s="788"/>
      <c r="X322" s="803"/>
      <c r="Y322" s="803"/>
      <c r="Z322" s="803"/>
      <c r="AA322" s="711"/>
      <c r="AB322" s="711"/>
      <c r="AC322" s="711"/>
      <c r="AD322" s="736"/>
      <c r="AE322" s="736"/>
      <c r="AF322" s="799">
        <f t="shared" si="8"/>
        <v>222800</v>
      </c>
      <c r="AG322" s="658">
        <v>0.9254119348587828</v>
      </c>
      <c r="AH322" s="659">
        <f t="shared" si="3"/>
        <v>0.9254119349</v>
      </c>
      <c r="AI322" s="641"/>
      <c r="AJ322" s="660">
        <f t="shared" si="6"/>
        <v>322</v>
      </c>
      <c r="AK322" s="676">
        <v>0.9746</v>
      </c>
      <c r="AL322" s="662">
        <v>68000.0</v>
      </c>
      <c r="AM322" s="677">
        <v>-0.9625603192576293</v>
      </c>
      <c r="AN322" s="678">
        <v>-0.025399999999999978</v>
      </c>
      <c r="AO322" s="662">
        <v>68000.0</v>
      </c>
      <c r="AP322" s="679">
        <v>-0.9595442773090249</v>
      </c>
      <c r="AQ322" s="662">
        <v>68000.0</v>
      </c>
      <c r="AR322" s="680">
        <v>-0.9564410703465679</v>
      </c>
      <c r="AS322" s="624"/>
      <c r="AT322" s="624"/>
      <c r="AU322" s="624"/>
      <c r="AV322" s="624"/>
      <c r="AW322" s="624"/>
      <c r="AX322" s="624"/>
      <c r="AY322" s="624"/>
      <c r="AZ322" s="624"/>
      <c r="BA322" s="624"/>
      <c r="BB322" s="624"/>
      <c r="BC322" s="624"/>
      <c r="BD322" s="624"/>
      <c r="BE322" s="624"/>
    </row>
    <row r="323" ht="16.5" customHeight="1">
      <c r="A323" s="711"/>
      <c r="B323" s="711"/>
      <c r="C323" s="711"/>
      <c r="D323" s="711"/>
      <c r="E323" s="711"/>
      <c r="F323" s="711"/>
      <c r="G323" s="711"/>
      <c r="H323" s="711"/>
      <c r="I323" s="711"/>
      <c r="J323" s="711"/>
      <c r="K323" s="741"/>
      <c r="L323" s="741"/>
      <c r="M323" s="788"/>
      <c r="N323" s="741"/>
      <c r="O323" s="741"/>
      <c r="P323" s="741"/>
      <c r="Q323" s="741"/>
      <c r="R323" s="788"/>
      <c r="S323" s="819"/>
      <c r="T323" s="820"/>
      <c r="U323" s="819"/>
      <c r="V323" s="820"/>
      <c r="W323" s="788"/>
      <c r="X323" s="803"/>
      <c r="Y323" s="803"/>
      <c r="Z323" s="803"/>
      <c r="AA323" s="711"/>
      <c r="AB323" s="711"/>
      <c r="AC323" s="711"/>
      <c r="AD323" s="736"/>
      <c r="AE323" s="736"/>
      <c r="AF323" s="799">
        <f t="shared" si="8"/>
        <v>223550</v>
      </c>
      <c r="AG323" s="658">
        <v>0.9252946600952218</v>
      </c>
      <c r="AH323" s="659">
        <f t="shared" si="3"/>
        <v>0.9252946601</v>
      </c>
      <c r="AI323" s="641"/>
      <c r="AJ323" s="660">
        <f t="shared" si="6"/>
        <v>323</v>
      </c>
      <c r="AK323" s="676">
        <v>0.9889</v>
      </c>
      <c r="AL323" s="662">
        <v>67565.0</v>
      </c>
      <c r="AM323" s="677">
        <v>-0.9617652182963664</v>
      </c>
      <c r="AN323" s="678">
        <v>-0.011099999999999999</v>
      </c>
      <c r="AO323" s="662">
        <v>67565.0</v>
      </c>
      <c r="AP323" s="679">
        <v>-0.9587055967153488</v>
      </c>
      <c r="AQ323" s="662">
        <v>67565.0</v>
      </c>
      <c r="AR323" s="680">
        <v>-0.9555590736756698</v>
      </c>
      <c r="AS323" s="624"/>
      <c r="AT323" s="624"/>
      <c r="AU323" s="624"/>
      <c r="AV323" s="624"/>
      <c r="AW323" s="624"/>
      <c r="AX323" s="624"/>
      <c r="AY323" s="624"/>
      <c r="AZ323" s="624"/>
      <c r="BA323" s="624"/>
      <c r="BB323" s="624"/>
      <c r="BC323" s="624"/>
      <c r="BD323" s="624"/>
      <c r="BE323" s="624"/>
    </row>
    <row r="324" ht="16.5" customHeight="1">
      <c r="A324" s="711"/>
      <c r="B324" s="711"/>
      <c r="C324" s="711"/>
      <c r="D324" s="711"/>
      <c r="E324" s="711"/>
      <c r="F324" s="711"/>
      <c r="G324" s="711"/>
      <c r="H324" s="711"/>
      <c r="I324" s="711"/>
      <c r="J324" s="711"/>
      <c r="K324" s="741"/>
      <c r="L324" s="741"/>
      <c r="M324" s="788"/>
      <c r="N324" s="741"/>
      <c r="O324" s="741"/>
      <c r="P324" s="741"/>
      <c r="Q324" s="741"/>
      <c r="R324" s="788"/>
      <c r="S324" s="819"/>
      <c r="T324" s="820"/>
      <c r="U324" s="819"/>
      <c r="V324" s="820"/>
      <c r="W324" s="788"/>
      <c r="X324" s="803"/>
      <c r="Y324" s="803"/>
      <c r="Z324" s="803"/>
      <c r="AA324" s="711"/>
      <c r="AB324" s="711"/>
      <c r="AC324" s="711"/>
      <c r="AD324" s="736"/>
      <c r="AE324" s="736"/>
      <c r="AF324" s="799">
        <f t="shared" si="8"/>
        <v>224300</v>
      </c>
      <c r="AG324" s="658">
        <v>0.9251773866420797</v>
      </c>
      <c r="AH324" s="659">
        <f t="shared" si="3"/>
        <v>0.9251773866</v>
      </c>
      <c r="AI324" s="641"/>
      <c r="AJ324" s="660">
        <f t="shared" si="6"/>
        <v>324</v>
      </c>
      <c r="AK324" s="676">
        <v>0.9368</v>
      </c>
      <c r="AL324" s="662">
        <v>67271.0</v>
      </c>
      <c r="AM324" s="677">
        <v>-0.9612182988437614</v>
      </c>
      <c r="AN324" s="678">
        <v>-0.06320000000000003</v>
      </c>
      <c r="AO324" s="662">
        <v>67271.0</v>
      </c>
      <c r="AP324" s="679">
        <v>-0.9581289397714948</v>
      </c>
      <c r="AQ324" s="662">
        <v>67271.0</v>
      </c>
      <c r="AR324" s="680">
        <v>-0.9549528735587192</v>
      </c>
      <c r="AS324" s="624"/>
      <c r="AT324" s="624"/>
      <c r="AU324" s="624"/>
      <c r="AV324" s="624"/>
      <c r="AW324" s="624"/>
      <c r="AX324" s="624"/>
      <c r="AY324" s="624"/>
      <c r="AZ324" s="624"/>
      <c r="BA324" s="624"/>
      <c r="BB324" s="624"/>
      <c r="BC324" s="624"/>
      <c r="BD324" s="624"/>
      <c r="BE324" s="624"/>
    </row>
    <row r="325" ht="16.5" customHeight="1">
      <c r="A325" s="711"/>
      <c r="B325" s="711"/>
      <c r="C325" s="711"/>
      <c r="D325" s="711"/>
      <c r="E325" s="711"/>
      <c r="F325" s="711"/>
      <c r="G325" s="711"/>
      <c r="H325" s="711"/>
      <c r="I325" s="711"/>
      <c r="J325" s="711"/>
      <c r="K325" s="741"/>
      <c r="L325" s="741"/>
      <c r="M325" s="788"/>
      <c r="N325" s="741"/>
      <c r="O325" s="741"/>
      <c r="P325" s="741"/>
      <c r="Q325" s="741"/>
      <c r="R325" s="788"/>
      <c r="S325" s="819"/>
      <c r="T325" s="820"/>
      <c r="U325" s="819"/>
      <c r="V325" s="820"/>
      <c r="W325" s="788"/>
      <c r="X325" s="803"/>
      <c r="Y325" s="803"/>
      <c r="Z325" s="803"/>
      <c r="AA325" s="711"/>
      <c r="AB325" s="711"/>
      <c r="AC325" s="711"/>
      <c r="AD325" s="736"/>
      <c r="AE325" s="736"/>
      <c r="AF325" s="799">
        <f t="shared" si="8"/>
        <v>225050</v>
      </c>
      <c r="AG325" s="658">
        <v>0.9250601144538079</v>
      </c>
      <c r="AH325" s="659">
        <f t="shared" si="3"/>
        <v>0.9250601145</v>
      </c>
      <c r="AI325" s="641"/>
      <c r="AJ325" s="660">
        <f t="shared" si="6"/>
        <v>325</v>
      </c>
      <c r="AK325" s="676">
        <v>0.9773</v>
      </c>
      <c r="AL325" s="662">
        <v>67245.0</v>
      </c>
      <c r="AM325" s="677">
        <v>-0.96116955692384</v>
      </c>
      <c r="AN325" s="678">
        <v>-0.022700000000000053</v>
      </c>
      <c r="AO325" s="662">
        <v>67245.0</v>
      </c>
      <c r="AP325" s="679">
        <v>-0.9580775569693328</v>
      </c>
      <c r="AQ325" s="662">
        <v>67245.0</v>
      </c>
      <c r="AR325" s="680">
        <v>-0.9548988676958855</v>
      </c>
      <c r="AS325" s="624"/>
      <c r="AT325" s="624"/>
      <c r="AU325" s="624"/>
      <c r="AV325" s="624"/>
      <c r="AW325" s="624"/>
      <c r="AX325" s="624"/>
      <c r="AY325" s="624"/>
      <c r="AZ325" s="624"/>
      <c r="BA325" s="624"/>
      <c r="BB325" s="624"/>
      <c r="BC325" s="624"/>
      <c r="BD325" s="624"/>
      <c r="BE325" s="624"/>
    </row>
    <row r="326" ht="16.5" customHeight="1">
      <c r="A326" s="711"/>
      <c r="B326" s="711"/>
      <c r="C326" s="711"/>
      <c r="D326" s="711"/>
      <c r="E326" s="711"/>
      <c r="F326" s="711"/>
      <c r="G326" s="711"/>
      <c r="H326" s="711"/>
      <c r="I326" s="711"/>
      <c r="J326" s="711"/>
      <c r="K326" s="741"/>
      <c r="L326" s="741"/>
      <c r="M326" s="788"/>
      <c r="N326" s="741"/>
      <c r="O326" s="741"/>
      <c r="P326" s="741"/>
      <c r="Q326" s="741"/>
      <c r="R326" s="788"/>
      <c r="S326" s="819"/>
      <c r="T326" s="820"/>
      <c r="U326" s="819"/>
      <c r="V326" s="820"/>
      <c r="W326" s="788"/>
      <c r="X326" s="803"/>
      <c r="Y326" s="803"/>
      <c r="Z326" s="803"/>
      <c r="AA326" s="711"/>
      <c r="AB326" s="711"/>
      <c r="AC326" s="711"/>
      <c r="AD326" s="736"/>
      <c r="AE326" s="736"/>
      <c r="AF326" s="799">
        <f t="shared" si="8"/>
        <v>225800</v>
      </c>
      <c r="AG326" s="658">
        <v>0.9249428434864407</v>
      </c>
      <c r="AH326" s="659">
        <f t="shared" si="3"/>
        <v>0.9249428435</v>
      </c>
      <c r="AI326" s="641"/>
      <c r="AJ326" s="660">
        <f t="shared" si="6"/>
        <v>326</v>
      </c>
      <c r="AK326" s="676">
        <v>0.9492</v>
      </c>
      <c r="AL326" s="662">
        <v>67023.0</v>
      </c>
      <c r="AM326" s="677">
        <v>-0.9607508733892425</v>
      </c>
      <c r="AN326" s="678">
        <v>-0.050799999999999956</v>
      </c>
      <c r="AO326" s="662">
        <v>67023.0</v>
      </c>
      <c r="AP326" s="679">
        <v>-0.9576362512241394</v>
      </c>
      <c r="AQ326" s="662">
        <v>67023.0</v>
      </c>
      <c r="AR326" s="680">
        <v>-0.9544350961642246</v>
      </c>
      <c r="AS326" s="624"/>
      <c r="AT326" s="624"/>
      <c r="AU326" s="624"/>
      <c r="AV326" s="624"/>
      <c r="AW326" s="624"/>
      <c r="AX326" s="624"/>
      <c r="AY326" s="624"/>
      <c r="AZ326" s="624"/>
      <c r="BA326" s="624"/>
      <c r="BB326" s="624"/>
      <c r="BC326" s="624"/>
      <c r="BD326" s="624"/>
      <c r="BE326" s="624"/>
    </row>
    <row r="327" ht="16.5" customHeight="1">
      <c r="A327" s="711"/>
      <c r="B327" s="711"/>
      <c r="C327" s="711"/>
      <c r="D327" s="711"/>
      <c r="E327" s="711"/>
      <c r="F327" s="711"/>
      <c r="G327" s="711"/>
      <c r="H327" s="711"/>
      <c r="I327" s="711"/>
      <c r="J327" s="711"/>
      <c r="K327" s="741"/>
      <c r="L327" s="741"/>
      <c r="M327" s="788"/>
      <c r="N327" s="741"/>
      <c r="O327" s="741"/>
      <c r="P327" s="741"/>
      <c r="Q327" s="741"/>
      <c r="R327" s="788"/>
      <c r="S327" s="819"/>
      <c r="T327" s="820"/>
      <c r="U327" s="819"/>
      <c r="V327" s="820"/>
      <c r="W327" s="788"/>
      <c r="X327" s="803"/>
      <c r="Y327" s="803"/>
      <c r="Z327" s="803"/>
      <c r="AA327" s="711"/>
      <c r="AB327" s="711"/>
      <c r="AC327" s="711"/>
      <c r="AD327" s="736"/>
      <c r="AE327" s="736"/>
      <c r="AF327" s="799">
        <f t="shared" si="8"/>
        <v>226550</v>
      </c>
      <c r="AG327" s="658">
        <v>0.9248255736975409</v>
      </c>
      <c r="AH327" s="659">
        <f t="shared" si="3"/>
        <v>0.9248255737</v>
      </c>
      <c r="AI327" s="641"/>
      <c r="AJ327" s="660">
        <f t="shared" si="6"/>
        <v>327</v>
      </c>
      <c r="AK327" s="676">
        <v>0.9649</v>
      </c>
      <c r="AL327" s="662">
        <v>67000.0</v>
      </c>
      <c r="AM327" s="677">
        <v>-0.9607072390117322</v>
      </c>
      <c r="AN327" s="678">
        <v>-0.03510000000000002</v>
      </c>
      <c r="AO327" s="662">
        <v>67000.0</v>
      </c>
      <c r="AP327" s="679">
        <v>-0.9575902656127832</v>
      </c>
      <c r="AQ327" s="662">
        <v>67000.0</v>
      </c>
      <c r="AR327" s="680">
        <v>-0.9543867759627325</v>
      </c>
      <c r="AS327" s="624"/>
      <c r="AT327" s="624"/>
      <c r="AU327" s="624"/>
      <c r="AV327" s="624"/>
      <c r="AW327" s="624"/>
      <c r="AX327" s="624"/>
      <c r="AY327" s="624"/>
      <c r="AZ327" s="624"/>
      <c r="BA327" s="624"/>
      <c r="BB327" s="624"/>
      <c r="BC327" s="624"/>
      <c r="BD327" s="624"/>
      <c r="BE327" s="624"/>
    </row>
    <row r="328" ht="16.5" customHeight="1">
      <c r="A328" s="711"/>
      <c r="B328" s="711"/>
      <c r="C328" s="711"/>
      <c r="D328" s="711"/>
      <c r="E328" s="711"/>
      <c r="F328" s="711"/>
      <c r="G328" s="711"/>
      <c r="H328" s="711"/>
      <c r="I328" s="711"/>
      <c r="J328" s="711"/>
      <c r="K328" s="741"/>
      <c r="L328" s="741"/>
      <c r="M328" s="788"/>
      <c r="N328" s="741"/>
      <c r="O328" s="741"/>
      <c r="P328" s="741"/>
      <c r="Q328" s="741"/>
      <c r="R328" s="788"/>
      <c r="S328" s="819"/>
      <c r="T328" s="820"/>
      <c r="U328" s="819"/>
      <c r="V328" s="820"/>
      <c r="W328" s="788"/>
      <c r="X328" s="803"/>
      <c r="Y328" s="803"/>
      <c r="Z328" s="803"/>
      <c r="AA328" s="711"/>
      <c r="AB328" s="711"/>
      <c r="AC328" s="711"/>
      <c r="AD328" s="736"/>
      <c r="AE328" s="736"/>
      <c r="AF328" s="799">
        <f t="shared" si="8"/>
        <v>227300</v>
      </c>
      <c r="AG328" s="658">
        <v>0.9247083050461463</v>
      </c>
      <c r="AH328" s="659">
        <f t="shared" si="3"/>
        <v>0.924708305</v>
      </c>
      <c r="AI328" s="641"/>
      <c r="AJ328" s="660">
        <f t="shared" si="6"/>
        <v>328</v>
      </c>
      <c r="AK328" s="676">
        <v>0.9695</v>
      </c>
      <c r="AL328" s="662">
        <v>66956.0</v>
      </c>
      <c r="AM328" s="677">
        <v>-0.9606236293380771</v>
      </c>
      <c r="AN328" s="678">
        <v>-0.03049999999999997</v>
      </c>
      <c r="AO328" s="662">
        <v>66956.0</v>
      </c>
      <c r="AP328" s="679">
        <v>-0.9575021540043922</v>
      </c>
      <c r="AQ328" s="662">
        <v>66956.0</v>
      </c>
      <c r="AR328" s="680">
        <v>-0.9542941944898419</v>
      </c>
      <c r="AS328" s="624"/>
      <c r="AT328" s="624"/>
      <c r="AU328" s="624"/>
      <c r="AV328" s="624"/>
      <c r="AW328" s="624"/>
      <c r="AX328" s="624"/>
      <c r="AY328" s="624"/>
      <c r="AZ328" s="624"/>
      <c r="BA328" s="624"/>
      <c r="BB328" s="624"/>
      <c r="BC328" s="624"/>
      <c r="BD328" s="624"/>
      <c r="BE328" s="624"/>
    </row>
    <row r="329" ht="16.5" customHeight="1">
      <c r="A329" s="711"/>
      <c r="B329" s="711"/>
      <c r="C329" s="711"/>
      <c r="D329" s="711"/>
      <c r="E329" s="711"/>
      <c r="F329" s="711"/>
      <c r="G329" s="711"/>
      <c r="H329" s="711"/>
      <c r="I329" s="711"/>
      <c r="J329" s="711"/>
      <c r="K329" s="741"/>
      <c r="L329" s="741"/>
      <c r="M329" s="788"/>
      <c r="N329" s="741"/>
      <c r="O329" s="741"/>
      <c r="P329" s="741"/>
      <c r="Q329" s="741"/>
      <c r="R329" s="788"/>
      <c r="S329" s="819"/>
      <c r="T329" s="820"/>
      <c r="U329" s="819"/>
      <c r="V329" s="820"/>
      <c r="W329" s="788"/>
      <c r="X329" s="803"/>
      <c r="Y329" s="803"/>
      <c r="Z329" s="803"/>
      <c r="AA329" s="711"/>
      <c r="AB329" s="711"/>
      <c r="AC329" s="711"/>
      <c r="AD329" s="736"/>
      <c r="AE329" s="736"/>
      <c r="AF329" s="799">
        <f t="shared" si="8"/>
        <v>228050</v>
      </c>
      <c r="AG329" s="658">
        <v>0.9245910374927184</v>
      </c>
      <c r="AH329" s="659">
        <f t="shared" si="3"/>
        <v>0.9245910375</v>
      </c>
      <c r="AI329" s="641"/>
      <c r="AJ329" s="660">
        <f t="shared" si="6"/>
        <v>329</v>
      </c>
      <c r="AK329" s="676">
        <v>0.9799</v>
      </c>
      <c r="AL329" s="662">
        <v>66849.0</v>
      </c>
      <c r="AM329" s="677">
        <v>-0.9604195626800384</v>
      </c>
      <c r="AN329" s="678">
        <v>-0.020100000000000007</v>
      </c>
      <c r="AO329" s="662">
        <v>66849.0</v>
      </c>
      <c r="AP329" s="679">
        <v>-0.9572871179537897</v>
      </c>
      <c r="AQ329" s="662">
        <v>66849.0</v>
      </c>
      <c r="AR329" s="680">
        <v>-0.9540682683005596</v>
      </c>
      <c r="AS329" s="624"/>
      <c r="AT329" s="624"/>
      <c r="AU329" s="624"/>
      <c r="AV329" s="624"/>
      <c r="AW329" s="624"/>
      <c r="AX329" s="624"/>
      <c r="AY329" s="624"/>
      <c r="AZ329" s="624"/>
      <c r="BA329" s="624"/>
      <c r="BB329" s="624"/>
      <c r="BC329" s="624"/>
      <c r="BD329" s="624"/>
      <c r="BE329" s="624"/>
    </row>
    <row r="330" ht="16.5" customHeight="1">
      <c r="A330" s="711"/>
      <c r="B330" s="711"/>
      <c r="C330" s="711"/>
      <c r="D330" s="711"/>
      <c r="E330" s="711"/>
      <c r="F330" s="711"/>
      <c r="G330" s="711"/>
      <c r="H330" s="711"/>
      <c r="I330" s="711"/>
      <c r="J330" s="711"/>
      <c r="K330" s="741"/>
      <c r="L330" s="741"/>
      <c r="M330" s="788"/>
      <c r="N330" s="741"/>
      <c r="O330" s="741"/>
      <c r="P330" s="741"/>
      <c r="Q330" s="741"/>
      <c r="R330" s="788"/>
      <c r="S330" s="819"/>
      <c r="T330" s="820"/>
      <c r="U330" s="819"/>
      <c r="V330" s="820"/>
      <c r="W330" s="788"/>
      <c r="X330" s="803"/>
      <c r="Y330" s="803"/>
      <c r="Z330" s="803"/>
      <c r="AA330" s="711"/>
      <c r="AB330" s="711"/>
      <c r="AC330" s="711"/>
      <c r="AD330" s="736"/>
      <c r="AE330" s="736"/>
      <c r="AF330" s="799">
        <f t="shared" si="8"/>
        <v>228800</v>
      </c>
      <c r="AG330" s="658">
        <v>0.9244737709990932</v>
      </c>
      <c r="AH330" s="659">
        <f t="shared" si="3"/>
        <v>0.924473771</v>
      </c>
      <c r="AI330" s="641"/>
      <c r="AJ330" s="660">
        <f t="shared" si="6"/>
        <v>330</v>
      </c>
      <c r="AK330" s="676">
        <v>0.982</v>
      </c>
      <c r="AL330" s="662">
        <v>66604.0</v>
      </c>
      <c r="AM330" s="677">
        <v>-0.959948315285148</v>
      </c>
      <c r="AN330" s="678">
        <v>-0.018000000000000016</v>
      </c>
      <c r="AO330" s="662">
        <v>66604.0</v>
      </c>
      <c r="AP330" s="679">
        <v>-0.9567906388192312</v>
      </c>
      <c r="AQ330" s="662">
        <v>66604.0</v>
      </c>
      <c r="AR330" s="680">
        <v>-0.953546745693675</v>
      </c>
      <c r="AS330" s="624"/>
      <c r="AT330" s="624"/>
      <c r="AU330" s="624"/>
      <c r="AV330" s="624"/>
      <c r="AW330" s="624"/>
      <c r="AX330" s="624"/>
      <c r="AY330" s="624"/>
      <c r="AZ330" s="624"/>
      <c r="BA330" s="624"/>
      <c r="BB330" s="624"/>
      <c r="BC330" s="624"/>
      <c r="BD330" s="624"/>
      <c r="BE330" s="624"/>
    </row>
    <row r="331" ht="16.5" customHeight="1">
      <c r="A331" s="711"/>
      <c r="B331" s="711"/>
      <c r="C331" s="711"/>
      <c r="D331" s="711"/>
      <c r="E331" s="711"/>
      <c r="F331" s="711"/>
      <c r="G331" s="711"/>
      <c r="H331" s="711"/>
      <c r="I331" s="711"/>
      <c r="J331" s="711"/>
      <c r="K331" s="741"/>
      <c r="L331" s="741"/>
      <c r="M331" s="788"/>
      <c r="N331" s="741"/>
      <c r="O331" s="741"/>
      <c r="P331" s="741"/>
      <c r="Q331" s="741"/>
      <c r="R331" s="788"/>
      <c r="S331" s="819"/>
      <c r="T331" s="820"/>
      <c r="U331" s="819"/>
      <c r="V331" s="820"/>
      <c r="W331" s="788"/>
      <c r="X331" s="803"/>
      <c r="Y331" s="803"/>
      <c r="Z331" s="803"/>
      <c r="AA331" s="711"/>
      <c r="AB331" s="711"/>
      <c r="AC331" s="711"/>
      <c r="AD331" s="736"/>
      <c r="AE331" s="736"/>
      <c r="AF331" s="799">
        <f t="shared" si="8"/>
        <v>229550</v>
      </c>
      <c r="AG331" s="658">
        <v>0.9243565055284331</v>
      </c>
      <c r="AH331" s="659">
        <f t="shared" si="3"/>
        <v>0.9243565055</v>
      </c>
      <c r="AI331" s="641"/>
      <c r="AJ331" s="660">
        <f t="shared" si="6"/>
        <v>331</v>
      </c>
      <c r="AK331" s="676">
        <v>0.9695</v>
      </c>
      <c r="AL331" s="662">
        <v>66387.0</v>
      </c>
      <c r="AM331" s="677">
        <v>-0.959526241343423</v>
      </c>
      <c r="AN331" s="678">
        <v>-0.03049999999999997</v>
      </c>
      <c r="AO331" s="662">
        <v>66387.0</v>
      </c>
      <c r="AP331" s="679">
        <v>-0.9563460829986467</v>
      </c>
      <c r="AQ331" s="662">
        <v>66387.0</v>
      </c>
      <c r="AR331" s="680">
        <v>-0.9530798827262932</v>
      </c>
      <c r="AS331" s="624"/>
      <c r="AT331" s="624"/>
      <c r="AU331" s="624"/>
      <c r="AV331" s="624"/>
      <c r="AW331" s="624"/>
      <c r="AX331" s="624"/>
      <c r="AY331" s="624"/>
      <c r="AZ331" s="624"/>
      <c r="BA331" s="624"/>
      <c r="BB331" s="624"/>
      <c r="BC331" s="624"/>
      <c r="BD331" s="624"/>
      <c r="BE331" s="624"/>
    </row>
    <row r="332" ht="16.5" customHeight="1">
      <c r="A332" s="711"/>
      <c r="B332" s="711"/>
      <c r="C332" s="711"/>
      <c r="D332" s="711"/>
      <c r="E332" s="711"/>
      <c r="F332" s="711"/>
      <c r="G332" s="711"/>
      <c r="H332" s="711"/>
      <c r="I332" s="711"/>
      <c r="J332" s="711"/>
      <c r="K332" s="741"/>
      <c r="L332" s="741"/>
      <c r="M332" s="788"/>
      <c r="N332" s="741"/>
      <c r="O332" s="741"/>
      <c r="P332" s="741"/>
      <c r="Q332" s="741"/>
      <c r="R332" s="788"/>
      <c r="S332" s="819"/>
      <c r="T332" s="820"/>
      <c r="U332" s="819"/>
      <c r="V332" s="820"/>
      <c r="W332" s="788"/>
      <c r="X332" s="803"/>
      <c r="Y332" s="803"/>
      <c r="Z332" s="803"/>
      <c r="AA332" s="711"/>
      <c r="AB332" s="711"/>
      <c r="AC332" s="711"/>
      <c r="AD332" s="736"/>
      <c r="AE332" s="736"/>
      <c r="AF332" s="799">
        <f t="shared" si="8"/>
        <v>230300</v>
      </c>
      <c r="AG332" s="658">
        <v>0.9242392410451808</v>
      </c>
      <c r="AH332" s="659">
        <f t="shared" si="3"/>
        <v>0.924239241</v>
      </c>
      <c r="AI332" s="641"/>
      <c r="AJ332" s="660">
        <f t="shared" si="6"/>
        <v>332</v>
      </c>
      <c r="AK332" s="676">
        <v>0.9467</v>
      </c>
      <c r="AL332" s="662">
        <v>65833.0</v>
      </c>
      <c r="AM332" s="677">
        <v>-0.9584284052832548</v>
      </c>
      <c r="AN332" s="678">
        <v>-0.053300000000000014</v>
      </c>
      <c r="AO332" s="662">
        <v>65833.0</v>
      </c>
      <c r="AP332" s="679">
        <v>-0.9551902795460961</v>
      </c>
      <c r="AQ332" s="662">
        <v>65833.0</v>
      </c>
      <c r="AR332" s="680">
        <v>-0.9518665925726495</v>
      </c>
      <c r="AS332" s="624"/>
      <c r="AT332" s="624"/>
      <c r="AU332" s="624"/>
      <c r="AV332" s="624"/>
      <c r="AW332" s="624"/>
      <c r="AX332" s="624"/>
      <c r="AY332" s="624"/>
      <c r="AZ332" s="624"/>
      <c r="BA332" s="624"/>
      <c r="BB332" s="624"/>
      <c r="BC332" s="624"/>
      <c r="BD332" s="624"/>
      <c r="BE332" s="624"/>
    </row>
    <row r="333" ht="16.5" customHeight="1">
      <c r="A333" s="711"/>
      <c r="B333" s="711"/>
      <c r="C333" s="711"/>
      <c r="D333" s="711"/>
      <c r="E333" s="711"/>
      <c r="F333" s="711"/>
      <c r="G333" s="711"/>
      <c r="H333" s="711"/>
      <c r="I333" s="711"/>
      <c r="J333" s="711"/>
      <c r="K333" s="741"/>
      <c r="L333" s="741"/>
      <c r="M333" s="788"/>
      <c r="N333" s="741"/>
      <c r="O333" s="741"/>
      <c r="P333" s="741"/>
      <c r="Q333" s="741"/>
      <c r="R333" s="788"/>
      <c r="S333" s="819"/>
      <c r="T333" s="820"/>
      <c r="U333" s="819"/>
      <c r="V333" s="820"/>
      <c r="W333" s="788"/>
      <c r="X333" s="803"/>
      <c r="Y333" s="803"/>
      <c r="Z333" s="803"/>
      <c r="AA333" s="711"/>
      <c r="AB333" s="711"/>
      <c r="AC333" s="711"/>
      <c r="AD333" s="736"/>
      <c r="AE333" s="736"/>
      <c r="AF333" s="799">
        <f t="shared" si="8"/>
        <v>231050</v>
      </c>
      <c r="AG333" s="658">
        <v>0.9241219775150153</v>
      </c>
      <c r="AH333" s="659">
        <f t="shared" si="3"/>
        <v>0.9241219775</v>
      </c>
      <c r="AI333" s="641"/>
      <c r="AJ333" s="660">
        <f t="shared" si="6"/>
        <v>333</v>
      </c>
      <c r="AK333" s="676">
        <v>0.975</v>
      </c>
      <c r="AL333" s="662">
        <v>65739.0</v>
      </c>
      <c r="AM333" s="677">
        <v>-0.9582391967821694</v>
      </c>
      <c r="AN333" s="678">
        <v>-0.025000000000000022</v>
      </c>
      <c r="AO333" s="662">
        <v>65739.0</v>
      </c>
      <c r="AP333" s="679">
        <v>-0.9549911538047595</v>
      </c>
      <c r="AQ333" s="662">
        <v>65739.0</v>
      </c>
      <c r="AR333" s="680">
        <v>-0.9516576361597839</v>
      </c>
      <c r="AS333" s="624"/>
      <c r="AT333" s="624"/>
      <c r="AU333" s="624"/>
      <c r="AV333" s="624"/>
      <c r="AW333" s="624"/>
      <c r="AX333" s="624"/>
      <c r="AY333" s="624"/>
      <c r="AZ333" s="624"/>
      <c r="BA333" s="624"/>
      <c r="BB333" s="624"/>
      <c r="BC333" s="624"/>
      <c r="BD333" s="624"/>
      <c r="BE333" s="624"/>
    </row>
    <row r="334" ht="16.5" customHeight="1">
      <c r="A334" s="711"/>
      <c r="B334" s="711"/>
      <c r="C334" s="711"/>
      <c r="D334" s="711"/>
      <c r="E334" s="711"/>
      <c r="F334" s="711"/>
      <c r="G334" s="711"/>
      <c r="H334" s="711"/>
      <c r="I334" s="711"/>
      <c r="J334" s="711"/>
      <c r="K334" s="741"/>
      <c r="L334" s="741"/>
      <c r="M334" s="788"/>
      <c r="N334" s="741"/>
      <c r="O334" s="741"/>
      <c r="P334" s="741"/>
      <c r="Q334" s="741"/>
      <c r="R334" s="788"/>
      <c r="S334" s="819"/>
      <c r="T334" s="820"/>
      <c r="U334" s="819"/>
      <c r="V334" s="820"/>
      <c r="W334" s="788"/>
      <c r="X334" s="803"/>
      <c r="Y334" s="803"/>
      <c r="Z334" s="803"/>
      <c r="AA334" s="711"/>
      <c r="AB334" s="711"/>
      <c r="AC334" s="711"/>
      <c r="AD334" s="736"/>
      <c r="AE334" s="736"/>
      <c r="AF334" s="799">
        <f t="shared" si="8"/>
        <v>231800</v>
      </c>
      <c r="AG334" s="658">
        <v>0.9240047149048083</v>
      </c>
      <c r="AH334" s="659">
        <f t="shared" si="3"/>
        <v>0.9240047149</v>
      </c>
      <c r="AI334" s="641"/>
      <c r="AJ334" s="660">
        <f t="shared" si="6"/>
        <v>334</v>
      </c>
      <c r="AK334" s="676">
        <v>0.9695</v>
      </c>
      <c r="AL334" s="662">
        <v>65500.0</v>
      </c>
      <c r="AM334" s="677">
        <v>-0.9577542367253209</v>
      </c>
      <c r="AN334" s="678">
        <v>-0.03049999999999997</v>
      </c>
      <c r="AO334" s="662">
        <v>65500.0</v>
      </c>
      <c r="AP334" s="679">
        <v>-0.9544808718064127</v>
      </c>
      <c r="AQ334" s="662">
        <v>65500.0</v>
      </c>
      <c r="AR334" s="680">
        <v>-0.9511222589665578</v>
      </c>
      <c r="AS334" s="624"/>
      <c r="AT334" s="624"/>
      <c r="AU334" s="624"/>
      <c r="AV334" s="624"/>
      <c r="AW334" s="624"/>
      <c r="AX334" s="624"/>
      <c r="AY334" s="624"/>
      <c r="AZ334" s="624"/>
      <c r="BA334" s="624"/>
      <c r="BB334" s="624"/>
      <c r="BC334" s="624"/>
      <c r="BD334" s="624"/>
      <c r="BE334" s="624"/>
    </row>
    <row r="335" ht="16.5" customHeight="1">
      <c r="A335" s="711"/>
      <c r="B335" s="711"/>
      <c r="C335" s="711"/>
      <c r="D335" s="711"/>
      <c r="E335" s="711"/>
      <c r="F335" s="711"/>
      <c r="G335" s="711"/>
      <c r="H335" s="711"/>
      <c r="I335" s="711"/>
      <c r="J335" s="711"/>
      <c r="K335" s="741"/>
      <c r="L335" s="741"/>
      <c r="M335" s="788"/>
      <c r="N335" s="741"/>
      <c r="O335" s="741"/>
      <c r="P335" s="741"/>
      <c r="Q335" s="741"/>
      <c r="R335" s="788"/>
      <c r="S335" s="819"/>
      <c r="T335" s="820"/>
      <c r="U335" s="819"/>
      <c r="V335" s="820"/>
      <c r="W335" s="788"/>
      <c r="X335" s="803"/>
      <c r="Y335" s="803"/>
      <c r="Z335" s="803"/>
      <c r="AA335" s="711"/>
      <c r="AB335" s="711"/>
      <c r="AC335" s="711"/>
      <c r="AD335" s="736"/>
      <c r="AE335" s="736"/>
      <c r="AF335" s="799">
        <f t="shared" si="8"/>
        <v>232550</v>
      </c>
      <c r="AG335" s="658">
        <v>0.923887453182583</v>
      </c>
      <c r="AH335" s="659">
        <f t="shared" si="3"/>
        <v>0.9238874532</v>
      </c>
      <c r="AI335" s="641"/>
      <c r="AJ335" s="660">
        <f t="shared" si="6"/>
        <v>335</v>
      </c>
      <c r="AK335" s="676">
        <v>0.9738</v>
      </c>
      <c r="AL335" s="662">
        <v>65470.0</v>
      </c>
      <c r="AM335" s="677">
        <v>-0.9576929665935225</v>
      </c>
      <c r="AN335" s="678">
        <v>-0.0262</v>
      </c>
      <c r="AO335" s="662">
        <v>65470.0</v>
      </c>
      <c r="AP335" s="679">
        <v>-0.954416412348411</v>
      </c>
      <c r="AQ335" s="662">
        <v>65470.0</v>
      </c>
      <c r="AR335" s="680">
        <v>-0.9510546393217667</v>
      </c>
      <c r="AS335" s="624"/>
      <c r="AT335" s="624"/>
      <c r="AU335" s="624"/>
      <c r="AV335" s="624"/>
      <c r="AW335" s="624"/>
      <c r="AX335" s="624"/>
      <c r="AY335" s="624"/>
      <c r="AZ335" s="624"/>
      <c r="BA335" s="624"/>
      <c r="BB335" s="624"/>
      <c r="BC335" s="624"/>
      <c r="BD335" s="624"/>
      <c r="BE335" s="624"/>
    </row>
    <row r="336" ht="16.5" customHeight="1">
      <c r="A336" s="711"/>
      <c r="B336" s="711"/>
      <c r="C336" s="711"/>
      <c r="D336" s="711"/>
      <c r="E336" s="711"/>
      <c r="F336" s="711"/>
      <c r="G336" s="711"/>
      <c r="H336" s="711"/>
      <c r="I336" s="711"/>
      <c r="J336" s="711"/>
      <c r="K336" s="741"/>
      <c r="L336" s="741"/>
      <c r="M336" s="788"/>
      <c r="N336" s="741"/>
      <c r="O336" s="741"/>
      <c r="P336" s="741"/>
      <c r="Q336" s="741"/>
      <c r="R336" s="788"/>
      <c r="S336" s="819"/>
      <c r="T336" s="820"/>
      <c r="U336" s="819"/>
      <c r="V336" s="820"/>
      <c r="W336" s="788"/>
      <c r="X336" s="803"/>
      <c r="Y336" s="803"/>
      <c r="Z336" s="803"/>
      <c r="AA336" s="711"/>
      <c r="AB336" s="711"/>
      <c r="AC336" s="711"/>
      <c r="AD336" s="736"/>
      <c r="AE336" s="736"/>
      <c r="AF336" s="799">
        <f t="shared" si="8"/>
        <v>233300</v>
      </c>
      <c r="AG336" s="658">
        <v>0.9237701923174743</v>
      </c>
      <c r="AH336" s="659">
        <f t="shared" si="3"/>
        <v>0.9237701923</v>
      </c>
      <c r="AI336" s="641"/>
      <c r="AJ336" s="660">
        <f t="shared" si="6"/>
        <v>336</v>
      </c>
      <c r="AK336" s="676">
        <v>0.9797</v>
      </c>
      <c r="AL336" s="662">
        <v>65086.0</v>
      </c>
      <c r="AM336" s="677">
        <v>-0.9569008156967193</v>
      </c>
      <c r="AN336" s="678">
        <v>-0.020299999999999985</v>
      </c>
      <c r="AO336" s="662">
        <v>65086.0</v>
      </c>
      <c r="AP336" s="679">
        <v>-0.9535832242902338</v>
      </c>
      <c r="AQ336" s="662">
        <v>65086.0</v>
      </c>
      <c r="AR336" s="680">
        <v>-0.9501808005791251</v>
      </c>
      <c r="AS336" s="624"/>
      <c r="AT336" s="624"/>
      <c r="AU336" s="624"/>
      <c r="AV336" s="624"/>
      <c r="AW336" s="624"/>
      <c r="AX336" s="624"/>
      <c r="AY336" s="624"/>
      <c r="AZ336" s="624"/>
      <c r="BA336" s="624"/>
      <c r="BB336" s="624"/>
      <c r="BC336" s="624"/>
      <c r="BD336" s="624"/>
      <c r="BE336" s="624"/>
    </row>
    <row r="337" ht="16.5" customHeight="1">
      <c r="A337" s="711"/>
      <c r="B337" s="711"/>
      <c r="C337" s="711"/>
      <c r="D337" s="711"/>
      <c r="E337" s="711"/>
      <c r="F337" s="711"/>
      <c r="G337" s="711"/>
      <c r="H337" s="711"/>
      <c r="I337" s="711"/>
      <c r="J337" s="711"/>
      <c r="K337" s="741"/>
      <c r="L337" s="741"/>
      <c r="M337" s="788"/>
      <c r="N337" s="741"/>
      <c r="O337" s="741"/>
      <c r="P337" s="741"/>
      <c r="Q337" s="741"/>
      <c r="R337" s="788"/>
      <c r="S337" s="819"/>
      <c r="T337" s="820"/>
      <c r="U337" s="819"/>
      <c r="V337" s="820"/>
      <c r="W337" s="788"/>
      <c r="X337" s="803"/>
      <c r="Y337" s="803"/>
      <c r="Z337" s="803"/>
      <c r="AA337" s="711"/>
      <c r="AB337" s="711"/>
      <c r="AC337" s="711"/>
      <c r="AD337" s="736"/>
      <c r="AE337" s="736"/>
      <c r="AF337" s="799">
        <f t="shared" si="8"/>
        <v>234050</v>
      </c>
      <c r="AG337" s="658">
        <v>0.9236529322796895</v>
      </c>
      <c r="AH337" s="659">
        <f t="shared" si="3"/>
        <v>0.9236529323</v>
      </c>
      <c r="AI337" s="641"/>
      <c r="AJ337" s="660">
        <f t="shared" si="6"/>
        <v>337</v>
      </c>
      <c r="AK337" s="676">
        <v>0.9443</v>
      </c>
      <c r="AL337" s="662">
        <v>65065.0</v>
      </c>
      <c r="AM337" s="677">
        <v>-0.9568570697003103</v>
      </c>
      <c r="AN337" s="678">
        <v>-0.05569999999999997</v>
      </c>
      <c r="AO337" s="662">
        <v>65065.0</v>
      </c>
      <c r="AP337" s="679">
        <v>-0.9535372226285541</v>
      </c>
      <c r="AQ337" s="662">
        <v>65065.0</v>
      </c>
      <c r="AR337" s="680">
        <v>-0.9501325651146769</v>
      </c>
      <c r="AS337" s="624"/>
      <c r="AT337" s="624"/>
      <c r="AU337" s="624"/>
      <c r="AV337" s="624"/>
      <c r="AW337" s="624"/>
      <c r="AX337" s="624"/>
      <c r="AY337" s="624"/>
      <c r="AZ337" s="624"/>
      <c r="BA337" s="624"/>
      <c r="BB337" s="624"/>
      <c r="BC337" s="624"/>
      <c r="BD337" s="624"/>
      <c r="BE337" s="624"/>
    </row>
    <row r="338" ht="16.5" customHeight="1">
      <c r="A338" s="711"/>
      <c r="B338" s="711"/>
      <c r="C338" s="711"/>
      <c r="D338" s="711"/>
      <c r="E338" s="711"/>
      <c r="F338" s="711"/>
      <c r="G338" s="711"/>
      <c r="H338" s="711"/>
      <c r="I338" s="711"/>
      <c r="J338" s="711"/>
      <c r="K338" s="741"/>
      <c r="L338" s="741"/>
      <c r="M338" s="788"/>
      <c r="N338" s="741"/>
      <c r="O338" s="741"/>
      <c r="P338" s="741"/>
      <c r="Q338" s="741"/>
      <c r="R338" s="788"/>
      <c r="S338" s="819"/>
      <c r="T338" s="820"/>
      <c r="U338" s="819"/>
      <c r="V338" s="820"/>
      <c r="W338" s="788"/>
      <c r="X338" s="803"/>
      <c r="Y338" s="803"/>
      <c r="Z338" s="803"/>
      <c r="AA338" s="711"/>
      <c r="AB338" s="711"/>
      <c r="AC338" s="711"/>
      <c r="AD338" s="736"/>
      <c r="AE338" s="736"/>
      <c r="AF338" s="799">
        <f t="shared" si="8"/>
        <v>234800</v>
      </c>
      <c r="AG338" s="658">
        <v>0.9235356730404719</v>
      </c>
      <c r="AH338" s="659">
        <f t="shared" si="3"/>
        <v>0.923535673</v>
      </c>
      <c r="AI338" s="641"/>
      <c r="AJ338" s="660">
        <f t="shared" si="6"/>
        <v>338</v>
      </c>
      <c r="AK338" s="676">
        <v>0.9137</v>
      </c>
      <c r="AL338" s="662">
        <v>65000.0</v>
      </c>
      <c r="AM338" s="677">
        <v>-0.9567213838088566</v>
      </c>
      <c r="AN338" s="678">
        <v>-0.08630000000000004</v>
      </c>
      <c r="AO338" s="662">
        <v>65000.0</v>
      </c>
      <c r="AP338" s="679">
        <v>-0.953394547387754</v>
      </c>
      <c r="AQ338" s="662">
        <v>65000.0</v>
      </c>
      <c r="AR338" s="680">
        <v>-0.9499829686757552</v>
      </c>
      <c r="AS338" s="624"/>
      <c r="AT338" s="624"/>
      <c r="AU338" s="624"/>
      <c r="AV338" s="624"/>
      <c r="AW338" s="624"/>
      <c r="AX338" s="624"/>
      <c r="AY338" s="624"/>
      <c r="AZ338" s="624"/>
      <c r="BA338" s="624"/>
      <c r="BB338" s="624"/>
      <c r="BC338" s="624"/>
      <c r="BD338" s="624"/>
      <c r="BE338" s="624"/>
    </row>
    <row r="339" ht="16.5" customHeight="1">
      <c r="A339" s="711"/>
      <c r="B339" s="711"/>
      <c r="C339" s="711"/>
      <c r="D339" s="711"/>
      <c r="E339" s="711"/>
      <c r="F339" s="711"/>
      <c r="G339" s="711"/>
      <c r="H339" s="711"/>
      <c r="I339" s="711"/>
      <c r="J339" s="711"/>
      <c r="K339" s="741"/>
      <c r="L339" s="741"/>
      <c r="M339" s="788"/>
      <c r="N339" s="741"/>
      <c r="O339" s="741"/>
      <c r="P339" s="741"/>
      <c r="Q339" s="741"/>
      <c r="R339" s="788"/>
      <c r="S339" s="819"/>
      <c r="T339" s="820"/>
      <c r="U339" s="819"/>
      <c r="V339" s="820"/>
      <c r="W339" s="788"/>
      <c r="X339" s="803"/>
      <c r="Y339" s="803"/>
      <c r="Z339" s="803"/>
      <c r="AA339" s="711"/>
      <c r="AB339" s="711"/>
      <c r="AC339" s="711"/>
      <c r="AD339" s="736"/>
      <c r="AE339" s="736"/>
      <c r="AF339" s="799">
        <f t="shared" si="8"/>
        <v>235550</v>
      </c>
      <c r="AG339" s="658">
        <v>0.9234184145720642</v>
      </c>
      <c r="AH339" s="659">
        <f t="shared" si="3"/>
        <v>0.9234184146</v>
      </c>
      <c r="AI339" s="641"/>
      <c r="AJ339" s="660">
        <f t="shared" si="6"/>
        <v>339</v>
      </c>
      <c r="AK339" s="676">
        <v>0.9847</v>
      </c>
      <c r="AL339" s="662">
        <v>64908.0</v>
      </c>
      <c r="AM339" s="677">
        <v>-0.9565286063264864</v>
      </c>
      <c r="AN339" s="678">
        <v>-0.01529999999999998</v>
      </c>
      <c r="AO339" s="662">
        <v>64908.0</v>
      </c>
      <c r="AP339" s="679">
        <v>-0.9531918578303767</v>
      </c>
      <c r="AQ339" s="662">
        <v>64908.0</v>
      </c>
      <c r="AR339" s="680">
        <v>-0.9497704647515546</v>
      </c>
      <c r="AS339" s="624"/>
      <c r="AT339" s="624"/>
      <c r="AU339" s="624"/>
      <c r="AV339" s="624"/>
      <c r="AW339" s="624"/>
      <c r="AX339" s="624"/>
      <c r="AY339" s="624"/>
      <c r="AZ339" s="624"/>
      <c r="BA339" s="624"/>
      <c r="BB339" s="624"/>
      <c r="BC339" s="624"/>
      <c r="BD339" s="624"/>
      <c r="BE339" s="624"/>
    </row>
    <row r="340" ht="16.5" customHeight="1">
      <c r="A340" s="711"/>
      <c r="B340" s="711"/>
      <c r="C340" s="711"/>
      <c r="D340" s="711"/>
      <c r="E340" s="711"/>
      <c r="F340" s="711"/>
      <c r="G340" s="711"/>
      <c r="H340" s="711"/>
      <c r="I340" s="711"/>
      <c r="J340" s="711"/>
      <c r="K340" s="741"/>
      <c r="L340" s="741"/>
      <c r="M340" s="788"/>
      <c r="N340" s="741"/>
      <c r="O340" s="741"/>
      <c r="P340" s="741"/>
      <c r="Q340" s="741"/>
      <c r="R340" s="788"/>
      <c r="S340" s="819"/>
      <c r="T340" s="820"/>
      <c r="U340" s="819"/>
      <c r="V340" s="820"/>
      <c r="W340" s="788"/>
      <c r="X340" s="803"/>
      <c r="Y340" s="803"/>
      <c r="Z340" s="803"/>
      <c r="AA340" s="711"/>
      <c r="AB340" s="711"/>
      <c r="AC340" s="711"/>
      <c r="AD340" s="736"/>
      <c r="AE340" s="736"/>
      <c r="AF340" s="799">
        <f t="shared" si="8"/>
        <v>236300</v>
      </c>
      <c r="AG340" s="658">
        <v>0.9233011568476739</v>
      </c>
      <c r="AH340" s="659">
        <f t="shared" si="3"/>
        <v>0.9233011568</v>
      </c>
      <c r="AI340" s="641"/>
      <c r="AJ340" s="660">
        <f t="shared" si="6"/>
        <v>340</v>
      </c>
      <c r="AK340" s="676">
        <v>0.9644</v>
      </c>
      <c r="AL340" s="662">
        <v>64584.0</v>
      </c>
      <c r="AM340" s="677">
        <v>-0.9558428315803071</v>
      </c>
      <c r="AN340" s="678">
        <v>-0.035599999999999965</v>
      </c>
      <c r="AO340" s="662">
        <v>64584.0</v>
      </c>
      <c r="AP340" s="679">
        <v>-0.9524709936510045</v>
      </c>
      <c r="AQ340" s="662">
        <v>64584.0</v>
      </c>
      <c r="AR340" s="680">
        <v>-0.949014866979489</v>
      </c>
      <c r="AS340" s="624"/>
      <c r="AT340" s="624"/>
      <c r="AU340" s="624"/>
      <c r="AV340" s="624"/>
      <c r="AW340" s="624"/>
      <c r="AX340" s="624"/>
      <c r="AY340" s="624"/>
      <c r="AZ340" s="624"/>
      <c r="BA340" s="624"/>
      <c r="BB340" s="624"/>
      <c r="BC340" s="624"/>
      <c r="BD340" s="624"/>
      <c r="BE340" s="624"/>
    </row>
    <row r="341" ht="16.5" customHeight="1">
      <c r="A341" s="711"/>
      <c r="B341" s="711"/>
      <c r="C341" s="711"/>
      <c r="D341" s="711"/>
      <c r="E341" s="711"/>
      <c r="F341" s="711"/>
      <c r="G341" s="711"/>
      <c r="H341" s="711"/>
      <c r="I341" s="711"/>
      <c r="J341" s="711"/>
      <c r="K341" s="741"/>
      <c r="L341" s="741"/>
      <c r="M341" s="788"/>
      <c r="N341" s="741"/>
      <c r="O341" s="741"/>
      <c r="P341" s="741"/>
      <c r="Q341" s="741"/>
      <c r="R341" s="788"/>
      <c r="S341" s="819"/>
      <c r="T341" s="820"/>
      <c r="U341" s="819"/>
      <c r="V341" s="820"/>
      <c r="W341" s="788"/>
      <c r="X341" s="803"/>
      <c r="Y341" s="803"/>
      <c r="Z341" s="803"/>
      <c r="AA341" s="711"/>
      <c r="AB341" s="711"/>
      <c r="AC341" s="711"/>
      <c r="AD341" s="736"/>
      <c r="AE341" s="736"/>
      <c r="AF341" s="799">
        <f t="shared" si="8"/>
        <v>237050</v>
      </c>
      <c r="AG341" s="658">
        <v>0.9231838998414398</v>
      </c>
      <c r="AH341" s="659">
        <f t="shared" si="3"/>
        <v>0.9231838998</v>
      </c>
      <c r="AI341" s="641"/>
      <c r="AJ341" s="660">
        <f t="shared" si="6"/>
        <v>341</v>
      </c>
      <c r="AK341" s="676">
        <v>0.9773</v>
      </c>
      <c r="AL341" s="662">
        <v>64468.0</v>
      </c>
      <c r="AM341" s="677">
        <v>-0.9555946861440858</v>
      </c>
      <c r="AN341" s="678">
        <v>-0.022700000000000053</v>
      </c>
      <c r="AO341" s="662">
        <v>64468.0</v>
      </c>
      <c r="AP341" s="679">
        <v>-0.952210216480293</v>
      </c>
      <c r="AQ341" s="662">
        <v>64468.0</v>
      </c>
      <c r="AR341" s="680">
        <v>-0.9487415899575422</v>
      </c>
      <c r="AS341" s="624"/>
      <c r="AT341" s="624"/>
      <c r="AU341" s="624"/>
      <c r="AV341" s="624"/>
      <c r="AW341" s="624"/>
      <c r="AX341" s="624"/>
      <c r="AY341" s="624"/>
      <c r="AZ341" s="624"/>
      <c r="BA341" s="624"/>
      <c r="BB341" s="624"/>
      <c r="BC341" s="624"/>
      <c r="BD341" s="624"/>
      <c r="BE341" s="624"/>
    </row>
    <row r="342" ht="16.5" customHeight="1">
      <c r="A342" s="711"/>
      <c r="B342" s="711"/>
      <c r="C342" s="711"/>
      <c r="D342" s="711"/>
      <c r="E342" s="711"/>
      <c r="F342" s="711"/>
      <c r="G342" s="711"/>
      <c r="H342" s="711"/>
      <c r="I342" s="711"/>
      <c r="J342" s="711"/>
      <c r="K342" s="741"/>
      <c r="L342" s="741"/>
      <c r="M342" s="788"/>
      <c r="N342" s="741"/>
      <c r="O342" s="741"/>
      <c r="P342" s="741"/>
      <c r="Q342" s="741"/>
      <c r="R342" s="788"/>
      <c r="S342" s="819"/>
      <c r="T342" s="820"/>
      <c r="U342" s="819"/>
      <c r="V342" s="820"/>
      <c r="W342" s="788"/>
      <c r="X342" s="803"/>
      <c r="Y342" s="803"/>
      <c r="Z342" s="803"/>
      <c r="AA342" s="711"/>
      <c r="AB342" s="711"/>
      <c r="AC342" s="711"/>
      <c r="AD342" s="736"/>
      <c r="AE342" s="736"/>
      <c r="AF342" s="799">
        <f t="shared" si="8"/>
        <v>237800</v>
      </c>
      <c r="AG342" s="658">
        <v>0.9230666435283995</v>
      </c>
      <c r="AH342" s="659">
        <f t="shared" si="3"/>
        <v>0.9230666435</v>
      </c>
      <c r="AI342" s="641"/>
      <c r="AJ342" s="660">
        <f t="shared" si="6"/>
        <v>342</v>
      </c>
      <c r="AK342" s="676">
        <v>0.9053</v>
      </c>
      <c r="AL342" s="662">
        <v>64423.0</v>
      </c>
      <c r="AM342" s="677">
        <v>-0.9554980478495287</v>
      </c>
      <c r="AN342" s="678">
        <v>-0.0947</v>
      </c>
      <c r="AO342" s="662">
        <v>64423.0</v>
      </c>
      <c r="AP342" s="679">
        <v>-0.9521086681648605</v>
      </c>
      <c r="AQ342" s="662">
        <v>64423.0</v>
      </c>
      <c r="AR342" s="680">
        <v>-0.9486351834242962</v>
      </c>
      <c r="AS342" s="624"/>
      <c r="AT342" s="624"/>
      <c r="AU342" s="624"/>
      <c r="AV342" s="624"/>
      <c r="AW342" s="624"/>
      <c r="AX342" s="624"/>
      <c r="AY342" s="624"/>
      <c r="AZ342" s="624"/>
      <c r="BA342" s="624"/>
      <c r="BB342" s="624"/>
      <c r="BC342" s="624"/>
      <c r="BD342" s="624"/>
      <c r="BE342" s="624"/>
    </row>
    <row r="343" ht="16.5" customHeight="1">
      <c r="A343" s="711"/>
      <c r="B343" s="711"/>
      <c r="C343" s="711"/>
      <c r="D343" s="711"/>
      <c r="E343" s="711"/>
      <c r="F343" s="711"/>
      <c r="G343" s="711"/>
      <c r="H343" s="711"/>
      <c r="I343" s="711"/>
      <c r="J343" s="711"/>
      <c r="K343" s="741"/>
      <c r="L343" s="741"/>
      <c r="M343" s="788"/>
      <c r="N343" s="741"/>
      <c r="O343" s="741"/>
      <c r="P343" s="741"/>
      <c r="Q343" s="741"/>
      <c r="R343" s="788"/>
      <c r="S343" s="819"/>
      <c r="T343" s="820"/>
      <c r="U343" s="819"/>
      <c r="V343" s="820"/>
      <c r="W343" s="788"/>
      <c r="X343" s="803"/>
      <c r="Y343" s="803"/>
      <c r="Z343" s="803"/>
      <c r="AA343" s="711"/>
      <c r="AB343" s="711"/>
      <c r="AC343" s="711"/>
      <c r="AD343" s="736"/>
      <c r="AE343" s="736"/>
      <c r="AF343" s="799">
        <f t="shared" si="8"/>
        <v>238550</v>
      </c>
      <c r="AG343" s="658">
        <v>0.9229493878844583</v>
      </c>
      <c r="AH343" s="659">
        <f t="shared" si="3"/>
        <v>0.9229493879</v>
      </c>
      <c r="AI343" s="641"/>
      <c r="AJ343" s="660">
        <f t="shared" si="6"/>
        <v>343</v>
      </c>
      <c r="AK343" s="676">
        <v>0.9562</v>
      </c>
      <c r="AL343" s="662">
        <v>64345.0</v>
      </c>
      <c r="AM343" s="677">
        <v>-0.9553300430020946</v>
      </c>
      <c r="AN343" s="678">
        <v>-0.04379999999999995</v>
      </c>
      <c r="AO343" s="662">
        <v>64345.0</v>
      </c>
      <c r="AP343" s="679">
        <v>-0.9519321396614133</v>
      </c>
      <c r="AQ343" s="662">
        <v>64345.0</v>
      </c>
      <c r="AR343" s="680">
        <v>-0.9484502219095251</v>
      </c>
      <c r="AS343" s="624"/>
      <c r="AT343" s="624"/>
      <c r="AU343" s="624"/>
      <c r="AV343" s="624"/>
      <c r="AW343" s="624"/>
      <c r="AX343" s="624"/>
      <c r="AY343" s="624"/>
      <c r="AZ343" s="624"/>
      <c r="BA343" s="624"/>
      <c r="BB343" s="624"/>
      <c r="BC343" s="624"/>
      <c r="BD343" s="624"/>
      <c r="BE343" s="624"/>
    </row>
    <row r="344" ht="16.5" customHeight="1">
      <c r="A344" s="711"/>
      <c r="B344" s="711"/>
      <c r="C344" s="711"/>
      <c r="D344" s="711"/>
      <c r="E344" s="711"/>
      <c r="F344" s="711"/>
      <c r="G344" s="711"/>
      <c r="H344" s="711"/>
      <c r="I344" s="711"/>
      <c r="J344" s="711"/>
      <c r="K344" s="741"/>
      <c r="L344" s="741"/>
      <c r="M344" s="788"/>
      <c r="N344" s="741"/>
      <c r="O344" s="741"/>
      <c r="P344" s="741"/>
      <c r="Q344" s="741"/>
      <c r="R344" s="788"/>
      <c r="S344" s="819"/>
      <c r="T344" s="820"/>
      <c r="U344" s="819"/>
      <c r="V344" s="820"/>
      <c r="W344" s="788"/>
      <c r="X344" s="803"/>
      <c r="Y344" s="803"/>
      <c r="Z344" s="803"/>
      <c r="AA344" s="711"/>
      <c r="AB344" s="711"/>
      <c r="AC344" s="711"/>
      <c r="AD344" s="736"/>
      <c r="AE344" s="736"/>
      <c r="AF344" s="799">
        <f t="shared" si="8"/>
        <v>239300</v>
      </c>
      <c r="AG344" s="658">
        <v>0.9228321328863593</v>
      </c>
      <c r="AH344" s="659">
        <f t="shared" si="3"/>
        <v>0.9228321329</v>
      </c>
      <c r="AI344" s="641"/>
      <c r="AJ344" s="660">
        <f t="shared" si="6"/>
        <v>344</v>
      </c>
      <c r="AK344" s="676">
        <v>0.9405</v>
      </c>
      <c r="AL344" s="662">
        <v>64277.0</v>
      </c>
      <c r="AM344" s="677">
        <v>-0.9551830598249076</v>
      </c>
      <c r="AN344" s="678">
        <v>-0.0595</v>
      </c>
      <c r="AO344" s="662">
        <v>64277.0</v>
      </c>
      <c r="AP344" s="679">
        <v>-0.9517777121977388</v>
      </c>
      <c r="AQ344" s="662">
        <v>64277.0</v>
      </c>
      <c r="AR344" s="680">
        <v>-0.9482884300680607</v>
      </c>
      <c r="AS344" s="624"/>
      <c r="AT344" s="624"/>
      <c r="AU344" s="624"/>
      <c r="AV344" s="624"/>
      <c r="AW344" s="624"/>
      <c r="AX344" s="624"/>
      <c r="AY344" s="624"/>
      <c r="AZ344" s="624"/>
      <c r="BA344" s="624"/>
      <c r="BB344" s="624"/>
      <c r="BC344" s="624"/>
      <c r="BD344" s="624"/>
      <c r="BE344" s="624"/>
    </row>
    <row r="345" ht="16.5" customHeight="1">
      <c r="A345" s="711"/>
      <c r="B345" s="711"/>
      <c r="C345" s="711"/>
      <c r="D345" s="711"/>
      <c r="E345" s="711"/>
      <c r="F345" s="711"/>
      <c r="G345" s="711"/>
      <c r="H345" s="711"/>
      <c r="I345" s="711"/>
      <c r="J345" s="711"/>
      <c r="K345" s="741"/>
      <c r="L345" s="741"/>
      <c r="M345" s="788"/>
      <c r="N345" s="741"/>
      <c r="O345" s="741"/>
      <c r="P345" s="741"/>
      <c r="Q345" s="741"/>
      <c r="R345" s="788"/>
      <c r="S345" s="819"/>
      <c r="T345" s="820"/>
      <c r="U345" s="819"/>
      <c r="V345" s="820"/>
      <c r="W345" s="788"/>
      <c r="X345" s="803"/>
      <c r="Y345" s="803"/>
      <c r="Z345" s="803"/>
      <c r="AA345" s="711"/>
      <c r="AB345" s="711"/>
      <c r="AC345" s="711"/>
      <c r="AD345" s="736"/>
      <c r="AE345" s="736"/>
      <c r="AF345" s="799">
        <f t="shared" si="8"/>
        <v>240050</v>
      </c>
      <c r="AG345" s="658">
        <v>0.9227148785116536</v>
      </c>
      <c r="AH345" s="659">
        <f t="shared" si="3"/>
        <v>0.9227148785</v>
      </c>
      <c r="AI345" s="641"/>
      <c r="AJ345" s="660">
        <f t="shared" si="6"/>
        <v>345</v>
      </c>
      <c r="AK345" s="676">
        <v>1.0226</v>
      </c>
      <c r="AL345" s="662">
        <v>64103.0</v>
      </c>
      <c r="AM345" s="677">
        <v>-0.9548047499485879</v>
      </c>
      <c r="AN345" s="678">
        <v>0.022599999999999953</v>
      </c>
      <c r="AO345" s="662">
        <v>64103.0</v>
      </c>
      <c r="AP345" s="679">
        <v>-0.9513802968242027</v>
      </c>
      <c r="AQ345" s="662">
        <v>64103.0</v>
      </c>
      <c r="AR345" s="680">
        <v>-0.9478721174430355</v>
      </c>
      <c r="AS345" s="624"/>
      <c r="AT345" s="624"/>
      <c r="AU345" s="624"/>
      <c r="AV345" s="624"/>
      <c r="AW345" s="624"/>
      <c r="AX345" s="624"/>
      <c r="AY345" s="624"/>
      <c r="AZ345" s="624"/>
      <c r="BA345" s="624"/>
      <c r="BB345" s="624"/>
      <c r="BC345" s="624"/>
      <c r="BD345" s="624"/>
      <c r="BE345" s="624"/>
    </row>
    <row r="346" ht="16.5" customHeight="1">
      <c r="A346" s="711"/>
      <c r="B346" s="711"/>
      <c r="C346" s="711"/>
      <c r="D346" s="711"/>
      <c r="E346" s="711"/>
      <c r="F346" s="711"/>
      <c r="G346" s="711"/>
      <c r="H346" s="711"/>
      <c r="I346" s="711"/>
      <c r="J346" s="711"/>
      <c r="K346" s="741"/>
      <c r="L346" s="741"/>
      <c r="M346" s="788"/>
      <c r="N346" s="741"/>
      <c r="O346" s="741"/>
      <c r="P346" s="741"/>
      <c r="Q346" s="741"/>
      <c r="R346" s="788"/>
      <c r="S346" s="819"/>
      <c r="T346" s="820"/>
      <c r="U346" s="819"/>
      <c r="V346" s="820"/>
      <c r="W346" s="788"/>
      <c r="X346" s="803"/>
      <c r="Y346" s="803"/>
      <c r="Z346" s="803"/>
      <c r="AA346" s="711"/>
      <c r="AB346" s="711"/>
      <c r="AC346" s="711"/>
      <c r="AD346" s="736"/>
      <c r="AE346" s="736"/>
      <c r="AF346" s="799">
        <f t="shared" si="8"/>
        <v>240800</v>
      </c>
      <c r="AG346" s="658">
        <v>0.9225976247386727</v>
      </c>
      <c r="AH346" s="659">
        <f t="shared" si="3"/>
        <v>0.9225976247</v>
      </c>
      <c r="AI346" s="641"/>
      <c r="AJ346" s="660">
        <f t="shared" si="6"/>
        <v>346</v>
      </c>
      <c r="AK346" s="676">
        <v>0.9747</v>
      </c>
      <c r="AL346" s="662">
        <v>64000.0</v>
      </c>
      <c r="AM346" s="677">
        <v>-0.9545793049464477</v>
      </c>
      <c r="AN346" s="678">
        <v>-0.02529999999999999</v>
      </c>
      <c r="AO346" s="662">
        <v>64000.0</v>
      </c>
      <c r="AP346" s="679">
        <v>-0.9511435036921908</v>
      </c>
      <c r="AQ346" s="662">
        <v>64000.0</v>
      </c>
      <c r="AR346" s="680">
        <v>-0.9476241020240026</v>
      </c>
      <c r="AS346" s="624"/>
      <c r="AT346" s="624"/>
      <c r="AU346" s="624"/>
      <c r="AV346" s="624"/>
      <c r="AW346" s="624"/>
      <c r="AX346" s="624"/>
      <c r="AY346" s="624"/>
      <c r="AZ346" s="624"/>
      <c r="BA346" s="624"/>
      <c r="BB346" s="624"/>
      <c r="BC346" s="624"/>
      <c r="BD346" s="624"/>
      <c r="BE346" s="624"/>
    </row>
    <row r="347" ht="16.5" customHeight="1">
      <c r="A347" s="711"/>
      <c r="B347" s="711"/>
      <c r="C347" s="711"/>
      <c r="D347" s="711"/>
      <c r="E347" s="711"/>
      <c r="F347" s="711"/>
      <c r="G347" s="711"/>
      <c r="H347" s="711"/>
      <c r="I347" s="711"/>
      <c r="J347" s="711"/>
      <c r="K347" s="741"/>
      <c r="L347" s="741"/>
      <c r="M347" s="788"/>
      <c r="N347" s="741"/>
      <c r="O347" s="741"/>
      <c r="P347" s="741"/>
      <c r="Q347" s="741"/>
      <c r="R347" s="788"/>
      <c r="S347" s="819"/>
      <c r="T347" s="820"/>
      <c r="U347" s="819"/>
      <c r="V347" s="820"/>
      <c r="W347" s="788"/>
      <c r="X347" s="803"/>
      <c r="Y347" s="803"/>
      <c r="Z347" s="803"/>
      <c r="AA347" s="711"/>
      <c r="AB347" s="711"/>
      <c r="AC347" s="711"/>
      <c r="AD347" s="736"/>
      <c r="AE347" s="736"/>
      <c r="AF347" s="799">
        <f t="shared" si="8"/>
        <v>241550</v>
      </c>
      <c r="AG347" s="658">
        <v>0.9224803715465012</v>
      </c>
      <c r="AH347" s="659">
        <f t="shared" si="3"/>
        <v>0.9224803715</v>
      </c>
      <c r="AI347" s="641"/>
      <c r="AJ347" s="660">
        <f t="shared" si="6"/>
        <v>347</v>
      </c>
      <c r="AK347" s="676">
        <v>0.939</v>
      </c>
      <c r="AL347" s="662">
        <v>64000.0</v>
      </c>
      <c r="AM347" s="677">
        <v>-0.9545793049464477</v>
      </c>
      <c r="AN347" s="678">
        <v>-0.061000000000000054</v>
      </c>
      <c r="AO347" s="662">
        <v>64000.0</v>
      </c>
      <c r="AP347" s="679">
        <v>-0.9511435036921908</v>
      </c>
      <c r="AQ347" s="662">
        <v>64000.0</v>
      </c>
      <c r="AR347" s="680">
        <v>-0.9476241020240026</v>
      </c>
      <c r="AS347" s="624"/>
      <c r="AT347" s="624"/>
      <c r="AU347" s="624"/>
      <c r="AV347" s="624"/>
      <c r="AW347" s="624"/>
      <c r="AX347" s="624"/>
      <c r="AY347" s="624"/>
      <c r="AZ347" s="624"/>
      <c r="BA347" s="624"/>
      <c r="BB347" s="624"/>
      <c r="BC347" s="624"/>
      <c r="BD347" s="624"/>
      <c r="BE347" s="624"/>
    </row>
    <row r="348" ht="16.5" customHeight="1">
      <c r="A348" s="711"/>
      <c r="B348" s="711"/>
      <c r="C348" s="711"/>
      <c r="D348" s="711"/>
      <c r="E348" s="711"/>
      <c r="F348" s="711"/>
      <c r="G348" s="711"/>
      <c r="H348" s="711"/>
      <c r="I348" s="711"/>
      <c r="J348" s="711"/>
      <c r="K348" s="741"/>
      <c r="L348" s="741"/>
      <c r="M348" s="788"/>
      <c r="N348" s="741"/>
      <c r="O348" s="741"/>
      <c r="P348" s="741"/>
      <c r="Q348" s="741"/>
      <c r="R348" s="788"/>
      <c r="S348" s="819"/>
      <c r="T348" s="820"/>
      <c r="U348" s="819"/>
      <c r="V348" s="820"/>
      <c r="W348" s="788"/>
      <c r="X348" s="803"/>
      <c r="Y348" s="803"/>
      <c r="Z348" s="803"/>
      <c r="AA348" s="711"/>
      <c r="AB348" s="711"/>
      <c r="AC348" s="711"/>
      <c r="AD348" s="736"/>
      <c r="AE348" s="736"/>
      <c r="AF348" s="799">
        <f t="shared" si="8"/>
        <v>242300</v>
      </c>
      <c r="AG348" s="658">
        <v>0.922363118914951</v>
      </c>
      <c r="AH348" s="659">
        <f t="shared" si="3"/>
        <v>0.9223631189</v>
      </c>
      <c r="AI348" s="641"/>
      <c r="AJ348" s="660">
        <f t="shared" si="6"/>
        <v>348</v>
      </c>
      <c r="AK348" s="676">
        <v>0.9492</v>
      </c>
      <c r="AL348" s="662">
        <v>64000.0</v>
      </c>
      <c r="AM348" s="677">
        <v>-0.9545793049464477</v>
      </c>
      <c r="AN348" s="678">
        <v>-0.050799999999999956</v>
      </c>
      <c r="AO348" s="662">
        <v>64000.0</v>
      </c>
      <c r="AP348" s="679">
        <v>-0.9511435036921908</v>
      </c>
      <c r="AQ348" s="662">
        <v>64000.0</v>
      </c>
      <c r="AR348" s="680">
        <v>-0.9476241020240026</v>
      </c>
      <c r="AS348" s="624"/>
      <c r="AT348" s="624"/>
      <c r="AU348" s="624"/>
      <c r="AV348" s="624"/>
      <c r="AW348" s="624"/>
      <c r="AX348" s="624"/>
      <c r="AY348" s="624"/>
      <c r="AZ348" s="624"/>
      <c r="BA348" s="624"/>
      <c r="BB348" s="624"/>
      <c r="BC348" s="624"/>
      <c r="BD348" s="624"/>
      <c r="BE348" s="624"/>
    </row>
    <row r="349" ht="16.5" customHeight="1">
      <c r="A349" s="711"/>
      <c r="B349" s="711"/>
      <c r="C349" s="711"/>
      <c r="D349" s="711"/>
      <c r="E349" s="711"/>
      <c r="F349" s="711"/>
      <c r="G349" s="711"/>
      <c r="H349" s="711"/>
      <c r="I349" s="711"/>
      <c r="J349" s="711"/>
      <c r="K349" s="741"/>
      <c r="L349" s="741"/>
      <c r="M349" s="788"/>
      <c r="N349" s="741"/>
      <c r="O349" s="741"/>
      <c r="P349" s="741"/>
      <c r="Q349" s="741"/>
      <c r="R349" s="788"/>
      <c r="S349" s="819"/>
      <c r="T349" s="820"/>
      <c r="U349" s="819"/>
      <c r="V349" s="820"/>
      <c r="W349" s="788"/>
      <c r="X349" s="803"/>
      <c r="Y349" s="803"/>
      <c r="Z349" s="803"/>
      <c r="AA349" s="711"/>
      <c r="AB349" s="711"/>
      <c r="AC349" s="711"/>
      <c r="AD349" s="736"/>
      <c r="AE349" s="736"/>
      <c r="AF349" s="799">
        <f t="shared" si="8"/>
        <v>243050</v>
      </c>
      <c r="AG349" s="658">
        <v>0.9222458668245356</v>
      </c>
      <c r="AH349" s="659">
        <f t="shared" si="3"/>
        <v>0.9222458668</v>
      </c>
      <c r="AI349" s="641"/>
      <c r="AJ349" s="660">
        <f t="shared" si="6"/>
        <v>349</v>
      </c>
      <c r="AK349" s="676">
        <v>0.939</v>
      </c>
      <c r="AL349" s="662">
        <v>64000.0</v>
      </c>
      <c r="AM349" s="677">
        <v>-0.9545793049464477</v>
      </c>
      <c r="AN349" s="678">
        <v>-0.061000000000000054</v>
      </c>
      <c r="AO349" s="662">
        <v>64000.0</v>
      </c>
      <c r="AP349" s="679">
        <v>-0.9511435036921908</v>
      </c>
      <c r="AQ349" s="662">
        <v>64000.0</v>
      </c>
      <c r="AR349" s="680">
        <v>-0.9476241020240026</v>
      </c>
      <c r="AS349" s="624"/>
      <c r="AT349" s="624"/>
      <c r="AU349" s="624"/>
      <c r="AV349" s="624"/>
      <c r="AW349" s="624"/>
      <c r="AX349" s="624"/>
      <c r="AY349" s="624"/>
      <c r="AZ349" s="624"/>
      <c r="BA349" s="624"/>
      <c r="BB349" s="624"/>
      <c r="BC349" s="624"/>
      <c r="BD349" s="624"/>
      <c r="BE349" s="624"/>
    </row>
    <row r="350" ht="16.5" customHeight="1">
      <c r="A350" s="711"/>
      <c r="B350" s="711"/>
      <c r="C350" s="711"/>
      <c r="D350" s="711"/>
      <c r="E350" s="711"/>
      <c r="F350" s="711"/>
      <c r="G350" s="711"/>
      <c r="H350" s="711"/>
      <c r="I350" s="711"/>
      <c r="J350" s="711"/>
      <c r="K350" s="741"/>
      <c r="L350" s="741"/>
      <c r="M350" s="788"/>
      <c r="N350" s="741"/>
      <c r="O350" s="741"/>
      <c r="P350" s="741"/>
      <c r="Q350" s="741"/>
      <c r="R350" s="788"/>
      <c r="S350" s="819"/>
      <c r="T350" s="820"/>
      <c r="U350" s="819"/>
      <c r="V350" s="820"/>
      <c r="W350" s="788"/>
      <c r="X350" s="803"/>
      <c r="Y350" s="803"/>
      <c r="Z350" s="803"/>
      <c r="AA350" s="711"/>
      <c r="AB350" s="711"/>
      <c r="AC350" s="711"/>
      <c r="AD350" s="736"/>
      <c r="AE350" s="736"/>
      <c r="AF350" s="799">
        <f t="shared" si="8"/>
        <v>243800</v>
      </c>
      <c r="AG350" s="658">
        <v>0.9221286152564455</v>
      </c>
      <c r="AH350" s="659">
        <f t="shared" si="3"/>
        <v>0.9221286153</v>
      </c>
      <c r="AI350" s="641"/>
      <c r="AJ350" s="660">
        <f t="shared" si="6"/>
        <v>350</v>
      </c>
      <c r="AK350" s="676">
        <v>0.9454</v>
      </c>
      <c r="AL350" s="662">
        <v>63637.0</v>
      </c>
      <c r="AM350" s="677">
        <v>-0.9537757722293481</v>
      </c>
      <c r="AN350" s="678">
        <v>-0.05459999999999998</v>
      </c>
      <c r="AO350" s="662">
        <v>63637.0</v>
      </c>
      <c r="AP350" s="679">
        <v>-0.9502997483751869</v>
      </c>
      <c r="AQ350" s="662">
        <v>63637.0</v>
      </c>
      <c r="AR350" s="680">
        <v>-0.9467405830108577</v>
      </c>
      <c r="AS350" s="624"/>
      <c r="AT350" s="624"/>
      <c r="AU350" s="624"/>
      <c r="AV350" s="624"/>
      <c r="AW350" s="624"/>
      <c r="AX350" s="624"/>
      <c r="AY350" s="624"/>
      <c r="AZ350" s="624"/>
      <c r="BA350" s="624"/>
      <c r="BB350" s="624"/>
      <c r="BC350" s="624"/>
      <c r="BD350" s="624"/>
      <c r="BE350" s="624"/>
    </row>
    <row r="351" ht="16.5" customHeight="1">
      <c r="A351" s="711"/>
      <c r="B351" s="711"/>
      <c r="C351" s="711"/>
      <c r="D351" s="711"/>
      <c r="E351" s="711"/>
      <c r="F351" s="711"/>
      <c r="G351" s="711"/>
      <c r="H351" s="711"/>
      <c r="I351" s="711"/>
      <c r="J351" s="711"/>
      <c r="K351" s="741"/>
      <c r="L351" s="741"/>
      <c r="M351" s="788"/>
      <c r="N351" s="741"/>
      <c r="O351" s="741"/>
      <c r="P351" s="741"/>
      <c r="Q351" s="741"/>
      <c r="R351" s="788"/>
      <c r="S351" s="819"/>
      <c r="T351" s="820"/>
      <c r="U351" s="819"/>
      <c r="V351" s="820"/>
      <c r="W351" s="788"/>
      <c r="X351" s="803"/>
      <c r="Y351" s="803"/>
      <c r="Z351" s="803"/>
      <c r="AA351" s="711"/>
      <c r="AB351" s="711"/>
      <c r="AC351" s="711"/>
      <c r="AD351" s="736"/>
      <c r="AE351" s="736"/>
      <c r="AF351" s="799">
        <f t="shared" si="8"/>
        <v>244550</v>
      </c>
      <c r="AG351" s="658">
        <v>0.9220113641925253</v>
      </c>
      <c r="AH351" s="659">
        <f t="shared" si="3"/>
        <v>0.9220113642</v>
      </c>
      <c r="AI351" s="641"/>
      <c r="AJ351" s="660">
        <f t="shared" si="6"/>
        <v>351</v>
      </c>
      <c r="AK351" s="676">
        <v>0.9398</v>
      </c>
      <c r="AL351" s="662">
        <v>63372.0</v>
      </c>
      <c r="AM351" s="677">
        <v>-0.9531802087438335</v>
      </c>
      <c r="AN351" s="678">
        <v>-0.06020000000000003</v>
      </c>
      <c r="AO351" s="662">
        <v>63372.0</v>
      </c>
      <c r="AP351" s="679">
        <v>-0.9496745961685669</v>
      </c>
      <c r="AQ351" s="662">
        <v>63372.0</v>
      </c>
      <c r="AR351" s="680">
        <v>-0.946086192421977</v>
      </c>
      <c r="AS351" s="624"/>
      <c r="AT351" s="624"/>
      <c r="AU351" s="624"/>
      <c r="AV351" s="624"/>
      <c r="AW351" s="624"/>
      <c r="AX351" s="624"/>
      <c r="AY351" s="624"/>
      <c r="AZ351" s="624"/>
      <c r="BA351" s="624"/>
      <c r="BB351" s="624"/>
      <c r="BC351" s="624"/>
      <c r="BD351" s="624"/>
      <c r="BE351" s="624"/>
    </row>
    <row r="352" ht="16.5" customHeight="1">
      <c r="A352" s="711"/>
      <c r="B352" s="711"/>
      <c r="C352" s="711"/>
      <c r="D352" s="711"/>
      <c r="E352" s="711"/>
      <c r="F352" s="711"/>
      <c r="G352" s="711"/>
      <c r="H352" s="711"/>
      <c r="I352" s="711"/>
      <c r="J352" s="711"/>
      <c r="K352" s="741"/>
      <c r="L352" s="741"/>
      <c r="M352" s="788"/>
      <c r="N352" s="741"/>
      <c r="O352" s="741"/>
      <c r="P352" s="741"/>
      <c r="Q352" s="741"/>
      <c r="R352" s="788"/>
      <c r="S352" s="819"/>
      <c r="T352" s="820"/>
      <c r="U352" s="819"/>
      <c r="V352" s="820"/>
      <c r="W352" s="788"/>
      <c r="X352" s="803"/>
      <c r="Y352" s="803"/>
      <c r="Z352" s="803"/>
      <c r="AA352" s="711"/>
      <c r="AB352" s="711"/>
      <c r="AC352" s="711"/>
      <c r="AD352" s="736"/>
      <c r="AE352" s="736"/>
      <c r="AF352" s="799">
        <f t="shared" si="8"/>
        <v>245300</v>
      </c>
      <c r="AG352" s="658">
        <v>0.9218941136152508</v>
      </c>
      <c r="AH352" s="659">
        <f t="shared" si="3"/>
        <v>0.9218941136</v>
      </c>
      <c r="AI352" s="641"/>
      <c r="AJ352" s="660">
        <f t="shared" si="6"/>
        <v>352</v>
      </c>
      <c r="AK352" s="676">
        <v>0.9499</v>
      </c>
      <c r="AL352" s="662">
        <v>63103.0</v>
      </c>
      <c r="AM352" s="677">
        <v>-0.9525678071270144</v>
      </c>
      <c r="AN352" s="678">
        <v>-0.05010000000000003</v>
      </c>
      <c r="AO352" s="662">
        <v>63103.0</v>
      </c>
      <c r="AP352" s="679">
        <v>-0.9490319648119678</v>
      </c>
      <c r="AQ352" s="662">
        <v>63103.0</v>
      </c>
      <c r="AR352" s="680">
        <v>-0.9454137003691998</v>
      </c>
      <c r="AS352" s="624"/>
      <c r="AT352" s="624"/>
      <c r="AU352" s="624"/>
      <c r="AV352" s="624"/>
      <c r="AW352" s="624"/>
      <c r="AX352" s="624"/>
      <c r="AY352" s="624"/>
      <c r="AZ352" s="624"/>
      <c r="BA352" s="624"/>
      <c r="BB352" s="624"/>
      <c r="BC352" s="624"/>
      <c r="BD352" s="624"/>
      <c r="BE352" s="624"/>
    </row>
    <row r="353" ht="16.5" customHeight="1">
      <c r="A353" s="711"/>
      <c r="B353" s="711"/>
      <c r="C353" s="711"/>
      <c r="D353" s="711"/>
      <c r="E353" s="711"/>
      <c r="F353" s="711"/>
      <c r="G353" s="711"/>
      <c r="H353" s="711"/>
      <c r="I353" s="711"/>
      <c r="J353" s="711"/>
      <c r="K353" s="741"/>
      <c r="L353" s="741"/>
      <c r="M353" s="788"/>
      <c r="N353" s="741"/>
      <c r="O353" s="741"/>
      <c r="P353" s="741"/>
      <c r="Q353" s="741"/>
      <c r="R353" s="788"/>
      <c r="S353" s="819"/>
      <c r="T353" s="820"/>
      <c r="U353" s="819"/>
      <c r="V353" s="820"/>
      <c r="W353" s="788"/>
      <c r="X353" s="803"/>
      <c r="Y353" s="803"/>
      <c r="Z353" s="803"/>
      <c r="AA353" s="711"/>
      <c r="AB353" s="711"/>
      <c r="AC353" s="711"/>
      <c r="AD353" s="736"/>
      <c r="AE353" s="736"/>
      <c r="AF353" s="799">
        <f t="shared" si="8"/>
        <v>246050</v>
      </c>
      <c r="AG353" s="658">
        <v>0.9217768635077065</v>
      </c>
      <c r="AH353" s="659">
        <f t="shared" si="3"/>
        <v>0.9217768635</v>
      </c>
      <c r="AI353" s="641"/>
      <c r="AJ353" s="660">
        <f t="shared" si="6"/>
        <v>353</v>
      </c>
      <c r="AK353" s="676">
        <v>0.9619</v>
      </c>
      <c r="AL353" s="662">
        <v>63067.0</v>
      </c>
      <c r="AM353" s="677">
        <v>-0.9524852445840947</v>
      </c>
      <c r="AN353" s="678">
        <v>-0.03810000000000002</v>
      </c>
      <c r="AO353" s="662">
        <v>63067.0</v>
      </c>
      <c r="AP353" s="679">
        <v>-0.9489453417912199</v>
      </c>
      <c r="AQ353" s="662">
        <v>63067.0</v>
      </c>
      <c r="AR353" s="680">
        <v>-0.9453230672940391</v>
      </c>
      <c r="AS353" s="624"/>
      <c r="AT353" s="624"/>
      <c r="AU353" s="624"/>
      <c r="AV353" s="624"/>
      <c r="AW353" s="624"/>
      <c r="AX353" s="624"/>
      <c r="AY353" s="624"/>
      <c r="AZ353" s="624"/>
      <c r="BA353" s="624"/>
      <c r="BB353" s="624"/>
      <c r="BC353" s="624"/>
      <c r="BD353" s="624"/>
      <c r="BE353" s="624"/>
    </row>
    <row r="354" ht="16.5" customHeight="1">
      <c r="A354" s="711"/>
      <c r="B354" s="711"/>
      <c r="C354" s="711"/>
      <c r="D354" s="711"/>
      <c r="E354" s="711"/>
      <c r="F354" s="711"/>
      <c r="G354" s="711"/>
      <c r="H354" s="711"/>
      <c r="I354" s="711"/>
      <c r="J354" s="711"/>
      <c r="K354" s="741"/>
      <c r="L354" s="741"/>
      <c r="M354" s="788"/>
      <c r="N354" s="741"/>
      <c r="O354" s="741"/>
      <c r="P354" s="741"/>
      <c r="Q354" s="741"/>
      <c r="R354" s="788"/>
      <c r="S354" s="819"/>
      <c r="T354" s="820"/>
      <c r="U354" s="819"/>
      <c r="V354" s="820"/>
      <c r="W354" s="788"/>
      <c r="X354" s="803"/>
      <c r="Y354" s="803"/>
      <c r="Z354" s="803"/>
      <c r="AA354" s="711"/>
      <c r="AB354" s="711"/>
      <c r="AC354" s="711"/>
      <c r="AD354" s="736"/>
      <c r="AE354" s="736"/>
      <c r="AF354" s="799">
        <f t="shared" si="8"/>
        <v>246800</v>
      </c>
      <c r="AG354" s="658">
        <v>0.9216596138535653</v>
      </c>
      <c r="AH354" s="659">
        <f t="shared" si="3"/>
        <v>0.9216596139</v>
      </c>
      <c r="AI354" s="641"/>
      <c r="AJ354" s="660">
        <f t="shared" si="6"/>
        <v>354</v>
      </c>
      <c r="AK354" s="676">
        <v>0.975</v>
      </c>
      <c r="AL354" s="662">
        <v>63010.0</v>
      </c>
      <c r="AM354" s="677">
        <v>-0.9523542265474244</v>
      </c>
      <c r="AN354" s="678">
        <v>-0.025000000000000022</v>
      </c>
      <c r="AO354" s="662">
        <v>63010.0</v>
      </c>
      <c r="AP354" s="679">
        <v>-0.9488078874888587</v>
      </c>
      <c r="AQ354" s="662">
        <v>63010.0</v>
      </c>
      <c r="AR354" s="680">
        <v>-0.9451792570654013</v>
      </c>
      <c r="AS354" s="624"/>
      <c r="AT354" s="624"/>
      <c r="AU354" s="624"/>
      <c r="AV354" s="624"/>
      <c r="AW354" s="624"/>
      <c r="AX354" s="624"/>
      <c r="AY354" s="624"/>
      <c r="AZ354" s="624"/>
      <c r="BA354" s="624"/>
      <c r="BB354" s="624"/>
      <c r="BC354" s="624"/>
      <c r="BD354" s="624"/>
      <c r="BE354" s="624"/>
    </row>
    <row r="355" ht="16.5" customHeight="1">
      <c r="A355" s="711"/>
      <c r="B355" s="711"/>
      <c r="C355" s="711"/>
      <c r="D355" s="711"/>
      <c r="E355" s="711"/>
      <c r="F355" s="711"/>
      <c r="G355" s="711"/>
      <c r="H355" s="711"/>
      <c r="I355" s="711"/>
      <c r="J355" s="711"/>
      <c r="K355" s="741"/>
      <c r="L355" s="741"/>
      <c r="M355" s="788"/>
      <c r="N355" s="741"/>
      <c r="O355" s="741"/>
      <c r="P355" s="741"/>
      <c r="Q355" s="741"/>
      <c r="R355" s="788"/>
      <c r="S355" s="819"/>
      <c r="T355" s="820"/>
      <c r="U355" s="819"/>
      <c r="V355" s="820"/>
      <c r="W355" s="788"/>
      <c r="X355" s="803"/>
      <c r="Y355" s="803"/>
      <c r="Z355" s="803"/>
      <c r="AA355" s="711"/>
      <c r="AB355" s="711"/>
      <c r="AC355" s="711"/>
      <c r="AD355" s="736"/>
      <c r="AE355" s="736"/>
      <c r="AF355" s="799">
        <f t="shared" si="8"/>
        <v>247550</v>
      </c>
      <c r="AG355" s="658">
        <v>0.9215423646370673</v>
      </c>
      <c r="AH355" s="659">
        <f t="shared" si="3"/>
        <v>0.9215423646</v>
      </c>
      <c r="AI355" s="641"/>
      <c r="AJ355" s="660">
        <f t="shared" si="6"/>
        <v>355</v>
      </c>
      <c r="AK355" s="676">
        <v>0.9492</v>
      </c>
      <c r="AL355" s="662">
        <v>63000.0</v>
      </c>
      <c r="AM355" s="677">
        <v>-0.952331203704938</v>
      </c>
      <c r="AN355" s="678">
        <v>-0.050799999999999956</v>
      </c>
      <c r="AO355" s="662">
        <v>63000.0</v>
      </c>
      <c r="AP355" s="679">
        <v>-0.9487837345699808</v>
      </c>
      <c r="AQ355" s="662">
        <v>63000.0</v>
      </c>
      <c r="AR355" s="680">
        <v>-0.9451539882283586</v>
      </c>
      <c r="AS355" s="624"/>
      <c r="AT355" s="624"/>
      <c r="AU355" s="624"/>
      <c r="AV355" s="624"/>
      <c r="AW355" s="624"/>
      <c r="AX355" s="624"/>
      <c r="AY355" s="624"/>
      <c r="AZ355" s="624"/>
      <c r="BA355" s="624"/>
      <c r="BB355" s="624"/>
      <c r="BC355" s="624"/>
      <c r="BD355" s="624"/>
      <c r="BE355" s="624"/>
    </row>
    <row r="356" ht="16.5" customHeight="1">
      <c r="A356" s="711"/>
      <c r="B356" s="711"/>
      <c r="C356" s="711"/>
      <c r="D356" s="711"/>
      <c r="E356" s="711"/>
      <c r="F356" s="711"/>
      <c r="G356" s="711"/>
      <c r="H356" s="711"/>
      <c r="I356" s="711"/>
      <c r="J356" s="711"/>
      <c r="K356" s="741"/>
      <c r="L356" s="741"/>
      <c r="M356" s="788"/>
      <c r="N356" s="741"/>
      <c r="O356" s="741"/>
      <c r="P356" s="741"/>
      <c r="Q356" s="741"/>
      <c r="R356" s="788"/>
      <c r="S356" s="819"/>
      <c r="T356" s="820"/>
      <c r="U356" s="819"/>
      <c r="V356" s="820"/>
      <c r="W356" s="788"/>
      <c r="X356" s="803"/>
      <c r="Y356" s="803"/>
      <c r="Z356" s="803"/>
      <c r="AA356" s="711"/>
      <c r="AB356" s="711"/>
      <c r="AC356" s="711"/>
      <c r="AD356" s="736"/>
      <c r="AE356" s="736"/>
      <c r="AF356" s="799">
        <f t="shared" si="8"/>
        <v>248300</v>
      </c>
      <c r="AG356" s="658">
        <v>0.9214251158430006</v>
      </c>
      <c r="AH356" s="659">
        <f t="shared" si="3"/>
        <v>0.9214251158</v>
      </c>
      <c r="AI356" s="641"/>
      <c r="AJ356" s="660">
        <f t="shared" si="6"/>
        <v>356</v>
      </c>
      <c r="AK356" s="676">
        <v>0.9148</v>
      </c>
      <c r="AL356" s="662">
        <v>63000.0</v>
      </c>
      <c r="AM356" s="677">
        <v>-0.952331203704938</v>
      </c>
      <c r="AN356" s="678">
        <v>-0.08520000000000005</v>
      </c>
      <c r="AO356" s="662">
        <v>63000.0</v>
      </c>
      <c r="AP356" s="679">
        <v>-0.9487837345699808</v>
      </c>
      <c r="AQ356" s="662">
        <v>63000.0</v>
      </c>
      <c r="AR356" s="680">
        <v>-0.9451539882283586</v>
      </c>
      <c r="AS356" s="624"/>
      <c r="AT356" s="624"/>
      <c r="AU356" s="624"/>
      <c r="AV356" s="624"/>
      <c r="AW356" s="624"/>
      <c r="AX356" s="624"/>
      <c r="AY356" s="624"/>
      <c r="AZ356" s="624"/>
      <c r="BA356" s="624"/>
      <c r="BB356" s="624"/>
      <c r="BC356" s="624"/>
      <c r="BD356" s="624"/>
      <c r="BE356" s="624"/>
    </row>
    <row r="357" ht="16.5" customHeight="1">
      <c r="A357" s="711"/>
      <c r="B357" s="711"/>
      <c r="C357" s="711"/>
      <c r="D357" s="711"/>
      <c r="E357" s="711"/>
      <c r="F357" s="711"/>
      <c r="G357" s="711"/>
      <c r="H357" s="711"/>
      <c r="I357" s="711"/>
      <c r="J357" s="711"/>
      <c r="K357" s="741"/>
      <c r="L357" s="741"/>
      <c r="M357" s="788"/>
      <c r="N357" s="741"/>
      <c r="O357" s="741"/>
      <c r="P357" s="741"/>
      <c r="Q357" s="741"/>
      <c r="R357" s="788"/>
      <c r="S357" s="819"/>
      <c r="T357" s="820"/>
      <c r="U357" s="819"/>
      <c r="V357" s="820"/>
      <c r="W357" s="788"/>
      <c r="X357" s="803"/>
      <c r="Y357" s="803"/>
      <c r="Z357" s="803"/>
      <c r="AA357" s="711"/>
      <c r="AB357" s="711"/>
      <c r="AC357" s="711"/>
      <c r="AD357" s="736"/>
      <c r="AE357" s="736"/>
      <c r="AF357" s="799">
        <f t="shared" si="8"/>
        <v>249050</v>
      </c>
      <c r="AG357" s="658">
        <v>0.9213078674566818</v>
      </c>
      <c r="AH357" s="659">
        <f t="shared" si="3"/>
        <v>0.9213078675</v>
      </c>
      <c r="AI357" s="641"/>
      <c r="AJ357" s="660">
        <f t="shared" si="6"/>
        <v>357</v>
      </c>
      <c r="AK357" s="676">
        <v>0.9407</v>
      </c>
      <c r="AL357" s="662">
        <v>63000.0</v>
      </c>
      <c r="AM357" s="677">
        <v>-0.952331203704938</v>
      </c>
      <c r="AN357" s="678">
        <v>-0.05930000000000002</v>
      </c>
      <c r="AO357" s="662">
        <v>63000.0</v>
      </c>
      <c r="AP357" s="679">
        <v>-0.9487837345699808</v>
      </c>
      <c r="AQ357" s="662">
        <v>63000.0</v>
      </c>
      <c r="AR357" s="680">
        <v>-0.9451539882283586</v>
      </c>
      <c r="AS357" s="624"/>
      <c r="AT357" s="624"/>
      <c r="AU357" s="624"/>
      <c r="AV357" s="624"/>
      <c r="AW357" s="624"/>
      <c r="AX357" s="624"/>
      <c r="AY357" s="624"/>
      <c r="AZ357" s="624"/>
      <c r="BA357" s="624"/>
      <c r="BB357" s="624"/>
      <c r="BC357" s="624"/>
      <c r="BD357" s="624"/>
      <c r="BE357" s="624"/>
    </row>
    <row r="358" ht="16.5" customHeight="1">
      <c r="A358" s="711"/>
      <c r="B358" s="711"/>
      <c r="C358" s="711"/>
      <c r="D358" s="711"/>
      <c r="E358" s="711"/>
      <c r="F358" s="711"/>
      <c r="G358" s="711"/>
      <c r="H358" s="711"/>
      <c r="I358" s="711"/>
      <c r="J358" s="711"/>
      <c r="K358" s="741"/>
      <c r="L358" s="741"/>
      <c r="M358" s="788"/>
      <c r="N358" s="741"/>
      <c r="O358" s="741"/>
      <c r="P358" s="741"/>
      <c r="Q358" s="741"/>
      <c r="R358" s="788"/>
      <c r="S358" s="819"/>
      <c r="T358" s="820"/>
      <c r="U358" s="819"/>
      <c r="V358" s="820"/>
      <c r="W358" s="788"/>
      <c r="X358" s="803"/>
      <c r="Y358" s="803"/>
      <c r="Z358" s="803"/>
      <c r="AA358" s="711"/>
      <c r="AB358" s="711"/>
      <c r="AC358" s="711"/>
      <c r="AD358" s="736"/>
      <c r="AE358" s="736"/>
      <c r="AF358" s="799">
        <f t="shared" si="8"/>
        <v>249800</v>
      </c>
      <c r="AG358" s="658">
        <v>0.9211906194639381</v>
      </c>
      <c r="AH358" s="659">
        <f t="shared" si="3"/>
        <v>0.9211906195</v>
      </c>
      <c r="AI358" s="641"/>
      <c r="AJ358" s="660">
        <f t="shared" si="6"/>
        <v>358</v>
      </c>
      <c r="AK358" s="676">
        <v>0.9368</v>
      </c>
      <c r="AL358" s="662">
        <v>62988.0</v>
      </c>
      <c r="AM358" s="677">
        <v>-0.9523035616087014</v>
      </c>
      <c r="AN358" s="678">
        <v>-0.06320000000000003</v>
      </c>
      <c r="AO358" s="662">
        <v>62988.0</v>
      </c>
      <c r="AP358" s="679">
        <v>-0.948754736024697</v>
      </c>
      <c r="AQ358" s="662">
        <v>62988.0</v>
      </c>
      <c r="AR358" s="680">
        <v>-0.9451236502489871</v>
      </c>
      <c r="AS358" s="624"/>
      <c r="AT358" s="624"/>
      <c r="AU358" s="624"/>
      <c r="AV358" s="624"/>
      <c r="AW358" s="624"/>
      <c r="AX358" s="624"/>
      <c r="AY358" s="624"/>
      <c r="AZ358" s="624"/>
      <c r="BA358" s="624"/>
      <c r="BB358" s="624"/>
      <c r="BC358" s="624"/>
      <c r="BD358" s="624"/>
      <c r="BE358" s="624"/>
    </row>
    <row r="359" ht="16.5" customHeight="1">
      <c r="A359" s="711"/>
      <c r="B359" s="711"/>
      <c r="C359" s="711"/>
      <c r="D359" s="711"/>
      <c r="E359" s="711"/>
      <c r="F359" s="711"/>
      <c r="G359" s="711"/>
      <c r="H359" s="711"/>
      <c r="I359" s="711"/>
      <c r="J359" s="711"/>
      <c r="K359" s="741"/>
      <c r="L359" s="741"/>
      <c r="M359" s="788"/>
      <c r="N359" s="741"/>
      <c r="O359" s="741"/>
      <c r="P359" s="741"/>
      <c r="Q359" s="741"/>
      <c r="R359" s="788"/>
      <c r="S359" s="819"/>
      <c r="T359" s="820"/>
      <c r="U359" s="819"/>
      <c r="V359" s="820"/>
      <c r="W359" s="788"/>
      <c r="X359" s="803"/>
      <c r="Y359" s="803"/>
      <c r="Z359" s="803"/>
      <c r="AA359" s="711"/>
      <c r="AB359" s="711"/>
      <c r="AC359" s="711"/>
      <c r="AD359" s="736"/>
      <c r="AE359" s="736"/>
      <c r="AF359" s="799">
        <f t="shared" si="8"/>
        <v>250550</v>
      </c>
      <c r="AG359" s="658">
        <v>0.9210733718510894</v>
      </c>
      <c r="AH359" s="659">
        <f t="shared" si="3"/>
        <v>0.9210733719</v>
      </c>
      <c r="AI359" s="641"/>
      <c r="AJ359" s="660">
        <f t="shared" si="6"/>
        <v>359</v>
      </c>
      <c r="AK359" s="676">
        <v>0.9474</v>
      </c>
      <c r="AL359" s="662">
        <v>62764.0</v>
      </c>
      <c r="AM359" s="677">
        <v>-0.951784623519716</v>
      </c>
      <c r="AN359" s="678">
        <v>-0.05259999999999998</v>
      </c>
      <c r="AO359" s="662">
        <v>62764.0</v>
      </c>
      <c r="AP359" s="679">
        <v>-0.9482104059900335</v>
      </c>
      <c r="AQ359" s="662">
        <v>62764.0</v>
      </c>
      <c r="AR359" s="680">
        <v>-0.9445542509239961</v>
      </c>
      <c r="AS359" s="624"/>
      <c r="AT359" s="624"/>
      <c r="AU359" s="624"/>
      <c r="AV359" s="624"/>
      <c r="AW359" s="624"/>
      <c r="AX359" s="624"/>
      <c r="AY359" s="624"/>
      <c r="AZ359" s="624"/>
      <c r="BA359" s="624"/>
      <c r="BB359" s="624"/>
      <c r="BC359" s="624"/>
      <c r="BD359" s="624"/>
      <c r="BE359" s="624"/>
    </row>
    <row r="360" ht="16.5" customHeight="1">
      <c r="A360" s="711"/>
      <c r="B360" s="711"/>
      <c r="C360" s="711"/>
      <c r="D360" s="711"/>
      <c r="E360" s="711"/>
      <c r="F360" s="711"/>
      <c r="G360" s="711"/>
      <c r="H360" s="711"/>
      <c r="I360" s="711"/>
      <c r="J360" s="711"/>
      <c r="K360" s="741"/>
      <c r="L360" s="741"/>
      <c r="M360" s="788"/>
      <c r="N360" s="741"/>
      <c r="O360" s="741"/>
      <c r="P360" s="741"/>
      <c r="Q360" s="741"/>
      <c r="R360" s="788"/>
      <c r="S360" s="819"/>
      <c r="T360" s="820"/>
      <c r="U360" s="819"/>
      <c r="V360" s="820"/>
      <c r="W360" s="788"/>
      <c r="X360" s="803"/>
      <c r="Y360" s="803"/>
      <c r="Z360" s="803"/>
      <c r="AA360" s="711"/>
      <c r="AB360" s="711"/>
      <c r="AC360" s="711"/>
      <c r="AD360" s="736"/>
      <c r="AE360" s="736"/>
      <c r="AF360" s="799">
        <f t="shared" si="8"/>
        <v>251300</v>
      </c>
      <c r="AG360" s="658">
        <v>0.9209561246049307</v>
      </c>
      <c r="AH360" s="659">
        <f t="shared" si="3"/>
        <v>0.9209561246</v>
      </c>
      <c r="AI360" s="641"/>
      <c r="AJ360" s="660">
        <f t="shared" si="6"/>
        <v>360</v>
      </c>
      <c r="AK360" s="676">
        <v>0.9474</v>
      </c>
      <c r="AL360" s="662">
        <v>62669.0</v>
      </c>
      <c r="AM360" s="677">
        <v>-0.9515628366799846</v>
      </c>
      <c r="AN360" s="678">
        <v>-0.05259999999999998</v>
      </c>
      <c r="AO360" s="662">
        <v>62669.0</v>
      </c>
      <c r="AP360" s="679">
        <v>-0.9479778092199386</v>
      </c>
      <c r="AQ360" s="662">
        <v>62669.0</v>
      </c>
      <c r="AR360" s="680">
        <v>-0.9443109839695556</v>
      </c>
      <c r="AS360" s="624"/>
      <c r="AT360" s="624"/>
      <c r="AU360" s="624"/>
      <c r="AV360" s="624"/>
      <c r="AW360" s="624"/>
      <c r="AX360" s="624"/>
      <c r="AY360" s="624"/>
      <c r="AZ360" s="624"/>
      <c r="BA360" s="624"/>
      <c r="BB360" s="624"/>
      <c r="BC360" s="624"/>
      <c r="BD360" s="624"/>
      <c r="BE360" s="624"/>
    </row>
    <row r="361" ht="16.5" customHeight="1">
      <c r="A361" s="711"/>
      <c r="B361" s="711"/>
      <c r="C361" s="711"/>
      <c r="D361" s="711"/>
      <c r="E361" s="711"/>
      <c r="F361" s="711"/>
      <c r="G361" s="711"/>
      <c r="H361" s="711"/>
      <c r="I361" s="711"/>
      <c r="J361" s="711"/>
      <c r="K361" s="741"/>
      <c r="L361" s="741"/>
      <c r="M361" s="788"/>
      <c r="N361" s="741"/>
      <c r="O361" s="741"/>
      <c r="P361" s="741"/>
      <c r="Q361" s="741"/>
      <c r="R361" s="788"/>
      <c r="S361" s="819"/>
      <c r="T361" s="820"/>
      <c r="U361" s="819"/>
      <c r="V361" s="820"/>
      <c r="W361" s="788"/>
      <c r="X361" s="803"/>
      <c r="Y361" s="803"/>
      <c r="Z361" s="803"/>
      <c r="AA361" s="711"/>
      <c r="AB361" s="711"/>
      <c r="AC361" s="711"/>
      <c r="AD361" s="736"/>
      <c r="AE361" s="736"/>
      <c r="AF361" s="799">
        <f t="shared" si="8"/>
        <v>252050</v>
      </c>
      <c r="AG361" s="658">
        <v>0.9208388777127166</v>
      </c>
      <c r="AH361" s="659">
        <f t="shared" si="3"/>
        <v>0.9208388777</v>
      </c>
      <c r="AI361" s="641"/>
      <c r="AJ361" s="660">
        <f t="shared" si="6"/>
        <v>361</v>
      </c>
      <c r="AK361" s="676">
        <v>0.9492</v>
      </c>
      <c r="AL361" s="662">
        <v>62660.0</v>
      </c>
      <c r="AM361" s="677">
        <v>-0.9515417724649131</v>
      </c>
      <c r="AN361" s="678">
        <v>-0.050799999999999956</v>
      </c>
      <c r="AO361" s="662">
        <v>62660.0</v>
      </c>
      <c r="AP361" s="679">
        <v>-0.9479557196391319</v>
      </c>
      <c r="AQ361" s="662">
        <v>62660.0</v>
      </c>
      <c r="AR361" s="680">
        <v>-0.9442878823523038</v>
      </c>
      <c r="AS361" s="624"/>
      <c r="AT361" s="624"/>
      <c r="AU361" s="624"/>
      <c r="AV361" s="624"/>
      <c r="AW361" s="624"/>
      <c r="AX361" s="624"/>
      <c r="AY361" s="624"/>
      <c r="AZ361" s="624"/>
      <c r="BA361" s="624"/>
      <c r="BB361" s="624"/>
      <c r="BC361" s="624"/>
      <c r="BD361" s="624"/>
      <c r="BE361" s="624"/>
    </row>
    <row r="362" ht="16.5" customHeight="1">
      <c r="A362" s="711"/>
      <c r="B362" s="711"/>
      <c r="C362" s="711"/>
      <c r="D362" s="711"/>
      <c r="E362" s="711"/>
      <c r="F362" s="711"/>
      <c r="G362" s="711"/>
      <c r="H362" s="711"/>
      <c r="I362" s="711"/>
      <c r="J362" s="711"/>
      <c r="K362" s="741"/>
      <c r="L362" s="741"/>
      <c r="M362" s="788"/>
      <c r="N362" s="741"/>
      <c r="O362" s="741"/>
      <c r="P362" s="741"/>
      <c r="Q362" s="741"/>
      <c r="R362" s="788"/>
      <c r="S362" s="819"/>
      <c r="T362" s="820"/>
      <c r="U362" s="819"/>
      <c r="V362" s="820"/>
      <c r="W362" s="788"/>
      <c r="X362" s="803"/>
      <c r="Y362" s="803"/>
      <c r="Z362" s="803"/>
      <c r="AA362" s="711"/>
      <c r="AB362" s="711"/>
      <c r="AC362" s="711"/>
      <c r="AD362" s="736"/>
      <c r="AE362" s="736"/>
      <c r="AF362" s="799">
        <f t="shared" si="8"/>
        <v>252800</v>
      </c>
      <c r="AG362" s="658">
        <v>0.920721631162144</v>
      </c>
      <c r="AH362" s="659">
        <f t="shared" si="3"/>
        <v>0.9207216312</v>
      </c>
      <c r="AI362" s="641"/>
      <c r="AJ362" s="660">
        <f t="shared" si="6"/>
        <v>362</v>
      </c>
      <c r="AK362" s="676">
        <v>0.9449</v>
      </c>
      <c r="AL362" s="662">
        <v>62465.0</v>
      </c>
      <c r="AM362" s="677">
        <v>-0.9510831250114572</v>
      </c>
      <c r="AN362" s="678">
        <v>-0.05510000000000004</v>
      </c>
      <c r="AO362" s="662">
        <v>62465.0</v>
      </c>
      <c r="AP362" s="679">
        <v>-0.9474748020801678</v>
      </c>
      <c r="AQ362" s="662">
        <v>62465.0</v>
      </c>
      <c r="AR362" s="680">
        <v>-0.9437849873398755</v>
      </c>
      <c r="AS362" s="624"/>
      <c r="AT362" s="624"/>
      <c r="AU362" s="624"/>
      <c r="AV362" s="624"/>
      <c r="AW362" s="624"/>
      <c r="AX362" s="624"/>
      <c r="AY362" s="624"/>
      <c r="AZ362" s="624"/>
      <c r="BA362" s="624"/>
      <c r="BB362" s="624"/>
      <c r="BC362" s="624"/>
      <c r="BD362" s="624"/>
      <c r="BE362" s="624"/>
    </row>
    <row r="363" ht="16.5" customHeight="1">
      <c r="A363" s="711"/>
      <c r="B363" s="711"/>
      <c r="C363" s="711"/>
      <c r="D363" s="711"/>
      <c r="E363" s="711"/>
      <c r="F363" s="711"/>
      <c r="G363" s="711"/>
      <c r="H363" s="711"/>
      <c r="I363" s="711"/>
      <c r="J363" s="711"/>
      <c r="K363" s="741"/>
      <c r="L363" s="741"/>
      <c r="M363" s="788"/>
      <c r="N363" s="741"/>
      <c r="O363" s="741"/>
      <c r="P363" s="741"/>
      <c r="Q363" s="741"/>
      <c r="R363" s="788"/>
      <c r="S363" s="819"/>
      <c r="T363" s="820"/>
      <c r="U363" s="819"/>
      <c r="V363" s="820"/>
      <c r="W363" s="788"/>
      <c r="X363" s="803"/>
      <c r="Y363" s="803"/>
      <c r="Z363" s="803"/>
      <c r="AA363" s="711"/>
      <c r="AB363" s="711"/>
      <c r="AC363" s="711"/>
      <c r="AD363" s="736"/>
      <c r="AE363" s="736"/>
      <c r="AF363" s="799">
        <f t="shared" si="8"/>
        <v>253550</v>
      </c>
      <c r="AG363" s="658">
        <v>0.9206043849413381</v>
      </c>
      <c r="AH363" s="659">
        <f t="shared" si="3"/>
        <v>0.9206043849</v>
      </c>
      <c r="AI363" s="641"/>
      <c r="AJ363" s="660">
        <f t="shared" si="6"/>
        <v>363</v>
      </c>
      <c r="AK363" s="676">
        <v>0.9424</v>
      </c>
      <c r="AL363" s="662">
        <v>62375.0</v>
      </c>
      <c r="AM363" s="677">
        <v>-0.9508699799231692</v>
      </c>
      <c r="AN363" s="678">
        <v>-0.057599999999999985</v>
      </c>
      <c r="AO363" s="662">
        <v>62375.0</v>
      </c>
      <c r="AP363" s="679">
        <v>-0.9472513437630816</v>
      </c>
      <c r="AQ363" s="662">
        <v>62375.0</v>
      </c>
      <c r="AR363" s="680">
        <v>-0.9435513533582547</v>
      </c>
      <c r="AS363" s="624"/>
      <c r="AT363" s="624"/>
      <c r="AU363" s="624"/>
      <c r="AV363" s="624"/>
      <c r="AW363" s="624"/>
      <c r="AX363" s="624"/>
      <c r="AY363" s="624"/>
      <c r="AZ363" s="624"/>
      <c r="BA363" s="624"/>
      <c r="BB363" s="624"/>
      <c r="BC363" s="624"/>
      <c r="BD363" s="624"/>
      <c r="BE363" s="624"/>
    </row>
    <row r="364" ht="16.5" customHeight="1">
      <c r="A364" s="711"/>
      <c r="B364" s="711"/>
      <c r="C364" s="711"/>
      <c r="D364" s="711"/>
      <c r="E364" s="711"/>
      <c r="F364" s="711"/>
      <c r="G364" s="711"/>
      <c r="H364" s="711"/>
      <c r="I364" s="711"/>
      <c r="J364" s="711"/>
      <c r="K364" s="741"/>
      <c r="L364" s="741"/>
      <c r="M364" s="788"/>
      <c r="N364" s="741"/>
      <c r="O364" s="741"/>
      <c r="P364" s="741"/>
      <c r="Q364" s="741"/>
      <c r="R364" s="788"/>
      <c r="S364" s="819"/>
      <c r="T364" s="820"/>
      <c r="U364" s="819"/>
      <c r="V364" s="820"/>
      <c r="W364" s="788"/>
      <c r="X364" s="803"/>
      <c r="Y364" s="803"/>
      <c r="Z364" s="803"/>
      <c r="AA364" s="711"/>
      <c r="AB364" s="711"/>
      <c r="AC364" s="711"/>
      <c r="AD364" s="736"/>
      <c r="AE364" s="736"/>
      <c r="AF364" s="799">
        <f t="shared" si="8"/>
        <v>254300</v>
      </c>
      <c r="AG364" s="658">
        <v>0.9204871390388364</v>
      </c>
      <c r="AH364" s="659">
        <f t="shared" si="3"/>
        <v>0.920487139</v>
      </c>
      <c r="AI364" s="641"/>
      <c r="AJ364" s="660">
        <f t="shared" si="6"/>
        <v>364</v>
      </c>
      <c r="AK364" s="676">
        <v>0.9449</v>
      </c>
      <c r="AL364" s="662">
        <v>62102.0</v>
      </c>
      <c r="AM364" s="677">
        <v>-0.9502177417445296</v>
      </c>
      <c r="AN364" s="678">
        <v>-0.05510000000000004</v>
      </c>
      <c r="AO364" s="662">
        <v>62102.0</v>
      </c>
      <c r="AP364" s="679">
        <v>-0.9465676880140604</v>
      </c>
      <c r="AQ364" s="662">
        <v>62102.0</v>
      </c>
      <c r="AR364" s="680">
        <v>-0.9428367070348359</v>
      </c>
      <c r="AS364" s="624"/>
      <c r="AT364" s="624"/>
      <c r="AU364" s="624"/>
      <c r="AV364" s="624"/>
      <c r="AW364" s="624"/>
      <c r="AX364" s="624"/>
      <c r="AY364" s="624"/>
      <c r="AZ364" s="624"/>
      <c r="BA364" s="624"/>
      <c r="BB364" s="624"/>
      <c r="BC364" s="624"/>
      <c r="BD364" s="624"/>
      <c r="BE364" s="624"/>
    </row>
    <row r="365" ht="16.5" customHeight="1">
      <c r="A365" s="711"/>
      <c r="B365" s="711"/>
      <c r="C365" s="711"/>
      <c r="D365" s="711"/>
      <c r="E365" s="711"/>
      <c r="F365" s="711"/>
      <c r="G365" s="711"/>
      <c r="H365" s="711"/>
      <c r="I365" s="711"/>
      <c r="J365" s="711"/>
      <c r="K365" s="741"/>
      <c r="L365" s="741"/>
      <c r="M365" s="788"/>
      <c r="N365" s="741"/>
      <c r="O365" s="741"/>
      <c r="P365" s="741"/>
      <c r="Q365" s="741"/>
      <c r="R365" s="788"/>
      <c r="S365" s="819"/>
      <c r="T365" s="820"/>
      <c r="U365" s="819"/>
      <c r="V365" s="820"/>
      <c r="W365" s="788"/>
      <c r="X365" s="803"/>
      <c r="Y365" s="803"/>
      <c r="Z365" s="803"/>
      <c r="AA365" s="711"/>
      <c r="AB365" s="711"/>
      <c r="AC365" s="711"/>
      <c r="AD365" s="736"/>
      <c r="AE365" s="736"/>
      <c r="AF365" s="799">
        <f t="shared" si="8"/>
        <v>255050</v>
      </c>
      <c r="AG365" s="658">
        <v>0.9203698934435751</v>
      </c>
      <c r="AH365" s="659">
        <f t="shared" si="3"/>
        <v>0.9203698934</v>
      </c>
      <c r="AI365" s="641"/>
      <c r="AJ365" s="660">
        <f t="shared" si="6"/>
        <v>365</v>
      </c>
      <c r="AK365" s="676">
        <v>0.9593</v>
      </c>
      <c r="AL365" s="662">
        <v>62101.0</v>
      </c>
      <c r="AM365" s="677">
        <v>-0.950215336746426</v>
      </c>
      <c r="AN365" s="678">
        <v>-0.04069999999999996</v>
      </c>
      <c r="AO365" s="662">
        <v>62101.0</v>
      </c>
      <c r="AP365" s="679">
        <v>-0.9465651675625414</v>
      </c>
      <c r="AQ365" s="662">
        <v>62101.0</v>
      </c>
      <c r="AR365" s="680">
        <v>-0.9428340727210058</v>
      </c>
      <c r="AS365" s="624"/>
      <c r="AT365" s="624"/>
      <c r="AU365" s="624"/>
      <c r="AV365" s="624"/>
      <c r="AW365" s="624"/>
      <c r="AX365" s="624"/>
      <c r="AY365" s="624"/>
      <c r="AZ365" s="624"/>
      <c r="BA365" s="624"/>
      <c r="BB365" s="624"/>
      <c r="BC365" s="624"/>
      <c r="BD365" s="624"/>
      <c r="BE365" s="624"/>
    </row>
    <row r="366" ht="16.5" customHeight="1">
      <c r="A366" s="711"/>
      <c r="B366" s="711"/>
      <c r="C366" s="711"/>
      <c r="D366" s="711"/>
      <c r="E366" s="711"/>
      <c r="F366" s="711"/>
      <c r="G366" s="711"/>
      <c r="H366" s="711"/>
      <c r="I366" s="711"/>
      <c r="J366" s="711"/>
      <c r="K366" s="741"/>
      <c r="L366" s="741"/>
      <c r="M366" s="788"/>
      <c r="N366" s="741"/>
      <c r="O366" s="741"/>
      <c r="P366" s="741"/>
      <c r="Q366" s="741"/>
      <c r="R366" s="788"/>
      <c r="S366" s="819"/>
      <c r="T366" s="820"/>
      <c r="U366" s="819"/>
      <c r="V366" s="820"/>
      <c r="W366" s="788"/>
      <c r="X366" s="803"/>
      <c r="Y366" s="803"/>
      <c r="Z366" s="803"/>
      <c r="AA366" s="711"/>
      <c r="AB366" s="711"/>
      <c r="AC366" s="711"/>
      <c r="AD366" s="736"/>
      <c r="AE366" s="736"/>
      <c r="AF366" s="799">
        <f t="shared" si="8"/>
        <v>255800</v>
      </c>
      <c r="AG366" s="658">
        <v>0.9202526481448748</v>
      </c>
      <c r="AH366" s="659">
        <f t="shared" si="3"/>
        <v>0.9202526481</v>
      </c>
      <c r="AI366" s="641"/>
      <c r="AJ366" s="660">
        <f t="shared" si="6"/>
        <v>366</v>
      </c>
      <c r="AK366" s="676">
        <v>0.9644</v>
      </c>
      <c r="AL366" s="662">
        <v>62000.0</v>
      </c>
      <c r="AM366" s="677">
        <v>-0.9499718324974772</v>
      </c>
      <c r="AN366" s="678">
        <v>-0.035599999999999965</v>
      </c>
      <c r="AO366" s="662">
        <v>62000.0</v>
      </c>
      <c r="AP366" s="679">
        <v>-0.9463099885822369</v>
      </c>
      <c r="AQ366" s="662">
        <v>62000.0</v>
      </c>
      <c r="AR366" s="680">
        <v>-0.9425673807323827</v>
      </c>
      <c r="AS366" s="624"/>
      <c r="AT366" s="624"/>
      <c r="AU366" s="624"/>
      <c r="AV366" s="624"/>
      <c r="AW366" s="624"/>
      <c r="AX366" s="624"/>
      <c r="AY366" s="624"/>
      <c r="AZ366" s="624"/>
      <c r="BA366" s="624"/>
      <c r="BB366" s="624"/>
      <c r="BC366" s="624"/>
      <c r="BD366" s="624"/>
      <c r="BE366" s="624"/>
    </row>
    <row r="367" ht="16.5" customHeight="1">
      <c r="A367" s="711"/>
      <c r="B367" s="711"/>
      <c r="C367" s="711"/>
      <c r="D367" s="711"/>
      <c r="E367" s="711"/>
      <c r="F367" s="711"/>
      <c r="G367" s="711"/>
      <c r="H367" s="711"/>
      <c r="I367" s="711"/>
      <c r="J367" s="711"/>
      <c r="K367" s="741"/>
      <c r="L367" s="741"/>
      <c r="M367" s="788"/>
      <c r="N367" s="741"/>
      <c r="O367" s="741"/>
      <c r="P367" s="741"/>
      <c r="Q367" s="741"/>
      <c r="R367" s="788"/>
      <c r="S367" s="819"/>
      <c r="T367" s="820"/>
      <c r="U367" s="819"/>
      <c r="V367" s="820"/>
      <c r="W367" s="788"/>
      <c r="X367" s="803"/>
      <c r="Y367" s="803"/>
      <c r="Z367" s="803"/>
      <c r="AA367" s="711"/>
      <c r="AB367" s="711"/>
      <c r="AC367" s="711"/>
      <c r="AD367" s="736"/>
      <c r="AE367" s="736"/>
      <c r="AF367" s="799">
        <f t="shared" si="8"/>
        <v>256550</v>
      </c>
      <c r="AG367" s="658">
        <v>0.9201354031324276</v>
      </c>
      <c r="AH367" s="659">
        <f t="shared" si="3"/>
        <v>0.9201354031</v>
      </c>
      <c r="AI367" s="641"/>
      <c r="AJ367" s="660">
        <f t="shared" si="6"/>
        <v>367</v>
      </c>
      <c r="AK367" s="676">
        <v>0.9593</v>
      </c>
      <c r="AL367" s="662">
        <v>61737.0</v>
      </c>
      <c r="AM367" s="677">
        <v>-0.9493321538660784</v>
      </c>
      <c r="AN367" s="678">
        <v>-0.04069999999999996</v>
      </c>
      <c r="AO367" s="662">
        <v>61737.0</v>
      </c>
      <c r="AP367" s="679">
        <v>-0.9456397799399592</v>
      </c>
      <c r="AQ367" s="662">
        <v>61737.0</v>
      </c>
      <c r="AR367" s="680">
        <v>-0.9418670727439803</v>
      </c>
      <c r="AS367" s="624"/>
      <c r="AT367" s="624"/>
      <c r="AU367" s="624"/>
      <c r="AV367" s="624"/>
      <c r="AW367" s="624"/>
      <c r="AX367" s="624"/>
      <c r="AY367" s="624"/>
      <c r="AZ367" s="624"/>
      <c r="BA367" s="624"/>
      <c r="BB367" s="624"/>
      <c r="BC367" s="624"/>
      <c r="BD367" s="624"/>
      <c r="BE367" s="624"/>
    </row>
    <row r="368" ht="16.5" customHeight="1">
      <c r="A368" s="711"/>
      <c r="B368" s="711"/>
      <c r="C368" s="711"/>
      <c r="D368" s="711"/>
      <c r="E368" s="711"/>
      <c r="F368" s="711"/>
      <c r="G368" s="711"/>
      <c r="H368" s="711"/>
      <c r="I368" s="711"/>
      <c r="J368" s="711"/>
      <c r="K368" s="741"/>
      <c r="L368" s="741"/>
      <c r="M368" s="788"/>
      <c r="N368" s="741"/>
      <c r="O368" s="741"/>
      <c r="P368" s="741"/>
      <c r="Q368" s="741"/>
      <c r="R368" s="788"/>
      <c r="S368" s="819"/>
      <c r="T368" s="820"/>
      <c r="U368" s="819"/>
      <c r="V368" s="820"/>
      <c r="W368" s="788"/>
      <c r="X368" s="803"/>
      <c r="Y368" s="803"/>
      <c r="Z368" s="803"/>
      <c r="AA368" s="711"/>
      <c r="AB368" s="711"/>
      <c r="AC368" s="711"/>
      <c r="AD368" s="736"/>
      <c r="AE368" s="736"/>
      <c r="AF368" s="799">
        <f t="shared" si="8"/>
        <v>257300</v>
      </c>
      <c r="AG368" s="658">
        <v>0.9200181583962833</v>
      </c>
      <c r="AH368" s="659">
        <f t="shared" si="3"/>
        <v>0.9200181584</v>
      </c>
      <c r="AI368" s="641"/>
      <c r="AJ368" s="660">
        <f t="shared" si="6"/>
        <v>368</v>
      </c>
      <c r="AK368" s="676">
        <v>0.9467</v>
      </c>
      <c r="AL368" s="662">
        <v>61500.0</v>
      </c>
      <c r="AM368" s="677">
        <v>-0.9487487101130057</v>
      </c>
      <c r="AN368" s="678">
        <v>-0.053300000000000014</v>
      </c>
      <c r="AO368" s="662">
        <v>61500.0</v>
      </c>
      <c r="AP368" s="679">
        <v>-0.9450286641642222</v>
      </c>
      <c r="AQ368" s="662">
        <v>61500.0</v>
      </c>
      <c r="AR368" s="680">
        <v>-0.9412286849554605</v>
      </c>
      <c r="AS368" s="624"/>
      <c r="AT368" s="624"/>
      <c r="AU368" s="624"/>
      <c r="AV368" s="624"/>
      <c r="AW368" s="624"/>
      <c r="AX368" s="624"/>
      <c r="AY368" s="624"/>
      <c r="AZ368" s="624"/>
      <c r="BA368" s="624"/>
      <c r="BB368" s="624"/>
      <c r="BC368" s="624"/>
      <c r="BD368" s="624"/>
      <c r="BE368" s="624"/>
    </row>
    <row r="369" ht="16.5" customHeight="1">
      <c r="A369" s="711"/>
      <c r="B369" s="711"/>
      <c r="C369" s="711"/>
      <c r="D369" s="711"/>
      <c r="E369" s="711"/>
      <c r="F369" s="711"/>
      <c r="G369" s="711"/>
      <c r="H369" s="711"/>
      <c r="I369" s="711"/>
      <c r="J369" s="711"/>
      <c r="K369" s="741"/>
      <c r="L369" s="741"/>
      <c r="M369" s="788"/>
      <c r="N369" s="741"/>
      <c r="O369" s="741"/>
      <c r="P369" s="741"/>
      <c r="Q369" s="741"/>
      <c r="R369" s="788"/>
      <c r="S369" s="819"/>
      <c r="T369" s="820"/>
      <c r="U369" s="819"/>
      <c r="V369" s="820"/>
      <c r="W369" s="788"/>
      <c r="X369" s="803"/>
      <c r="Y369" s="803"/>
      <c r="Z369" s="803"/>
      <c r="AA369" s="711"/>
      <c r="AB369" s="711"/>
      <c r="AC369" s="711"/>
      <c r="AD369" s="736"/>
      <c r="AE369" s="736"/>
      <c r="AF369" s="799">
        <f t="shared" si="8"/>
        <v>258050</v>
      </c>
      <c r="AG369" s="658">
        <v>0.9199009139268381</v>
      </c>
      <c r="AH369" s="659">
        <f t="shared" si="3"/>
        <v>0.9199009139</v>
      </c>
      <c r="AI369" s="641"/>
      <c r="AJ369" s="660">
        <f t="shared" si="6"/>
        <v>369</v>
      </c>
      <c r="AK369" s="676">
        <v>0.9424</v>
      </c>
      <c r="AL369" s="662">
        <v>61228.0</v>
      </c>
      <c r="AM369" s="677">
        <v>-0.9480708191897745</v>
      </c>
      <c r="AN369" s="678">
        <v>-0.057599999999999985</v>
      </c>
      <c r="AO369" s="662">
        <v>61228.0</v>
      </c>
      <c r="AP369" s="679">
        <v>-0.9443188276224954</v>
      </c>
      <c r="AQ369" s="662">
        <v>61228.0</v>
      </c>
      <c r="AR369" s="680">
        <v>-0.9404873759648108</v>
      </c>
      <c r="AS369" s="624"/>
      <c r="AT369" s="624"/>
      <c r="AU369" s="624"/>
      <c r="AV369" s="624"/>
      <c r="AW369" s="624"/>
      <c r="AX369" s="624"/>
      <c r="AY369" s="624"/>
      <c r="AZ369" s="624"/>
      <c r="BA369" s="624"/>
      <c r="BB369" s="624"/>
      <c r="BC369" s="624"/>
      <c r="BD369" s="624"/>
      <c r="BE369" s="624"/>
    </row>
    <row r="370" ht="16.5" customHeight="1">
      <c r="A370" s="711"/>
      <c r="B370" s="711"/>
      <c r="C370" s="711"/>
      <c r="D370" s="711"/>
      <c r="E370" s="711"/>
      <c r="F370" s="711"/>
      <c r="G370" s="711"/>
      <c r="H370" s="711"/>
      <c r="I370" s="711"/>
      <c r="J370" s="711"/>
      <c r="K370" s="741"/>
      <c r="L370" s="741"/>
      <c r="M370" s="788"/>
      <c r="N370" s="741"/>
      <c r="O370" s="741"/>
      <c r="P370" s="741"/>
      <c r="Q370" s="741"/>
      <c r="R370" s="788"/>
      <c r="S370" s="819"/>
      <c r="T370" s="820"/>
      <c r="U370" s="819"/>
      <c r="V370" s="820"/>
      <c r="W370" s="788"/>
      <c r="X370" s="803"/>
      <c r="Y370" s="803"/>
      <c r="Z370" s="803"/>
      <c r="AA370" s="711"/>
      <c r="AB370" s="711"/>
      <c r="AC370" s="711"/>
      <c r="AD370" s="736"/>
      <c r="AE370" s="736"/>
      <c r="AF370" s="799">
        <f t="shared" si="8"/>
        <v>258800</v>
      </c>
      <c r="AG370" s="658">
        <v>0.919783669714822</v>
      </c>
      <c r="AH370" s="659">
        <f t="shared" si="3"/>
        <v>0.9197836697</v>
      </c>
      <c r="AI370" s="641"/>
      <c r="AJ370" s="660">
        <f t="shared" si="6"/>
        <v>370</v>
      </c>
      <c r="AK370" s="676">
        <v>0.9726</v>
      </c>
      <c r="AL370" s="662">
        <v>61226.0</v>
      </c>
      <c r="AM370" s="677">
        <v>-0.9480658016352289</v>
      </c>
      <c r="AN370" s="678">
        <v>-0.02739999999999998</v>
      </c>
      <c r="AO370" s="662">
        <v>61226.0</v>
      </c>
      <c r="AP370" s="679">
        <v>-0.9443135744339171</v>
      </c>
      <c r="AQ370" s="662">
        <v>61226.0</v>
      </c>
      <c r="AR370" s="680">
        <v>-0.9404818906775632</v>
      </c>
      <c r="AS370" s="624"/>
      <c r="AT370" s="624"/>
      <c r="AU370" s="624"/>
      <c r="AV370" s="624"/>
      <c r="AW370" s="624"/>
      <c r="AX370" s="624"/>
      <c r="AY370" s="624"/>
      <c r="AZ370" s="624"/>
      <c r="BA370" s="624"/>
      <c r="BB370" s="624"/>
      <c r="BC370" s="624"/>
      <c r="BD370" s="624"/>
      <c r="BE370" s="624"/>
    </row>
    <row r="371" ht="16.5" customHeight="1">
      <c r="A371" s="711"/>
      <c r="B371" s="711"/>
      <c r="C371" s="711"/>
      <c r="D371" s="711"/>
      <c r="E371" s="711"/>
      <c r="F371" s="711"/>
      <c r="G371" s="711"/>
      <c r="H371" s="711"/>
      <c r="I371" s="711"/>
      <c r="J371" s="711"/>
      <c r="K371" s="741"/>
      <c r="L371" s="741"/>
      <c r="M371" s="788"/>
      <c r="N371" s="741"/>
      <c r="O371" s="741"/>
      <c r="P371" s="741"/>
      <c r="Q371" s="741"/>
      <c r="R371" s="788"/>
      <c r="S371" s="819"/>
      <c r="T371" s="820"/>
      <c r="U371" s="819"/>
      <c r="V371" s="820"/>
      <c r="W371" s="788"/>
      <c r="X371" s="803"/>
      <c r="Y371" s="803"/>
      <c r="Z371" s="803"/>
      <c r="AA371" s="711"/>
      <c r="AB371" s="711"/>
      <c r="AC371" s="711"/>
      <c r="AD371" s="736"/>
      <c r="AE371" s="736"/>
      <c r="AF371" s="799">
        <f t="shared" si="8"/>
        <v>259550</v>
      </c>
      <c r="AG371" s="658">
        <v>0.9196664257512867</v>
      </c>
      <c r="AH371" s="659">
        <f t="shared" si="3"/>
        <v>0.9196664258</v>
      </c>
      <c r="AI371" s="641"/>
      <c r="AJ371" s="660">
        <f t="shared" si="6"/>
        <v>371</v>
      </c>
      <c r="AK371" s="676">
        <v>0.9825</v>
      </c>
      <c r="AL371" s="662">
        <v>61171.0</v>
      </c>
      <c r="AM371" s="677">
        <v>-0.9479276287375434</v>
      </c>
      <c r="AN371" s="678">
        <v>-0.01749999999999996</v>
      </c>
      <c r="AO371" s="662">
        <v>61171.0</v>
      </c>
      <c r="AP371" s="679">
        <v>-0.9441689173699871</v>
      </c>
      <c r="AQ371" s="662">
        <v>61171.0</v>
      </c>
      <c r="AR371" s="680">
        <v>-0.9403308469927968</v>
      </c>
      <c r="AS371" s="624"/>
      <c r="AT371" s="624"/>
      <c r="AU371" s="624"/>
      <c r="AV371" s="624"/>
      <c r="AW371" s="624"/>
      <c r="AX371" s="624"/>
      <c r="AY371" s="624"/>
      <c r="AZ371" s="624"/>
      <c r="BA371" s="624"/>
      <c r="BB371" s="624"/>
      <c r="BC371" s="624"/>
      <c r="BD371" s="624"/>
      <c r="BE371" s="624"/>
    </row>
    <row r="372" ht="16.5" customHeight="1">
      <c r="A372" s="711"/>
      <c r="B372" s="711"/>
      <c r="C372" s="711"/>
      <c r="D372" s="711"/>
      <c r="E372" s="711"/>
      <c r="F372" s="711"/>
      <c r="G372" s="711"/>
      <c r="H372" s="711"/>
      <c r="I372" s="711"/>
      <c r="J372" s="711"/>
      <c r="K372" s="741"/>
      <c r="L372" s="741"/>
      <c r="M372" s="788"/>
      <c r="N372" s="741"/>
      <c r="O372" s="741"/>
      <c r="P372" s="741"/>
      <c r="Q372" s="741"/>
      <c r="R372" s="788"/>
      <c r="S372" s="819"/>
      <c r="T372" s="820"/>
      <c r="U372" s="819"/>
      <c r="V372" s="820"/>
      <c r="W372" s="788"/>
      <c r="X372" s="803"/>
      <c r="Y372" s="803"/>
      <c r="Z372" s="803"/>
      <c r="AA372" s="711"/>
      <c r="AB372" s="711"/>
      <c r="AC372" s="711"/>
      <c r="AD372" s="736"/>
      <c r="AE372" s="736"/>
      <c r="AF372" s="799">
        <f t="shared" si="8"/>
        <v>260300</v>
      </c>
      <c r="AG372" s="658">
        <v>0.9195491820275955</v>
      </c>
      <c r="AH372" s="659">
        <f t="shared" si="3"/>
        <v>0.919549182</v>
      </c>
      <c r="AI372" s="641"/>
      <c r="AJ372" s="660">
        <f t="shared" si="6"/>
        <v>372</v>
      </c>
      <c r="AK372" s="676">
        <v>0.9713</v>
      </c>
      <c r="AL372" s="662">
        <v>61155.0</v>
      </c>
      <c r="AM372" s="677">
        <v>-0.9478873640024428</v>
      </c>
      <c r="AN372" s="678">
        <v>-0.028699999999999948</v>
      </c>
      <c r="AO372" s="662">
        <v>61155.0</v>
      </c>
      <c r="AP372" s="679">
        <v>-0.9441267647992216</v>
      </c>
      <c r="AQ372" s="662">
        <v>61155.0</v>
      </c>
      <c r="AR372" s="680">
        <v>-0.9402868350803477</v>
      </c>
      <c r="AS372" s="624"/>
      <c r="AT372" s="624"/>
      <c r="AU372" s="624"/>
      <c r="AV372" s="624"/>
      <c r="AW372" s="624"/>
      <c r="AX372" s="624"/>
      <c r="AY372" s="624"/>
      <c r="AZ372" s="624"/>
      <c r="BA372" s="624"/>
      <c r="BB372" s="624"/>
      <c r="BC372" s="624"/>
      <c r="BD372" s="624"/>
      <c r="BE372" s="624"/>
    </row>
    <row r="373" ht="16.5" customHeight="1">
      <c r="A373" s="711"/>
      <c r="B373" s="711"/>
      <c r="C373" s="711"/>
      <c r="D373" s="711"/>
      <c r="E373" s="711"/>
      <c r="F373" s="711"/>
      <c r="G373" s="711"/>
      <c r="H373" s="711"/>
      <c r="I373" s="711"/>
      <c r="J373" s="711"/>
      <c r="K373" s="741"/>
      <c r="L373" s="741"/>
      <c r="M373" s="788"/>
      <c r="N373" s="741"/>
      <c r="O373" s="741"/>
      <c r="P373" s="741"/>
      <c r="Q373" s="741"/>
      <c r="R373" s="788"/>
      <c r="S373" s="819"/>
      <c r="T373" s="820"/>
      <c r="U373" s="819"/>
      <c r="V373" s="820"/>
      <c r="W373" s="788"/>
      <c r="X373" s="803"/>
      <c r="Y373" s="803"/>
      <c r="Z373" s="803"/>
      <c r="AA373" s="711"/>
      <c r="AB373" s="711"/>
      <c r="AC373" s="711"/>
      <c r="AD373" s="736"/>
      <c r="AE373" s="736"/>
      <c r="AF373" s="799">
        <f t="shared" si="8"/>
        <v>261050</v>
      </c>
      <c r="AG373" s="658">
        <v>0.9194319385354116</v>
      </c>
      <c r="AH373" s="659">
        <f t="shared" si="3"/>
        <v>0.9194319385</v>
      </c>
      <c r="AI373" s="641"/>
      <c r="AJ373" s="660">
        <f t="shared" si="6"/>
        <v>373</v>
      </c>
      <c r="AK373" s="676">
        <v>0.9681</v>
      </c>
      <c r="AL373" s="662">
        <v>61076.0</v>
      </c>
      <c r="AM373" s="677">
        <v>-0.9476881000331613</v>
      </c>
      <c r="AN373" s="678">
        <v>-0.03190000000000004</v>
      </c>
      <c r="AO373" s="662">
        <v>61076.0</v>
      </c>
      <c r="AP373" s="679">
        <v>-0.9439181695172786</v>
      </c>
      <c r="AQ373" s="662">
        <v>61076.0</v>
      </c>
      <c r="AR373" s="680">
        <v>-0.9400690499503183</v>
      </c>
      <c r="AS373" s="624"/>
      <c r="AT373" s="624"/>
      <c r="AU373" s="624"/>
      <c r="AV373" s="624"/>
      <c r="AW373" s="624"/>
      <c r="AX373" s="624"/>
      <c r="AY373" s="624"/>
      <c r="AZ373" s="624"/>
      <c r="BA373" s="624"/>
      <c r="BB373" s="624"/>
      <c r="BC373" s="624"/>
      <c r="BD373" s="624"/>
      <c r="BE373" s="624"/>
    </row>
    <row r="374" ht="16.5" customHeight="1">
      <c r="A374" s="711"/>
      <c r="B374" s="711"/>
      <c r="C374" s="711"/>
      <c r="D374" s="711"/>
      <c r="E374" s="711"/>
      <c r="F374" s="711"/>
      <c r="G374" s="711"/>
      <c r="H374" s="711"/>
      <c r="I374" s="711"/>
      <c r="J374" s="711"/>
      <c r="K374" s="741"/>
      <c r="L374" s="741"/>
      <c r="M374" s="788"/>
      <c r="N374" s="741"/>
      <c r="O374" s="741"/>
      <c r="P374" s="741"/>
      <c r="Q374" s="741"/>
      <c r="R374" s="788"/>
      <c r="S374" s="819"/>
      <c r="T374" s="820"/>
      <c r="U374" s="819"/>
      <c r="V374" s="820"/>
      <c r="W374" s="788"/>
      <c r="X374" s="803"/>
      <c r="Y374" s="803"/>
      <c r="Z374" s="803"/>
      <c r="AA374" s="711"/>
      <c r="AB374" s="711"/>
      <c r="AC374" s="711"/>
      <c r="AD374" s="736"/>
      <c r="AE374" s="736"/>
      <c r="AF374" s="799">
        <f t="shared" si="8"/>
        <v>261800</v>
      </c>
      <c r="AG374" s="658">
        <v>0.9193146952666881</v>
      </c>
      <c r="AH374" s="659">
        <f t="shared" si="3"/>
        <v>0.9193146953</v>
      </c>
      <c r="AI374" s="641"/>
      <c r="AJ374" s="660">
        <f t="shared" si="6"/>
        <v>374</v>
      </c>
      <c r="AK374" s="676">
        <v>0.9213</v>
      </c>
      <c r="AL374" s="662">
        <v>61000.0</v>
      </c>
      <c r="AM374" s="677">
        <v>-0.9474956840074491</v>
      </c>
      <c r="AN374" s="678">
        <v>-0.07869999999999999</v>
      </c>
      <c r="AO374" s="662">
        <v>61000.0</v>
      </c>
      <c r="AP374" s="679">
        <v>-0.9437167606455359</v>
      </c>
      <c r="AQ374" s="662">
        <v>61000.0</v>
      </c>
      <c r="AR374" s="680">
        <v>-0.9398587855453765</v>
      </c>
      <c r="AS374" s="624"/>
      <c r="AT374" s="624"/>
      <c r="AU374" s="624"/>
      <c r="AV374" s="624"/>
      <c r="AW374" s="624"/>
      <c r="AX374" s="624"/>
      <c r="AY374" s="624"/>
      <c r="AZ374" s="624"/>
      <c r="BA374" s="624"/>
      <c r="BB374" s="624"/>
      <c r="BC374" s="624"/>
      <c r="BD374" s="624"/>
      <c r="BE374" s="624"/>
    </row>
    <row r="375" ht="16.5" customHeight="1">
      <c r="A375" s="711"/>
      <c r="B375" s="711"/>
      <c r="C375" s="711"/>
      <c r="D375" s="711"/>
      <c r="E375" s="711"/>
      <c r="F375" s="711"/>
      <c r="G375" s="711"/>
      <c r="H375" s="711"/>
      <c r="I375" s="711"/>
      <c r="J375" s="711"/>
      <c r="K375" s="741"/>
      <c r="L375" s="741"/>
      <c r="M375" s="788"/>
      <c r="N375" s="741"/>
      <c r="O375" s="741"/>
      <c r="P375" s="741"/>
      <c r="Q375" s="741"/>
      <c r="R375" s="788"/>
      <c r="S375" s="819"/>
      <c r="T375" s="820"/>
      <c r="U375" s="819"/>
      <c r="V375" s="820"/>
      <c r="W375" s="788"/>
      <c r="X375" s="803"/>
      <c r="Y375" s="803"/>
      <c r="Z375" s="803"/>
      <c r="AA375" s="711"/>
      <c r="AB375" s="711"/>
      <c r="AC375" s="711"/>
      <c r="AD375" s="736"/>
      <c r="AE375" s="736"/>
      <c r="AF375" s="799">
        <f t="shared" si="8"/>
        <v>262550</v>
      </c>
      <c r="AG375" s="658">
        <v>0.9191974522136578</v>
      </c>
      <c r="AH375" s="659">
        <f t="shared" si="3"/>
        <v>0.9191974522</v>
      </c>
      <c r="AI375" s="641"/>
      <c r="AJ375" s="660">
        <f t="shared" si="6"/>
        <v>375</v>
      </c>
      <c r="AK375" s="676">
        <v>0.9597</v>
      </c>
      <c r="AL375" s="662">
        <v>60986.0</v>
      </c>
      <c r="AM375" s="677">
        <v>-0.9474601618310673</v>
      </c>
      <c r="AN375" s="678">
        <v>-0.0403</v>
      </c>
      <c r="AO375" s="662">
        <v>60986.0</v>
      </c>
      <c r="AP375" s="679">
        <v>-0.9436795801933905</v>
      </c>
      <c r="AQ375" s="662">
        <v>60986.0</v>
      </c>
      <c r="AR375" s="680">
        <v>-0.9398199722427835</v>
      </c>
      <c r="AS375" s="624"/>
      <c r="AT375" s="624"/>
      <c r="AU375" s="624"/>
      <c r="AV375" s="624"/>
      <c r="AW375" s="624"/>
      <c r="AX375" s="624"/>
      <c r="AY375" s="624"/>
      <c r="AZ375" s="624"/>
      <c r="BA375" s="624"/>
      <c r="BB375" s="624"/>
      <c r="BC375" s="624"/>
      <c r="BD375" s="624"/>
      <c r="BE375" s="624"/>
    </row>
    <row r="376" ht="16.5" customHeight="1">
      <c r="A376" s="711"/>
      <c r="B376" s="711"/>
      <c r="C376" s="711"/>
      <c r="D376" s="711"/>
      <c r="E376" s="711"/>
      <c r="F376" s="711"/>
      <c r="G376" s="711"/>
      <c r="H376" s="711"/>
      <c r="I376" s="711"/>
      <c r="J376" s="711"/>
      <c r="K376" s="741"/>
      <c r="L376" s="741"/>
      <c r="M376" s="788"/>
      <c r="N376" s="741"/>
      <c r="O376" s="741"/>
      <c r="P376" s="741"/>
      <c r="Q376" s="741"/>
      <c r="R376" s="788"/>
      <c r="S376" s="819"/>
      <c r="T376" s="820"/>
      <c r="U376" s="819"/>
      <c r="V376" s="820"/>
      <c r="W376" s="788"/>
      <c r="X376" s="803"/>
      <c r="Y376" s="803"/>
      <c r="Z376" s="803"/>
      <c r="AA376" s="711"/>
      <c r="AB376" s="711"/>
      <c r="AC376" s="711"/>
      <c r="AD376" s="736"/>
      <c r="AE376" s="736"/>
      <c r="AF376" s="799">
        <f t="shared" si="8"/>
        <v>263300</v>
      </c>
      <c r="AG376" s="658">
        <v>0.9190802093688234</v>
      </c>
      <c r="AH376" s="659">
        <f t="shared" si="3"/>
        <v>0.9190802094</v>
      </c>
      <c r="AI376" s="641"/>
      <c r="AJ376" s="660">
        <f t="shared" si="6"/>
        <v>376</v>
      </c>
      <c r="AK376" s="676">
        <v>0.9624</v>
      </c>
      <c r="AL376" s="662">
        <v>60825.0</v>
      </c>
      <c r="AM376" s="677">
        <v>-0.9470499253492756</v>
      </c>
      <c r="AN376" s="678">
        <v>-0.03759999999999997</v>
      </c>
      <c r="AO376" s="662">
        <v>60825.0</v>
      </c>
      <c r="AP376" s="679">
        <v>-0.943250235566734</v>
      </c>
      <c r="AQ376" s="662">
        <v>60825.0</v>
      </c>
      <c r="AR376" s="680">
        <v>-0.9393718147989013</v>
      </c>
      <c r="AS376" s="624"/>
      <c r="AT376" s="624"/>
      <c r="AU376" s="624"/>
      <c r="AV376" s="624"/>
      <c r="AW376" s="624"/>
      <c r="AX376" s="624"/>
      <c r="AY376" s="624"/>
      <c r="AZ376" s="624"/>
      <c r="BA376" s="624"/>
      <c r="BB376" s="624"/>
      <c r="BC376" s="624"/>
      <c r="BD376" s="624"/>
      <c r="BE376" s="624"/>
    </row>
    <row r="377" ht="16.5" customHeight="1">
      <c r="A377" s="711"/>
      <c r="B377" s="711"/>
      <c r="C377" s="711"/>
      <c r="D377" s="711"/>
      <c r="E377" s="711"/>
      <c r="F377" s="711"/>
      <c r="G377" s="711"/>
      <c r="H377" s="711"/>
      <c r="I377" s="711"/>
      <c r="J377" s="711"/>
      <c r="K377" s="741"/>
      <c r="L377" s="741"/>
      <c r="M377" s="788"/>
      <c r="N377" s="741"/>
      <c r="O377" s="741"/>
      <c r="P377" s="741"/>
      <c r="Q377" s="741"/>
      <c r="R377" s="788"/>
      <c r="S377" s="819"/>
      <c r="T377" s="820"/>
      <c r="U377" s="819"/>
      <c r="V377" s="820"/>
      <c r="W377" s="788"/>
      <c r="X377" s="803"/>
      <c r="Y377" s="803"/>
      <c r="Z377" s="803"/>
      <c r="AA377" s="711"/>
      <c r="AB377" s="711"/>
      <c r="AC377" s="711"/>
      <c r="AD377" s="736"/>
      <c r="AE377" s="736"/>
      <c r="AF377" s="799">
        <f t="shared" si="8"/>
        <v>264050</v>
      </c>
      <c r="AG377" s="658">
        <v>0.9189629667249481</v>
      </c>
      <c r="AH377" s="659">
        <f t="shared" si="3"/>
        <v>0.9189629667</v>
      </c>
      <c r="AI377" s="641"/>
      <c r="AJ377" s="660">
        <f t="shared" si="6"/>
        <v>377</v>
      </c>
      <c r="AK377" s="676">
        <v>0.9695</v>
      </c>
      <c r="AL377" s="662">
        <v>60700.0</v>
      </c>
      <c r="AM377" s="677">
        <v>-0.9467292111562966</v>
      </c>
      <c r="AN377" s="678">
        <v>-0.03049999999999997</v>
      </c>
      <c r="AO377" s="662">
        <v>60700.0</v>
      </c>
      <c r="AP377" s="679">
        <v>-0.9429146376983921</v>
      </c>
      <c r="AQ377" s="662">
        <v>60700.0</v>
      </c>
      <c r="AR377" s="680">
        <v>-0.9390215662889582</v>
      </c>
      <c r="AS377" s="624"/>
      <c r="AT377" s="624"/>
      <c r="AU377" s="624"/>
      <c r="AV377" s="624"/>
      <c r="AW377" s="624"/>
      <c r="AX377" s="624"/>
      <c r="AY377" s="624"/>
      <c r="AZ377" s="624"/>
      <c r="BA377" s="624"/>
      <c r="BB377" s="624"/>
      <c r="BC377" s="624"/>
      <c r="BD377" s="624"/>
      <c r="BE377" s="624"/>
    </row>
    <row r="378" ht="16.5" customHeight="1">
      <c r="A378" s="711"/>
      <c r="B378" s="711"/>
      <c r="C378" s="711"/>
      <c r="D378" s="711"/>
      <c r="E378" s="711"/>
      <c r="F378" s="711"/>
      <c r="G378" s="711"/>
      <c r="H378" s="711"/>
      <c r="I378" s="711"/>
      <c r="J378" s="711"/>
      <c r="K378" s="741"/>
      <c r="L378" s="741"/>
      <c r="M378" s="788"/>
      <c r="N378" s="741"/>
      <c r="O378" s="741"/>
      <c r="P378" s="741"/>
      <c r="Q378" s="741"/>
      <c r="R378" s="788"/>
      <c r="S378" s="819"/>
      <c r="T378" s="820"/>
      <c r="U378" s="819"/>
      <c r="V378" s="820"/>
      <c r="W378" s="788"/>
      <c r="X378" s="803"/>
      <c r="Y378" s="803"/>
      <c r="Z378" s="803"/>
      <c r="AA378" s="711"/>
      <c r="AB378" s="711"/>
      <c r="AC378" s="711"/>
      <c r="AD378" s="736"/>
      <c r="AE378" s="736"/>
      <c r="AF378" s="799">
        <f t="shared" si="8"/>
        <v>264800</v>
      </c>
      <c r="AG378" s="658">
        <v>0.9188457242750471</v>
      </c>
      <c r="AH378" s="659">
        <f t="shared" si="3"/>
        <v>0.9188457243</v>
      </c>
      <c r="AI378" s="641"/>
      <c r="AJ378" s="660">
        <f t="shared" si="6"/>
        <v>378</v>
      </c>
      <c r="AK378" s="676">
        <v>0.9373</v>
      </c>
      <c r="AL378" s="662">
        <v>60689.0</v>
      </c>
      <c r="AM378" s="677">
        <v>-0.9467008954848144</v>
      </c>
      <c r="AN378" s="678">
        <v>-0.06269999999999998</v>
      </c>
      <c r="AO378" s="662">
        <v>60689.0</v>
      </c>
      <c r="AP378" s="679">
        <v>-0.9428850102492319</v>
      </c>
      <c r="AQ378" s="662">
        <v>60689.0</v>
      </c>
      <c r="AR378" s="680">
        <v>-0.9389906477263522</v>
      </c>
      <c r="AS378" s="624"/>
      <c r="AT378" s="624"/>
      <c r="AU378" s="624"/>
      <c r="AV378" s="624"/>
      <c r="AW378" s="624"/>
      <c r="AX378" s="624"/>
      <c r="AY378" s="624"/>
      <c r="AZ378" s="624"/>
      <c r="BA378" s="624"/>
      <c r="BB378" s="624"/>
      <c r="BC378" s="624"/>
      <c r="BD378" s="624"/>
      <c r="BE378" s="624"/>
    </row>
    <row r="379" ht="16.5" customHeight="1">
      <c r="A379" s="711"/>
      <c r="B379" s="711"/>
      <c r="C379" s="711"/>
      <c r="D379" s="711"/>
      <c r="E379" s="711"/>
      <c r="F379" s="711"/>
      <c r="G379" s="711"/>
      <c r="H379" s="711"/>
      <c r="I379" s="711"/>
      <c r="J379" s="711"/>
      <c r="K379" s="741"/>
      <c r="L379" s="741"/>
      <c r="M379" s="788"/>
      <c r="N379" s="741"/>
      <c r="O379" s="741"/>
      <c r="P379" s="741"/>
      <c r="Q379" s="741"/>
      <c r="R379" s="788"/>
      <c r="S379" s="819"/>
      <c r="T379" s="820"/>
      <c r="U379" s="819"/>
      <c r="V379" s="820"/>
      <c r="W379" s="788"/>
      <c r="X379" s="803"/>
      <c r="Y379" s="803"/>
      <c r="Z379" s="803"/>
      <c r="AA379" s="711"/>
      <c r="AB379" s="711"/>
      <c r="AC379" s="711"/>
      <c r="AD379" s="736"/>
      <c r="AE379" s="736"/>
      <c r="AF379" s="799">
        <f t="shared" si="8"/>
        <v>265550</v>
      </c>
      <c r="AG379" s="658">
        <v>0.9187284820123778</v>
      </c>
      <c r="AH379" s="659">
        <f t="shared" si="3"/>
        <v>0.918728482</v>
      </c>
      <c r="AI379" s="641"/>
      <c r="AJ379" s="660">
        <f t="shared" si="6"/>
        <v>379</v>
      </c>
      <c r="AK379" s="676">
        <v>0.9365</v>
      </c>
      <c r="AL379" s="662">
        <v>60555.0</v>
      </c>
      <c r="AM379" s="677">
        <v>-0.9463547482942345</v>
      </c>
      <c r="AN379" s="678">
        <v>-0.0635</v>
      </c>
      <c r="AO379" s="662">
        <v>60555.0</v>
      </c>
      <c r="AP379" s="679">
        <v>-0.9425228570733832</v>
      </c>
      <c r="AQ379" s="662">
        <v>60555.0</v>
      </c>
      <c r="AR379" s="680">
        <v>-0.9386127423435552</v>
      </c>
      <c r="AS379" s="624"/>
      <c r="AT379" s="624"/>
      <c r="AU379" s="624"/>
      <c r="AV379" s="624"/>
      <c r="AW379" s="624"/>
      <c r="AX379" s="624"/>
      <c r="AY379" s="624"/>
      <c r="AZ379" s="624"/>
      <c r="BA379" s="624"/>
      <c r="BB379" s="624"/>
      <c r="BC379" s="624"/>
      <c r="BD379" s="624"/>
      <c r="BE379" s="624"/>
    </row>
    <row r="380" ht="16.5" customHeight="1">
      <c r="A380" s="711"/>
      <c r="B380" s="711"/>
      <c r="C380" s="711"/>
      <c r="D380" s="711"/>
      <c r="E380" s="711"/>
      <c r="F380" s="711"/>
      <c r="G380" s="711"/>
      <c r="H380" s="711"/>
      <c r="I380" s="711"/>
      <c r="J380" s="711"/>
      <c r="K380" s="741"/>
      <c r="L380" s="741"/>
      <c r="M380" s="788"/>
      <c r="N380" s="741"/>
      <c r="O380" s="741"/>
      <c r="P380" s="741"/>
      <c r="Q380" s="741"/>
      <c r="R380" s="788"/>
      <c r="S380" s="819"/>
      <c r="T380" s="820"/>
      <c r="U380" s="819"/>
      <c r="V380" s="820"/>
      <c r="W380" s="788"/>
      <c r="X380" s="803"/>
      <c r="Y380" s="803"/>
      <c r="Z380" s="803"/>
      <c r="AA380" s="711"/>
      <c r="AB380" s="711"/>
      <c r="AC380" s="711"/>
      <c r="AD380" s="736"/>
      <c r="AE380" s="736"/>
      <c r="AF380" s="799">
        <f t="shared" si="8"/>
        <v>266300</v>
      </c>
      <c r="AG380" s="658">
        <v>0.9186112399304324</v>
      </c>
      <c r="AH380" s="659">
        <f t="shared" si="3"/>
        <v>0.9186112399</v>
      </c>
      <c r="AI380" s="641"/>
      <c r="AJ380" s="660">
        <f t="shared" si="6"/>
        <v>380</v>
      </c>
      <c r="AK380" s="676">
        <v>0.9654</v>
      </c>
      <c r="AL380" s="662">
        <v>60113.0</v>
      </c>
      <c r="AM380" s="677">
        <v>-0.9451969627248885</v>
      </c>
      <c r="AN380" s="678">
        <v>-0.034599999999999964</v>
      </c>
      <c r="AO380" s="662">
        <v>60113.0</v>
      </c>
      <c r="AP380" s="679">
        <v>-0.9413119334229094</v>
      </c>
      <c r="AQ380" s="662">
        <v>60113.0</v>
      </c>
      <c r="AR380" s="680">
        <v>-0.9373495447932934</v>
      </c>
      <c r="AS380" s="624"/>
      <c r="AT380" s="624"/>
      <c r="AU380" s="624"/>
      <c r="AV380" s="624"/>
      <c r="AW380" s="624"/>
      <c r="AX380" s="624"/>
      <c r="AY380" s="624"/>
      <c r="AZ380" s="624"/>
      <c r="BA380" s="624"/>
      <c r="BB380" s="624"/>
      <c r="BC380" s="624"/>
      <c r="BD380" s="624"/>
      <c r="BE380" s="624"/>
    </row>
    <row r="381" ht="16.5" customHeight="1">
      <c r="A381" s="711"/>
      <c r="B381" s="711"/>
      <c r="C381" s="711"/>
      <c r="D381" s="711"/>
      <c r="E381" s="711"/>
      <c r="F381" s="711"/>
      <c r="G381" s="711"/>
      <c r="H381" s="711"/>
      <c r="I381" s="711"/>
      <c r="J381" s="711"/>
      <c r="K381" s="741"/>
      <c r="L381" s="741"/>
      <c r="M381" s="788"/>
      <c r="N381" s="741"/>
      <c r="O381" s="741"/>
      <c r="P381" s="741"/>
      <c r="Q381" s="741"/>
      <c r="R381" s="788"/>
      <c r="S381" s="819"/>
      <c r="T381" s="820"/>
      <c r="U381" s="819"/>
      <c r="V381" s="820"/>
      <c r="W381" s="788"/>
      <c r="X381" s="803"/>
      <c r="Y381" s="803"/>
      <c r="Z381" s="803"/>
      <c r="AA381" s="711"/>
      <c r="AB381" s="711"/>
      <c r="AC381" s="711"/>
      <c r="AD381" s="736"/>
      <c r="AE381" s="736"/>
      <c r="AF381" s="799">
        <f t="shared" si="8"/>
        <v>267050</v>
      </c>
      <c r="AG381" s="658">
        <v>0.9184939980229291</v>
      </c>
      <c r="AH381" s="659">
        <f t="shared" si="3"/>
        <v>0.918493998</v>
      </c>
      <c r="AI381" s="641"/>
      <c r="AJ381" s="660">
        <f t="shared" si="6"/>
        <v>381</v>
      </c>
      <c r="AK381" s="676">
        <v>0.9724</v>
      </c>
      <c r="AL381" s="662">
        <v>60000.0</v>
      </c>
      <c r="AM381" s="677">
        <v>-0.9448969783331236</v>
      </c>
      <c r="AN381" s="678">
        <v>-0.027599999999999958</v>
      </c>
      <c r="AO381" s="662">
        <v>60000.0</v>
      </c>
      <c r="AP381" s="679">
        <v>-0.940998279780886</v>
      </c>
      <c r="AQ381" s="662">
        <v>60000.0</v>
      </c>
      <c r="AR381" s="680">
        <v>-0.9370224495730706</v>
      </c>
      <c r="AS381" s="624"/>
      <c r="AT381" s="624"/>
      <c r="AU381" s="624"/>
      <c r="AV381" s="624"/>
      <c r="AW381" s="624"/>
      <c r="AX381" s="624"/>
      <c r="AY381" s="624"/>
      <c r="AZ381" s="624"/>
      <c r="BA381" s="624"/>
      <c r="BB381" s="624"/>
      <c r="BC381" s="624"/>
      <c r="BD381" s="624"/>
      <c r="BE381" s="624"/>
    </row>
    <row r="382" ht="16.5" customHeight="1">
      <c r="A382" s="711"/>
      <c r="B382" s="711"/>
      <c r="C382" s="711"/>
      <c r="D382" s="711"/>
      <c r="E382" s="711"/>
      <c r="F382" s="711"/>
      <c r="G382" s="711"/>
      <c r="H382" s="711"/>
      <c r="I382" s="711"/>
      <c r="J382" s="711"/>
      <c r="K382" s="741"/>
      <c r="L382" s="741"/>
      <c r="M382" s="788"/>
      <c r="N382" s="741"/>
      <c r="O382" s="741"/>
      <c r="P382" s="741"/>
      <c r="Q382" s="741"/>
      <c r="R382" s="788"/>
      <c r="S382" s="819"/>
      <c r="T382" s="820"/>
      <c r="U382" s="819"/>
      <c r="V382" s="820"/>
      <c r="W382" s="788"/>
      <c r="X382" s="803"/>
      <c r="Y382" s="803"/>
      <c r="Z382" s="803"/>
      <c r="AA382" s="711"/>
      <c r="AB382" s="711"/>
      <c r="AC382" s="711"/>
      <c r="AD382" s="736"/>
      <c r="AE382" s="736"/>
      <c r="AF382" s="799">
        <f t="shared" si="8"/>
        <v>267800</v>
      </c>
      <c r="AG382" s="658">
        <v>0.9183767562838043</v>
      </c>
      <c r="AH382" s="659">
        <f t="shared" si="3"/>
        <v>0.9183767563</v>
      </c>
      <c r="AI382" s="641"/>
      <c r="AJ382" s="660">
        <f t="shared" si="6"/>
        <v>382</v>
      </c>
      <c r="AK382" s="676">
        <v>0.9624</v>
      </c>
      <c r="AL382" s="662">
        <v>60000.0</v>
      </c>
      <c r="AM382" s="677">
        <v>-0.9448969783331236</v>
      </c>
      <c r="AN382" s="678">
        <v>-0.03759999999999997</v>
      </c>
      <c r="AO382" s="662">
        <v>60000.0</v>
      </c>
      <c r="AP382" s="679">
        <v>-0.940998279780886</v>
      </c>
      <c r="AQ382" s="662">
        <v>60000.0</v>
      </c>
      <c r="AR382" s="680">
        <v>-0.9370224495730706</v>
      </c>
      <c r="AS382" s="624"/>
      <c r="AT382" s="624"/>
      <c r="AU382" s="624"/>
      <c r="AV382" s="624"/>
      <c r="AW382" s="624"/>
      <c r="AX382" s="624"/>
      <c r="AY382" s="624"/>
      <c r="AZ382" s="624"/>
      <c r="BA382" s="624"/>
      <c r="BB382" s="624"/>
      <c r="BC382" s="624"/>
      <c r="BD382" s="624"/>
      <c r="BE382" s="624"/>
    </row>
    <row r="383" ht="16.5" customHeight="1">
      <c r="A383" s="711"/>
      <c r="B383" s="711"/>
      <c r="C383" s="711"/>
      <c r="D383" s="711"/>
      <c r="E383" s="711"/>
      <c r="F383" s="711"/>
      <c r="G383" s="711"/>
      <c r="H383" s="711"/>
      <c r="I383" s="711"/>
      <c r="J383" s="711"/>
      <c r="K383" s="741"/>
      <c r="L383" s="741"/>
      <c r="M383" s="788"/>
      <c r="N383" s="741"/>
      <c r="O383" s="741"/>
      <c r="P383" s="741"/>
      <c r="Q383" s="741"/>
      <c r="R383" s="788"/>
      <c r="S383" s="819"/>
      <c r="T383" s="820"/>
      <c r="U383" s="819"/>
      <c r="V383" s="820"/>
      <c r="W383" s="788"/>
      <c r="X383" s="803"/>
      <c r="Y383" s="803"/>
      <c r="Z383" s="803"/>
      <c r="AA383" s="711"/>
      <c r="AB383" s="711"/>
      <c r="AC383" s="711"/>
      <c r="AD383" s="736"/>
      <c r="AE383" s="736"/>
      <c r="AF383" s="799">
        <f t="shared" si="8"/>
        <v>268550</v>
      </c>
      <c r="AG383" s="658">
        <v>0.9182595147072057</v>
      </c>
      <c r="AH383" s="659">
        <f t="shared" si="3"/>
        <v>0.9182595147</v>
      </c>
      <c r="AI383" s="641"/>
      <c r="AJ383" s="660">
        <f t="shared" si="6"/>
        <v>383</v>
      </c>
      <c r="AK383" s="676">
        <v>0.9619</v>
      </c>
      <c r="AL383" s="662">
        <v>60000.0</v>
      </c>
      <c r="AM383" s="677">
        <v>-0.9448969783331236</v>
      </c>
      <c r="AN383" s="678">
        <v>-0.03810000000000002</v>
      </c>
      <c r="AO383" s="662">
        <v>60000.0</v>
      </c>
      <c r="AP383" s="679">
        <v>-0.940998279780886</v>
      </c>
      <c r="AQ383" s="662">
        <v>60000.0</v>
      </c>
      <c r="AR383" s="680">
        <v>-0.9370224495730706</v>
      </c>
      <c r="AS383" s="624"/>
      <c r="AT383" s="624"/>
      <c r="AU383" s="624"/>
      <c r="AV383" s="624"/>
      <c r="AW383" s="624"/>
      <c r="AX383" s="624"/>
      <c r="AY383" s="624"/>
      <c r="AZ383" s="624"/>
      <c r="BA383" s="624"/>
      <c r="BB383" s="624"/>
      <c r="BC383" s="624"/>
      <c r="BD383" s="624"/>
      <c r="BE383" s="624"/>
    </row>
    <row r="384" ht="16.5" customHeight="1">
      <c r="A384" s="711"/>
      <c r="B384" s="711"/>
      <c r="C384" s="711"/>
      <c r="D384" s="711"/>
      <c r="E384" s="711"/>
      <c r="F384" s="711"/>
      <c r="G384" s="711"/>
      <c r="H384" s="711"/>
      <c r="I384" s="711"/>
      <c r="J384" s="711"/>
      <c r="K384" s="741"/>
      <c r="L384" s="741"/>
      <c r="M384" s="788"/>
      <c r="N384" s="741"/>
      <c r="O384" s="741"/>
      <c r="P384" s="741"/>
      <c r="Q384" s="741"/>
      <c r="R384" s="788"/>
      <c r="S384" s="819"/>
      <c r="T384" s="820"/>
      <c r="U384" s="819"/>
      <c r="V384" s="820"/>
      <c r="W384" s="788"/>
      <c r="X384" s="803"/>
      <c r="Y384" s="803"/>
      <c r="Z384" s="803"/>
      <c r="AA384" s="711"/>
      <c r="AB384" s="711"/>
      <c r="AC384" s="711"/>
      <c r="AD384" s="736"/>
      <c r="AE384" s="736"/>
      <c r="AF384" s="799">
        <f t="shared" si="8"/>
        <v>269300</v>
      </c>
      <c r="AG384" s="658">
        <v>0.9181422732874838</v>
      </c>
      <c r="AH384" s="659">
        <f t="shared" si="3"/>
        <v>0.9181422733</v>
      </c>
      <c r="AI384" s="641"/>
      <c r="AJ384" s="660">
        <f t="shared" si="6"/>
        <v>384</v>
      </c>
      <c r="AK384" s="676">
        <v>0.9644</v>
      </c>
      <c r="AL384" s="662">
        <v>59750.0</v>
      </c>
      <c r="AM384" s="677">
        <v>-0.9442274479828736</v>
      </c>
      <c r="AN384" s="678">
        <v>-0.035599999999999965</v>
      </c>
      <c r="AO384" s="662">
        <v>59750.0</v>
      </c>
      <c r="AP384" s="679">
        <v>-0.9402983861577286</v>
      </c>
      <c r="AQ384" s="662">
        <v>59750.0</v>
      </c>
      <c r="AR384" s="680">
        <v>-0.9362927062378441</v>
      </c>
      <c r="AS384" s="624"/>
      <c r="AT384" s="624"/>
      <c r="AU384" s="624"/>
      <c r="AV384" s="624"/>
      <c r="AW384" s="624"/>
      <c r="AX384" s="624"/>
      <c r="AY384" s="624"/>
      <c r="AZ384" s="624"/>
      <c r="BA384" s="624"/>
      <c r="BB384" s="624"/>
      <c r="BC384" s="624"/>
      <c r="BD384" s="624"/>
      <c r="BE384" s="624"/>
    </row>
    <row r="385" ht="16.5" customHeight="1">
      <c r="A385" s="711"/>
      <c r="B385" s="711"/>
      <c r="C385" s="711"/>
      <c r="D385" s="711"/>
      <c r="E385" s="711"/>
      <c r="F385" s="711"/>
      <c r="G385" s="711"/>
      <c r="H385" s="711"/>
      <c r="I385" s="711"/>
      <c r="J385" s="711"/>
      <c r="K385" s="741"/>
      <c r="L385" s="741"/>
      <c r="M385" s="788"/>
      <c r="N385" s="741"/>
      <c r="O385" s="741"/>
      <c r="P385" s="741"/>
      <c r="Q385" s="741"/>
      <c r="R385" s="788"/>
      <c r="S385" s="819"/>
      <c r="T385" s="820"/>
      <c r="U385" s="819"/>
      <c r="V385" s="820"/>
      <c r="W385" s="788"/>
      <c r="X385" s="803"/>
      <c r="Y385" s="803"/>
      <c r="Z385" s="803"/>
      <c r="AA385" s="711"/>
      <c r="AB385" s="711"/>
      <c r="AC385" s="711"/>
      <c r="AD385" s="736"/>
      <c r="AE385" s="736"/>
      <c r="AF385" s="799">
        <f t="shared" si="8"/>
        <v>270050</v>
      </c>
      <c r="AG385" s="658">
        <v>0.9180250320191857</v>
      </c>
      <c r="AH385" s="659">
        <f t="shared" si="3"/>
        <v>0.918025032</v>
      </c>
      <c r="AI385" s="641"/>
      <c r="AJ385" s="660">
        <f t="shared" si="6"/>
        <v>385</v>
      </c>
      <c r="AK385" s="676">
        <v>0.9468</v>
      </c>
      <c r="AL385" s="662">
        <v>59500.0</v>
      </c>
      <c r="AM385" s="677">
        <v>-0.9435497824909137</v>
      </c>
      <c r="AN385" s="678">
        <v>-0.053200000000000025</v>
      </c>
      <c r="AO385" s="662">
        <v>59500.0</v>
      </c>
      <c r="AP385" s="679">
        <v>-0.9395901902158945</v>
      </c>
      <c r="AQ385" s="662">
        <v>59500.0</v>
      </c>
      <c r="AR385" s="680">
        <v>-0.9355545071063586</v>
      </c>
      <c r="AS385" s="624"/>
      <c r="AT385" s="624"/>
      <c r="AU385" s="624"/>
      <c r="AV385" s="624"/>
      <c r="AW385" s="624"/>
      <c r="AX385" s="624"/>
      <c r="AY385" s="624"/>
      <c r="AZ385" s="624"/>
      <c r="BA385" s="624"/>
      <c r="BB385" s="624"/>
      <c r="BC385" s="624"/>
      <c r="BD385" s="624"/>
      <c r="BE385" s="624"/>
    </row>
    <row r="386" ht="16.5" customHeight="1">
      <c r="A386" s="711"/>
      <c r="B386" s="711"/>
      <c r="C386" s="711"/>
      <c r="D386" s="711"/>
      <c r="E386" s="711"/>
      <c r="F386" s="711"/>
      <c r="G386" s="711"/>
      <c r="H386" s="711"/>
      <c r="I386" s="711"/>
      <c r="J386" s="711"/>
      <c r="K386" s="741"/>
      <c r="L386" s="741"/>
      <c r="M386" s="788"/>
      <c r="N386" s="741"/>
      <c r="O386" s="741"/>
      <c r="P386" s="741"/>
      <c r="Q386" s="741"/>
      <c r="R386" s="788"/>
      <c r="S386" s="819"/>
      <c r="T386" s="820"/>
      <c r="U386" s="819"/>
      <c r="V386" s="820"/>
      <c r="W386" s="788"/>
      <c r="X386" s="803"/>
      <c r="Y386" s="803"/>
      <c r="Z386" s="803"/>
      <c r="AA386" s="711"/>
      <c r="AB386" s="711"/>
      <c r="AC386" s="711"/>
      <c r="AD386" s="736"/>
      <c r="AE386" s="736"/>
      <c r="AF386" s="799">
        <f t="shared" si="8"/>
        <v>270800</v>
      </c>
      <c r="AG386" s="658">
        <v>0.9179077908970483</v>
      </c>
      <c r="AH386" s="659">
        <f t="shared" si="3"/>
        <v>0.9179077909</v>
      </c>
      <c r="AI386" s="641"/>
      <c r="AJ386" s="660">
        <f t="shared" si="6"/>
        <v>386</v>
      </c>
      <c r="AK386" s="676">
        <v>0.9637</v>
      </c>
      <c r="AL386" s="662">
        <v>59493.0</v>
      </c>
      <c r="AM386" s="677">
        <v>-0.9435306898173313</v>
      </c>
      <c r="AN386" s="678">
        <v>-0.0363</v>
      </c>
      <c r="AO386" s="662">
        <v>59493.0</v>
      </c>
      <c r="AP386" s="679">
        <v>-0.9395702402871494</v>
      </c>
      <c r="AQ386" s="662">
        <v>59493.0</v>
      </c>
      <c r="AR386" s="680">
        <v>-0.9355337148842793</v>
      </c>
      <c r="AS386" s="624"/>
      <c r="AT386" s="624"/>
      <c r="AU386" s="624"/>
      <c r="AV386" s="624"/>
      <c r="AW386" s="624"/>
      <c r="AX386" s="624"/>
      <c r="AY386" s="624"/>
      <c r="AZ386" s="624"/>
      <c r="BA386" s="624"/>
      <c r="BB386" s="624"/>
      <c r="BC386" s="624"/>
      <c r="BD386" s="624"/>
      <c r="BE386" s="624"/>
    </row>
    <row r="387" ht="16.5" customHeight="1">
      <c r="A387" s="711"/>
      <c r="B387" s="711"/>
      <c r="C387" s="711"/>
      <c r="D387" s="711"/>
      <c r="E387" s="711"/>
      <c r="F387" s="711"/>
      <c r="G387" s="711"/>
      <c r="H387" s="711"/>
      <c r="I387" s="711"/>
      <c r="J387" s="711"/>
      <c r="K387" s="741"/>
      <c r="L387" s="741"/>
      <c r="M387" s="788"/>
      <c r="N387" s="741"/>
      <c r="O387" s="741"/>
      <c r="P387" s="741"/>
      <c r="Q387" s="741"/>
      <c r="R387" s="788"/>
      <c r="S387" s="819"/>
      <c r="T387" s="820"/>
      <c r="U387" s="819"/>
      <c r="V387" s="820"/>
      <c r="W387" s="788"/>
      <c r="X387" s="803"/>
      <c r="Y387" s="803"/>
      <c r="Z387" s="803"/>
      <c r="AA387" s="711"/>
      <c r="AB387" s="711"/>
      <c r="AC387" s="711"/>
      <c r="AD387" s="736"/>
      <c r="AE387" s="736"/>
      <c r="AF387" s="624"/>
      <c r="AG387" s="624"/>
      <c r="AH387" s="624"/>
      <c r="AI387" s="624"/>
      <c r="AJ387" s="660">
        <f t="shared" si="6"/>
        <v>387</v>
      </c>
      <c r="AK387" s="676">
        <v>0.9682</v>
      </c>
      <c r="AL387" s="662">
        <v>59365.0</v>
      </c>
      <c r="AM387" s="677">
        <v>-0.9431804257835731</v>
      </c>
      <c r="AN387" s="678">
        <v>-0.03180000000000005</v>
      </c>
      <c r="AO387" s="662">
        <v>59365.0</v>
      </c>
      <c r="AP387" s="679">
        <v>-0.9392042776795441</v>
      </c>
      <c r="AQ387" s="662">
        <v>59365.0</v>
      </c>
      <c r="AR387" s="680">
        <v>-0.935152329207695</v>
      </c>
      <c r="AS387" s="624"/>
      <c r="AT387" s="624"/>
      <c r="AU387" s="624"/>
      <c r="AV387" s="624"/>
      <c r="AW387" s="624"/>
      <c r="AX387" s="624"/>
      <c r="AY387" s="624"/>
      <c r="AZ387" s="624"/>
      <c r="BA387" s="624"/>
      <c r="BB387" s="624"/>
      <c r="BC387" s="624"/>
      <c r="BD387" s="624"/>
      <c r="BE387" s="624"/>
    </row>
    <row r="388" ht="16.5" customHeight="1">
      <c r="A388" s="711"/>
      <c r="B388" s="711"/>
      <c r="C388" s="711"/>
      <c r="D388" s="711"/>
      <c r="E388" s="711"/>
      <c r="F388" s="711"/>
      <c r="G388" s="711"/>
      <c r="H388" s="711"/>
      <c r="I388" s="711"/>
      <c r="J388" s="711"/>
      <c r="K388" s="741"/>
      <c r="L388" s="741"/>
      <c r="M388" s="788"/>
      <c r="N388" s="741"/>
      <c r="O388" s="741"/>
      <c r="P388" s="741"/>
      <c r="Q388" s="741"/>
      <c r="R388" s="788"/>
      <c r="S388" s="819"/>
      <c r="T388" s="820"/>
      <c r="U388" s="819"/>
      <c r="V388" s="820"/>
      <c r="W388" s="788"/>
      <c r="X388" s="803"/>
      <c r="Y388" s="803"/>
      <c r="Z388" s="803"/>
      <c r="AA388" s="711"/>
      <c r="AB388" s="711"/>
      <c r="AC388" s="711"/>
      <c r="AD388" s="736"/>
      <c r="AE388" s="736"/>
      <c r="AF388" s="624"/>
      <c r="AG388" s="624"/>
      <c r="AH388" s="624"/>
      <c r="AI388" s="624"/>
      <c r="AJ388" s="660">
        <f t="shared" si="6"/>
        <v>388</v>
      </c>
      <c r="AK388" s="676">
        <v>0.8476</v>
      </c>
      <c r="AL388" s="662">
        <v>59224.0</v>
      </c>
      <c r="AM388" s="677">
        <v>-0.9427920727511571</v>
      </c>
      <c r="AN388" s="678">
        <v>-0.15239999999999998</v>
      </c>
      <c r="AO388" s="662">
        <v>59224.0</v>
      </c>
      <c r="AP388" s="679">
        <v>-0.9387985811347798</v>
      </c>
      <c r="AQ388" s="662">
        <v>59224.0</v>
      </c>
      <c r="AR388" s="680">
        <v>-0.9347295968603453</v>
      </c>
      <c r="AS388" s="624"/>
      <c r="AT388" s="624"/>
      <c r="AU388" s="624"/>
      <c r="AV388" s="624"/>
      <c r="AW388" s="624"/>
      <c r="AX388" s="624"/>
      <c r="AY388" s="624"/>
      <c r="AZ388" s="624"/>
      <c r="BA388" s="624"/>
      <c r="BB388" s="624"/>
      <c r="BC388" s="624"/>
      <c r="BD388" s="624"/>
      <c r="BE388" s="624"/>
    </row>
    <row r="389" ht="16.5" customHeight="1">
      <c r="A389" s="711"/>
      <c r="B389" s="711"/>
      <c r="C389" s="711"/>
      <c r="D389" s="711"/>
      <c r="E389" s="711"/>
      <c r="F389" s="711"/>
      <c r="G389" s="711"/>
      <c r="H389" s="711"/>
      <c r="I389" s="711"/>
      <c r="J389" s="711"/>
      <c r="K389" s="741"/>
      <c r="L389" s="741"/>
      <c r="M389" s="788"/>
      <c r="N389" s="741"/>
      <c r="O389" s="741"/>
      <c r="P389" s="741"/>
      <c r="Q389" s="741"/>
      <c r="R389" s="788"/>
      <c r="S389" s="819"/>
      <c r="T389" s="820"/>
      <c r="U389" s="819"/>
      <c r="V389" s="820"/>
      <c r="W389" s="788"/>
      <c r="X389" s="803"/>
      <c r="Y389" s="803"/>
      <c r="Z389" s="803"/>
      <c r="AA389" s="711"/>
      <c r="AB389" s="711"/>
      <c r="AC389" s="711"/>
      <c r="AD389" s="736"/>
      <c r="AE389" s="736"/>
      <c r="AF389" s="624"/>
      <c r="AG389" s="624"/>
      <c r="AH389" s="624"/>
      <c r="AI389" s="624"/>
      <c r="AJ389" s="660">
        <f t="shared" si="6"/>
        <v>389</v>
      </c>
      <c r="AK389" s="676">
        <v>0.9405</v>
      </c>
      <c r="AL389" s="662">
        <v>59177.0</v>
      </c>
      <c r="AM389" s="677">
        <v>-0.942662032781904</v>
      </c>
      <c r="AN389" s="678">
        <v>-0.0595</v>
      </c>
      <c r="AO389" s="662">
        <v>59177.0</v>
      </c>
      <c r="AP389" s="679">
        <v>-0.9386627482300408</v>
      </c>
      <c r="AQ389" s="662">
        <v>59177.0</v>
      </c>
      <c r="AR389" s="680">
        <v>-0.934588074578288</v>
      </c>
      <c r="AS389" s="624"/>
      <c r="AT389" s="624"/>
      <c r="AU389" s="624"/>
      <c r="AV389" s="624"/>
      <c r="AW389" s="624"/>
      <c r="AX389" s="624"/>
      <c r="AY389" s="624"/>
      <c r="AZ389" s="624"/>
      <c r="BA389" s="624"/>
      <c r="BB389" s="624"/>
      <c r="BC389" s="624"/>
      <c r="BD389" s="624"/>
      <c r="BE389" s="624"/>
    </row>
    <row r="390" ht="16.5" customHeight="1">
      <c r="A390" s="711"/>
      <c r="B390" s="711"/>
      <c r="C390" s="711"/>
      <c r="D390" s="711"/>
      <c r="E390" s="711"/>
      <c r="F390" s="711"/>
      <c r="G390" s="711"/>
      <c r="H390" s="711"/>
      <c r="I390" s="711"/>
      <c r="J390" s="711"/>
      <c r="K390" s="741"/>
      <c r="L390" s="741"/>
      <c r="M390" s="788"/>
      <c r="N390" s="741"/>
      <c r="O390" s="741"/>
      <c r="P390" s="741"/>
      <c r="Q390" s="741"/>
      <c r="R390" s="788"/>
      <c r="S390" s="819"/>
      <c r="T390" s="820"/>
      <c r="U390" s="819"/>
      <c r="V390" s="820"/>
      <c r="W390" s="788"/>
      <c r="X390" s="803"/>
      <c r="Y390" s="803"/>
      <c r="Z390" s="803"/>
      <c r="AA390" s="711"/>
      <c r="AB390" s="711"/>
      <c r="AC390" s="711"/>
      <c r="AD390" s="736"/>
      <c r="AE390" s="736"/>
      <c r="AF390" s="624"/>
      <c r="AG390" s="624"/>
      <c r="AH390" s="624"/>
      <c r="AI390" s="624"/>
      <c r="AJ390" s="660">
        <f t="shared" si="6"/>
        <v>390</v>
      </c>
      <c r="AK390" s="676">
        <v>0.9323</v>
      </c>
      <c r="AL390" s="662">
        <v>59000.0</v>
      </c>
      <c r="AM390" s="677">
        <v>-0.9421696494960331</v>
      </c>
      <c r="AN390" s="678">
        <v>-0.06769999999999998</v>
      </c>
      <c r="AO390" s="662">
        <v>59000.0</v>
      </c>
      <c r="AP390" s="679">
        <v>-0.9381484962709685</v>
      </c>
      <c r="AQ390" s="662">
        <v>59000.0</v>
      </c>
      <c r="AR390" s="680">
        <v>-0.9340523483979706</v>
      </c>
      <c r="AS390" s="624"/>
      <c r="AT390" s="624"/>
      <c r="AU390" s="624"/>
      <c r="AV390" s="624"/>
      <c r="AW390" s="624"/>
      <c r="AX390" s="624"/>
      <c r="AY390" s="624"/>
      <c r="AZ390" s="624"/>
      <c r="BA390" s="624"/>
      <c r="BB390" s="624"/>
      <c r="BC390" s="624"/>
      <c r="BD390" s="624"/>
      <c r="BE390" s="624"/>
    </row>
    <row r="391" ht="16.5" customHeight="1">
      <c r="A391" s="711"/>
      <c r="B391" s="711"/>
      <c r="C391" s="711"/>
      <c r="D391" s="711"/>
      <c r="E391" s="711"/>
      <c r="F391" s="711"/>
      <c r="G391" s="711"/>
      <c r="H391" s="711"/>
      <c r="I391" s="711"/>
      <c r="J391" s="711"/>
      <c r="K391" s="741"/>
      <c r="L391" s="741"/>
      <c r="M391" s="788"/>
      <c r="N391" s="741"/>
      <c r="O391" s="741"/>
      <c r="P391" s="741"/>
      <c r="Q391" s="741"/>
      <c r="R391" s="788"/>
      <c r="S391" s="819"/>
      <c r="T391" s="820"/>
      <c r="U391" s="819"/>
      <c r="V391" s="820"/>
      <c r="W391" s="788"/>
      <c r="X391" s="803"/>
      <c r="Y391" s="803"/>
      <c r="Z391" s="803"/>
      <c r="AA391" s="711"/>
      <c r="AB391" s="711"/>
      <c r="AC391" s="711"/>
      <c r="AD391" s="736"/>
      <c r="AE391" s="736"/>
      <c r="AF391" s="624"/>
      <c r="AG391" s="624"/>
      <c r="AH391" s="624"/>
      <c r="AI391" s="624"/>
      <c r="AJ391" s="660">
        <f t="shared" si="6"/>
        <v>391</v>
      </c>
      <c r="AK391" s="676">
        <v>0.9442</v>
      </c>
      <c r="AL391" s="662">
        <v>58369.0</v>
      </c>
      <c r="AM391" s="677">
        <v>-0.940379657981381</v>
      </c>
      <c r="AN391" s="678">
        <v>-0.05579999999999996</v>
      </c>
      <c r="AO391" s="662">
        <v>58369.0</v>
      </c>
      <c r="AP391" s="679">
        <v>-0.9362798676560251</v>
      </c>
      <c r="AQ391" s="662">
        <v>58369.0</v>
      </c>
      <c r="AR391" s="680">
        <v>-0.9321065468593789</v>
      </c>
      <c r="AS391" s="624"/>
      <c r="AT391" s="624"/>
      <c r="AU391" s="624"/>
      <c r="AV391" s="624"/>
      <c r="AW391" s="624"/>
      <c r="AX391" s="624"/>
      <c r="AY391" s="624"/>
      <c r="AZ391" s="624"/>
      <c r="BA391" s="624"/>
      <c r="BB391" s="624"/>
      <c r="BC391" s="624"/>
      <c r="BD391" s="624"/>
      <c r="BE391" s="624"/>
    </row>
    <row r="392" ht="16.5" customHeight="1">
      <c r="A392" s="711"/>
      <c r="B392" s="711"/>
      <c r="C392" s="711"/>
      <c r="D392" s="711"/>
      <c r="E392" s="711"/>
      <c r="F392" s="711"/>
      <c r="G392" s="711"/>
      <c r="H392" s="711"/>
      <c r="I392" s="711"/>
      <c r="J392" s="711"/>
      <c r="K392" s="741"/>
      <c r="L392" s="741"/>
      <c r="M392" s="788"/>
      <c r="N392" s="741"/>
      <c r="O392" s="741"/>
      <c r="P392" s="741"/>
      <c r="Q392" s="741"/>
      <c r="R392" s="788"/>
      <c r="S392" s="819"/>
      <c r="T392" s="820"/>
      <c r="U392" s="819"/>
      <c r="V392" s="820"/>
      <c r="W392" s="788"/>
      <c r="X392" s="803"/>
      <c r="Y392" s="803"/>
      <c r="Z392" s="803"/>
      <c r="AA392" s="711"/>
      <c r="AB392" s="711"/>
      <c r="AC392" s="711"/>
      <c r="AD392" s="736"/>
      <c r="AE392" s="736"/>
      <c r="AF392" s="624"/>
      <c r="AG392" s="624"/>
      <c r="AH392" s="624"/>
      <c r="AI392" s="624"/>
      <c r="AJ392" s="660">
        <f t="shared" si="6"/>
        <v>392</v>
      </c>
      <c r="AK392" s="676">
        <v>0.9738</v>
      </c>
      <c r="AL392" s="662">
        <v>58335.0</v>
      </c>
      <c r="AM392" s="677">
        <v>-0.9402816503822644</v>
      </c>
      <c r="AN392" s="678">
        <v>-0.0262</v>
      </c>
      <c r="AO392" s="662">
        <v>58335.0</v>
      </c>
      <c r="AP392" s="679">
        <v>-0.936177593000171</v>
      </c>
      <c r="AQ392" s="662">
        <v>58335.0</v>
      </c>
      <c r="AR392" s="680">
        <v>-0.9320000866401209</v>
      </c>
      <c r="AS392" s="624"/>
      <c r="AT392" s="624"/>
      <c r="AU392" s="624"/>
      <c r="AV392" s="624"/>
      <c r="AW392" s="624"/>
      <c r="AX392" s="624"/>
      <c r="AY392" s="624"/>
      <c r="AZ392" s="624"/>
      <c r="BA392" s="624"/>
      <c r="BB392" s="624"/>
      <c r="BC392" s="624"/>
      <c r="BD392" s="624"/>
      <c r="BE392" s="624"/>
    </row>
    <row r="393" ht="16.5" customHeight="1">
      <c r="A393" s="711"/>
      <c r="B393" s="711"/>
      <c r="C393" s="711"/>
      <c r="D393" s="711"/>
      <c r="E393" s="711"/>
      <c r="F393" s="711"/>
      <c r="G393" s="711"/>
      <c r="H393" s="711"/>
      <c r="I393" s="711"/>
      <c r="J393" s="711"/>
      <c r="K393" s="741"/>
      <c r="L393" s="741"/>
      <c r="M393" s="788"/>
      <c r="N393" s="741"/>
      <c r="O393" s="741"/>
      <c r="P393" s="741"/>
      <c r="Q393" s="741"/>
      <c r="R393" s="788"/>
      <c r="S393" s="819"/>
      <c r="T393" s="820"/>
      <c r="U393" s="819"/>
      <c r="V393" s="820"/>
      <c r="W393" s="788"/>
      <c r="X393" s="803"/>
      <c r="Y393" s="803"/>
      <c r="Z393" s="803"/>
      <c r="AA393" s="711"/>
      <c r="AB393" s="711"/>
      <c r="AC393" s="711"/>
      <c r="AD393" s="736"/>
      <c r="AE393" s="736"/>
      <c r="AF393" s="624"/>
      <c r="AG393" s="624"/>
      <c r="AH393" s="624"/>
      <c r="AI393" s="624"/>
      <c r="AJ393" s="660">
        <f t="shared" si="6"/>
        <v>393</v>
      </c>
      <c r="AK393" s="676">
        <v>0.8667</v>
      </c>
      <c r="AL393" s="662">
        <v>58258.0</v>
      </c>
      <c r="AM393" s="677">
        <v>-0.9400590959884174</v>
      </c>
      <c r="AN393" s="678">
        <v>-0.13329999999999997</v>
      </c>
      <c r="AO393" s="662">
        <v>58258.0</v>
      </c>
      <c r="AP393" s="679">
        <v>-0.9359453637193216</v>
      </c>
      <c r="AQ393" s="662">
        <v>58258.0</v>
      </c>
      <c r="AR393" s="680">
        <v>-0.9317583680229862</v>
      </c>
      <c r="AS393" s="624"/>
      <c r="AT393" s="624"/>
      <c r="AU393" s="624"/>
      <c r="AV393" s="624"/>
      <c r="AW393" s="624"/>
      <c r="AX393" s="624"/>
      <c r="AY393" s="624"/>
      <c r="AZ393" s="624"/>
      <c r="BA393" s="624"/>
      <c r="BB393" s="624"/>
      <c r="BC393" s="624"/>
      <c r="BD393" s="624"/>
      <c r="BE393" s="624"/>
    </row>
    <row r="394" ht="16.5" customHeight="1">
      <c r="A394" s="711"/>
      <c r="B394" s="711"/>
      <c r="C394" s="711"/>
      <c r="D394" s="711"/>
      <c r="E394" s="711"/>
      <c r="F394" s="711"/>
      <c r="G394" s="711"/>
      <c r="H394" s="711"/>
      <c r="I394" s="711"/>
      <c r="J394" s="711"/>
      <c r="K394" s="741"/>
      <c r="L394" s="741"/>
      <c r="M394" s="788"/>
      <c r="N394" s="741"/>
      <c r="O394" s="741"/>
      <c r="P394" s="741"/>
      <c r="Q394" s="741"/>
      <c r="R394" s="788"/>
      <c r="S394" s="819"/>
      <c r="T394" s="820"/>
      <c r="U394" s="819"/>
      <c r="V394" s="820"/>
      <c r="W394" s="788"/>
      <c r="X394" s="803"/>
      <c r="Y394" s="803"/>
      <c r="Z394" s="803"/>
      <c r="AA394" s="711"/>
      <c r="AB394" s="711"/>
      <c r="AC394" s="711"/>
      <c r="AD394" s="736"/>
      <c r="AE394" s="736"/>
      <c r="AF394" s="624"/>
      <c r="AG394" s="624"/>
      <c r="AH394" s="624"/>
      <c r="AI394" s="624"/>
      <c r="AJ394" s="660">
        <f t="shared" si="6"/>
        <v>394</v>
      </c>
      <c r="AK394" s="676">
        <v>0.9644</v>
      </c>
      <c r="AL394" s="662">
        <v>58191.0</v>
      </c>
      <c r="AM394" s="677">
        <v>-0.9398647700475476</v>
      </c>
      <c r="AN394" s="678">
        <v>-0.035599999999999965</v>
      </c>
      <c r="AO394" s="662">
        <v>58191.0</v>
      </c>
      <c r="AP394" s="679">
        <v>-0.9357426066714833</v>
      </c>
      <c r="AQ394" s="662">
        <v>58191.0</v>
      </c>
      <c r="AR394" s="680">
        <v>-0.9315473424441146</v>
      </c>
      <c r="AS394" s="624"/>
      <c r="AT394" s="624"/>
      <c r="AU394" s="624"/>
      <c r="AV394" s="624"/>
      <c r="AW394" s="624"/>
      <c r="AX394" s="624"/>
      <c r="AY394" s="624"/>
      <c r="AZ394" s="624"/>
      <c r="BA394" s="624"/>
      <c r="BB394" s="624"/>
      <c r="BC394" s="624"/>
      <c r="BD394" s="624"/>
      <c r="BE394" s="624"/>
    </row>
    <row r="395" ht="16.5" customHeight="1">
      <c r="A395" s="711"/>
      <c r="B395" s="711"/>
      <c r="C395" s="711"/>
      <c r="D395" s="711"/>
      <c r="E395" s="711"/>
      <c r="F395" s="711"/>
      <c r="G395" s="711"/>
      <c r="H395" s="711"/>
      <c r="I395" s="711"/>
      <c r="J395" s="711"/>
      <c r="K395" s="741"/>
      <c r="L395" s="741"/>
      <c r="M395" s="788"/>
      <c r="N395" s="741"/>
      <c r="O395" s="741"/>
      <c r="P395" s="741"/>
      <c r="Q395" s="741"/>
      <c r="R395" s="788"/>
      <c r="S395" s="819"/>
      <c r="T395" s="820"/>
      <c r="U395" s="819"/>
      <c r="V395" s="820"/>
      <c r="W395" s="788"/>
      <c r="X395" s="803"/>
      <c r="Y395" s="803"/>
      <c r="Z395" s="803"/>
      <c r="AA395" s="711"/>
      <c r="AB395" s="711"/>
      <c r="AC395" s="711"/>
      <c r="AD395" s="736"/>
      <c r="AE395" s="736"/>
      <c r="AF395" s="624"/>
      <c r="AG395" s="624"/>
      <c r="AH395" s="624"/>
      <c r="AI395" s="624"/>
      <c r="AJ395" s="660">
        <f t="shared" si="6"/>
        <v>395</v>
      </c>
      <c r="AK395" s="676">
        <v>0.9593</v>
      </c>
      <c r="AL395" s="662">
        <v>58163.0</v>
      </c>
      <c r="AM395" s="677">
        <v>-0.9397833726685589</v>
      </c>
      <c r="AN395" s="678">
        <v>-0.04069999999999996</v>
      </c>
      <c r="AO395" s="662">
        <v>58163.0</v>
      </c>
      <c r="AP395" s="679">
        <v>-0.9356576823463875</v>
      </c>
      <c r="AQ395" s="662">
        <v>58163.0</v>
      </c>
      <c r="AR395" s="680">
        <v>-0.9314589594253253</v>
      </c>
      <c r="AS395" s="624"/>
      <c r="AT395" s="624"/>
      <c r="AU395" s="624"/>
      <c r="AV395" s="624"/>
      <c r="AW395" s="624"/>
      <c r="AX395" s="624"/>
      <c r="AY395" s="624"/>
      <c r="AZ395" s="624"/>
      <c r="BA395" s="624"/>
      <c r="BB395" s="624"/>
      <c r="BC395" s="624"/>
      <c r="BD395" s="624"/>
      <c r="BE395" s="624"/>
    </row>
    <row r="396" ht="16.5" customHeight="1">
      <c r="A396" s="711"/>
      <c r="B396" s="711"/>
      <c r="C396" s="711"/>
      <c r="D396" s="711"/>
      <c r="E396" s="711"/>
      <c r="F396" s="711"/>
      <c r="G396" s="711"/>
      <c r="H396" s="711"/>
      <c r="I396" s="711"/>
      <c r="J396" s="711"/>
      <c r="K396" s="741"/>
      <c r="L396" s="741"/>
      <c r="M396" s="788"/>
      <c r="N396" s="741"/>
      <c r="O396" s="741"/>
      <c r="P396" s="741"/>
      <c r="Q396" s="741"/>
      <c r="R396" s="788"/>
      <c r="S396" s="819"/>
      <c r="T396" s="820"/>
      <c r="U396" s="819"/>
      <c r="V396" s="820"/>
      <c r="W396" s="788"/>
      <c r="X396" s="803"/>
      <c r="Y396" s="803"/>
      <c r="Z396" s="803"/>
      <c r="AA396" s="711"/>
      <c r="AB396" s="711"/>
      <c r="AC396" s="711"/>
      <c r="AD396" s="736"/>
      <c r="AE396" s="736"/>
      <c r="AF396" s="624"/>
      <c r="AG396" s="624"/>
      <c r="AH396" s="624"/>
      <c r="AI396" s="624"/>
      <c r="AJ396" s="660">
        <f t="shared" si="6"/>
        <v>396</v>
      </c>
      <c r="AK396" s="676">
        <v>0.939</v>
      </c>
      <c r="AL396" s="662">
        <v>58088.0</v>
      </c>
      <c r="AM396" s="677">
        <v>-0.9395648007580779</v>
      </c>
      <c r="AN396" s="678">
        <v>-0.061000000000000054</v>
      </c>
      <c r="AO396" s="662">
        <v>58088.0</v>
      </c>
      <c r="AP396" s="679">
        <v>-0.9354296531068316</v>
      </c>
      <c r="AQ396" s="662">
        <v>58088.0</v>
      </c>
      <c r="AR396" s="680">
        <v>-0.9312216565786071</v>
      </c>
      <c r="AS396" s="624"/>
      <c r="AT396" s="624"/>
      <c r="AU396" s="624"/>
      <c r="AV396" s="624"/>
      <c r="AW396" s="624"/>
      <c r="AX396" s="624"/>
      <c r="AY396" s="624"/>
      <c r="AZ396" s="624"/>
      <c r="BA396" s="624"/>
      <c r="BB396" s="624"/>
      <c r="BC396" s="624"/>
      <c r="BD396" s="624"/>
      <c r="BE396" s="624"/>
    </row>
    <row r="397" ht="16.5" customHeight="1">
      <c r="A397" s="711"/>
      <c r="B397" s="711"/>
      <c r="C397" s="711"/>
      <c r="D397" s="711"/>
      <c r="E397" s="711"/>
      <c r="F397" s="711"/>
      <c r="G397" s="711"/>
      <c r="H397" s="711"/>
      <c r="I397" s="711"/>
      <c r="J397" s="711"/>
      <c r="K397" s="741"/>
      <c r="L397" s="741"/>
      <c r="M397" s="788"/>
      <c r="N397" s="741"/>
      <c r="O397" s="741"/>
      <c r="P397" s="741"/>
      <c r="Q397" s="741"/>
      <c r="R397" s="788"/>
      <c r="S397" s="819"/>
      <c r="T397" s="820"/>
      <c r="U397" s="819"/>
      <c r="V397" s="820"/>
      <c r="W397" s="788"/>
      <c r="X397" s="803"/>
      <c r="Y397" s="803"/>
      <c r="Z397" s="803"/>
      <c r="AA397" s="711"/>
      <c r="AB397" s="711"/>
      <c r="AC397" s="711"/>
      <c r="AD397" s="736"/>
      <c r="AE397" s="736"/>
      <c r="AF397" s="624"/>
      <c r="AG397" s="624"/>
      <c r="AH397" s="624"/>
      <c r="AI397" s="624"/>
      <c r="AJ397" s="660">
        <f t="shared" si="6"/>
        <v>397</v>
      </c>
      <c r="AK397" s="676">
        <v>0.9441</v>
      </c>
      <c r="AL397" s="662">
        <v>58000.0</v>
      </c>
      <c r="AM397" s="677">
        <v>-0.9393073312815797</v>
      </c>
      <c r="AN397" s="678">
        <v>-0.05589999999999995</v>
      </c>
      <c r="AO397" s="662">
        <v>58000.0</v>
      </c>
      <c r="AP397" s="679">
        <v>-0.935161068197075</v>
      </c>
      <c r="AQ397" s="662">
        <v>58000.0</v>
      </c>
      <c r="AR397" s="680">
        <v>-0.9309421734834107</v>
      </c>
      <c r="AS397" s="624"/>
      <c r="AT397" s="624"/>
      <c r="AU397" s="624"/>
      <c r="AV397" s="624"/>
      <c r="AW397" s="624"/>
      <c r="AX397" s="624"/>
      <c r="AY397" s="624"/>
      <c r="AZ397" s="624"/>
      <c r="BA397" s="624"/>
      <c r="BB397" s="624"/>
      <c r="BC397" s="624"/>
      <c r="BD397" s="624"/>
      <c r="BE397" s="624"/>
    </row>
    <row r="398" ht="16.5" customHeight="1">
      <c r="A398" s="711"/>
      <c r="B398" s="711"/>
      <c r="C398" s="711"/>
      <c r="D398" s="711"/>
      <c r="E398" s="711"/>
      <c r="F398" s="711"/>
      <c r="G398" s="711"/>
      <c r="H398" s="711"/>
      <c r="I398" s="711"/>
      <c r="J398" s="711"/>
      <c r="K398" s="741"/>
      <c r="L398" s="741"/>
      <c r="M398" s="788"/>
      <c r="N398" s="741"/>
      <c r="O398" s="741"/>
      <c r="P398" s="741"/>
      <c r="Q398" s="741"/>
      <c r="R398" s="788"/>
      <c r="S398" s="819"/>
      <c r="T398" s="820"/>
      <c r="U398" s="819"/>
      <c r="V398" s="820"/>
      <c r="W398" s="788"/>
      <c r="X398" s="803"/>
      <c r="Y398" s="803"/>
      <c r="Z398" s="803"/>
      <c r="AA398" s="711"/>
      <c r="AB398" s="711"/>
      <c r="AC398" s="711"/>
      <c r="AD398" s="736"/>
      <c r="AE398" s="736"/>
      <c r="AF398" s="624"/>
      <c r="AG398" s="624"/>
      <c r="AH398" s="624"/>
      <c r="AI398" s="624"/>
      <c r="AJ398" s="660">
        <f t="shared" si="6"/>
        <v>398</v>
      </c>
      <c r="AK398" s="676">
        <v>0.9248</v>
      </c>
      <c r="AL398" s="662">
        <v>58000.0</v>
      </c>
      <c r="AM398" s="677">
        <v>-0.9393073312815797</v>
      </c>
      <c r="AN398" s="678">
        <v>-0.07520000000000004</v>
      </c>
      <c r="AO398" s="662">
        <v>58000.0</v>
      </c>
      <c r="AP398" s="679">
        <v>-0.935161068197075</v>
      </c>
      <c r="AQ398" s="662">
        <v>58000.0</v>
      </c>
      <c r="AR398" s="680">
        <v>-0.9309421734834107</v>
      </c>
      <c r="AS398" s="624"/>
      <c r="AT398" s="624"/>
      <c r="AU398" s="624"/>
      <c r="AV398" s="624"/>
      <c r="AW398" s="624"/>
      <c r="AX398" s="624"/>
      <c r="AY398" s="624"/>
      <c r="AZ398" s="624"/>
      <c r="BA398" s="624"/>
      <c r="BB398" s="624"/>
      <c r="BC398" s="624"/>
      <c r="BD398" s="624"/>
      <c r="BE398" s="624"/>
    </row>
    <row r="399" ht="16.5" customHeight="1">
      <c r="A399" s="711"/>
      <c r="B399" s="711"/>
      <c r="C399" s="711"/>
      <c r="D399" s="711"/>
      <c r="E399" s="711"/>
      <c r="F399" s="711"/>
      <c r="G399" s="711"/>
      <c r="H399" s="711"/>
      <c r="I399" s="711"/>
      <c r="J399" s="711"/>
      <c r="K399" s="741"/>
      <c r="L399" s="741"/>
      <c r="M399" s="788"/>
      <c r="N399" s="741"/>
      <c r="O399" s="741"/>
      <c r="P399" s="741"/>
      <c r="Q399" s="741"/>
      <c r="R399" s="788"/>
      <c r="S399" s="819"/>
      <c r="T399" s="820"/>
      <c r="U399" s="819"/>
      <c r="V399" s="820"/>
      <c r="W399" s="788"/>
      <c r="X399" s="803"/>
      <c r="Y399" s="803"/>
      <c r="Z399" s="803"/>
      <c r="AA399" s="711"/>
      <c r="AB399" s="711"/>
      <c r="AC399" s="711"/>
      <c r="AD399" s="736"/>
      <c r="AE399" s="736"/>
      <c r="AF399" s="624"/>
      <c r="AG399" s="624"/>
      <c r="AH399" s="624"/>
      <c r="AI399" s="624"/>
      <c r="AJ399" s="660">
        <f t="shared" si="6"/>
        <v>399</v>
      </c>
      <c r="AK399" s="676">
        <v>0.9492</v>
      </c>
      <c r="AL399" s="662">
        <v>58000.0</v>
      </c>
      <c r="AM399" s="677">
        <v>-0.9393073312815797</v>
      </c>
      <c r="AN399" s="678">
        <v>-0.050799999999999956</v>
      </c>
      <c r="AO399" s="662">
        <v>58000.0</v>
      </c>
      <c r="AP399" s="679">
        <v>-0.935161068197075</v>
      </c>
      <c r="AQ399" s="662">
        <v>58000.0</v>
      </c>
      <c r="AR399" s="680">
        <v>-0.9309421734834107</v>
      </c>
      <c r="AS399" s="624"/>
      <c r="AT399" s="624"/>
      <c r="AU399" s="624"/>
      <c r="AV399" s="624"/>
      <c r="AW399" s="624"/>
      <c r="AX399" s="624"/>
      <c r="AY399" s="624"/>
      <c r="AZ399" s="624"/>
      <c r="BA399" s="624"/>
      <c r="BB399" s="624"/>
      <c r="BC399" s="624"/>
      <c r="BD399" s="624"/>
      <c r="BE399" s="624"/>
    </row>
    <row r="400" ht="16.5" customHeight="1">
      <c r="A400" s="711"/>
      <c r="B400" s="711"/>
      <c r="C400" s="711"/>
      <c r="D400" s="711"/>
      <c r="E400" s="711"/>
      <c r="F400" s="711"/>
      <c r="G400" s="711"/>
      <c r="H400" s="711"/>
      <c r="I400" s="711"/>
      <c r="J400" s="711"/>
      <c r="K400" s="741"/>
      <c r="L400" s="741"/>
      <c r="M400" s="788"/>
      <c r="N400" s="741"/>
      <c r="O400" s="741"/>
      <c r="P400" s="741"/>
      <c r="Q400" s="741"/>
      <c r="R400" s="788"/>
      <c r="S400" s="819"/>
      <c r="T400" s="820"/>
      <c r="U400" s="819"/>
      <c r="V400" s="820"/>
      <c r="W400" s="788"/>
      <c r="X400" s="803"/>
      <c r="Y400" s="803"/>
      <c r="Z400" s="803"/>
      <c r="AA400" s="711"/>
      <c r="AB400" s="711"/>
      <c r="AC400" s="711"/>
      <c r="AD400" s="736"/>
      <c r="AE400" s="736"/>
      <c r="AF400" s="624"/>
      <c r="AG400" s="624"/>
      <c r="AH400" s="624"/>
      <c r="AI400" s="624"/>
      <c r="AJ400" s="660">
        <f t="shared" si="6"/>
        <v>400</v>
      </c>
      <c r="AK400" s="676">
        <v>0.9416</v>
      </c>
      <c r="AL400" s="662">
        <v>58000.0</v>
      </c>
      <c r="AM400" s="677">
        <v>-0.9393073312815797</v>
      </c>
      <c r="AN400" s="678">
        <v>-0.05840000000000001</v>
      </c>
      <c r="AO400" s="662">
        <v>58000.0</v>
      </c>
      <c r="AP400" s="679">
        <v>-0.935161068197075</v>
      </c>
      <c r="AQ400" s="662">
        <v>58000.0</v>
      </c>
      <c r="AR400" s="680">
        <v>-0.9309421734834107</v>
      </c>
      <c r="AS400" s="624"/>
      <c r="AT400" s="624"/>
      <c r="AU400" s="624"/>
      <c r="AV400" s="624"/>
      <c r="AW400" s="624"/>
      <c r="AX400" s="624"/>
      <c r="AY400" s="624"/>
      <c r="AZ400" s="624"/>
      <c r="BA400" s="624"/>
      <c r="BB400" s="624"/>
      <c r="BC400" s="624"/>
      <c r="BD400" s="624"/>
      <c r="BE400" s="624"/>
    </row>
    <row r="401" ht="16.5" customHeight="1">
      <c r="A401" s="711"/>
      <c r="B401" s="711"/>
      <c r="C401" s="711"/>
      <c r="D401" s="711"/>
      <c r="E401" s="711"/>
      <c r="F401" s="711"/>
      <c r="G401" s="711"/>
      <c r="H401" s="711"/>
      <c r="I401" s="711"/>
      <c r="J401" s="711"/>
      <c r="K401" s="741"/>
      <c r="L401" s="741"/>
      <c r="M401" s="788"/>
      <c r="N401" s="741"/>
      <c r="O401" s="741"/>
      <c r="P401" s="741"/>
      <c r="Q401" s="741"/>
      <c r="R401" s="788"/>
      <c r="S401" s="819"/>
      <c r="T401" s="820"/>
      <c r="U401" s="819"/>
      <c r="V401" s="820"/>
      <c r="W401" s="788"/>
      <c r="X401" s="803"/>
      <c r="Y401" s="803"/>
      <c r="Z401" s="803"/>
      <c r="AA401" s="711"/>
      <c r="AB401" s="711"/>
      <c r="AC401" s="711"/>
      <c r="AD401" s="736"/>
      <c r="AE401" s="736"/>
      <c r="AF401" s="624"/>
      <c r="AG401" s="624"/>
      <c r="AH401" s="624"/>
      <c r="AI401" s="624"/>
      <c r="AJ401" s="660">
        <f t="shared" si="6"/>
        <v>401</v>
      </c>
      <c r="AK401" s="676">
        <v>0.9726</v>
      </c>
      <c r="AL401" s="662">
        <v>57583.0</v>
      </c>
      <c r="AM401" s="677">
        <v>-0.9380722836626476</v>
      </c>
      <c r="AN401" s="678">
        <v>-0.02739999999999998</v>
      </c>
      <c r="AO401" s="662">
        <v>57583.0</v>
      </c>
      <c r="AP401" s="679">
        <v>-0.9338730728566149</v>
      </c>
      <c r="AQ401" s="662">
        <v>57583.0</v>
      </c>
      <c r="AR401" s="680">
        <v>-0.9296022847405723</v>
      </c>
      <c r="AS401" s="624"/>
      <c r="AT401" s="624"/>
      <c r="AU401" s="624"/>
      <c r="AV401" s="624"/>
      <c r="AW401" s="624"/>
      <c r="AX401" s="624"/>
      <c r="AY401" s="624"/>
      <c r="AZ401" s="624"/>
      <c r="BA401" s="624"/>
      <c r="BB401" s="624"/>
      <c r="BC401" s="624"/>
      <c r="BD401" s="624"/>
      <c r="BE401" s="624"/>
    </row>
    <row r="402" ht="16.5" customHeight="1">
      <c r="A402" s="711"/>
      <c r="B402" s="711"/>
      <c r="C402" s="711"/>
      <c r="D402" s="711"/>
      <c r="E402" s="711"/>
      <c r="F402" s="711"/>
      <c r="G402" s="711"/>
      <c r="H402" s="711"/>
      <c r="I402" s="711"/>
      <c r="J402" s="711"/>
      <c r="K402" s="741"/>
      <c r="L402" s="741"/>
      <c r="M402" s="788"/>
      <c r="N402" s="741"/>
      <c r="O402" s="741"/>
      <c r="P402" s="741"/>
      <c r="Q402" s="741"/>
      <c r="R402" s="788"/>
      <c r="S402" s="819"/>
      <c r="T402" s="820"/>
      <c r="U402" s="819"/>
      <c r="V402" s="820"/>
      <c r="W402" s="788"/>
      <c r="X402" s="803"/>
      <c r="Y402" s="803"/>
      <c r="Z402" s="803"/>
      <c r="AA402" s="711"/>
      <c r="AB402" s="711"/>
      <c r="AC402" s="711"/>
      <c r="AD402" s="736"/>
      <c r="AE402" s="736"/>
      <c r="AF402" s="624"/>
      <c r="AG402" s="624"/>
      <c r="AH402" s="624"/>
      <c r="AI402" s="624"/>
      <c r="AJ402" s="660">
        <f t="shared" si="6"/>
        <v>402</v>
      </c>
      <c r="AK402" s="676">
        <v>0.9518</v>
      </c>
      <c r="AL402" s="662">
        <v>57500.0</v>
      </c>
      <c r="AM402" s="677">
        <v>-0.9378234759778836</v>
      </c>
      <c r="AN402" s="678">
        <v>-0.04820000000000002</v>
      </c>
      <c r="AO402" s="662">
        <v>57500.0</v>
      </c>
      <c r="AP402" s="679">
        <v>-0.9336136722408582</v>
      </c>
      <c r="AQ402" s="662">
        <v>57500.0</v>
      </c>
      <c r="AR402" s="680">
        <v>-0.9293325059826059</v>
      </c>
      <c r="AS402" s="624"/>
      <c r="AT402" s="624"/>
      <c r="AU402" s="624"/>
      <c r="AV402" s="624"/>
      <c r="AW402" s="624"/>
      <c r="AX402" s="624"/>
      <c r="AY402" s="624"/>
      <c r="AZ402" s="624"/>
      <c r="BA402" s="624"/>
      <c r="BB402" s="624"/>
      <c r="BC402" s="624"/>
      <c r="BD402" s="624"/>
      <c r="BE402" s="624"/>
    </row>
    <row r="403" ht="16.5" customHeight="1">
      <c r="A403" s="711"/>
      <c r="B403" s="711"/>
      <c r="C403" s="711"/>
      <c r="D403" s="711"/>
      <c r="E403" s="711"/>
      <c r="F403" s="711"/>
      <c r="G403" s="711"/>
      <c r="H403" s="711"/>
      <c r="I403" s="711"/>
      <c r="J403" s="711"/>
      <c r="K403" s="741"/>
      <c r="L403" s="741"/>
      <c r="M403" s="788"/>
      <c r="N403" s="741"/>
      <c r="O403" s="741"/>
      <c r="P403" s="741"/>
      <c r="Q403" s="741"/>
      <c r="R403" s="788"/>
      <c r="S403" s="819"/>
      <c r="T403" s="820"/>
      <c r="U403" s="819"/>
      <c r="V403" s="820"/>
      <c r="W403" s="788"/>
      <c r="X403" s="803"/>
      <c r="Y403" s="803"/>
      <c r="Z403" s="803"/>
      <c r="AA403" s="711"/>
      <c r="AB403" s="711"/>
      <c r="AC403" s="711"/>
      <c r="AD403" s="736"/>
      <c r="AE403" s="736"/>
      <c r="AF403" s="624"/>
      <c r="AG403" s="624"/>
      <c r="AH403" s="624"/>
      <c r="AI403" s="624"/>
      <c r="AJ403" s="660">
        <f t="shared" si="6"/>
        <v>403</v>
      </c>
      <c r="AK403" s="676">
        <v>0.9467</v>
      </c>
      <c r="AL403" s="662">
        <v>57492.0</v>
      </c>
      <c r="AM403" s="677">
        <v>-0.9377994417593881</v>
      </c>
      <c r="AN403" s="678">
        <v>-0.053300000000000014</v>
      </c>
      <c r="AO403" s="662">
        <v>57492.0</v>
      </c>
      <c r="AP403" s="679">
        <v>-0.9335886160691386</v>
      </c>
      <c r="AQ403" s="662">
        <v>57492.0</v>
      </c>
      <c r="AR403" s="680">
        <v>-0.9293064486473489</v>
      </c>
      <c r="AS403" s="624"/>
      <c r="AT403" s="624"/>
      <c r="AU403" s="624"/>
      <c r="AV403" s="624"/>
      <c r="AW403" s="624"/>
      <c r="AX403" s="624"/>
      <c r="AY403" s="624"/>
      <c r="AZ403" s="624"/>
      <c r="BA403" s="624"/>
      <c r="BB403" s="624"/>
      <c r="BC403" s="624"/>
      <c r="BD403" s="624"/>
      <c r="BE403" s="624"/>
    </row>
    <row r="404" ht="16.5" customHeight="1">
      <c r="A404" s="711"/>
      <c r="B404" s="711"/>
      <c r="C404" s="711"/>
      <c r="D404" s="711"/>
      <c r="E404" s="711"/>
      <c r="F404" s="711"/>
      <c r="G404" s="711"/>
      <c r="H404" s="711"/>
      <c r="I404" s="711"/>
      <c r="J404" s="711"/>
      <c r="K404" s="741"/>
      <c r="L404" s="741"/>
      <c r="M404" s="788"/>
      <c r="N404" s="741"/>
      <c r="O404" s="741"/>
      <c r="P404" s="741"/>
      <c r="Q404" s="741"/>
      <c r="R404" s="788"/>
      <c r="S404" s="819"/>
      <c r="T404" s="820"/>
      <c r="U404" s="819"/>
      <c r="V404" s="820"/>
      <c r="W404" s="788"/>
      <c r="X404" s="803"/>
      <c r="Y404" s="803"/>
      <c r="Z404" s="803"/>
      <c r="AA404" s="711"/>
      <c r="AB404" s="711"/>
      <c r="AC404" s="711"/>
      <c r="AD404" s="736"/>
      <c r="AE404" s="736"/>
      <c r="AF404" s="624"/>
      <c r="AG404" s="624"/>
      <c r="AH404" s="624"/>
      <c r="AI404" s="624"/>
      <c r="AJ404" s="660">
        <f t="shared" si="6"/>
        <v>404</v>
      </c>
      <c r="AK404" s="676">
        <v>0.9637</v>
      </c>
      <c r="AL404" s="662">
        <v>57454.0</v>
      </c>
      <c r="AM404" s="677">
        <v>-0.9376851522884363</v>
      </c>
      <c r="AN404" s="678">
        <v>-0.0363</v>
      </c>
      <c r="AO404" s="662">
        <v>57454.0</v>
      </c>
      <c r="AP404" s="679">
        <v>-0.9334694700461421</v>
      </c>
      <c r="AQ404" s="662">
        <v>57454.0</v>
      </c>
      <c r="AR404" s="680">
        <v>-0.9291825450329254</v>
      </c>
      <c r="AS404" s="624"/>
      <c r="AT404" s="624"/>
      <c r="AU404" s="624"/>
      <c r="AV404" s="624"/>
      <c r="AW404" s="624"/>
      <c r="AX404" s="624"/>
      <c r="AY404" s="624"/>
      <c r="AZ404" s="624"/>
      <c r="BA404" s="624"/>
      <c r="BB404" s="624"/>
      <c r="BC404" s="624"/>
      <c r="BD404" s="624"/>
      <c r="BE404" s="624"/>
    </row>
    <row r="405" ht="16.5" customHeight="1">
      <c r="A405" s="711"/>
      <c r="B405" s="711"/>
      <c r="C405" s="711"/>
      <c r="D405" s="711"/>
      <c r="E405" s="711"/>
      <c r="F405" s="711"/>
      <c r="G405" s="711"/>
      <c r="H405" s="711"/>
      <c r="I405" s="711"/>
      <c r="J405" s="711"/>
      <c r="K405" s="741"/>
      <c r="L405" s="741"/>
      <c r="M405" s="788"/>
      <c r="N405" s="741"/>
      <c r="O405" s="741"/>
      <c r="P405" s="741"/>
      <c r="Q405" s="741"/>
      <c r="R405" s="788"/>
      <c r="S405" s="819"/>
      <c r="T405" s="820"/>
      <c r="U405" s="819"/>
      <c r="V405" s="820"/>
      <c r="W405" s="788"/>
      <c r="X405" s="803"/>
      <c r="Y405" s="803"/>
      <c r="Z405" s="803"/>
      <c r="AA405" s="711"/>
      <c r="AB405" s="711"/>
      <c r="AC405" s="711"/>
      <c r="AD405" s="736"/>
      <c r="AE405" s="736"/>
      <c r="AF405" s="624"/>
      <c r="AG405" s="624"/>
      <c r="AH405" s="624"/>
      <c r="AI405" s="624"/>
      <c r="AJ405" s="660">
        <f t="shared" si="6"/>
        <v>405</v>
      </c>
      <c r="AK405" s="676">
        <v>0.9619</v>
      </c>
      <c r="AL405" s="662">
        <v>57228.0</v>
      </c>
      <c r="AM405" s="677">
        <v>-0.9370010790905937</v>
      </c>
      <c r="AN405" s="678">
        <v>-0.03810000000000002</v>
      </c>
      <c r="AO405" s="662">
        <v>57228.0</v>
      </c>
      <c r="AP405" s="679">
        <v>-0.9327564356356707</v>
      </c>
      <c r="AQ405" s="662">
        <v>57228.0</v>
      </c>
      <c r="AR405" s="680">
        <v>-0.928441145144039</v>
      </c>
      <c r="AS405" s="624"/>
      <c r="AT405" s="624"/>
      <c r="AU405" s="624"/>
      <c r="AV405" s="624"/>
      <c r="AW405" s="624"/>
      <c r="AX405" s="624"/>
      <c r="AY405" s="624"/>
      <c r="AZ405" s="624"/>
      <c r="BA405" s="624"/>
      <c r="BB405" s="624"/>
      <c r="BC405" s="624"/>
      <c r="BD405" s="624"/>
      <c r="BE405" s="624"/>
    </row>
    <row r="406" ht="16.5" customHeight="1">
      <c r="A406" s="711"/>
      <c r="B406" s="711"/>
      <c r="C406" s="711"/>
      <c r="D406" s="711"/>
      <c r="E406" s="711"/>
      <c r="F406" s="711"/>
      <c r="G406" s="711"/>
      <c r="H406" s="711"/>
      <c r="I406" s="711"/>
      <c r="J406" s="711"/>
      <c r="K406" s="741"/>
      <c r="L406" s="741"/>
      <c r="M406" s="788"/>
      <c r="N406" s="741"/>
      <c r="O406" s="741"/>
      <c r="P406" s="741"/>
      <c r="Q406" s="741"/>
      <c r="R406" s="788"/>
      <c r="S406" s="819"/>
      <c r="T406" s="820"/>
      <c r="U406" s="819"/>
      <c r="V406" s="820"/>
      <c r="W406" s="788"/>
      <c r="X406" s="803"/>
      <c r="Y406" s="803"/>
      <c r="Z406" s="803"/>
      <c r="AA406" s="711"/>
      <c r="AB406" s="711"/>
      <c r="AC406" s="711"/>
      <c r="AD406" s="736"/>
      <c r="AE406" s="736"/>
      <c r="AF406" s="624"/>
      <c r="AG406" s="624"/>
      <c r="AH406" s="624"/>
      <c r="AI406" s="624"/>
      <c r="AJ406" s="660">
        <f t="shared" si="6"/>
        <v>406</v>
      </c>
      <c r="AK406" s="676">
        <v>0.9499</v>
      </c>
      <c r="AL406" s="662">
        <v>57000.0</v>
      </c>
      <c r="AM406" s="677">
        <v>-0.9363033423788218</v>
      </c>
      <c r="AN406" s="678">
        <v>-0.05010000000000003</v>
      </c>
      <c r="AO406" s="662">
        <v>57000.0</v>
      </c>
      <c r="AP406" s="679">
        <v>-0.9320293473257778</v>
      </c>
      <c r="AQ406" s="662">
        <v>57000.0</v>
      </c>
      <c r="AR406" s="680">
        <v>-0.9276853187741322</v>
      </c>
      <c r="AS406" s="624"/>
      <c r="AT406" s="624"/>
      <c r="AU406" s="624"/>
      <c r="AV406" s="624"/>
      <c r="AW406" s="624"/>
      <c r="AX406" s="624"/>
      <c r="AY406" s="624"/>
      <c r="AZ406" s="624"/>
      <c r="BA406" s="624"/>
      <c r="BB406" s="624"/>
      <c r="BC406" s="624"/>
      <c r="BD406" s="624"/>
      <c r="BE406" s="624"/>
    </row>
    <row r="407" ht="16.5" customHeight="1">
      <c r="A407" s="711"/>
      <c r="B407" s="711"/>
      <c r="C407" s="711"/>
      <c r="D407" s="711"/>
      <c r="E407" s="711"/>
      <c r="F407" s="711"/>
      <c r="G407" s="711"/>
      <c r="H407" s="711"/>
      <c r="I407" s="711"/>
      <c r="J407" s="711"/>
      <c r="K407" s="741"/>
      <c r="L407" s="741"/>
      <c r="M407" s="788"/>
      <c r="N407" s="741"/>
      <c r="O407" s="741"/>
      <c r="P407" s="741"/>
      <c r="Q407" s="741"/>
      <c r="R407" s="788"/>
      <c r="S407" s="819"/>
      <c r="T407" s="820"/>
      <c r="U407" s="819"/>
      <c r="V407" s="820"/>
      <c r="W407" s="788"/>
      <c r="X407" s="803"/>
      <c r="Y407" s="803"/>
      <c r="Z407" s="803"/>
      <c r="AA407" s="711"/>
      <c r="AB407" s="711"/>
      <c r="AC407" s="711"/>
      <c r="AD407" s="736"/>
      <c r="AE407" s="736"/>
      <c r="AF407" s="624"/>
      <c r="AG407" s="624"/>
      <c r="AH407" s="624"/>
      <c r="AI407" s="624"/>
      <c r="AJ407" s="660">
        <f t="shared" si="6"/>
        <v>407</v>
      </c>
      <c r="AK407" s="676">
        <v>0.9695</v>
      </c>
      <c r="AL407" s="662">
        <v>57000.0</v>
      </c>
      <c r="AM407" s="677">
        <v>-0.9363033423788218</v>
      </c>
      <c r="AN407" s="678">
        <v>-0.03049999999999997</v>
      </c>
      <c r="AO407" s="662">
        <v>57000.0</v>
      </c>
      <c r="AP407" s="679">
        <v>-0.9320293473257778</v>
      </c>
      <c r="AQ407" s="662">
        <v>57000.0</v>
      </c>
      <c r="AR407" s="680">
        <v>-0.9276853187741322</v>
      </c>
      <c r="AS407" s="624"/>
      <c r="AT407" s="624"/>
      <c r="AU407" s="624"/>
      <c r="AV407" s="624"/>
      <c r="AW407" s="624"/>
      <c r="AX407" s="624"/>
      <c r="AY407" s="624"/>
      <c r="AZ407" s="624"/>
      <c r="BA407" s="624"/>
      <c r="BB407" s="624"/>
      <c r="BC407" s="624"/>
      <c r="BD407" s="624"/>
      <c r="BE407" s="624"/>
    </row>
    <row r="408" ht="16.5" customHeight="1">
      <c r="A408" s="711"/>
      <c r="B408" s="711"/>
      <c r="C408" s="711"/>
      <c r="D408" s="711"/>
      <c r="E408" s="711"/>
      <c r="F408" s="711"/>
      <c r="G408" s="711"/>
      <c r="H408" s="711"/>
      <c r="I408" s="711"/>
      <c r="J408" s="711"/>
      <c r="K408" s="741"/>
      <c r="L408" s="741"/>
      <c r="M408" s="788"/>
      <c r="N408" s="741"/>
      <c r="O408" s="741"/>
      <c r="P408" s="741"/>
      <c r="Q408" s="741"/>
      <c r="R408" s="788"/>
      <c r="S408" s="819"/>
      <c r="T408" s="820"/>
      <c r="U408" s="819"/>
      <c r="V408" s="820"/>
      <c r="W408" s="788"/>
      <c r="X408" s="803"/>
      <c r="Y408" s="803"/>
      <c r="Z408" s="803"/>
      <c r="AA408" s="711"/>
      <c r="AB408" s="711"/>
      <c r="AC408" s="711"/>
      <c r="AD408" s="736"/>
      <c r="AE408" s="736"/>
      <c r="AF408" s="624"/>
      <c r="AG408" s="624"/>
      <c r="AH408" s="624"/>
      <c r="AI408" s="624"/>
      <c r="AJ408" s="660">
        <f t="shared" si="6"/>
        <v>408</v>
      </c>
      <c r="AK408" s="676">
        <v>0.9136</v>
      </c>
      <c r="AL408" s="662">
        <v>56417.0</v>
      </c>
      <c r="AM408" s="677">
        <v>-0.9344838719708705</v>
      </c>
      <c r="AN408" s="678">
        <v>-0.08640000000000003</v>
      </c>
      <c r="AO408" s="662">
        <v>56417.0</v>
      </c>
      <c r="AP408" s="679">
        <v>-0.9301342157493264</v>
      </c>
      <c r="AQ408" s="662">
        <v>56417.0</v>
      </c>
      <c r="AR408" s="680">
        <v>-0.9257161528392279</v>
      </c>
      <c r="AS408" s="624"/>
      <c r="AT408" s="624"/>
      <c r="AU408" s="624"/>
      <c r="AV408" s="624"/>
      <c r="AW408" s="624"/>
      <c r="AX408" s="624"/>
      <c r="AY408" s="624"/>
      <c r="AZ408" s="624"/>
      <c r="BA408" s="624"/>
      <c r="BB408" s="624"/>
      <c r="BC408" s="624"/>
      <c r="BD408" s="624"/>
      <c r="BE408" s="624"/>
    </row>
    <row r="409" ht="16.5" customHeight="1">
      <c r="A409" s="711"/>
      <c r="B409" s="711"/>
      <c r="C409" s="711"/>
      <c r="D409" s="711"/>
      <c r="E409" s="711"/>
      <c r="F409" s="711"/>
      <c r="G409" s="711"/>
      <c r="H409" s="711"/>
      <c r="I409" s="711"/>
      <c r="J409" s="711"/>
      <c r="K409" s="741"/>
      <c r="L409" s="741"/>
      <c r="M409" s="788"/>
      <c r="N409" s="741"/>
      <c r="O409" s="741"/>
      <c r="P409" s="741"/>
      <c r="Q409" s="741"/>
      <c r="R409" s="788"/>
      <c r="S409" s="819"/>
      <c r="T409" s="820"/>
      <c r="U409" s="819"/>
      <c r="V409" s="820"/>
      <c r="W409" s="788"/>
      <c r="X409" s="803"/>
      <c r="Y409" s="803"/>
      <c r="Z409" s="803"/>
      <c r="AA409" s="711"/>
      <c r="AB409" s="711"/>
      <c r="AC409" s="711"/>
      <c r="AD409" s="736"/>
      <c r="AE409" s="736"/>
      <c r="AF409" s="624"/>
      <c r="AG409" s="624"/>
      <c r="AH409" s="624"/>
      <c r="AI409" s="624"/>
      <c r="AJ409" s="660">
        <f t="shared" si="6"/>
        <v>409</v>
      </c>
      <c r="AK409" s="676">
        <v>0.9429</v>
      </c>
      <c r="AL409" s="662">
        <v>56327.0</v>
      </c>
      <c r="AM409" s="677">
        <v>-0.9341983990968096</v>
      </c>
      <c r="AN409" s="678">
        <v>-0.05710000000000004</v>
      </c>
      <c r="AO409" s="662">
        <v>56327.0</v>
      </c>
      <c r="AP409" s="679">
        <v>-0.9298369852544619</v>
      </c>
      <c r="AQ409" s="662">
        <v>56327.0</v>
      </c>
      <c r="AR409" s="680">
        <v>-0.9254074233706925</v>
      </c>
      <c r="AS409" s="624"/>
      <c r="AT409" s="624"/>
      <c r="AU409" s="624"/>
      <c r="AV409" s="624"/>
      <c r="AW409" s="624"/>
      <c r="AX409" s="624"/>
      <c r="AY409" s="624"/>
      <c r="AZ409" s="624"/>
      <c r="BA409" s="624"/>
      <c r="BB409" s="624"/>
      <c r="BC409" s="624"/>
      <c r="BD409" s="624"/>
      <c r="BE409" s="624"/>
    </row>
    <row r="410" ht="16.5" customHeight="1">
      <c r="A410" s="711"/>
      <c r="B410" s="711"/>
      <c r="C410" s="711"/>
      <c r="D410" s="711"/>
      <c r="E410" s="711"/>
      <c r="F410" s="711"/>
      <c r="G410" s="711"/>
      <c r="H410" s="711"/>
      <c r="I410" s="711"/>
      <c r="J410" s="711"/>
      <c r="K410" s="741"/>
      <c r="L410" s="741"/>
      <c r="M410" s="788"/>
      <c r="N410" s="741"/>
      <c r="O410" s="741"/>
      <c r="P410" s="741"/>
      <c r="Q410" s="741"/>
      <c r="R410" s="788"/>
      <c r="S410" s="819"/>
      <c r="T410" s="820"/>
      <c r="U410" s="819"/>
      <c r="V410" s="820"/>
      <c r="W410" s="788"/>
      <c r="X410" s="803"/>
      <c r="Y410" s="803"/>
      <c r="Z410" s="803"/>
      <c r="AA410" s="711"/>
      <c r="AB410" s="711"/>
      <c r="AC410" s="711"/>
      <c r="AD410" s="736"/>
      <c r="AE410" s="736"/>
      <c r="AF410" s="624"/>
      <c r="AG410" s="624"/>
      <c r="AH410" s="624"/>
      <c r="AI410" s="624"/>
      <c r="AJ410" s="660">
        <f t="shared" si="6"/>
        <v>410</v>
      </c>
      <c r="AK410" s="676">
        <v>0.9679</v>
      </c>
      <c r="AL410" s="662">
        <v>56320.0</v>
      </c>
      <c r="AM410" s="677">
        <v>-0.9341761435849147</v>
      </c>
      <c r="AN410" s="678">
        <v>-0.03210000000000002</v>
      </c>
      <c r="AO410" s="662">
        <v>56320.0</v>
      </c>
      <c r="AP410" s="679">
        <v>-0.9298138143961242</v>
      </c>
      <c r="AQ410" s="662">
        <v>56320.0</v>
      </c>
      <c r="AR410" s="680">
        <v>-0.9253833573677945</v>
      </c>
      <c r="AS410" s="624"/>
      <c r="AT410" s="624"/>
      <c r="AU410" s="624"/>
      <c r="AV410" s="624"/>
      <c r="AW410" s="624"/>
      <c r="AX410" s="624"/>
      <c r="AY410" s="624"/>
      <c r="AZ410" s="624"/>
      <c r="BA410" s="624"/>
      <c r="BB410" s="624"/>
      <c r="BC410" s="624"/>
      <c r="BD410" s="624"/>
      <c r="BE410" s="624"/>
    </row>
    <row r="411" ht="16.5" customHeight="1">
      <c r="A411" s="711"/>
      <c r="B411" s="711"/>
      <c r="C411" s="711"/>
      <c r="D411" s="711"/>
      <c r="E411" s="711"/>
      <c r="F411" s="711"/>
      <c r="G411" s="711"/>
      <c r="H411" s="711"/>
      <c r="I411" s="711"/>
      <c r="J411" s="711"/>
      <c r="K411" s="741"/>
      <c r="L411" s="741"/>
      <c r="M411" s="788"/>
      <c r="N411" s="741"/>
      <c r="O411" s="741"/>
      <c r="P411" s="741"/>
      <c r="Q411" s="741"/>
      <c r="R411" s="788"/>
      <c r="S411" s="819"/>
      <c r="T411" s="820"/>
      <c r="U411" s="819"/>
      <c r="V411" s="820"/>
      <c r="W411" s="788"/>
      <c r="X411" s="803"/>
      <c r="Y411" s="803"/>
      <c r="Z411" s="803"/>
      <c r="AA411" s="711"/>
      <c r="AB411" s="711"/>
      <c r="AC411" s="711"/>
      <c r="AD411" s="736"/>
      <c r="AE411" s="736"/>
      <c r="AF411" s="624"/>
      <c r="AG411" s="624"/>
      <c r="AH411" s="624"/>
      <c r="AI411" s="624"/>
      <c r="AJ411" s="660">
        <f t="shared" si="6"/>
        <v>411</v>
      </c>
      <c r="AK411" s="676">
        <v>0.9703</v>
      </c>
      <c r="AL411" s="662">
        <v>56279.0</v>
      </c>
      <c r="AM411" s="677">
        <v>-0.9340456386292896</v>
      </c>
      <c r="AN411" s="678">
        <v>-0.02969999999999995</v>
      </c>
      <c r="AO411" s="662">
        <v>56279.0</v>
      </c>
      <c r="AP411" s="679">
        <v>-0.9296779456215083</v>
      </c>
      <c r="AQ411" s="662">
        <v>56279.0</v>
      </c>
      <c r="AR411" s="680">
        <v>-0.9252422433459321</v>
      </c>
      <c r="AS411" s="624"/>
      <c r="AT411" s="624"/>
      <c r="AU411" s="624"/>
      <c r="AV411" s="624"/>
      <c r="AW411" s="624"/>
      <c r="AX411" s="624"/>
      <c r="AY411" s="624"/>
      <c r="AZ411" s="624"/>
      <c r="BA411" s="624"/>
      <c r="BB411" s="624"/>
      <c r="BC411" s="624"/>
      <c r="BD411" s="624"/>
      <c r="BE411" s="624"/>
    </row>
    <row r="412" ht="16.5" customHeight="1">
      <c r="A412" s="711"/>
      <c r="B412" s="711"/>
      <c r="C412" s="711"/>
      <c r="D412" s="711"/>
      <c r="E412" s="711"/>
      <c r="F412" s="711"/>
      <c r="G412" s="711"/>
      <c r="H412" s="711"/>
      <c r="I412" s="711"/>
      <c r="J412" s="711"/>
      <c r="K412" s="741"/>
      <c r="L412" s="741"/>
      <c r="M412" s="788"/>
      <c r="N412" s="741"/>
      <c r="O412" s="741"/>
      <c r="P412" s="741"/>
      <c r="Q412" s="741"/>
      <c r="R412" s="788"/>
      <c r="S412" s="819"/>
      <c r="T412" s="820"/>
      <c r="U412" s="819"/>
      <c r="V412" s="820"/>
      <c r="W412" s="788"/>
      <c r="X412" s="803"/>
      <c r="Y412" s="803"/>
      <c r="Z412" s="803"/>
      <c r="AA412" s="711"/>
      <c r="AB412" s="711"/>
      <c r="AC412" s="711"/>
      <c r="AD412" s="736"/>
      <c r="AE412" s="736"/>
      <c r="AF412" s="624"/>
      <c r="AG412" s="624"/>
      <c r="AH412" s="624"/>
      <c r="AI412" s="624"/>
      <c r="AJ412" s="660">
        <f t="shared" si="6"/>
        <v>412</v>
      </c>
      <c r="AK412" s="676">
        <v>0.9568</v>
      </c>
      <c r="AL412" s="662">
        <v>56157.0</v>
      </c>
      <c r="AM412" s="677">
        <v>-0.9336557743564675</v>
      </c>
      <c r="AN412" s="678">
        <v>-0.043200000000000016</v>
      </c>
      <c r="AO412" s="662">
        <v>56157.0</v>
      </c>
      <c r="AP412" s="679">
        <v>-0.9292720954446124</v>
      </c>
      <c r="AQ412" s="662">
        <v>56157.0</v>
      </c>
      <c r="AR412" s="680">
        <v>-0.9248207625833866</v>
      </c>
      <c r="AS412" s="624"/>
      <c r="AT412" s="624"/>
      <c r="AU412" s="624"/>
      <c r="AV412" s="624"/>
      <c r="AW412" s="624"/>
      <c r="AX412" s="624"/>
      <c r="AY412" s="624"/>
      <c r="AZ412" s="624"/>
      <c r="BA412" s="624"/>
      <c r="BB412" s="624"/>
      <c r="BC412" s="624"/>
      <c r="BD412" s="624"/>
      <c r="BE412" s="624"/>
    </row>
    <row r="413" ht="16.5" customHeight="1">
      <c r="A413" s="711"/>
      <c r="B413" s="711"/>
      <c r="C413" s="711"/>
      <c r="D413" s="711"/>
      <c r="E413" s="711"/>
      <c r="F413" s="711"/>
      <c r="G413" s="711"/>
      <c r="H413" s="711"/>
      <c r="I413" s="711"/>
      <c r="J413" s="711"/>
      <c r="K413" s="741"/>
      <c r="L413" s="741"/>
      <c r="M413" s="788"/>
      <c r="N413" s="741"/>
      <c r="O413" s="741"/>
      <c r="P413" s="741"/>
      <c r="Q413" s="741"/>
      <c r="R413" s="788"/>
      <c r="S413" s="819"/>
      <c r="T413" s="820"/>
      <c r="U413" s="819"/>
      <c r="V413" s="820"/>
      <c r="W413" s="788"/>
      <c r="X413" s="803"/>
      <c r="Y413" s="803"/>
      <c r="Z413" s="803"/>
      <c r="AA413" s="711"/>
      <c r="AB413" s="711"/>
      <c r="AC413" s="711"/>
      <c r="AD413" s="736"/>
      <c r="AE413" s="736"/>
      <c r="AF413" s="624"/>
      <c r="AG413" s="624"/>
      <c r="AH413" s="624"/>
      <c r="AI413" s="624"/>
      <c r="AJ413" s="660">
        <f t="shared" si="6"/>
        <v>413</v>
      </c>
      <c r="AK413" s="676">
        <v>0.9492</v>
      </c>
      <c r="AL413" s="662">
        <v>56000.0</v>
      </c>
      <c r="AM413" s="677">
        <v>-0.933150670784753</v>
      </c>
      <c r="AN413" s="678">
        <v>-0.050799999999999956</v>
      </c>
      <c r="AO413" s="662">
        <v>56000.0</v>
      </c>
      <c r="AP413" s="679">
        <v>-0.928746364313927</v>
      </c>
      <c r="AQ413" s="662">
        <v>56000.0</v>
      </c>
      <c r="AR413" s="680">
        <v>-0.9242748666649296</v>
      </c>
      <c r="AS413" s="624"/>
      <c r="AT413" s="624"/>
      <c r="AU413" s="624"/>
      <c r="AV413" s="624"/>
      <c r="AW413" s="624"/>
      <c r="AX413" s="624"/>
      <c r="AY413" s="624"/>
      <c r="AZ413" s="624"/>
      <c r="BA413" s="624"/>
      <c r="BB413" s="624"/>
      <c r="BC413" s="624"/>
      <c r="BD413" s="624"/>
      <c r="BE413" s="624"/>
    </row>
    <row r="414" ht="16.5" customHeight="1">
      <c r="A414" s="711"/>
      <c r="B414" s="711"/>
      <c r="C414" s="711"/>
      <c r="D414" s="711"/>
      <c r="E414" s="711"/>
      <c r="F414" s="711"/>
      <c r="G414" s="711"/>
      <c r="H414" s="711"/>
      <c r="I414" s="711"/>
      <c r="J414" s="711"/>
      <c r="K414" s="741"/>
      <c r="L414" s="741"/>
      <c r="M414" s="788"/>
      <c r="N414" s="741"/>
      <c r="O414" s="741"/>
      <c r="P414" s="741"/>
      <c r="Q414" s="741"/>
      <c r="R414" s="788"/>
      <c r="S414" s="819"/>
      <c r="T414" s="820"/>
      <c r="U414" s="819"/>
      <c r="V414" s="820"/>
      <c r="W414" s="788"/>
      <c r="X414" s="803"/>
      <c r="Y414" s="803"/>
      <c r="Z414" s="803"/>
      <c r="AA414" s="711"/>
      <c r="AB414" s="711"/>
      <c r="AC414" s="711"/>
      <c r="AD414" s="736"/>
      <c r="AE414" s="736"/>
      <c r="AF414" s="624"/>
      <c r="AG414" s="624"/>
      <c r="AH414" s="624"/>
      <c r="AI414" s="624"/>
      <c r="AJ414" s="660">
        <f t="shared" si="6"/>
        <v>414</v>
      </c>
      <c r="AK414" s="676">
        <v>0.9381</v>
      </c>
      <c r="AL414" s="662">
        <v>55961.0</v>
      </c>
      <c r="AM414" s="677">
        <v>-0.933024604051963</v>
      </c>
      <c r="AN414" s="678">
        <v>-0.061899999999999955</v>
      </c>
      <c r="AO414" s="662">
        <v>55961.0</v>
      </c>
      <c r="AP414" s="679">
        <v>-0.928615163869776</v>
      </c>
      <c r="AQ414" s="662">
        <v>55961.0</v>
      </c>
      <c r="AR414" s="680">
        <v>-0.9241386484317518</v>
      </c>
      <c r="AS414" s="624"/>
      <c r="AT414" s="624"/>
      <c r="AU414" s="624"/>
      <c r="AV414" s="624"/>
      <c r="AW414" s="624"/>
      <c r="AX414" s="624"/>
      <c r="AY414" s="624"/>
      <c r="AZ414" s="624"/>
      <c r="BA414" s="624"/>
      <c r="BB414" s="624"/>
      <c r="BC414" s="624"/>
      <c r="BD414" s="624"/>
      <c r="BE414" s="624"/>
    </row>
    <row r="415" ht="16.5" customHeight="1">
      <c r="A415" s="711"/>
      <c r="B415" s="711"/>
      <c r="C415" s="711"/>
      <c r="D415" s="711"/>
      <c r="E415" s="711"/>
      <c r="F415" s="711"/>
      <c r="G415" s="711"/>
      <c r="H415" s="711"/>
      <c r="I415" s="711"/>
      <c r="J415" s="711"/>
      <c r="K415" s="741"/>
      <c r="L415" s="741"/>
      <c r="M415" s="788"/>
      <c r="N415" s="741"/>
      <c r="O415" s="741"/>
      <c r="P415" s="741"/>
      <c r="Q415" s="741"/>
      <c r="R415" s="788"/>
      <c r="S415" s="819"/>
      <c r="T415" s="820"/>
      <c r="U415" s="819"/>
      <c r="V415" s="820"/>
      <c r="W415" s="788"/>
      <c r="X415" s="803"/>
      <c r="Y415" s="803"/>
      <c r="Z415" s="803"/>
      <c r="AA415" s="711"/>
      <c r="AB415" s="711"/>
      <c r="AC415" s="711"/>
      <c r="AD415" s="736"/>
      <c r="AE415" s="736"/>
      <c r="AF415" s="624"/>
      <c r="AG415" s="624"/>
      <c r="AH415" s="624"/>
      <c r="AI415" s="624"/>
      <c r="AJ415" s="660">
        <f t="shared" si="6"/>
        <v>415</v>
      </c>
      <c r="AK415" s="676">
        <v>0.9709</v>
      </c>
      <c r="AL415" s="662">
        <v>55769.0</v>
      </c>
      <c r="AM415" s="677">
        <v>-0.9324004930346623</v>
      </c>
      <c r="AN415" s="678">
        <v>-0.029100000000000015</v>
      </c>
      <c r="AO415" s="662">
        <v>55769.0</v>
      </c>
      <c r="AP415" s="679">
        <v>-0.927965723269439</v>
      </c>
      <c r="AQ415" s="662">
        <v>55769.0</v>
      </c>
      <c r="AR415" s="680">
        <v>-0.9234644545760885</v>
      </c>
      <c r="AS415" s="624"/>
      <c r="AT415" s="624"/>
      <c r="AU415" s="624"/>
      <c r="AV415" s="624"/>
      <c r="AW415" s="624"/>
      <c r="AX415" s="624"/>
      <c r="AY415" s="624"/>
      <c r="AZ415" s="624"/>
      <c r="BA415" s="624"/>
      <c r="BB415" s="624"/>
      <c r="BC415" s="624"/>
      <c r="BD415" s="624"/>
      <c r="BE415" s="624"/>
    </row>
    <row r="416" ht="16.5" customHeight="1">
      <c r="A416" s="711"/>
      <c r="B416" s="711"/>
      <c r="C416" s="711"/>
      <c r="D416" s="711"/>
      <c r="E416" s="711"/>
      <c r="F416" s="711"/>
      <c r="G416" s="711"/>
      <c r="H416" s="711"/>
      <c r="I416" s="711"/>
      <c r="J416" s="711"/>
      <c r="K416" s="741"/>
      <c r="L416" s="741"/>
      <c r="M416" s="788"/>
      <c r="N416" s="741"/>
      <c r="O416" s="741"/>
      <c r="P416" s="741"/>
      <c r="Q416" s="741"/>
      <c r="R416" s="788"/>
      <c r="S416" s="819"/>
      <c r="T416" s="820"/>
      <c r="U416" s="819"/>
      <c r="V416" s="820"/>
      <c r="W416" s="788"/>
      <c r="X416" s="803"/>
      <c r="Y416" s="803"/>
      <c r="Z416" s="803"/>
      <c r="AA416" s="711"/>
      <c r="AB416" s="711"/>
      <c r="AC416" s="711"/>
      <c r="AD416" s="736"/>
      <c r="AE416" s="736"/>
      <c r="AF416" s="624"/>
      <c r="AG416" s="624"/>
      <c r="AH416" s="624"/>
      <c r="AI416" s="624"/>
      <c r="AJ416" s="660">
        <f t="shared" si="6"/>
        <v>416</v>
      </c>
      <c r="AK416" s="676">
        <v>0.9442</v>
      </c>
      <c r="AL416" s="662">
        <v>55719.0</v>
      </c>
      <c r="AM416" s="677">
        <v>-0.9322370118398413</v>
      </c>
      <c r="AN416" s="678">
        <v>-0.05579999999999996</v>
      </c>
      <c r="AO416" s="662">
        <v>55719.0</v>
      </c>
      <c r="AP416" s="679">
        <v>-0.9277956306052113</v>
      </c>
      <c r="AQ416" s="662">
        <v>55719.0</v>
      </c>
      <c r="AR416" s="680">
        <v>-0.9232879020696902</v>
      </c>
      <c r="AS416" s="624"/>
      <c r="AT416" s="624"/>
      <c r="AU416" s="624"/>
      <c r="AV416" s="624"/>
      <c r="AW416" s="624"/>
      <c r="AX416" s="624"/>
      <c r="AY416" s="624"/>
      <c r="AZ416" s="624"/>
      <c r="BA416" s="624"/>
      <c r="BB416" s="624"/>
      <c r="BC416" s="624"/>
      <c r="BD416" s="624"/>
      <c r="BE416" s="624"/>
    </row>
    <row r="417" ht="16.5" customHeight="1">
      <c r="A417" s="711"/>
      <c r="B417" s="711"/>
      <c r="C417" s="711"/>
      <c r="D417" s="711"/>
      <c r="E417" s="711"/>
      <c r="F417" s="711"/>
      <c r="G417" s="711"/>
      <c r="H417" s="711"/>
      <c r="I417" s="711"/>
      <c r="J417" s="711"/>
      <c r="K417" s="741"/>
      <c r="L417" s="741"/>
      <c r="M417" s="788"/>
      <c r="N417" s="741"/>
      <c r="O417" s="741"/>
      <c r="P417" s="741"/>
      <c r="Q417" s="741"/>
      <c r="R417" s="788"/>
      <c r="S417" s="819"/>
      <c r="T417" s="820"/>
      <c r="U417" s="819"/>
      <c r="V417" s="820"/>
      <c r="W417" s="788"/>
      <c r="X417" s="803"/>
      <c r="Y417" s="803"/>
      <c r="Z417" s="803"/>
      <c r="AA417" s="711"/>
      <c r="AB417" s="711"/>
      <c r="AC417" s="711"/>
      <c r="AD417" s="736"/>
      <c r="AE417" s="736"/>
      <c r="AF417" s="624"/>
      <c r="AG417" s="624"/>
      <c r="AH417" s="624"/>
      <c r="AI417" s="624"/>
      <c r="AJ417" s="660">
        <f t="shared" si="6"/>
        <v>417</v>
      </c>
      <c r="AK417" s="676">
        <v>0.9665</v>
      </c>
      <c r="AL417" s="662">
        <v>55522.0</v>
      </c>
      <c r="AM417" s="677">
        <v>-0.9315890392441024</v>
      </c>
      <c r="AN417" s="678">
        <v>-0.033499999999999974</v>
      </c>
      <c r="AO417" s="662">
        <v>55522.0</v>
      </c>
      <c r="AP417" s="679">
        <v>-0.9271215478177863</v>
      </c>
      <c r="AQ417" s="662">
        <v>55522.0</v>
      </c>
      <c r="AR417" s="680">
        <v>-0.9225883127343038</v>
      </c>
      <c r="AS417" s="624"/>
      <c r="AT417" s="624"/>
      <c r="AU417" s="624"/>
      <c r="AV417" s="624"/>
      <c r="AW417" s="624"/>
      <c r="AX417" s="624"/>
      <c r="AY417" s="624"/>
      <c r="AZ417" s="624"/>
      <c r="BA417" s="624"/>
      <c r="BB417" s="624"/>
      <c r="BC417" s="624"/>
      <c r="BD417" s="624"/>
      <c r="BE417" s="624"/>
    </row>
    <row r="418" ht="16.5" customHeight="1">
      <c r="A418" s="711"/>
      <c r="B418" s="711"/>
      <c r="C418" s="711"/>
      <c r="D418" s="711"/>
      <c r="E418" s="711"/>
      <c r="F418" s="711"/>
      <c r="G418" s="711"/>
      <c r="H418" s="711"/>
      <c r="I418" s="711"/>
      <c r="J418" s="711"/>
      <c r="K418" s="741"/>
      <c r="L418" s="741"/>
      <c r="M418" s="788"/>
      <c r="N418" s="741"/>
      <c r="O418" s="741"/>
      <c r="P418" s="741"/>
      <c r="Q418" s="741"/>
      <c r="R418" s="788"/>
      <c r="S418" s="819"/>
      <c r="T418" s="820"/>
      <c r="U418" s="819"/>
      <c r="V418" s="820"/>
      <c r="W418" s="788"/>
      <c r="X418" s="803"/>
      <c r="Y418" s="803"/>
      <c r="Z418" s="803"/>
      <c r="AA418" s="711"/>
      <c r="AB418" s="711"/>
      <c r="AC418" s="711"/>
      <c r="AD418" s="736"/>
      <c r="AE418" s="736"/>
      <c r="AF418" s="624"/>
      <c r="AG418" s="624"/>
      <c r="AH418" s="624"/>
      <c r="AI418" s="624"/>
      <c r="AJ418" s="660">
        <f t="shared" si="6"/>
        <v>418</v>
      </c>
      <c r="AK418" s="676">
        <v>0.9315</v>
      </c>
      <c r="AL418" s="662">
        <v>55421.0</v>
      </c>
      <c r="AM418" s="677">
        <v>-0.9312544309826407</v>
      </c>
      <c r="AN418" s="678">
        <v>-0.0685</v>
      </c>
      <c r="AO418" s="662">
        <v>55421.0</v>
      </c>
      <c r="AP418" s="679">
        <v>-0.9267735154900757</v>
      </c>
      <c r="AQ418" s="662">
        <v>55421.0</v>
      </c>
      <c r="AR418" s="680">
        <v>-0.922227169693296</v>
      </c>
      <c r="AS418" s="624"/>
      <c r="AT418" s="624"/>
      <c r="AU418" s="624"/>
      <c r="AV418" s="624"/>
      <c r="AW418" s="624"/>
      <c r="AX418" s="624"/>
      <c r="AY418" s="624"/>
      <c r="AZ418" s="624"/>
      <c r="BA418" s="624"/>
      <c r="BB418" s="624"/>
      <c r="BC418" s="624"/>
      <c r="BD418" s="624"/>
      <c r="BE418" s="624"/>
    </row>
    <row r="419" ht="16.5" customHeight="1">
      <c r="A419" s="711"/>
      <c r="B419" s="711"/>
      <c r="C419" s="711"/>
      <c r="D419" s="711"/>
      <c r="E419" s="711"/>
      <c r="F419" s="711"/>
      <c r="G419" s="711"/>
      <c r="H419" s="711"/>
      <c r="I419" s="711"/>
      <c r="J419" s="711"/>
      <c r="K419" s="741"/>
      <c r="L419" s="741"/>
      <c r="M419" s="788"/>
      <c r="N419" s="741"/>
      <c r="O419" s="741"/>
      <c r="P419" s="741"/>
      <c r="Q419" s="741"/>
      <c r="R419" s="788"/>
      <c r="S419" s="819"/>
      <c r="T419" s="820"/>
      <c r="U419" s="819"/>
      <c r="V419" s="820"/>
      <c r="W419" s="788"/>
      <c r="X419" s="803"/>
      <c r="Y419" s="803"/>
      <c r="Z419" s="803"/>
      <c r="AA419" s="711"/>
      <c r="AB419" s="711"/>
      <c r="AC419" s="711"/>
      <c r="AD419" s="736"/>
      <c r="AE419" s="736"/>
      <c r="AF419" s="624"/>
      <c r="AG419" s="624"/>
      <c r="AH419" s="624"/>
      <c r="AI419" s="624"/>
      <c r="AJ419" s="660">
        <f t="shared" si="6"/>
        <v>419</v>
      </c>
      <c r="AK419" s="676">
        <v>0.9675</v>
      </c>
      <c r="AL419" s="662">
        <v>55406.0</v>
      </c>
      <c r="AM419" s="677">
        <v>-0.9312045972994163</v>
      </c>
      <c r="AN419" s="678">
        <v>-0.03249999999999997</v>
      </c>
      <c r="AO419" s="662">
        <v>55406.0</v>
      </c>
      <c r="AP419" s="679">
        <v>-0.9267216859644507</v>
      </c>
      <c r="AQ419" s="662">
        <v>55406.0</v>
      </c>
      <c r="AR419" s="680">
        <v>-0.9221733910874124</v>
      </c>
      <c r="AS419" s="624"/>
      <c r="AT419" s="624"/>
      <c r="AU419" s="624"/>
      <c r="AV419" s="624"/>
      <c r="AW419" s="624"/>
      <c r="AX419" s="624"/>
      <c r="AY419" s="624"/>
      <c r="AZ419" s="624"/>
      <c r="BA419" s="624"/>
      <c r="BB419" s="624"/>
      <c r="BC419" s="624"/>
      <c r="BD419" s="624"/>
      <c r="BE419" s="624"/>
    </row>
    <row r="420" ht="16.5" customHeight="1">
      <c r="A420" s="711"/>
      <c r="B420" s="711"/>
      <c r="C420" s="711"/>
      <c r="D420" s="711"/>
      <c r="E420" s="711"/>
      <c r="F420" s="711"/>
      <c r="G420" s="711"/>
      <c r="H420" s="711"/>
      <c r="I420" s="711"/>
      <c r="J420" s="711"/>
      <c r="K420" s="741"/>
      <c r="L420" s="741"/>
      <c r="M420" s="788"/>
      <c r="N420" s="741"/>
      <c r="O420" s="741"/>
      <c r="P420" s="741"/>
      <c r="Q420" s="741"/>
      <c r="R420" s="788"/>
      <c r="S420" s="819"/>
      <c r="T420" s="820"/>
      <c r="U420" s="819"/>
      <c r="V420" s="820"/>
      <c r="W420" s="788"/>
      <c r="X420" s="803"/>
      <c r="Y420" s="803"/>
      <c r="Z420" s="803"/>
      <c r="AA420" s="711"/>
      <c r="AB420" s="711"/>
      <c r="AC420" s="711"/>
      <c r="AD420" s="736"/>
      <c r="AE420" s="736"/>
      <c r="AF420" s="624"/>
      <c r="AG420" s="624"/>
      <c r="AH420" s="624"/>
      <c r="AI420" s="624"/>
      <c r="AJ420" s="660">
        <f t="shared" si="6"/>
        <v>420</v>
      </c>
      <c r="AK420" s="676">
        <v>0.9433</v>
      </c>
      <c r="AL420" s="662">
        <v>55355.0</v>
      </c>
      <c r="AM420" s="677">
        <v>-0.9310348924088145</v>
      </c>
      <c r="AN420" s="678">
        <v>-0.05669999999999997</v>
      </c>
      <c r="AO420" s="662">
        <v>55355.0</v>
      </c>
      <c r="AP420" s="679">
        <v>-0.9265451910195255</v>
      </c>
      <c r="AQ420" s="662">
        <v>55355.0</v>
      </c>
      <c r="AR420" s="680">
        <v>-0.9219902655147165</v>
      </c>
      <c r="AS420" s="624"/>
      <c r="AT420" s="624"/>
      <c r="AU420" s="624"/>
      <c r="AV420" s="624"/>
      <c r="AW420" s="624"/>
      <c r="AX420" s="624"/>
      <c r="AY420" s="624"/>
      <c r="AZ420" s="624"/>
      <c r="BA420" s="624"/>
      <c r="BB420" s="624"/>
      <c r="BC420" s="624"/>
      <c r="BD420" s="624"/>
      <c r="BE420" s="624"/>
    </row>
    <row r="421" ht="16.5" customHeight="1">
      <c r="A421" s="711"/>
      <c r="B421" s="711"/>
      <c r="C421" s="711"/>
      <c r="D421" s="711"/>
      <c r="E421" s="711"/>
      <c r="F421" s="711"/>
      <c r="G421" s="711"/>
      <c r="H421" s="711"/>
      <c r="I421" s="711"/>
      <c r="J421" s="711"/>
      <c r="K421" s="741"/>
      <c r="L421" s="741"/>
      <c r="M421" s="788"/>
      <c r="N421" s="741"/>
      <c r="O421" s="741"/>
      <c r="P421" s="741"/>
      <c r="Q421" s="741"/>
      <c r="R421" s="788"/>
      <c r="S421" s="819"/>
      <c r="T421" s="820"/>
      <c r="U421" s="819"/>
      <c r="V421" s="820"/>
      <c r="W421" s="788"/>
      <c r="X421" s="803"/>
      <c r="Y421" s="803"/>
      <c r="Z421" s="803"/>
      <c r="AA421" s="711"/>
      <c r="AB421" s="711"/>
      <c r="AC421" s="711"/>
      <c r="AD421" s="736"/>
      <c r="AE421" s="736"/>
      <c r="AF421" s="624"/>
      <c r="AG421" s="624"/>
      <c r="AH421" s="624"/>
      <c r="AI421" s="624"/>
      <c r="AJ421" s="660">
        <f t="shared" si="6"/>
        <v>421</v>
      </c>
      <c r="AK421" s="676">
        <v>0.967</v>
      </c>
      <c r="AL421" s="662">
        <v>55300.0</v>
      </c>
      <c r="AM421" s="677">
        <v>-0.9308514081334218</v>
      </c>
      <c r="AN421" s="678">
        <v>-0.03300000000000003</v>
      </c>
      <c r="AO421" s="662">
        <v>55300.0</v>
      </c>
      <c r="AP421" s="679">
        <v>-0.9263543768868058</v>
      </c>
      <c r="AQ421" s="662">
        <v>55300.0</v>
      </c>
      <c r="AR421" s="680">
        <v>-0.9217922942102104</v>
      </c>
      <c r="AS421" s="624"/>
      <c r="AT421" s="624"/>
      <c r="AU421" s="624"/>
      <c r="AV421" s="624"/>
      <c r="AW421" s="624"/>
      <c r="AX421" s="624"/>
      <c r="AY421" s="624"/>
      <c r="AZ421" s="624"/>
      <c r="BA421" s="624"/>
      <c r="BB421" s="624"/>
      <c r="BC421" s="624"/>
      <c r="BD421" s="624"/>
      <c r="BE421" s="624"/>
    </row>
    <row r="422" ht="16.5" customHeight="1">
      <c r="A422" s="711"/>
      <c r="B422" s="711"/>
      <c r="C422" s="711"/>
      <c r="D422" s="711"/>
      <c r="E422" s="711"/>
      <c r="F422" s="711"/>
      <c r="G422" s="711"/>
      <c r="H422" s="711"/>
      <c r="I422" s="711"/>
      <c r="J422" s="711"/>
      <c r="K422" s="741"/>
      <c r="L422" s="741"/>
      <c r="M422" s="788"/>
      <c r="N422" s="741"/>
      <c r="O422" s="741"/>
      <c r="P422" s="741"/>
      <c r="Q422" s="741"/>
      <c r="R422" s="788"/>
      <c r="S422" s="819"/>
      <c r="T422" s="820"/>
      <c r="U422" s="819"/>
      <c r="V422" s="820"/>
      <c r="W422" s="788"/>
      <c r="X422" s="803"/>
      <c r="Y422" s="803"/>
      <c r="Z422" s="803"/>
      <c r="AA422" s="711"/>
      <c r="AB422" s="711"/>
      <c r="AC422" s="711"/>
      <c r="AD422" s="736"/>
      <c r="AE422" s="736"/>
      <c r="AF422" s="624"/>
      <c r="AG422" s="624"/>
      <c r="AH422" s="624"/>
      <c r="AI422" s="624"/>
      <c r="AJ422" s="660">
        <f t="shared" si="6"/>
        <v>422</v>
      </c>
      <c r="AK422" s="676">
        <v>0.9522</v>
      </c>
      <c r="AL422" s="662">
        <v>55201.0</v>
      </c>
      <c r="AM422" s="677">
        <v>-0.9305199053845852</v>
      </c>
      <c r="AN422" s="678">
        <v>-0.047799999999999954</v>
      </c>
      <c r="AO422" s="662">
        <v>55201.0</v>
      </c>
      <c r="AP422" s="679">
        <v>-0.9260096614707293</v>
      </c>
      <c r="AQ422" s="662">
        <v>55201.0</v>
      </c>
      <c r="AR422" s="680">
        <v>-0.9214346789397463</v>
      </c>
      <c r="AS422" s="624"/>
      <c r="AT422" s="624"/>
      <c r="AU422" s="624"/>
      <c r="AV422" s="624"/>
      <c r="AW422" s="624"/>
      <c r="AX422" s="624"/>
      <c r="AY422" s="624"/>
      <c r="AZ422" s="624"/>
      <c r="BA422" s="624"/>
      <c r="BB422" s="624"/>
      <c r="BC422" s="624"/>
      <c r="BD422" s="624"/>
      <c r="BE422" s="624"/>
    </row>
    <row r="423" ht="16.5" customHeight="1">
      <c r="A423" s="711"/>
      <c r="B423" s="711"/>
      <c r="C423" s="711"/>
      <c r="D423" s="711"/>
      <c r="E423" s="711"/>
      <c r="F423" s="711"/>
      <c r="G423" s="711"/>
      <c r="H423" s="711"/>
      <c r="I423" s="711"/>
      <c r="J423" s="711"/>
      <c r="K423" s="741"/>
      <c r="L423" s="741"/>
      <c r="M423" s="788"/>
      <c r="N423" s="741"/>
      <c r="O423" s="741"/>
      <c r="P423" s="741"/>
      <c r="Q423" s="741"/>
      <c r="R423" s="788"/>
      <c r="S423" s="819"/>
      <c r="T423" s="820"/>
      <c r="U423" s="819"/>
      <c r="V423" s="820"/>
      <c r="W423" s="788"/>
      <c r="X423" s="803"/>
      <c r="Y423" s="803"/>
      <c r="Z423" s="803"/>
      <c r="AA423" s="711"/>
      <c r="AB423" s="711"/>
      <c r="AC423" s="711"/>
      <c r="AD423" s="736"/>
      <c r="AE423" s="736"/>
      <c r="AF423" s="624"/>
      <c r="AG423" s="624"/>
      <c r="AH423" s="624"/>
      <c r="AI423" s="624"/>
      <c r="AJ423" s="660">
        <f t="shared" si="6"/>
        <v>423</v>
      </c>
      <c r="AK423" s="676">
        <v>0.9148</v>
      </c>
      <c r="AL423" s="662">
        <v>55125.0</v>
      </c>
      <c r="AM423" s="677">
        <v>-0.9302643405192204</v>
      </c>
      <c r="AN423" s="678">
        <v>-0.08520000000000005</v>
      </c>
      <c r="AO423" s="662">
        <v>55125.0</v>
      </c>
      <c r="AP423" s="679">
        <v>-0.9257439370734553</v>
      </c>
      <c r="AQ423" s="662">
        <v>55125.0</v>
      </c>
      <c r="AR423" s="680">
        <v>-0.9211590368805416</v>
      </c>
      <c r="AS423" s="624"/>
      <c r="AT423" s="624"/>
      <c r="AU423" s="624"/>
      <c r="AV423" s="624"/>
      <c r="AW423" s="624"/>
      <c r="AX423" s="624"/>
      <c r="AY423" s="624"/>
      <c r="AZ423" s="624"/>
      <c r="BA423" s="624"/>
      <c r="BB423" s="624"/>
      <c r="BC423" s="624"/>
      <c r="BD423" s="624"/>
      <c r="BE423" s="624"/>
    </row>
    <row r="424" ht="16.5" customHeight="1">
      <c r="A424" s="711"/>
      <c r="B424" s="711"/>
      <c r="C424" s="711"/>
      <c r="D424" s="711"/>
      <c r="E424" s="711"/>
      <c r="F424" s="711"/>
      <c r="G424" s="711"/>
      <c r="H424" s="711"/>
      <c r="I424" s="711"/>
      <c r="J424" s="711"/>
      <c r="K424" s="741"/>
      <c r="L424" s="741"/>
      <c r="M424" s="788"/>
      <c r="N424" s="741"/>
      <c r="O424" s="741"/>
      <c r="P424" s="741"/>
      <c r="Q424" s="741"/>
      <c r="R424" s="788"/>
      <c r="S424" s="819"/>
      <c r="T424" s="820"/>
      <c r="U424" s="819"/>
      <c r="V424" s="820"/>
      <c r="W424" s="788"/>
      <c r="X424" s="803"/>
      <c r="Y424" s="803"/>
      <c r="Z424" s="803"/>
      <c r="AA424" s="711"/>
      <c r="AB424" s="711"/>
      <c r="AC424" s="711"/>
      <c r="AD424" s="736"/>
      <c r="AE424" s="736"/>
      <c r="AF424" s="624"/>
      <c r="AG424" s="624"/>
      <c r="AH424" s="624"/>
      <c r="AI424" s="624"/>
      <c r="AJ424" s="660">
        <f t="shared" si="6"/>
        <v>424</v>
      </c>
      <c r="AK424" s="676">
        <v>0.967</v>
      </c>
      <c r="AL424" s="662">
        <v>55071.0</v>
      </c>
      <c r="AM424" s="677">
        <v>-0.9300821839152633</v>
      </c>
      <c r="AN424" s="678">
        <v>-0.03300000000000003</v>
      </c>
      <c r="AO424" s="662">
        <v>55071.0</v>
      </c>
      <c r="AP424" s="679">
        <v>-0.9255545531775848</v>
      </c>
      <c r="AQ424" s="662">
        <v>55071.0</v>
      </c>
      <c r="AR424" s="680">
        <v>-0.9209625984636771</v>
      </c>
      <c r="AS424" s="624"/>
      <c r="AT424" s="624"/>
      <c r="AU424" s="624"/>
      <c r="AV424" s="624"/>
      <c r="AW424" s="624"/>
      <c r="AX424" s="624"/>
      <c r="AY424" s="624"/>
      <c r="AZ424" s="624"/>
      <c r="BA424" s="624"/>
      <c r="BB424" s="624"/>
      <c r="BC424" s="624"/>
      <c r="BD424" s="624"/>
      <c r="BE424" s="624"/>
    </row>
    <row r="425" ht="16.5" customHeight="1">
      <c r="A425" s="711"/>
      <c r="B425" s="711"/>
      <c r="C425" s="711"/>
      <c r="D425" s="711"/>
      <c r="E425" s="711"/>
      <c r="F425" s="711"/>
      <c r="G425" s="711"/>
      <c r="H425" s="711"/>
      <c r="I425" s="711"/>
      <c r="J425" s="711"/>
      <c r="K425" s="741"/>
      <c r="L425" s="741"/>
      <c r="M425" s="788"/>
      <c r="N425" s="741"/>
      <c r="O425" s="741"/>
      <c r="P425" s="741"/>
      <c r="Q425" s="741"/>
      <c r="R425" s="788"/>
      <c r="S425" s="819"/>
      <c r="T425" s="820"/>
      <c r="U425" s="819"/>
      <c r="V425" s="820"/>
      <c r="W425" s="788"/>
      <c r="X425" s="803"/>
      <c r="Y425" s="803"/>
      <c r="Z425" s="803"/>
      <c r="AA425" s="711"/>
      <c r="AB425" s="711"/>
      <c r="AC425" s="711"/>
      <c r="AD425" s="736"/>
      <c r="AE425" s="736"/>
      <c r="AF425" s="624"/>
      <c r="AG425" s="624"/>
      <c r="AH425" s="624"/>
      <c r="AI425" s="624"/>
      <c r="AJ425" s="660">
        <f t="shared" si="6"/>
        <v>425</v>
      </c>
      <c r="AK425" s="676">
        <v>0.9746</v>
      </c>
      <c r="AL425" s="662">
        <v>54765.0</v>
      </c>
      <c r="AM425" s="677">
        <v>-0.9290409390026582</v>
      </c>
      <c r="AN425" s="678">
        <v>-0.025399999999999978</v>
      </c>
      <c r="AO425" s="662">
        <v>54765.0</v>
      </c>
      <c r="AP425" s="679">
        <v>-0.9244722180059107</v>
      </c>
      <c r="AQ425" s="662">
        <v>54765.0</v>
      </c>
      <c r="AR425" s="680">
        <v>-0.9198401665120609</v>
      </c>
      <c r="AS425" s="624"/>
      <c r="AT425" s="624"/>
      <c r="AU425" s="624"/>
      <c r="AV425" s="624"/>
      <c r="AW425" s="624"/>
      <c r="AX425" s="624"/>
      <c r="AY425" s="624"/>
      <c r="AZ425" s="624"/>
      <c r="BA425" s="624"/>
      <c r="BB425" s="624"/>
      <c r="BC425" s="624"/>
      <c r="BD425" s="624"/>
      <c r="BE425" s="624"/>
    </row>
    <row r="426" ht="16.5" customHeight="1">
      <c r="A426" s="711"/>
      <c r="B426" s="711"/>
      <c r="C426" s="711"/>
      <c r="D426" s="711"/>
      <c r="E426" s="711"/>
      <c r="F426" s="711"/>
      <c r="G426" s="711"/>
      <c r="H426" s="711"/>
      <c r="I426" s="711"/>
      <c r="J426" s="711"/>
      <c r="K426" s="741"/>
      <c r="L426" s="741"/>
      <c r="M426" s="788"/>
      <c r="N426" s="741"/>
      <c r="O426" s="741"/>
      <c r="P426" s="741"/>
      <c r="Q426" s="741"/>
      <c r="R426" s="788"/>
      <c r="S426" s="819"/>
      <c r="T426" s="820"/>
      <c r="U426" s="819"/>
      <c r="V426" s="820"/>
      <c r="W426" s="788"/>
      <c r="X426" s="803"/>
      <c r="Y426" s="803"/>
      <c r="Z426" s="803"/>
      <c r="AA426" s="711"/>
      <c r="AB426" s="711"/>
      <c r="AC426" s="711"/>
      <c r="AD426" s="736"/>
      <c r="AE426" s="736"/>
      <c r="AF426" s="624"/>
      <c r="AG426" s="624"/>
      <c r="AH426" s="624"/>
      <c r="AI426" s="624"/>
      <c r="AJ426" s="660">
        <f t="shared" si="6"/>
        <v>426</v>
      </c>
      <c r="AK426" s="676">
        <v>0.9568</v>
      </c>
      <c r="AL426" s="662">
        <v>54757.0</v>
      </c>
      <c r="AM426" s="677">
        <v>-0.9290135099110022</v>
      </c>
      <c r="AN426" s="678">
        <v>-0.043200000000000016</v>
      </c>
      <c r="AO426" s="662">
        <v>54757.0</v>
      </c>
      <c r="AP426" s="679">
        <v>-0.9244437115778686</v>
      </c>
      <c r="AQ426" s="662">
        <v>54757.0</v>
      </c>
      <c r="AR426" s="680">
        <v>-0.9198106090516701</v>
      </c>
      <c r="AS426" s="624"/>
      <c r="AT426" s="624"/>
      <c r="AU426" s="624"/>
      <c r="AV426" s="624"/>
      <c r="AW426" s="624"/>
      <c r="AX426" s="624"/>
      <c r="AY426" s="624"/>
      <c r="AZ426" s="624"/>
      <c r="BA426" s="624"/>
      <c r="BB426" s="624"/>
      <c r="BC426" s="624"/>
      <c r="BD426" s="624"/>
      <c r="BE426" s="624"/>
    </row>
    <row r="427" ht="16.5" customHeight="1">
      <c r="A427" s="711"/>
      <c r="B427" s="711"/>
      <c r="C427" s="711"/>
      <c r="D427" s="711"/>
      <c r="E427" s="711"/>
      <c r="F427" s="711"/>
      <c r="G427" s="711"/>
      <c r="H427" s="711"/>
      <c r="I427" s="711"/>
      <c r="J427" s="711"/>
      <c r="K427" s="741"/>
      <c r="L427" s="741"/>
      <c r="M427" s="788"/>
      <c r="N427" s="741"/>
      <c r="O427" s="741"/>
      <c r="P427" s="741"/>
      <c r="Q427" s="741"/>
      <c r="R427" s="788"/>
      <c r="S427" s="819"/>
      <c r="T427" s="820"/>
      <c r="U427" s="819"/>
      <c r="V427" s="820"/>
      <c r="W427" s="788"/>
      <c r="X427" s="803"/>
      <c r="Y427" s="803"/>
      <c r="Z427" s="803"/>
      <c r="AA427" s="711"/>
      <c r="AB427" s="711"/>
      <c r="AC427" s="711"/>
      <c r="AD427" s="736"/>
      <c r="AE427" s="736"/>
      <c r="AF427" s="624"/>
      <c r="AG427" s="624"/>
      <c r="AH427" s="624"/>
      <c r="AI427" s="624"/>
      <c r="AJ427" s="660">
        <f t="shared" si="6"/>
        <v>427</v>
      </c>
      <c r="AK427" s="676">
        <v>0.9624</v>
      </c>
      <c r="AL427" s="662">
        <v>54700.0</v>
      </c>
      <c r="AM427" s="677">
        <v>-0.9288177704932117</v>
      </c>
      <c r="AN427" s="678">
        <v>-0.03759999999999997</v>
      </c>
      <c r="AO427" s="662">
        <v>54700.0</v>
      </c>
      <c r="AP427" s="679">
        <v>-0.9242402916103586</v>
      </c>
      <c r="AQ427" s="662">
        <v>54700.0</v>
      </c>
      <c r="AR427" s="680">
        <v>-0.9195996964405215</v>
      </c>
      <c r="AS427" s="624"/>
      <c r="AT427" s="624"/>
      <c r="AU427" s="624"/>
      <c r="AV427" s="624"/>
      <c r="AW427" s="624"/>
      <c r="AX427" s="624"/>
      <c r="AY427" s="624"/>
      <c r="AZ427" s="624"/>
      <c r="BA427" s="624"/>
      <c r="BB427" s="624"/>
      <c r="BC427" s="624"/>
      <c r="BD427" s="624"/>
      <c r="BE427" s="624"/>
    </row>
    <row r="428" ht="16.5" customHeight="1">
      <c r="A428" s="711"/>
      <c r="B428" s="711"/>
      <c r="C428" s="711"/>
      <c r="D428" s="711"/>
      <c r="E428" s="711"/>
      <c r="F428" s="711"/>
      <c r="G428" s="711"/>
      <c r="H428" s="711"/>
      <c r="I428" s="711"/>
      <c r="J428" s="711"/>
      <c r="K428" s="741"/>
      <c r="L428" s="741"/>
      <c r="M428" s="788"/>
      <c r="N428" s="741"/>
      <c r="O428" s="741"/>
      <c r="P428" s="741"/>
      <c r="Q428" s="741"/>
      <c r="R428" s="788"/>
      <c r="S428" s="819"/>
      <c r="T428" s="820"/>
      <c r="U428" s="819"/>
      <c r="V428" s="820"/>
      <c r="W428" s="788"/>
      <c r="X428" s="803"/>
      <c r="Y428" s="803"/>
      <c r="Z428" s="803"/>
      <c r="AA428" s="711"/>
      <c r="AB428" s="711"/>
      <c r="AC428" s="711"/>
      <c r="AD428" s="736"/>
      <c r="AE428" s="736"/>
      <c r="AF428" s="624"/>
      <c r="AG428" s="624"/>
      <c r="AH428" s="624"/>
      <c r="AI428" s="624"/>
      <c r="AJ428" s="660">
        <f t="shared" si="6"/>
        <v>428</v>
      </c>
      <c r="AK428" s="676">
        <v>0.9593</v>
      </c>
      <c r="AL428" s="662">
        <v>54475.0</v>
      </c>
      <c r="AM428" s="677">
        <v>-0.9280398303308921</v>
      </c>
      <c r="AN428" s="678">
        <v>-0.04069999999999996</v>
      </c>
      <c r="AO428" s="662">
        <v>54475.0</v>
      </c>
      <c r="AP428" s="679">
        <v>-0.923431956173198</v>
      </c>
      <c r="AQ428" s="662">
        <v>54475.0</v>
      </c>
      <c r="AR428" s="680">
        <v>-0.9187617158782829</v>
      </c>
      <c r="AS428" s="624"/>
      <c r="AT428" s="624"/>
      <c r="AU428" s="624"/>
      <c r="AV428" s="624"/>
      <c r="AW428" s="624"/>
      <c r="AX428" s="624"/>
      <c r="AY428" s="624"/>
      <c r="AZ428" s="624"/>
      <c r="BA428" s="624"/>
      <c r="BB428" s="624"/>
      <c r="BC428" s="624"/>
      <c r="BD428" s="624"/>
      <c r="BE428" s="624"/>
    </row>
    <row r="429" ht="16.5" customHeight="1">
      <c r="A429" s="711"/>
      <c r="B429" s="711"/>
      <c r="C429" s="711"/>
      <c r="D429" s="711"/>
      <c r="E429" s="711"/>
      <c r="F429" s="711"/>
      <c r="G429" s="711"/>
      <c r="H429" s="711"/>
      <c r="I429" s="711"/>
      <c r="J429" s="711"/>
      <c r="K429" s="741"/>
      <c r="L429" s="741"/>
      <c r="M429" s="788"/>
      <c r="N429" s="741"/>
      <c r="O429" s="741"/>
      <c r="P429" s="741"/>
      <c r="Q429" s="741"/>
      <c r="R429" s="788"/>
      <c r="S429" s="819"/>
      <c r="T429" s="820"/>
      <c r="U429" s="819"/>
      <c r="V429" s="820"/>
      <c r="W429" s="788"/>
      <c r="X429" s="803"/>
      <c r="Y429" s="803"/>
      <c r="Z429" s="803"/>
      <c r="AA429" s="711"/>
      <c r="AB429" s="711"/>
      <c r="AC429" s="711"/>
      <c r="AD429" s="736"/>
      <c r="AE429" s="736"/>
      <c r="AF429" s="624"/>
      <c r="AG429" s="624"/>
      <c r="AH429" s="624"/>
      <c r="AI429" s="624"/>
      <c r="AJ429" s="660">
        <f t="shared" si="6"/>
        <v>429</v>
      </c>
      <c r="AK429" s="676">
        <v>0.9424</v>
      </c>
      <c r="AL429" s="662">
        <v>54432.0</v>
      </c>
      <c r="AM429" s="677">
        <v>-0.9278901924856944</v>
      </c>
      <c r="AN429" s="678">
        <v>-0.057599999999999985</v>
      </c>
      <c r="AO429" s="662">
        <v>54432.0</v>
      </c>
      <c r="AP429" s="679">
        <v>-0.9232764954581023</v>
      </c>
      <c r="AQ429" s="662">
        <v>54432.0</v>
      </c>
      <c r="AR429" s="680">
        <v>-0.9186005771891185</v>
      </c>
      <c r="AS429" s="624"/>
      <c r="AT429" s="624"/>
      <c r="AU429" s="624"/>
      <c r="AV429" s="624"/>
      <c r="AW429" s="624"/>
      <c r="AX429" s="624"/>
      <c r="AY429" s="624"/>
      <c r="AZ429" s="624"/>
      <c r="BA429" s="624"/>
      <c r="BB429" s="624"/>
      <c r="BC429" s="624"/>
      <c r="BD429" s="624"/>
      <c r="BE429" s="624"/>
    </row>
    <row r="430" ht="16.5" customHeight="1">
      <c r="A430" s="711"/>
      <c r="B430" s="711"/>
      <c r="C430" s="711"/>
      <c r="D430" s="711"/>
      <c r="E430" s="711"/>
      <c r="F430" s="711"/>
      <c r="G430" s="711"/>
      <c r="H430" s="711"/>
      <c r="I430" s="711"/>
      <c r="J430" s="711"/>
      <c r="K430" s="741"/>
      <c r="L430" s="741"/>
      <c r="M430" s="788"/>
      <c r="N430" s="741"/>
      <c r="O430" s="741"/>
      <c r="P430" s="741"/>
      <c r="Q430" s="741"/>
      <c r="R430" s="788"/>
      <c r="S430" s="819"/>
      <c r="T430" s="820"/>
      <c r="U430" s="819"/>
      <c r="V430" s="820"/>
      <c r="W430" s="788"/>
      <c r="X430" s="803"/>
      <c r="Y430" s="803"/>
      <c r="Z430" s="803"/>
      <c r="AA430" s="711"/>
      <c r="AB430" s="711"/>
      <c r="AC430" s="711"/>
      <c r="AD430" s="736"/>
      <c r="AE430" s="736"/>
      <c r="AF430" s="624"/>
      <c r="AG430" s="624"/>
      <c r="AH430" s="624"/>
      <c r="AI430" s="624"/>
      <c r="AJ430" s="660">
        <f t="shared" si="6"/>
        <v>430</v>
      </c>
      <c r="AK430" s="676">
        <v>0.9083</v>
      </c>
      <c r="AL430" s="662">
        <v>54401.0</v>
      </c>
      <c r="AM430" s="677">
        <v>-0.9277821210498444</v>
      </c>
      <c r="AN430" s="678">
        <v>-0.0917</v>
      </c>
      <c r="AO430" s="662">
        <v>54401.0</v>
      </c>
      <c r="AP430" s="679">
        <v>-0.9231642233621506</v>
      </c>
      <c r="AQ430" s="662">
        <v>54401.0</v>
      </c>
      <c r="AR430" s="680">
        <v>-0.9184842091991863</v>
      </c>
      <c r="AS430" s="624"/>
      <c r="AT430" s="624"/>
      <c r="AU430" s="624"/>
      <c r="AV430" s="624"/>
      <c r="AW430" s="624"/>
      <c r="AX430" s="624"/>
      <c r="AY430" s="624"/>
      <c r="AZ430" s="624"/>
      <c r="BA430" s="624"/>
      <c r="BB430" s="624"/>
      <c r="BC430" s="624"/>
      <c r="BD430" s="624"/>
      <c r="BE430" s="624"/>
    </row>
    <row r="431" ht="16.5" customHeight="1">
      <c r="A431" s="711"/>
      <c r="B431" s="711"/>
      <c r="C431" s="711"/>
      <c r="D431" s="711"/>
      <c r="E431" s="711"/>
      <c r="F431" s="711"/>
      <c r="G431" s="711"/>
      <c r="H431" s="711"/>
      <c r="I431" s="711"/>
      <c r="J431" s="711"/>
      <c r="K431" s="741"/>
      <c r="L431" s="741"/>
      <c r="M431" s="788"/>
      <c r="N431" s="741"/>
      <c r="O431" s="741"/>
      <c r="P431" s="741"/>
      <c r="Q431" s="741"/>
      <c r="R431" s="788"/>
      <c r="S431" s="819"/>
      <c r="T431" s="820"/>
      <c r="U431" s="819"/>
      <c r="V431" s="820"/>
      <c r="W431" s="788"/>
      <c r="X431" s="803"/>
      <c r="Y431" s="803"/>
      <c r="Z431" s="803"/>
      <c r="AA431" s="711"/>
      <c r="AB431" s="711"/>
      <c r="AC431" s="711"/>
      <c r="AD431" s="736"/>
      <c r="AE431" s="736"/>
      <c r="AF431" s="624"/>
      <c r="AG431" s="624"/>
      <c r="AH431" s="624"/>
      <c r="AI431" s="624"/>
      <c r="AJ431" s="660">
        <f t="shared" si="6"/>
        <v>431</v>
      </c>
      <c r="AK431" s="676">
        <v>0.9675</v>
      </c>
      <c r="AL431" s="662">
        <v>54180.0</v>
      </c>
      <c r="AM431" s="677">
        <v>-0.9270069687228827</v>
      </c>
      <c r="AN431" s="678">
        <v>-0.03249999999999997</v>
      </c>
      <c r="AO431" s="662">
        <v>54180.0</v>
      </c>
      <c r="AP431" s="679">
        <v>-0.9223590571866905</v>
      </c>
      <c r="AQ431" s="662">
        <v>54180.0</v>
      </c>
      <c r="AR431" s="680">
        <v>-0.9176497835172036</v>
      </c>
      <c r="AS431" s="624"/>
      <c r="AT431" s="624"/>
      <c r="AU431" s="624"/>
      <c r="AV431" s="624"/>
      <c r="AW431" s="624"/>
      <c r="AX431" s="624"/>
      <c r="AY431" s="624"/>
      <c r="AZ431" s="624"/>
      <c r="BA431" s="624"/>
      <c r="BB431" s="624"/>
      <c r="BC431" s="624"/>
      <c r="BD431" s="624"/>
      <c r="BE431" s="624"/>
    </row>
    <row r="432" ht="16.5" customHeight="1">
      <c r="A432" s="711"/>
      <c r="B432" s="711"/>
      <c r="C432" s="711"/>
      <c r="D432" s="711"/>
      <c r="E432" s="711"/>
      <c r="F432" s="711"/>
      <c r="G432" s="711"/>
      <c r="H432" s="711"/>
      <c r="I432" s="711"/>
      <c r="J432" s="711"/>
      <c r="K432" s="741"/>
      <c r="L432" s="741"/>
      <c r="M432" s="788"/>
      <c r="N432" s="741"/>
      <c r="O432" s="741"/>
      <c r="P432" s="741"/>
      <c r="Q432" s="741"/>
      <c r="R432" s="788"/>
      <c r="S432" s="819"/>
      <c r="T432" s="820"/>
      <c r="U432" s="819"/>
      <c r="V432" s="820"/>
      <c r="W432" s="788"/>
      <c r="X432" s="803"/>
      <c r="Y432" s="803"/>
      <c r="Z432" s="803"/>
      <c r="AA432" s="711"/>
      <c r="AB432" s="711"/>
      <c r="AC432" s="711"/>
      <c r="AD432" s="736"/>
      <c r="AE432" s="736"/>
      <c r="AF432" s="624"/>
      <c r="AG432" s="624"/>
      <c r="AH432" s="624"/>
      <c r="AI432" s="624"/>
      <c r="AJ432" s="660">
        <f t="shared" si="6"/>
        <v>432</v>
      </c>
      <c r="AK432" s="676">
        <v>0.8824</v>
      </c>
      <c r="AL432" s="662">
        <v>54100.0</v>
      </c>
      <c r="AM432" s="677">
        <v>-0.9267243242301496</v>
      </c>
      <c r="AN432" s="678">
        <v>-0.11760000000000004</v>
      </c>
      <c r="AO432" s="662">
        <v>54100.0</v>
      </c>
      <c r="AP432" s="679">
        <v>-0.9220655189995233</v>
      </c>
      <c r="AQ432" s="662">
        <v>54100.0</v>
      </c>
      <c r="AR432" s="680">
        <v>-0.9173456279381077</v>
      </c>
      <c r="AS432" s="624"/>
      <c r="AT432" s="624"/>
      <c r="AU432" s="624"/>
      <c r="AV432" s="624"/>
      <c r="AW432" s="624"/>
      <c r="AX432" s="624"/>
      <c r="AY432" s="624"/>
      <c r="AZ432" s="624"/>
      <c r="BA432" s="624"/>
      <c r="BB432" s="624"/>
      <c r="BC432" s="624"/>
      <c r="BD432" s="624"/>
      <c r="BE432" s="624"/>
    </row>
    <row r="433" ht="16.5" customHeight="1">
      <c r="A433" s="711"/>
      <c r="B433" s="711"/>
      <c r="C433" s="711"/>
      <c r="D433" s="711"/>
      <c r="E433" s="711"/>
      <c r="F433" s="711"/>
      <c r="G433" s="711"/>
      <c r="H433" s="711"/>
      <c r="I433" s="711"/>
      <c r="J433" s="711"/>
      <c r="K433" s="741"/>
      <c r="L433" s="741"/>
      <c r="M433" s="788"/>
      <c r="N433" s="741"/>
      <c r="O433" s="741"/>
      <c r="P433" s="741"/>
      <c r="Q433" s="741"/>
      <c r="R433" s="788"/>
      <c r="S433" s="819"/>
      <c r="T433" s="820"/>
      <c r="U433" s="819"/>
      <c r="V433" s="820"/>
      <c r="W433" s="788"/>
      <c r="X433" s="803"/>
      <c r="Y433" s="803"/>
      <c r="Z433" s="803"/>
      <c r="AA433" s="711"/>
      <c r="AB433" s="711"/>
      <c r="AC433" s="711"/>
      <c r="AD433" s="736"/>
      <c r="AE433" s="736"/>
      <c r="AF433" s="624"/>
      <c r="AG433" s="624"/>
      <c r="AH433" s="624"/>
      <c r="AI433" s="624"/>
      <c r="AJ433" s="660">
        <f t="shared" si="6"/>
        <v>433</v>
      </c>
      <c r="AK433" s="676">
        <v>0.9449</v>
      </c>
      <c r="AL433" s="662">
        <v>54038.0</v>
      </c>
      <c r="AM433" s="677">
        <v>-0.9265045221837862</v>
      </c>
      <c r="AN433" s="678">
        <v>-0.05510000000000004</v>
      </c>
      <c r="AO433" s="662">
        <v>54038.0</v>
      </c>
      <c r="AP433" s="679">
        <v>-0.9218372637974316</v>
      </c>
      <c r="AQ433" s="662">
        <v>54038.0</v>
      </c>
      <c r="AR433" s="680">
        <v>-0.917109134903046</v>
      </c>
      <c r="AS433" s="624"/>
      <c r="AT433" s="624"/>
      <c r="AU433" s="624"/>
      <c r="AV433" s="624"/>
      <c r="AW433" s="624"/>
      <c r="AX433" s="624"/>
      <c r="AY433" s="624"/>
      <c r="AZ433" s="624"/>
      <c r="BA433" s="624"/>
      <c r="BB433" s="624"/>
      <c r="BC433" s="624"/>
      <c r="BD433" s="624"/>
      <c r="BE433" s="624"/>
    </row>
    <row r="434" ht="16.5" customHeight="1">
      <c r="A434" s="711"/>
      <c r="B434" s="711"/>
      <c r="C434" s="711"/>
      <c r="D434" s="711"/>
      <c r="E434" s="711"/>
      <c r="F434" s="711"/>
      <c r="G434" s="711"/>
      <c r="H434" s="711"/>
      <c r="I434" s="711"/>
      <c r="J434" s="711"/>
      <c r="K434" s="741"/>
      <c r="L434" s="741"/>
      <c r="M434" s="788"/>
      <c r="N434" s="741"/>
      <c r="O434" s="741"/>
      <c r="P434" s="741"/>
      <c r="Q434" s="741"/>
      <c r="R434" s="788"/>
      <c r="S434" s="819"/>
      <c r="T434" s="820"/>
      <c r="U434" s="819"/>
      <c r="V434" s="820"/>
      <c r="W434" s="788"/>
      <c r="X434" s="803"/>
      <c r="Y434" s="803"/>
      <c r="Z434" s="803"/>
      <c r="AA434" s="711"/>
      <c r="AB434" s="711"/>
      <c r="AC434" s="711"/>
      <c r="AD434" s="736"/>
      <c r="AE434" s="736"/>
      <c r="AF434" s="624"/>
      <c r="AG434" s="624"/>
      <c r="AH434" s="624"/>
      <c r="AI434" s="624"/>
      <c r="AJ434" s="660">
        <f t="shared" si="6"/>
        <v>434</v>
      </c>
      <c r="AK434" s="676">
        <v>0.9544</v>
      </c>
      <c r="AL434" s="662">
        <v>54000.0</v>
      </c>
      <c r="AM434" s="677">
        <v>-0.9263694790344229</v>
      </c>
      <c r="AN434" s="678">
        <v>-0.045599999999999974</v>
      </c>
      <c r="AO434" s="662">
        <v>54000.0</v>
      </c>
      <c r="AP434" s="679">
        <v>-0.9216970351406285</v>
      </c>
      <c r="AQ434" s="662">
        <v>54000.0</v>
      </c>
      <c r="AR434" s="680">
        <v>-0.9169638532247077</v>
      </c>
      <c r="AS434" s="624"/>
      <c r="AT434" s="624"/>
      <c r="AU434" s="624"/>
      <c r="AV434" s="624"/>
      <c r="AW434" s="624"/>
      <c r="AX434" s="624"/>
      <c r="AY434" s="624"/>
      <c r="AZ434" s="624"/>
      <c r="BA434" s="624"/>
      <c r="BB434" s="624"/>
      <c r="BC434" s="624"/>
      <c r="BD434" s="624"/>
      <c r="BE434" s="624"/>
    </row>
    <row r="435" ht="16.5" customHeight="1">
      <c r="A435" s="711"/>
      <c r="B435" s="711"/>
      <c r="C435" s="711"/>
      <c r="D435" s="711"/>
      <c r="E435" s="711"/>
      <c r="F435" s="711"/>
      <c r="G435" s="711"/>
      <c r="H435" s="711"/>
      <c r="I435" s="711"/>
      <c r="J435" s="711"/>
      <c r="K435" s="741"/>
      <c r="L435" s="741"/>
      <c r="M435" s="788"/>
      <c r="N435" s="741"/>
      <c r="O435" s="741"/>
      <c r="P435" s="741"/>
      <c r="Q435" s="741"/>
      <c r="R435" s="788"/>
      <c r="S435" s="819"/>
      <c r="T435" s="820"/>
      <c r="U435" s="819"/>
      <c r="V435" s="820"/>
      <c r="W435" s="788"/>
      <c r="X435" s="803"/>
      <c r="Y435" s="803"/>
      <c r="Z435" s="803"/>
      <c r="AA435" s="711"/>
      <c r="AB435" s="711"/>
      <c r="AC435" s="711"/>
      <c r="AD435" s="736"/>
      <c r="AE435" s="736"/>
      <c r="AF435" s="624"/>
      <c r="AG435" s="624"/>
      <c r="AH435" s="624"/>
      <c r="AI435" s="624"/>
      <c r="AJ435" s="660">
        <f t="shared" si="6"/>
        <v>435</v>
      </c>
      <c r="AK435" s="676">
        <v>0.9746</v>
      </c>
      <c r="AL435" s="662">
        <v>54000.0</v>
      </c>
      <c r="AM435" s="677">
        <v>-0.9263694790344229</v>
      </c>
      <c r="AN435" s="678">
        <v>-0.025399999999999978</v>
      </c>
      <c r="AO435" s="662">
        <v>54000.0</v>
      </c>
      <c r="AP435" s="679">
        <v>-0.9216970351406285</v>
      </c>
      <c r="AQ435" s="662">
        <v>54000.0</v>
      </c>
      <c r="AR435" s="680">
        <v>-0.9169638532247077</v>
      </c>
      <c r="AS435" s="624"/>
      <c r="AT435" s="624"/>
      <c r="AU435" s="624"/>
      <c r="AV435" s="624"/>
      <c r="AW435" s="624"/>
      <c r="AX435" s="624"/>
      <c r="AY435" s="624"/>
      <c r="AZ435" s="624"/>
      <c r="BA435" s="624"/>
      <c r="BB435" s="624"/>
      <c r="BC435" s="624"/>
      <c r="BD435" s="624"/>
      <c r="BE435" s="624"/>
    </row>
    <row r="436" ht="16.5" customHeight="1">
      <c r="A436" s="711"/>
      <c r="B436" s="711"/>
      <c r="C436" s="711"/>
      <c r="D436" s="711"/>
      <c r="E436" s="711"/>
      <c r="F436" s="711"/>
      <c r="G436" s="711"/>
      <c r="H436" s="711"/>
      <c r="I436" s="711"/>
      <c r="J436" s="711"/>
      <c r="K436" s="741"/>
      <c r="L436" s="741"/>
      <c r="M436" s="788"/>
      <c r="N436" s="741"/>
      <c r="O436" s="741"/>
      <c r="P436" s="741"/>
      <c r="Q436" s="741"/>
      <c r="R436" s="788"/>
      <c r="S436" s="819"/>
      <c r="T436" s="820"/>
      <c r="U436" s="819"/>
      <c r="V436" s="820"/>
      <c r="W436" s="788"/>
      <c r="X436" s="803"/>
      <c r="Y436" s="803"/>
      <c r="Z436" s="803"/>
      <c r="AA436" s="711"/>
      <c r="AB436" s="711"/>
      <c r="AC436" s="711"/>
      <c r="AD436" s="736"/>
      <c r="AE436" s="736"/>
      <c r="AF436" s="624"/>
      <c r="AG436" s="624"/>
      <c r="AH436" s="624"/>
      <c r="AI436" s="624"/>
      <c r="AJ436" s="660">
        <f t="shared" si="6"/>
        <v>436</v>
      </c>
      <c r="AK436" s="676">
        <v>0.9441</v>
      </c>
      <c r="AL436" s="662">
        <v>54000.0</v>
      </c>
      <c r="AM436" s="677">
        <v>-0.9263694790344229</v>
      </c>
      <c r="AN436" s="678">
        <v>-0.05589999999999995</v>
      </c>
      <c r="AO436" s="662">
        <v>54000.0</v>
      </c>
      <c r="AP436" s="679">
        <v>-0.9216970351406285</v>
      </c>
      <c r="AQ436" s="662">
        <v>54000.0</v>
      </c>
      <c r="AR436" s="680">
        <v>-0.9169638532247077</v>
      </c>
      <c r="AS436" s="624"/>
      <c r="AT436" s="624"/>
      <c r="AU436" s="624"/>
      <c r="AV436" s="624"/>
      <c r="AW436" s="624"/>
      <c r="AX436" s="624"/>
      <c r="AY436" s="624"/>
      <c r="AZ436" s="624"/>
      <c r="BA436" s="624"/>
      <c r="BB436" s="624"/>
      <c r="BC436" s="624"/>
      <c r="BD436" s="624"/>
      <c r="BE436" s="624"/>
    </row>
    <row r="437" ht="16.5" customHeight="1">
      <c r="A437" s="711"/>
      <c r="B437" s="711"/>
      <c r="C437" s="711"/>
      <c r="D437" s="711"/>
      <c r="E437" s="711"/>
      <c r="F437" s="711"/>
      <c r="G437" s="711"/>
      <c r="H437" s="711"/>
      <c r="I437" s="711"/>
      <c r="J437" s="711"/>
      <c r="K437" s="741"/>
      <c r="L437" s="741"/>
      <c r="M437" s="788"/>
      <c r="N437" s="741"/>
      <c r="O437" s="741"/>
      <c r="P437" s="741"/>
      <c r="Q437" s="741"/>
      <c r="R437" s="788"/>
      <c r="S437" s="819"/>
      <c r="T437" s="820"/>
      <c r="U437" s="819"/>
      <c r="V437" s="820"/>
      <c r="W437" s="788"/>
      <c r="X437" s="803"/>
      <c r="Y437" s="803"/>
      <c r="Z437" s="803"/>
      <c r="AA437" s="711"/>
      <c r="AB437" s="711"/>
      <c r="AC437" s="711"/>
      <c r="AD437" s="736"/>
      <c r="AE437" s="736"/>
      <c r="AF437" s="624"/>
      <c r="AG437" s="624"/>
      <c r="AH437" s="624"/>
      <c r="AI437" s="624"/>
      <c r="AJ437" s="660">
        <f t="shared" si="6"/>
        <v>437</v>
      </c>
      <c r="AK437" s="676">
        <v>0.9797</v>
      </c>
      <c r="AL437" s="662">
        <v>54000.0</v>
      </c>
      <c r="AM437" s="677">
        <v>-0.9263694790344229</v>
      </c>
      <c r="AN437" s="678">
        <v>-0.020299999999999985</v>
      </c>
      <c r="AO437" s="662">
        <v>54000.0</v>
      </c>
      <c r="AP437" s="679">
        <v>-0.9216970351406285</v>
      </c>
      <c r="AQ437" s="662">
        <v>54000.0</v>
      </c>
      <c r="AR437" s="680">
        <v>-0.9169638532247077</v>
      </c>
      <c r="AS437" s="624"/>
      <c r="AT437" s="624"/>
      <c r="AU437" s="624"/>
      <c r="AV437" s="624"/>
      <c r="AW437" s="624"/>
      <c r="AX437" s="624"/>
      <c r="AY437" s="624"/>
      <c r="AZ437" s="624"/>
      <c r="BA437" s="624"/>
      <c r="BB437" s="624"/>
      <c r="BC437" s="624"/>
      <c r="BD437" s="624"/>
      <c r="BE437" s="624"/>
    </row>
    <row r="438" ht="16.5" customHeight="1">
      <c r="A438" s="711"/>
      <c r="B438" s="711"/>
      <c r="C438" s="711"/>
      <c r="D438" s="711"/>
      <c r="E438" s="711"/>
      <c r="F438" s="711"/>
      <c r="G438" s="711"/>
      <c r="H438" s="711"/>
      <c r="I438" s="711"/>
      <c r="J438" s="711"/>
      <c r="K438" s="741"/>
      <c r="L438" s="741"/>
      <c r="M438" s="788"/>
      <c r="N438" s="741"/>
      <c r="O438" s="741"/>
      <c r="P438" s="741"/>
      <c r="Q438" s="741"/>
      <c r="R438" s="788"/>
      <c r="S438" s="819"/>
      <c r="T438" s="820"/>
      <c r="U438" s="819"/>
      <c r="V438" s="820"/>
      <c r="W438" s="788"/>
      <c r="X438" s="803"/>
      <c r="Y438" s="803"/>
      <c r="Z438" s="803"/>
      <c r="AA438" s="711"/>
      <c r="AB438" s="711"/>
      <c r="AC438" s="711"/>
      <c r="AD438" s="736"/>
      <c r="AE438" s="736"/>
      <c r="AF438" s="624"/>
      <c r="AG438" s="624"/>
      <c r="AH438" s="624"/>
      <c r="AI438" s="624"/>
      <c r="AJ438" s="660">
        <f t="shared" si="6"/>
        <v>438</v>
      </c>
      <c r="AK438" s="676">
        <v>0.9721</v>
      </c>
      <c r="AL438" s="662">
        <v>54000.0</v>
      </c>
      <c r="AM438" s="677">
        <v>-0.9263694790344229</v>
      </c>
      <c r="AN438" s="678">
        <v>-0.027900000000000036</v>
      </c>
      <c r="AO438" s="662">
        <v>54000.0</v>
      </c>
      <c r="AP438" s="679">
        <v>-0.9216970351406285</v>
      </c>
      <c r="AQ438" s="662">
        <v>54000.0</v>
      </c>
      <c r="AR438" s="680">
        <v>-0.9169638532247077</v>
      </c>
      <c r="AS438" s="624"/>
      <c r="AT438" s="624"/>
      <c r="AU438" s="624"/>
      <c r="AV438" s="624"/>
      <c r="AW438" s="624"/>
      <c r="AX438" s="624"/>
      <c r="AY438" s="624"/>
      <c r="AZ438" s="624"/>
      <c r="BA438" s="624"/>
      <c r="BB438" s="624"/>
      <c r="BC438" s="624"/>
      <c r="BD438" s="624"/>
      <c r="BE438" s="624"/>
    </row>
    <row r="439" ht="16.5" customHeight="1">
      <c r="A439" s="711"/>
      <c r="B439" s="711"/>
      <c r="C439" s="711"/>
      <c r="D439" s="711"/>
      <c r="E439" s="711"/>
      <c r="F439" s="711"/>
      <c r="G439" s="711"/>
      <c r="H439" s="711"/>
      <c r="I439" s="711"/>
      <c r="J439" s="711"/>
      <c r="K439" s="741"/>
      <c r="L439" s="741"/>
      <c r="M439" s="788"/>
      <c r="N439" s="741"/>
      <c r="O439" s="741"/>
      <c r="P439" s="741"/>
      <c r="Q439" s="741"/>
      <c r="R439" s="788"/>
      <c r="S439" s="819"/>
      <c r="T439" s="820"/>
      <c r="U439" s="819"/>
      <c r="V439" s="820"/>
      <c r="W439" s="788"/>
      <c r="X439" s="803"/>
      <c r="Y439" s="803"/>
      <c r="Z439" s="803"/>
      <c r="AA439" s="711"/>
      <c r="AB439" s="711"/>
      <c r="AC439" s="711"/>
      <c r="AD439" s="736"/>
      <c r="AE439" s="736"/>
      <c r="AF439" s="624"/>
      <c r="AG439" s="624"/>
      <c r="AH439" s="624"/>
      <c r="AI439" s="624"/>
      <c r="AJ439" s="660">
        <f t="shared" si="6"/>
        <v>439</v>
      </c>
      <c r="AK439" s="676">
        <v>0.9474</v>
      </c>
      <c r="AL439" s="662">
        <v>53833.0</v>
      </c>
      <c r="AM439" s="677">
        <v>-0.925773052384032</v>
      </c>
      <c r="AN439" s="678">
        <v>-0.05259999999999998</v>
      </c>
      <c r="AO439" s="662">
        <v>53833.0</v>
      </c>
      <c r="AP439" s="679">
        <v>-0.9210777787655364</v>
      </c>
      <c r="AQ439" s="662">
        <v>53833.0</v>
      </c>
      <c r="AR439" s="680">
        <v>-0.9163223540085266</v>
      </c>
      <c r="AS439" s="624"/>
      <c r="AT439" s="624"/>
      <c r="AU439" s="624"/>
      <c r="AV439" s="624"/>
      <c r="AW439" s="624"/>
      <c r="AX439" s="624"/>
      <c r="AY439" s="624"/>
      <c r="AZ439" s="624"/>
      <c r="BA439" s="624"/>
      <c r="BB439" s="624"/>
      <c r="BC439" s="624"/>
      <c r="BD439" s="624"/>
      <c r="BE439" s="624"/>
    </row>
    <row r="440" ht="16.5" customHeight="1">
      <c r="A440" s="711"/>
      <c r="B440" s="711"/>
      <c r="C440" s="711"/>
      <c r="D440" s="711"/>
      <c r="E440" s="711"/>
      <c r="F440" s="711"/>
      <c r="G440" s="711"/>
      <c r="H440" s="711"/>
      <c r="I440" s="711"/>
      <c r="J440" s="711"/>
      <c r="K440" s="741"/>
      <c r="L440" s="741"/>
      <c r="M440" s="788"/>
      <c r="N440" s="741"/>
      <c r="O440" s="741"/>
      <c r="P440" s="741"/>
      <c r="Q440" s="741"/>
      <c r="R440" s="788"/>
      <c r="S440" s="819"/>
      <c r="T440" s="820"/>
      <c r="U440" s="819"/>
      <c r="V440" s="820"/>
      <c r="W440" s="788"/>
      <c r="X440" s="803"/>
      <c r="Y440" s="803"/>
      <c r="Z440" s="803"/>
      <c r="AA440" s="711"/>
      <c r="AB440" s="711"/>
      <c r="AC440" s="711"/>
      <c r="AD440" s="736"/>
      <c r="AE440" s="736"/>
      <c r="AF440" s="624"/>
      <c r="AG440" s="624"/>
      <c r="AH440" s="624"/>
      <c r="AI440" s="624"/>
      <c r="AJ440" s="660">
        <f t="shared" si="6"/>
        <v>440</v>
      </c>
      <c r="AK440" s="676">
        <v>0.9549</v>
      </c>
      <c r="AL440" s="662">
        <v>53756.1</v>
      </c>
      <c r="AM440" s="677">
        <v>-0.9254967882269526</v>
      </c>
      <c r="AN440" s="678">
        <v>-0.04510000000000003</v>
      </c>
      <c r="AO440" s="662">
        <v>53756.1</v>
      </c>
      <c r="AP440" s="679">
        <v>-0.9207909797292563</v>
      </c>
      <c r="AQ440" s="662">
        <v>53756.1</v>
      </c>
      <c r="AR440" s="680">
        <v>-0.9160252928919134</v>
      </c>
      <c r="AS440" s="624"/>
      <c r="AT440" s="624"/>
      <c r="AU440" s="624"/>
      <c r="AV440" s="624"/>
      <c r="AW440" s="624"/>
      <c r="AX440" s="624"/>
      <c r="AY440" s="624"/>
      <c r="AZ440" s="624"/>
      <c r="BA440" s="624"/>
      <c r="BB440" s="624"/>
      <c r="BC440" s="624"/>
      <c r="BD440" s="624"/>
      <c r="BE440" s="624"/>
    </row>
    <row r="441" ht="16.5" customHeight="1">
      <c r="A441" s="711"/>
      <c r="B441" s="711"/>
      <c r="C441" s="711"/>
      <c r="D441" s="711"/>
      <c r="E441" s="711"/>
      <c r="F441" s="711"/>
      <c r="G441" s="711"/>
      <c r="H441" s="711"/>
      <c r="I441" s="711"/>
      <c r="J441" s="711"/>
      <c r="K441" s="741"/>
      <c r="L441" s="741"/>
      <c r="M441" s="788"/>
      <c r="N441" s="741"/>
      <c r="O441" s="741"/>
      <c r="P441" s="741"/>
      <c r="Q441" s="741"/>
      <c r="R441" s="788"/>
      <c r="S441" s="819"/>
      <c r="T441" s="820"/>
      <c r="U441" s="819"/>
      <c r="V441" s="820"/>
      <c r="W441" s="788"/>
      <c r="X441" s="803"/>
      <c r="Y441" s="803"/>
      <c r="Z441" s="803"/>
      <c r="AA441" s="711"/>
      <c r="AB441" s="711"/>
      <c r="AC441" s="711"/>
      <c r="AD441" s="736"/>
      <c r="AE441" s="736"/>
      <c r="AF441" s="624"/>
      <c r="AG441" s="624"/>
      <c r="AH441" s="624"/>
      <c r="AI441" s="624"/>
      <c r="AJ441" s="660">
        <f t="shared" si="6"/>
        <v>441</v>
      </c>
      <c r="AK441" s="676">
        <v>0.9679</v>
      </c>
      <c r="AL441" s="662">
        <v>53720.0</v>
      </c>
      <c r="AM441" s="677">
        <v>-0.925366744142002</v>
      </c>
      <c r="AN441" s="678">
        <v>-0.03210000000000002</v>
      </c>
      <c r="AO441" s="662">
        <v>53720.0</v>
      </c>
      <c r="AP441" s="679">
        <v>-0.9206559853146608</v>
      </c>
      <c r="AQ441" s="662">
        <v>53720.0</v>
      </c>
      <c r="AR441" s="680">
        <v>-0.9158854767671243</v>
      </c>
      <c r="AS441" s="624"/>
      <c r="AT441" s="624"/>
      <c r="AU441" s="624"/>
      <c r="AV441" s="624"/>
      <c r="AW441" s="624"/>
      <c r="AX441" s="624"/>
      <c r="AY441" s="624"/>
      <c r="AZ441" s="624"/>
      <c r="BA441" s="624"/>
      <c r="BB441" s="624"/>
      <c r="BC441" s="624"/>
      <c r="BD441" s="624"/>
      <c r="BE441" s="624"/>
    </row>
    <row r="442" ht="16.5" customHeight="1">
      <c r="A442" s="711"/>
      <c r="B442" s="711"/>
      <c r="C442" s="711"/>
      <c r="D442" s="711"/>
      <c r="E442" s="711"/>
      <c r="F442" s="711"/>
      <c r="G442" s="711"/>
      <c r="H442" s="711"/>
      <c r="I442" s="711"/>
      <c r="J442" s="711"/>
      <c r="K442" s="741"/>
      <c r="L442" s="741"/>
      <c r="M442" s="788"/>
      <c r="N442" s="741"/>
      <c r="O442" s="741"/>
      <c r="P442" s="741"/>
      <c r="Q442" s="741"/>
      <c r="R442" s="788"/>
      <c r="S442" s="819"/>
      <c r="T442" s="820"/>
      <c r="U442" s="819"/>
      <c r="V442" s="820"/>
      <c r="W442" s="788"/>
      <c r="X442" s="803"/>
      <c r="Y442" s="803"/>
      <c r="Z442" s="803"/>
      <c r="AA442" s="711"/>
      <c r="AB442" s="711"/>
      <c r="AC442" s="711"/>
      <c r="AD442" s="736"/>
      <c r="AE442" s="736"/>
      <c r="AF442" s="624"/>
      <c r="AG442" s="624"/>
      <c r="AH442" s="624"/>
      <c r="AI442" s="624"/>
      <c r="AJ442" s="660">
        <f t="shared" si="6"/>
        <v>442</v>
      </c>
      <c r="AK442" s="676">
        <v>0.9424</v>
      </c>
      <c r="AL442" s="662">
        <v>53600.0</v>
      </c>
      <c r="AM442" s="677">
        <v>-0.9249328310824771</v>
      </c>
      <c r="AN442" s="678">
        <v>-0.057599999999999985</v>
      </c>
      <c r="AO442" s="662">
        <v>53600.0</v>
      </c>
      <c r="AP442" s="679">
        <v>-0.9202055947627</v>
      </c>
      <c r="AQ442" s="662">
        <v>53600.0</v>
      </c>
      <c r="AR442" s="680">
        <v>-0.9154190388283925</v>
      </c>
      <c r="AS442" s="624"/>
      <c r="AT442" s="624"/>
      <c r="AU442" s="624"/>
      <c r="AV442" s="624"/>
      <c r="AW442" s="624"/>
      <c r="AX442" s="624"/>
      <c r="AY442" s="624"/>
      <c r="AZ442" s="624"/>
      <c r="BA442" s="624"/>
      <c r="BB442" s="624"/>
      <c r="BC442" s="624"/>
      <c r="BD442" s="624"/>
      <c r="BE442" s="624"/>
    </row>
    <row r="443" ht="16.5" customHeight="1">
      <c r="A443" s="711"/>
      <c r="B443" s="711"/>
      <c r="C443" s="711"/>
      <c r="D443" s="711"/>
      <c r="E443" s="711"/>
      <c r="F443" s="711"/>
      <c r="G443" s="711"/>
      <c r="H443" s="711"/>
      <c r="I443" s="711"/>
      <c r="J443" s="711"/>
      <c r="K443" s="741"/>
      <c r="L443" s="741"/>
      <c r="M443" s="788"/>
      <c r="N443" s="741"/>
      <c r="O443" s="741"/>
      <c r="P443" s="741"/>
      <c r="Q443" s="741"/>
      <c r="R443" s="788"/>
      <c r="S443" s="819"/>
      <c r="T443" s="820"/>
      <c r="U443" s="819"/>
      <c r="V443" s="820"/>
      <c r="W443" s="788"/>
      <c r="X443" s="803"/>
      <c r="Y443" s="803"/>
      <c r="Z443" s="803"/>
      <c r="AA443" s="711"/>
      <c r="AB443" s="711"/>
      <c r="AC443" s="711"/>
      <c r="AD443" s="736"/>
      <c r="AE443" s="736"/>
      <c r="AF443" s="624"/>
      <c r="AG443" s="624"/>
      <c r="AH443" s="624"/>
      <c r="AI443" s="624"/>
      <c r="AJ443" s="660">
        <f t="shared" si="6"/>
        <v>443</v>
      </c>
      <c r="AK443" s="676">
        <v>0.9567</v>
      </c>
      <c r="AL443" s="662">
        <v>53328.0</v>
      </c>
      <c r="AM443" s="677">
        <v>-0.9239399321221963</v>
      </c>
      <c r="AN443" s="678">
        <v>-0.043300000000000005</v>
      </c>
      <c r="AO443" s="662">
        <v>53328.0</v>
      </c>
      <c r="AP443" s="679">
        <v>-0.9191752216818639</v>
      </c>
      <c r="AQ443" s="662">
        <v>53328.0</v>
      </c>
      <c r="AR443" s="680">
        <v>-0.91435218118012</v>
      </c>
      <c r="AS443" s="624"/>
      <c r="AT443" s="624"/>
      <c r="AU443" s="624"/>
      <c r="AV443" s="624"/>
      <c r="AW443" s="624"/>
      <c r="AX443" s="624"/>
      <c r="AY443" s="624"/>
      <c r="AZ443" s="624"/>
      <c r="BA443" s="624"/>
      <c r="BB443" s="624"/>
      <c r="BC443" s="624"/>
      <c r="BD443" s="624"/>
      <c r="BE443" s="624"/>
    </row>
    <row r="444" ht="16.5" customHeight="1">
      <c r="A444" s="711"/>
      <c r="B444" s="711"/>
      <c r="C444" s="711"/>
      <c r="D444" s="711"/>
      <c r="E444" s="711"/>
      <c r="F444" s="711"/>
      <c r="G444" s="711"/>
      <c r="H444" s="711"/>
      <c r="I444" s="711"/>
      <c r="J444" s="711"/>
      <c r="K444" s="741"/>
      <c r="L444" s="741"/>
      <c r="M444" s="788"/>
      <c r="N444" s="741"/>
      <c r="O444" s="741"/>
      <c r="P444" s="741"/>
      <c r="Q444" s="741"/>
      <c r="R444" s="788"/>
      <c r="S444" s="819"/>
      <c r="T444" s="820"/>
      <c r="U444" s="819"/>
      <c r="V444" s="820"/>
      <c r="W444" s="788"/>
      <c r="X444" s="803"/>
      <c r="Y444" s="803"/>
      <c r="Z444" s="803"/>
      <c r="AA444" s="711"/>
      <c r="AB444" s="711"/>
      <c r="AC444" s="711"/>
      <c r="AD444" s="736"/>
      <c r="AE444" s="736"/>
      <c r="AF444" s="624"/>
      <c r="AG444" s="624"/>
      <c r="AH444" s="624"/>
      <c r="AI444" s="624"/>
      <c r="AJ444" s="660">
        <f t="shared" si="6"/>
        <v>444</v>
      </c>
      <c r="AK444" s="676">
        <v>0.9238</v>
      </c>
      <c r="AL444" s="662">
        <v>53226.0</v>
      </c>
      <c r="AM444" s="677">
        <v>-0.9235642184708267</v>
      </c>
      <c r="AN444" s="678">
        <v>-0.07620000000000005</v>
      </c>
      <c r="AO444" s="662">
        <v>53226.0</v>
      </c>
      <c r="AP444" s="679">
        <v>-0.9187854107476988</v>
      </c>
      <c r="AQ444" s="662">
        <v>53226.0</v>
      </c>
      <c r="AR444" s="680">
        <v>-0.9139486493127378</v>
      </c>
      <c r="AS444" s="624"/>
      <c r="AT444" s="624"/>
      <c r="AU444" s="624"/>
      <c r="AV444" s="624"/>
      <c r="AW444" s="624"/>
      <c r="AX444" s="624"/>
      <c r="AY444" s="624"/>
      <c r="AZ444" s="624"/>
      <c r="BA444" s="624"/>
      <c r="BB444" s="624"/>
      <c r="BC444" s="624"/>
      <c r="BD444" s="624"/>
      <c r="BE444" s="624"/>
    </row>
    <row r="445" ht="16.5" customHeight="1">
      <c r="A445" s="711"/>
      <c r="B445" s="711"/>
      <c r="C445" s="711"/>
      <c r="D445" s="711"/>
      <c r="E445" s="711"/>
      <c r="F445" s="711"/>
      <c r="G445" s="711"/>
      <c r="H445" s="711"/>
      <c r="I445" s="711"/>
      <c r="J445" s="711"/>
      <c r="K445" s="741"/>
      <c r="L445" s="741"/>
      <c r="M445" s="788"/>
      <c r="N445" s="741"/>
      <c r="O445" s="741"/>
      <c r="P445" s="741"/>
      <c r="Q445" s="741"/>
      <c r="R445" s="788"/>
      <c r="S445" s="819"/>
      <c r="T445" s="820"/>
      <c r="U445" s="819"/>
      <c r="V445" s="820"/>
      <c r="W445" s="788"/>
      <c r="X445" s="803"/>
      <c r="Y445" s="803"/>
      <c r="Z445" s="803"/>
      <c r="AA445" s="711"/>
      <c r="AB445" s="711"/>
      <c r="AC445" s="711"/>
      <c r="AD445" s="736"/>
      <c r="AE445" s="736"/>
      <c r="AF445" s="624"/>
      <c r="AG445" s="624"/>
      <c r="AH445" s="624"/>
      <c r="AI445" s="624"/>
      <c r="AJ445" s="660">
        <f t="shared" si="6"/>
        <v>445</v>
      </c>
      <c r="AK445" s="676">
        <v>0.9766</v>
      </c>
      <c r="AL445" s="662">
        <v>53176.0</v>
      </c>
      <c r="AM445" s="677">
        <v>-0.9233793678195065</v>
      </c>
      <c r="AN445" s="678">
        <v>-0.023399999999999976</v>
      </c>
      <c r="AO445" s="662">
        <v>53176.0</v>
      </c>
      <c r="AP445" s="679">
        <v>-0.9185936408502686</v>
      </c>
      <c r="AQ445" s="662">
        <v>53176.0</v>
      </c>
      <c r="AR445" s="680">
        <v>-0.9137501457081885</v>
      </c>
      <c r="AS445" s="624"/>
      <c r="AT445" s="624"/>
      <c r="AU445" s="624"/>
      <c r="AV445" s="624"/>
      <c r="AW445" s="624"/>
      <c r="AX445" s="624"/>
      <c r="AY445" s="624"/>
      <c r="AZ445" s="624"/>
      <c r="BA445" s="624"/>
      <c r="BB445" s="624"/>
      <c r="BC445" s="624"/>
      <c r="BD445" s="624"/>
      <c r="BE445" s="624"/>
    </row>
    <row r="446" ht="16.5" customHeight="1">
      <c r="A446" s="711"/>
      <c r="B446" s="711"/>
      <c r="C446" s="711"/>
      <c r="D446" s="711"/>
      <c r="E446" s="711"/>
      <c r="F446" s="711"/>
      <c r="G446" s="711"/>
      <c r="H446" s="711"/>
      <c r="I446" s="711"/>
      <c r="J446" s="711"/>
      <c r="K446" s="741"/>
      <c r="L446" s="741"/>
      <c r="M446" s="788"/>
      <c r="N446" s="741"/>
      <c r="O446" s="741"/>
      <c r="P446" s="741"/>
      <c r="Q446" s="741"/>
      <c r="R446" s="788"/>
      <c r="S446" s="819"/>
      <c r="T446" s="820"/>
      <c r="U446" s="819"/>
      <c r="V446" s="820"/>
      <c r="W446" s="788"/>
      <c r="X446" s="803"/>
      <c r="Y446" s="803"/>
      <c r="Z446" s="803"/>
      <c r="AA446" s="711"/>
      <c r="AB446" s="711"/>
      <c r="AC446" s="711"/>
      <c r="AD446" s="736"/>
      <c r="AE446" s="736"/>
      <c r="AF446" s="624"/>
      <c r="AG446" s="624"/>
      <c r="AH446" s="624"/>
      <c r="AI446" s="624"/>
      <c r="AJ446" s="660">
        <f t="shared" si="6"/>
        <v>446</v>
      </c>
      <c r="AK446" s="676">
        <v>0.9289</v>
      </c>
      <c r="AL446" s="662">
        <v>53000.0</v>
      </c>
      <c r="AM446" s="677">
        <v>-0.9227251300124504</v>
      </c>
      <c r="AN446" s="678">
        <v>-0.07110000000000005</v>
      </c>
      <c r="AO446" s="662">
        <v>53000.0</v>
      </c>
      <c r="AP446" s="679">
        <v>-0.9179150013761012</v>
      </c>
      <c r="AQ446" s="662">
        <v>53000.0</v>
      </c>
      <c r="AR446" s="680">
        <v>-0.9130477631983226</v>
      </c>
      <c r="AS446" s="624"/>
      <c r="AT446" s="624"/>
      <c r="AU446" s="624"/>
      <c r="AV446" s="624"/>
      <c r="AW446" s="624"/>
      <c r="AX446" s="624"/>
      <c r="AY446" s="624"/>
      <c r="AZ446" s="624"/>
      <c r="BA446" s="624"/>
      <c r="BB446" s="624"/>
      <c r="BC446" s="624"/>
      <c r="BD446" s="624"/>
      <c r="BE446" s="624"/>
    </row>
    <row r="447" ht="16.5" customHeight="1">
      <c r="A447" s="711"/>
      <c r="B447" s="711"/>
      <c r="C447" s="711"/>
      <c r="D447" s="711"/>
      <c r="E447" s="711"/>
      <c r="F447" s="711"/>
      <c r="G447" s="711"/>
      <c r="H447" s="711"/>
      <c r="I447" s="711"/>
      <c r="J447" s="711"/>
      <c r="K447" s="741"/>
      <c r="L447" s="741"/>
      <c r="M447" s="788"/>
      <c r="N447" s="741"/>
      <c r="O447" s="741"/>
      <c r="P447" s="741"/>
      <c r="Q447" s="741"/>
      <c r="R447" s="788"/>
      <c r="S447" s="819"/>
      <c r="T447" s="820"/>
      <c r="U447" s="819"/>
      <c r="V447" s="820"/>
      <c r="W447" s="788"/>
      <c r="X447" s="803"/>
      <c r="Y447" s="803"/>
      <c r="Z447" s="803"/>
      <c r="AA447" s="711"/>
      <c r="AB447" s="711"/>
      <c r="AC447" s="711"/>
      <c r="AD447" s="736"/>
      <c r="AE447" s="736"/>
      <c r="AF447" s="624"/>
      <c r="AG447" s="624"/>
      <c r="AH447" s="624"/>
      <c r="AI447" s="624"/>
      <c r="AJ447" s="660">
        <f t="shared" si="6"/>
        <v>447</v>
      </c>
      <c r="AK447" s="676">
        <v>0.9308</v>
      </c>
      <c r="AL447" s="662">
        <v>53000.0</v>
      </c>
      <c r="AM447" s="677">
        <v>-0.9227251300124504</v>
      </c>
      <c r="AN447" s="678">
        <v>-0.06920000000000004</v>
      </c>
      <c r="AO447" s="662">
        <v>53000.0</v>
      </c>
      <c r="AP447" s="679">
        <v>-0.9179150013761012</v>
      </c>
      <c r="AQ447" s="662">
        <v>53000.0</v>
      </c>
      <c r="AR447" s="680">
        <v>-0.9130477631983226</v>
      </c>
      <c r="AS447" s="624"/>
      <c r="AT447" s="624"/>
      <c r="AU447" s="624"/>
      <c r="AV447" s="624"/>
      <c r="AW447" s="624"/>
      <c r="AX447" s="624"/>
      <c r="AY447" s="624"/>
      <c r="AZ447" s="624"/>
      <c r="BA447" s="624"/>
      <c r="BB447" s="624"/>
      <c r="BC447" s="624"/>
      <c r="BD447" s="624"/>
      <c r="BE447" s="624"/>
    </row>
    <row r="448" ht="16.5" customHeight="1">
      <c r="A448" s="711"/>
      <c r="B448" s="711"/>
      <c r="C448" s="711"/>
      <c r="D448" s="711"/>
      <c r="E448" s="711"/>
      <c r="F448" s="711"/>
      <c r="G448" s="711"/>
      <c r="H448" s="711"/>
      <c r="I448" s="711"/>
      <c r="J448" s="711"/>
      <c r="K448" s="741"/>
      <c r="L448" s="741"/>
      <c r="M448" s="788"/>
      <c r="N448" s="741"/>
      <c r="O448" s="741"/>
      <c r="P448" s="741"/>
      <c r="Q448" s="741"/>
      <c r="R448" s="788"/>
      <c r="S448" s="819"/>
      <c r="T448" s="820"/>
      <c r="U448" s="819"/>
      <c r="V448" s="820"/>
      <c r="W448" s="788"/>
      <c r="X448" s="803"/>
      <c r="Y448" s="803"/>
      <c r="Z448" s="803"/>
      <c r="AA448" s="711"/>
      <c r="AB448" s="711"/>
      <c r="AC448" s="711"/>
      <c r="AD448" s="736"/>
      <c r="AE448" s="736"/>
      <c r="AF448" s="624"/>
      <c r="AG448" s="624"/>
      <c r="AH448" s="624"/>
      <c r="AI448" s="624"/>
      <c r="AJ448" s="660">
        <f t="shared" si="6"/>
        <v>448</v>
      </c>
      <c r="AK448" s="676">
        <v>0.939</v>
      </c>
      <c r="AL448" s="662">
        <v>52871.0</v>
      </c>
      <c r="AM448" s="677">
        <v>-0.9222420583221055</v>
      </c>
      <c r="AN448" s="678">
        <v>-0.061000000000000054</v>
      </c>
      <c r="AO448" s="662">
        <v>52871.0</v>
      </c>
      <c r="AP448" s="679">
        <v>-0.9174139991736182</v>
      </c>
      <c r="AQ448" s="662">
        <v>52871.0</v>
      </c>
      <c r="AR448" s="680">
        <v>-0.9125293187243809</v>
      </c>
      <c r="AS448" s="624"/>
      <c r="AT448" s="624"/>
      <c r="AU448" s="624"/>
      <c r="AV448" s="624"/>
      <c r="AW448" s="624"/>
      <c r="AX448" s="624"/>
      <c r="AY448" s="624"/>
      <c r="AZ448" s="624"/>
      <c r="BA448" s="624"/>
      <c r="BB448" s="624"/>
      <c r="BC448" s="624"/>
      <c r="BD448" s="624"/>
      <c r="BE448" s="624"/>
    </row>
    <row r="449" ht="16.5" customHeight="1">
      <c r="A449" s="711"/>
      <c r="B449" s="711"/>
      <c r="C449" s="711"/>
      <c r="D449" s="711"/>
      <c r="E449" s="711"/>
      <c r="F449" s="711"/>
      <c r="G449" s="711"/>
      <c r="H449" s="711"/>
      <c r="I449" s="711"/>
      <c r="J449" s="711"/>
      <c r="K449" s="741"/>
      <c r="L449" s="741"/>
      <c r="M449" s="788"/>
      <c r="N449" s="741"/>
      <c r="O449" s="741"/>
      <c r="P449" s="741"/>
      <c r="Q449" s="741"/>
      <c r="R449" s="788"/>
      <c r="S449" s="819"/>
      <c r="T449" s="820"/>
      <c r="U449" s="819"/>
      <c r="V449" s="820"/>
      <c r="W449" s="788"/>
      <c r="X449" s="803"/>
      <c r="Y449" s="803"/>
      <c r="Z449" s="803"/>
      <c r="AA449" s="711"/>
      <c r="AB449" s="711"/>
      <c r="AC449" s="711"/>
      <c r="AD449" s="736"/>
      <c r="AE449" s="736"/>
      <c r="AF449" s="624"/>
      <c r="AG449" s="624"/>
      <c r="AH449" s="624"/>
      <c r="AI449" s="624"/>
      <c r="AJ449" s="660">
        <f t="shared" si="6"/>
        <v>449</v>
      </c>
      <c r="AK449" s="676">
        <v>0.9289</v>
      </c>
      <c r="AL449" s="662">
        <v>52850.0</v>
      </c>
      <c r="AM449" s="677">
        <v>-0.9221631334261382</v>
      </c>
      <c r="AN449" s="678">
        <v>-0.07110000000000005</v>
      </c>
      <c r="AO449" s="662">
        <v>52850.0</v>
      </c>
      <c r="AP449" s="679">
        <v>-0.9173321517550632</v>
      </c>
      <c r="AQ449" s="662">
        <v>52850.0</v>
      </c>
      <c r="AR449" s="680">
        <v>-0.9124446287055533</v>
      </c>
      <c r="AS449" s="624"/>
      <c r="AT449" s="624"/>
      <c r="AU449" s="624"/>
      <c r="AV449" s="624"/>
      <c r="AW449" s="624"/>
      <c r="AX449" s="624"/>
      <c r="AY449" s="624"/>
      <c r="AZ449" s="624"/>
      <c r="BA449" s="624"/>
      <c r="BB449" s="624"/>
      <c r="BC449" s="624"/>
      <c r="BD449" s="624"/>
      <c r="BE449" s="624"/>
    </row>
    <row r="450" ht="16.5" customHeight="1">
      <c r="A450" s="711"/>
      <c r="B450" s="711"/>
      <c r="C450" s="711"/>
      <c r="D450" s="711"/>
      <c r="E450" s="711"/>
      <c r="F450" s="711"/>
      <c r="G450" s="711"/>
      <c r="H450" s="711"/>
      <c r="I450" s="711"/>
      <c r="J450" s="711"/>
      <c r="K450" s="741"/>
      <c r="L450" s="741"/>
      <c r="M450" s="788"/>
      <c r="N450" s="741"/>
      <c r="O450" s="741"/>
      <c r="P450" s="741"/>
      <c r="Q450" s="741"/>
      <c r="R450" s="788"/>
      <c r="S450" s="819"/>
      <c r="T450" s="820"/>
      <c r="U450" s="819"/>
      <c r="V450" s="820"/>
      <c r="W450" s="788"/>
      <c r="X450" s="803"/>
      <c r="Y450" s="803"/>
      <c r="Z450" s="803"/>
      <c r="AA450" s="711"/>
      <c r="AB450" s="711"/>
      <c r="AC450" s="711"/>
      <c r="AD450" s="736"/>
      <c r="AE450" s="736"/>
      <c r="AF450" s="624"/>
      <c r="AG450" s="624"/>
      <c r="AH450" s="624"/>
      <c r="AI450" s="624"/>
      <c r="AJ450" s="660">
        <f t="shared" si="6"/>
        <v>450</v>
      </c>
      <c r="AK450" s="676">
        <v>0.9185</v>
      </c>
      <c r="AL450" s="662">
        <v>52783.0</v>
      </c>
      <c r="AM450" s="677">
        <v>-0.9219107895120658</v>
      </c>
      <c r="AN450" s="678">
        <v>-0.08150000000000002</v>
      </c>
      <c r="AO450" s="662">
        <v>52783.0</v>
      </c>
      <c r="AP450" s="679">
        <v>-0.917070476881322</v>
      </c>
      <c r="AQ450" s="662">
        <v>52783.0</v>
      </c>
      <c r="AR450" s="680">
        <v>-0.9121738786901237</v>
      </c>
      <c r="AS450" s="624"/>
      <c r="AT450" s="624"/>
      <c r="AU450" s="624"/>
      <c r="AV450" s="624"/>
      <c r="AW450" s="624"/>
      <c r="AX450" s="624"/>
      <c r="AY450" s="624"/>
      <c r="AZ450" s="624"/>
      <c r="BA450" s="624"/>
      <c r="BB450" s="624"/>
      <c r="BC450" s="624"/>
      <c r="BD450" s="624"/>
      <c r="BE450" s="624"/>
    </row>
    <row r="451" ht="16.5" customHeight="1">
      <c r="A451" s="711"/>
      <c r="B451" s="711"/>
      <c r="C451" s="711"/>
      <c r="D451" s="711"/>
      <c r="E451" s="711"/>
      <c r="F451" s="711"/>
      <c r="G451" s="711"/>
      <c r="H451" s="711"/>
      <c r="I451" s="711"/>
      <c r="J451" s="711"/>
      <c r="K451" s="741"/>
      <c r="L451" s="741"/>
      <c r="M451" s="788"/>
      <c r="N451" s="741"/>
      <c r="O451" s="741"/>
      <c r="P451" s="741"/>
      <c r="Q451" s="741"/>
      <c r="R451" s="788"/>
      <c r="S451" s="819"/>
      <c r="T451" s="820"/>
      <c r="U451" s="819"/>
      <c r="V451" s="820"/>
      <c r="W451" s="788"/>
      <c r="X451" s="803"/>
      <c r="Y451" s="803"/>
      <c r="Z451" s="803"/>
      <c r="AA451" s="711"/>
      <c r="AB451" s="711"/>
      <c r="AC451" s="711"/>
      <c r="AD451" s="736"/>
      <c r="AE451" s="736"/>
      <c r="AF451" s="624"/>
      <c r="AG451" s="624"/>
      <c r="AH451" s="624"/>
      <c r="AI451" s="624"/>
      <c r="AJ451" s="660">
        <f t="shared" si="6"/>
        <v>451</v>
      </c>
      <c r="AK451" s="676">
        <v>0.948</v>
      </c>
      <c r="AL451" s="662">
        <v>52706.0</v>
      </c>
      <c r="AM451" s="677">
        <v>-0.9216197718095107</v>
      </c>
      <c r="AN451" s="678">
        <v>-0.052000000000000046</v>
      </c>
      <c r="AO451" s="662">
        <v>52706.0</v>
      </c>
      <c r="AP451" s="679">
        <v>-0.9167687229296874</v>
      </c>
      <c r="AQ451" s="662">
        <v>52706.0</v>
      </c>
      <c r="AR451" s="680">
        <v>-0.9118616840483602</v>
      </c>
      <c r="AS451" s="624"/>
      <c r="AT451" s="624"/>
      <c r="AU451" s="624"/>
      <c r="AV451" s="624"/>
      <c r="AW451" s="624"/>
      <c r="AX451" s="624"/>
      <c r="AY451" s="624"/>
      <c r="AZ451" s="624"/>
      <c r="BA451" s="624"/>
      <c r="BB451" s="624"/>
      <c r="BC451" s="624"/>
      <c r="BD451" s="624"/>
      <c r="BE451" s="624"/>
    </row>
    <row r="452" ht="16.5" customHeight="1">
      <c r="A452" s="711"/>
      <c r="B452" s="711"/>
      <c r="C452" s="711"/>
      <c r="D452" s="711"/>
      <c r="E452" s="711"/>
      <c r="F452" s="711"/>
      <c r="G452" s="711"/>
      <c r="H452" s="711"/>
      <c r="I452" s="711"/>
      <c r="J452" s="711"/>
      <c r="K452" s="741"/>
      <c r="L452" s="741"/>
      <c r="M452" s="788"/>
      <c r="N452" s="741"/>
      <c r="O452" s="741"/>
      <c r="P452" s="741"/>
      <c r="Q452" s="741"/>
      <c r="R452" s="788"/>
      <c r="S452" s="819"/>
      <c r="T452" s="820"/>
      <c r="U452" s="819"/>
      <c r="V452" s="820"/>
      <c r="W452" s="788"/>
      <c r="X452" s="803"/>
      <c r="Y452" s="803"/>
      <c r="Z452" s="803"/>
      <c r="AA452" s="711"/>
      <c r="AB452" s="711"/>
      <c r="AC452" s="711"/>
      <c r="AD452" s="736"/>
      <c r="AE452" s="736"/>
      <c r="AF452" s="624"/>
      <c r="AG452" s="624"/>
      <c r="AH452" s="624"/>
      <c r="AI452" s="624"/>
      <c r="AJ452" s="660">
        <f t="shared" si="6"/>
        <v>452</v>
      </c>
      <c r="AK452" s="676">
        <v>0.9569</v>
      </c>
      <c r="AL452" s="662">
        <v>52671.0</v>
      </c>
      <c r="AM452" s="677">
        <v>-0.921487132750763</v>
      </c>
      <c r="AN452" s="678">
        <v>-0.04310000000000003</v>
      </c>
      <c r="AO452" s="662">
        <v>52671.0</v>
      </c>
      <c r="AP452" s="679">
        <v>-0.9166311993118306</v>
      </c>
      <c r="AQ452" s="662">
        <v>52671.0</v>
      </c>
      <c r="AR452" s="680">
        <v>-0.9117194107685718</v>
      </c>
      <c r="AS452" s="624"/>
      <c r="AT452" s="624"/>
      <c r="AU452" s="624"/>
      <c r="AV452" s="624"/>
      <c r="AW452" s="624"/>
      <c r="AX452" s="624"/>
      <c r="AY452" s="624"/>
      <c r="AZ452" s="624"/>
      <c r="BA452" s="624"/>
      <c r="BB452" s="624"/>
      <c r="BC452" s="624"/>
      <c r="BD452" s="624"/>
      <c r="BE452" s="624"/>
    </row>
    <row r="453" ht="16.5" customHeight="1">
      <c r="A453" s="711"/>
      <c r="B453" s="711"/>
      <c r="C453" s="711"/>
      <c r="D453" s="711"/>
      <c r="E453" s="711"/>
      <c r="F453" s="711"/>
      <c r="G453" s="711"/>
      <c r="H453" s="711"/>
      <c r="I453" s="711"/>
      <c r="J453" s="711"/>
      <c r="K453" s="741"/>
      <c r="L453" s="741"/>
      <c r="M453" s="788"/>
      <c r="N453" s="741"/>
      <c r="O453" s="741"/>
      <c r="P453" s="741"/>
      <c r="Q453" s="741"/>
      <c r="R453" s="788"/>
      <c r="S453" s="819"/>
      <c r="T453" s="820"/>
      <c r="U453" s="819"/>
      <c r="V453" s="820"/>
      <c r="W453" s="788"/>
      <c r="X453" s="803"/>
      <c r="Y453" s="803"/>
      <c r="Z453" s="803"/>
      <c r="AA453" s="711"/>
      <c r="AB453" s="711"/>
      <c r="AC453" s="711"/>
      <c r="AD453" s="736"/>
      <c r="AE453" s="736"/>
      <c r="AF453" s="624"/>
      <c r="AG453" s="624"/>
      <c r="AH453" s="624"/>
      <c r="AI453" s="624"/>
      <c r="AJ453" s="660">
        <f t="shared" si="6"/>
        <v>453</v>
      </c>
      <c r="AK453" s="676">
        <v>0.9744</v>
      </c>
      <c r="AL453" s="662">
        <v>52600.0</v>
      </c>
      <c r="AM453" s="677">
        <v>-0.9212173750455069</v>
      </c>
      <c r="AN453" s="678">
        <v>-0.025599999999999956</v>
      </c>
      <c r="AO453" s="662">
        <v>52600.0</v>
      </c>
      <c r="AP453" s="679">
        <v>-0.9163515244172178</v>
      </c>
      <c r="AQ453" s="662">
        <v>52600.0</v>
      </c>
      <c r="AR453" s="680">
        <v>-0.9114300933952362</v>
      </c>
      <c r="AS453" s="624"/>
      <c r="AT453" s="624"/>
      <c r="AU453" s="624"/>
      <c r="AV453" s="624"/>
      <c r="AW453" s="624"/>
      <c r="AX453" s="624"/>
      <c r="AY453" s="624"/>
      <c r="AZ453" s="624"/>
      <c r="BA453" s="624"/>
      <c r="BB453" s="624"/>
      <c r="BC453" s="624"/>
      <c r="BD453" s="624"/>
      <c r="BE453" s="624"/>
    </row>
    <row r="454" ht="16.5" customHeight="1">
      <c r="A454" s="711"/>
      <c r="B454" s="711"/>
      <c r="C454" s="711"/>
      <c r="D454" s="711"/>
      <c r="E454" s="711"/>
      <c r="F454" s="711"/>
      <c r="G454" s="711"/>
      <c r="H454" s="711"/>
      <c r="I454" s="711"/>
      <c r="J454" s="711"/>
      <c r="K454" s="741"/>
      <c r="L454" s="741"/>
      <c r="M454" s="788"/>
      <c r="N454" s="741"/>
      <c r="O454" s="741"/>
      <c r="P454" s="741"/>
      <c r="Q454" s="741"/>
      <c r="R454" s="788"/>
      <c r="S454" s="819"/>
      <c r="T454" s="820"/>
      <c r="U454" s="819"/>
      <c r="V454" s="820"/>
      <c r="W454" s="788"/>
      <c r="X454" s="803"/>
      <c r="Y454" s="803"/>
      <c r="Z454" s="803"/>
      <c r="AA454" s="711"/>
      <c r="AB454" s="711"/>
      <c r="AC454" s="711"/>
      <c r="AD454" s="736"/>
      <c r="AE454" s="736"/>
      <c r="AF454" s="624"/>
      <c r="AG454" s="624"/>
      <c r="AH454" s="624"/>
      <c r="AI454" s="624"/>
      <c r="AJ454" s="660">
        <f t="shared" si="6"/>
        <v>454</v>
      </c>
      <c r="AK454" s="676">
        <v>0.9442</v>
      </c>
      <c r="AL454" s="662">
        <v>52561.0</v>
      </c>
      <c r="AM454" s="677">
        <v>-0.921068804098794</v>
      </c>
      <c r="AN454" s="678">
        <v>-0.05579999999999996</v>
      </c>
      <c r="AO454" s="662">
        <v>52561.0</v>
      </c>
      <c r="AP454" s="679">
        <v>-0.9161975011587083</v>
      </c>
      <c r="AQ454" s="662">
        <v>52561.0</v>
      </c>
      <c r="AR454" s="680">
        <v>-0.9112707693285877</v>
      </c>
      <c r="AS454" s="624"/>
      <c r="AT454" s="624"/>
      <c r="AU454" s="624"/>
      <c r="AV454" s="624"/>
      <c r="AW454" s="624"/>
      <c r="AX454" s="624"/>
      <c r="AY454" s="624"/>
      <c r="AZ454" s="624"/>
      <c r="BA454" s="624"/>
      <c r="BB454" s="624"/>
      <c r="BC454" s="624"/>
      <c r="BD454" s="624"/>
      <c r="BE454" s="624"/>
    </row>
    <row r="455" ht="16.5" customHeight="1">
      <c r="A455" s="711"/>
      <c r="B455" s="711"/>
      <c r="C455" s="711"/>
      <c r="D455" s="711"/>
      <c r="E455" s="711"/>
      <c r="F455" s="711"/>
      <c r="G455" s="711"/>
      <c r="H455" s="711"/>
      <c r="I455" s="711"/>
      <c r="J455" s="711"/>
      <c r="K455" s="741"/>
      <c r="L455" s="741"/>
      <c r="M455" s="788"/>
      <c r="N455" s="741"/>
      <c r="O455" s="741"/>
      <c r="P455" s="741"/>
      <c r="Q455" s="741"/>
      <c r="R455" s="788"/>
      <c r="S455" s="819"/>
      <c r="T455" s="820"/>
      <c r="U455" s="819"/>
      <c r="V455" s="820"/>
      <c r="W455" s="788"/>
      <c r="X455" s="803"/>
      <c r="Y455" s="803"/>
      <c r="Z455" s="803"/>
      <c r="AA455" s="711"/>
      <c r="AB455" s="711"/>
      <c r="AC455" s="711"/>
      <c r="AD455" s="736"/>
      <c r="AE455" s="736"/>
      <c r="AF455" s="624"/>
      <c r="AG455" s="624"/>
      <c r="AH455" s="624"/>
      <c r="AI455" s="624"/>
      <c r="AJ455" s="660">
        <f t="shared" si="6"/>
        <v>455</v>
      </c>
      <c r="AK455" s="676">
        <v>0.9467</v>
      </c>
      <c r="AL455" s="662">
        <v>52500.0</v>
      </c>
      <c r="AM455" s="677">
        <v>-0.9208358618669775</v>
      </c>
      <c r="AN455" s="678">
        <v>-0.053300000000000014</v>
      </c>
      <c r="AO455" s="662">
        <v>52500.0</v>
      </c>
      <c r="AP455" s="679">
        <v>-0.9159560240856864</v>
      </c>
      <c r="AQ455" s="662">
        <v>52500.0</v>
      </c>
      <c r="AR455" s="680">
        <v>-0.9110209952451157</v>
      </c>
      <c r="AS455" s="624"/>
      <c r="AT455" s="624"/>
      <c r="AU455" s="624"/>
      <c r="AV455" s="624"/>
      <c r="AW455" s="624"/>
      <c r="AX455" s="624"/>
      <c r="AY455" s="624"/>
      <c r="AZ455" s="624"/>
      <c r="BA455" s="624"/>
      <c r="BB455" s="624"/>
      <c r="BC455" s="624"/>
      <c r="BD455" s="624"/>
      <c r="BE455" s="624"/>
    </row>
    <row r="456" ht="16.5" customHeight="1">
      <c r="A456" s="711"/>
      <c r="B456" s="711"/>
      <c r="C456" s="711"/>
      <c r="D456" s="711"/>
      <c r="E456" s="711"/>
      <c r="F456" s="711"/>
      <c r="G456" s="711"/>
      <c r="H456" s="711"/>
      <c r="I456" s="711"/>
      <c r="J456" s="711"/>
      <c r="K456" s="741"/>
      <c r="L456" s="741"/>
      <c r="M456" s="788"/>
      <c r="N456" s="741"/>
      <c r="O456" s="741"/>
      <c r="P456" s="741"/>
      <c r="Q456" s="741"/>
      <c r="R456" s="788"/>
      <c r="S456" s="819"/>
      <c r="T456" s="820"/>
      <c r="U456" s="819"/>
      <c r="V456" s="820"/>
      <c r="W456" s="788"/>
      <c r="X456" s="803"/>
      <c r="Y456" s="803"/>
      <c r="Z456" s="803"/>
      <c r="AA456" s="711"/>
      <c r="AB456" s="711"/>
      <c r="AC456" s="711"/>
      <c r="AD456" s="736"/>
      <c r="AE456" s="736"/>
      <c r="AF456" s="624"/>
      <c r="AG456" s="624"/>
      <c r="AH456" s="624"/>
      <c r="AI456" s="624"/>
      <c r="AJ456" s="660">
        <f t="shared" si="6"/>
        <v>456</v>
      </c>
      <c r="AK456" s="676">
        <v>0.9644</v>
      </c>
      <c r="AL456" s="662">
        <v>52500.0</v>
      </c>
      <c r="AM456" s="677">
        <v>-0.9208358618669775</v>
      </c>
      <c r="AN456" s="678">
        <v>-0.035599999999999965</v>
      </c>
      <c r="AO456" s="662">
        <v>52500.0</v>
      </c>
      <c r="AP456" s="679">
        <v>-0.9159560240856864</v>
      </c>
      <c r="AQ456" s="662">
        <v>52500.0</v>
      </c>
      <c r="AR456" s="680">
        <v>-0.9110209952451157</v>
      </c>
      <c r="AS456" s="624"/>
      <c r="AT456" s="624"/>
      <c r="AU456" s="624"/>
      <c r="AV456" s="624"/>
      <c r="AW456" s="624"/>
      <c r="AX456" s="624"/>
      <c r="AY456" s="624"/>
      <c r="AZ456" s="624"/>
      <c r="BA456" s="624"/>
      <c r="BB456" s="624"/>
      <c r="BC456" s="624"/>
      <c r="BD456" s="624"/>
      <c r="BE456" s="624"/>
    </row>
    <row r="457" ht="16.5" customHeight="1">
      <c r="A457" s="711"/>
      <c r="B457" s="711"/>
      <c r="C457" s="711"/>
      <c r="D457" s="711"/>
      <c r="E457" s="711"/>
      <c r="F457" s="711"/>
      <c r="G457" s="711"/>
      <c r="H457" s="711"/>
      <c r="I457" s="711"/>
      <c r="J457" s="711"/>
      <c r="K457" s="741"/>
      <c r="L457" s="741"/>
      <c r="M457" s="788"/>
      <c r="N457" s="741"/>
      <c r="O457" s="741"/>
      <c r="P457" s="741"/>
      <c r="Q457" s="741"/>
      <c r="R457" s="788"/>
      <c r="S457" s="819"/>
      <c r="T457" s="820"/>
      <c r="U457" s="819"/>
      <c r="V457" s="820"/>
      <c r="W457" s="788"/>
      <c r="X457" s="803"/>
      <c r="Y457" s="803"/>
      <c r="Z457" s="803"/>
      <c r="AA457" s="711"/>
      <c r="AB457" s="711"/>
      <c r="AC457" s="711"/>
      <c r="AD457" s="736"/>
      <c r="AE457" s="736"/>
      <c r="AF457" s="624"/>
      <c r="AG457" s="624"/>
      <c r="AH457" s="624"/>
      <c r="AI457" s="624"/>
      <c r="AJ457" s="660">
        <f t="shared" si="6"/>
        <v>457</v>
      </c>
      <c r="AK457" s="676">
        <v>0.9441</v>
      </c>
      <c r="AL457" s="662">
        <v>52483.0</v>
      </c>
      <c r="AM457" s="677">
        <v>-0.9207708211366008</v>
      </c>
      <c r="AN457" s="678">
        <v>-0.05589999999999995</v>
      </c>
      <c r="AO457" s="662">
        <v>52483.0</v>
      </c>
      <c r="AP457" s="679">
        <v>-0.9158886033031107</v>
      </c>
      <c r="AQ457" s="662">
        <v>52483.0</v>
      </c>
      <c r="AR457" s="680">
        <v>-0.9109512608789613</v>
      </c>
      <c r="AS457" s="624"/>
      <c r="AT457" s="624"/>
      <c r="AU457" s="624"/>
      <c r="AV457" s="624"/>
      <c r="AW457" s="624"/>
      <c r="AX457" s="624"/>
      <c r="AY457" s="624"/>
      <c r="AZ457" s="624"/>
      <c r="BA457" s="624"/>
      <c r="BB457" s="624"/>
      <c r="BC457" s="624"/>
      <c r="BD457" s="624"/>
      <c r="BE457" s="624"/>
    </row>
    <row r="458" ht="16.5" customHeight="1">
      <c r="A458" s="711"/>
      <c r="B458" s="711"/>
      <c r="C458" s="711"/>
      <c r="D458" s="711"/>
      <c r="E458" s="711"/>
      <c r="F458" s="711"/>
      <c r="G458" s="711"/>
      <c r="H458" s="711"/>
      <c r="I458" s="711"/>
      <c r="J458" s="711"/>
      <c r="K458" s="741"/>
      <c r="L458" s="741"/>
      <c r="M458" s="788"/>
      <c r="N458" s="741"/>
      <c r="O458" s="741"/>
      <c r="P458" s="741"/>
      <c r="Q458" s="741"/>
      <c r="R458" s="788"/>
      <c r="S458" s="819"/>
      <c r="T458" s="820"/>
      <c r="U458" s="819"/>
      <c r="V458" s="820"/>
      <c r="W458" s="788"/>
      <c r="X458" s="803"/>
      <c r="Y458" s="803"/>
      <c r="Z458" s="803"/>
      <c r="AA458" s="711"/>
      <c r="AB458" s="711"/>
      <c r="AC458" s="711"/>
      <c r="AD458" s="736"/>
      <c r="AE458" s="736"/>
      <c r="AF458" s="624"/>
      <c r="AG458" s="624"/>
      <c r="AH458" s="624"/>
      <c r="AI458" s="624"/>
      <c r="AJ458" s="660">
        <f t="shared" si="6"/>
        <v>458</v>
      </c>
      <c r="AK458" s="676">
        <v>0.9574</v>
      </c>
      <c r="AL458" s="662">
        <v>52221.0</v>
      </c>
      <c r="AM458" s="677">
        <v>-0.9197616439290419</v>
      </c>
      <c r="AN458" s="678">
        <v>-0.04259999999999997</v>
      </c>
      <c r="AO458" s="662">
        <v>52221.0</v>
      </c>
      <c r="AP458" s="679">
        <v>-0.914842663594891</v>
      </c>
      <c r="AQ458" s="662">
        <v>52221.0</v>
      </c>
      <c r="AR458" s="680">
        <v>-0.9098695934621946</v>
      </c>
      <c r="AS458" s="624"/>
      <c r="AT458" s="624"/>
      <c r="AU458" s="624"/>
      <c r="AV458" s="624"/>
      <c r="AW458" s="624"/>
      <c r="AX458" s="624"/>
      <c r="AY458" s="624"/>
      <c r="AZ458" s="624"/>
      <c r="BA458" s="624"/>
      <c r="BB458" s="624"/>
      <c r="BC458" s="624"/>
      <c r="BD458" s="624"/>
      <c r="BE458" s="624"/>
    </row>
    <row r="459" ht="16.5" customHeight="1">
      <c r="A459" s="711"/>
      <c r="B459" s="711"/>
      <c r="C459" s="711"/>
      <c r="D459" s="711"/>
      <c r="E459" s="711"/>
      <c r="F459" s="711"/>
      <c r="G459" s="711"/>
      <c r="H459" s="711"/>
      <c r="I459" s="711"/>
      <c r="J459" s="711"/>
      <c r="K459" s="741"/>
      <c r="L459" s="741"/>
      <c r="M459" s="788"/>
      <c r="N459" s="741"/>
      <c r="O459" s="741"/>
      <c r="P459" s="741"/>
      <c r="Q459" s="741"/>
      <c r="R459" s="788"/>
      <c r="S459" s="819"/>
      <c r="T459" s="820"/>
      <c r="U459" s="819"/>
      <c r="V459" s="820"/>
      <c r="W459" s="788"/>
      <c r="X459" s="803"/>
      <c r="Y459" s="803"/>
      <c r="Z459" s="803"/>
      <c r="AA459" s="711"/>
      <c r="AB459" s="711"/>
      <c r="AC459" s="711"/>
      <c r="AD459" s="736"/>
      <c r="AE459" s="736"/>
      <c r="AF459" s="624"/>
      <c r="AG459" s="624"/>
      <c r="AH459" s="624"/>
      <c r="AI459" s="624"/>
      <c r="AJ459" s="660">
        <f t="shared" si="6"/>
        <v>459</v>
      </c>
      <c r="AK459" s="676">
        <v>0.948</v>
      </c>
      <c r="AL459" s="662">
        <v>52172.0</v>
      </c>
      <c r="AM459" s="677">
        <v>-0.9195714827426423</v>
      </c>
      <c r="AN459" s="678">
        <v>-0.052000000000000046</v>
      </c>
      <c r="AO459" s="662">
        <v>52172.0</v>
      </c>
      <c r="AP459" s="679">
        <v>-0.9146456100365769</v>
      </c>
      <c r="AQ459" s="662">
        <v>52172.0</v>
      </c>
      <c r="AR459" s="680">
        <v>-0.909665843235363</v>
      </c>
      <c r="AS459" s="624"/>
      <c r="AT459" s="624"/>
      <c r="AU459" s="624"/>
      <c r="AV459" s="624"/>
      <c r="AW459" s="624"/>
      <c r="AX459" s="624"/>
      <c r="AY459" s="624"/>
      <c r="AZ459" s="624"/>
      <c r="BA459" s="624"/>
      <c r="BB459" s="624"/>
      <c r="BC459" s="624"/>
      <c r="BD459" s="624"/>
      <c r="BE459" s="624"/>
    </row>
    <row r="460" ht="16.5" customHeight="1">
      <c r="A460" s="711"/>
      <c r="B460" s="711"/>
      <c r="C460" s="711"/>
      <c r="D460" s="711"/>
      <c r="E460" s="711"/>
      <c r="F460" s="711"/>
      <c r="G460" s="711"/>
      <c r="H460" s="711"/>
      <c r="I460" s="711"/>
      <c r="J460" s="711"/>
      <c r="K460" s="741"/>
      <c r="L460" s="741"/>
      <c r="M460" s="788"/>
      <c r="N460" s="741"/>
      <c r="O460" s="741"/>
      <c r="P460" s="741"/>
      <c r="Q460" s="741"/>
      <c r="R460" s="788"/>
      <c r="S460" s="819"/>
      <c r="T460" s="820"/>
      <c r="U460" s="819"/>
      <c r="V460" s="820"/>
      <c r="W460" s="788"/>
      <c r="X460" s="803"/>
      <c r="Y460" s="803"/>
      <c r="Z460" s="803"/>
      <c r="AA460" s="711"/>
      <c r="AB460" s="711"/>
      <c r="AC460" s="711"/>
      <c r="AD460" s="736"/>
      <c r="AE460" s="736"/>
      <c r="AF460" s="624"/>
      <c r="AG460" s="624"/>
      <c r="AH460" s="624"/>
      <c r="AI460" s="624"/>
      <c r="AJ460" s="660">
        <f t="shared" si="6"/>
        <v>460</v>
      </c>
      <c r="AK460" s="676">
        <v>0.967</v>
      </c>
      <c r="AL460" s="662">
        <v>52159.0</v>
      </c>
      <c r="AM460" s="677">
        <v>-0.9195209562154734</v>
      </c>
      <c r="AN460" s="678">
        <v>-0.03300000000000003</v>
      </c>
      <c r="AO460" s="662">
        <v>52159.0</v>
      </c>
      <c r="AP460" s="679">
        <v>-0.9145932540295585</v>
      </c>
      <c r="AQ460" s="662">
        <v>52159.0</v>
      </c>
      <c r="AR460" s="680">
        <v>-0.9096117097851218</v>
      </c>
      <c r="AS460" s="624"/>
      <c r="AT460" s="624"/>
      <c r="AU460" s="624"/>
      <c r="AV460" s="624"/>
      <c r="AW460" s="624"/>
      <c r="AX460" s="624"/>
      <c r="AY460" s="624"/>
      <c r="AZ460" s="624"/>
      <c r="BA460" s="624"/>
      <c r="BB460" s="624"/>
      <c r="BC460" s="624"/>
      <c r="BD460" s="624"/>
      <c r="BE460" s="624"/>
    </row>
    <row r="461" ht="16.5" customHeight="1">
      <c r="A461" s="711"/>
      <c r="B461" s="711"/>
      <c r="C461" s="711"/>
      <c r="D461" s="711"/>
      <c r="E461" s="711"/>
      <c r="F461" s="711"/>
      <c r="G461" s="711"/>
      <c r="H461" s="711"/>
      <c r="I461" s="711"/>
      <c r="J461" s="711"/>
      <c r="K461" s="741"/>
      <c r="L461" s="741"/>
      <c r="M461" s="788"/>
      <c r="N461" s="741"/>
      <c r="O461" s="741"/>
      <c r="P461" s="741"/>
      <c r="Q461" s="741"/>
      <c r="R461" s="788"/>
      <c r="S461" s="819"/>
      <c r="T461" s="820"/>
      <c r="U461" s="819"/>
      <c r="V461" s="820"/>
      <c r="W461" s="788"/>
      <c r="X461" s="803"/>
      <c r="Y461" s="803"/>
      <c r="Z461" s="803"/>
      <c r="AA461" s="711"/>
      <c r="AB461" s="711"/>
      <c r="AC461" s="711"/>
      <c r="AD461" s="736"/>
      <c r="AE461" s="736"/>
      <c r="AF461" s="624"/>
      <c r="AG461" s="624"/>
      <c r="AH461" s="624"/>
      <c r="AI461" s="624"/>
      <c r="AJ461" s="660">
        <f t="shared" si="6"/>
        <v>461</v>
      </c>
      <c r="AK461" s="676">
        <v>1.0028</v>
      </c>
      <c r="AL461" s="662">
        <v>52000.0</v>
      </c>
      <c r="AM461" s="677">
        <v>-0.918900403619521</v>
      </c>
      <c r="AN461" s="678">
        <v>0.0027999999999999137</v>
      </c>
      <c r="AO461" s="662">
        <v>52000.0</v>
      </c>
      <c r="AP461" s="679">
        <v>-0.9139502953536113</v>
      </c>
      <c r="AQ461" s="662">
        <v>52000.0</v>
      </c>
      <c r="AR461" s="680">
        <v>-0.9089469853981147</v>
      </c>
      <c r="AS461" s="624"/>
      <c r="AT461" s="624"/>
      <c r="AU461" s="624"/>
      <c r="AV461" s="624"/>
      <c r="AW461" s="624"/>
      <c r="AX461" s="624"/>
      <c r="AY461" s="624"/>
      <c r="AZ461" s="624"/>
      <c r="BA461" s="624"/>
      <c r="BB461" s="624"/>
      <c r="BC461" s="624"/>
      <c r="BD461" s="624"/>
      <c r="BE461" s="624"/>
    </row>
    <row r="462" ht="16.5" customHeight="1">
      <c r="A462" s="711"/>
      <c r="B462" s="711"/>
      <c r="C462" s="711"/>
      <c r="D462" s="711"/>
      <c r="E462" s="711"/>
      <c r="F462" s="711"/>
      <c r="G462" s="711"/>
      <c r="H462" s="711"/>
      <c r="I462" s="711"/>
      <c r="J462" s="711"/>
      <c r="K462" s="741"/>
      <c r="L462" s="741"/>
      <c r="M462" s="788"/>
      <c r="N462" s="741"/>
      <c r="O462" s="741"/>
      <c r="P462" s="741"/>
      <c r="Q462" s="741"/>
      <c r="R462" s="788"/>
      <c r="S462" s="819"/>
      <c r="T462" s="820"/>
      <c r="U462" s="819"/>
      <c r="V462" s="820"/>
      <c r="W462" s="788"/>
      <c r="X462" s="803"/>
      <c r="Y462" s="803"/>
      <c r="Z462" s="803"/>
      <c r="AA462" s="711"/>
      <c r="AB462" s="711"/>
      <c r="AC462" s="711"/>
      <c r="AD462" s="736"/>
      <c r="AE462" s="736"/>
      <c r="AF462" s="624"/>
      <c r="AG462" s="624"/>
      <c r="AH462" s="624"/>
      <c r="AI462" s="624"/>
      <c r="AJ462" s="660">
        <f t="shared" si="6"/>
        <v>462</v>
      </c>
      <c r="AK462" s="676">
        <v>0.982</v>
      </c>
      <c r="AL462" s="662">
        <v>52000.0</v>
      </c>
      <c r="AM462" s="677">
        <v>-0.918900403619521</v>
      </c>
      <c r="AN462" s="678">
        <v>-0.018000000000000016</v>
      </c>
      <c r="AO462" s="662">
        <v>52000.0</v>
      </c>
      <c r="AP462" s="679">
        <v>-0.9139502953536113</v>
      </c>
      <c r="AQ462" s="662">
        <v>52000.0</v>
      </c>
      <c r="AR462" s="680">
        <v>-0.9089469853981147</v>
      </c>
      <c r="AS462" s="624"/>
      <c r="AT462" s="624"/>
      <c r="AU462" s="624"/>
      <c r="AV462" s="624"/>
      <c r="AW462" s="624"/>
      <c r="AX462" s="624"/>
      <c r="AY462" s="624"/>
      <c r="AZ462" s="624"/>
      <c r="BA462" s="624"/>
      <c r="BB462" s="624"/>
      <c r="BC462" s="624"/>
      <c r="BD462" s="624"/>
      <c r="BE462" s="624"/>
    </row>
    <row r="463" ht="16.5" customHeight="1">
      <c r="A463" s="711"/>
      <c r="B463" s="711"/>
      <c r="C463" s="711"/>
      <c r="D463" s="711"/>
      <c r="E463" s="711"/>
      <c r="F463" s="711"/>
      <c r="G463" s="711"/>
      <c r="H463" s="711"/>
      <c r="I463" s="711"/>
      <c r="J463" s="711"/>
      <c r="K463" s="741"/>
      <c r="L463" s="741"/>
      <c r="M463" s="788"/>
      <c r="N463" s="741"/>
      <c r="O463" s="741"/>
      <c r="P463" s="741"/>
      <c r="Q463" s="741"/>
      <c r="R463" s="788"/>
      <c r="S463" s="819"/>
      <c r="T463" s="820"/>
      <c r="U463" s="819"/>
      <c r="V463" s="820"/>
      <c r="W463" s="788"/>
      <c r="X463" s="803"/>
      <c r="Y463" s="803"/>
      <c r="Z463" s="803"/>
      <c r="AA463" s="711"/>
      <c r="AB463" s="711"/>
      <c r="AC463" s="711"/>
      <c r="AD463" s="736"/>
      <c r="AE463" s="736"/>
      <c r="AF463" s="624"/>
      <c r="AG463" s="624"/>
      <c r="AH463" s="624"/>
      <c r="AI463" s="624"/>
      <c r="AJ463" s="660">
        <f t="shared" si="6"/>
        <v>463</v>
      </c>
      <c r="AK463" s="676">
        <v>0.9398</v>
      </c>
      <c r="AL463" s="662">
        <v>51815.0</v>
      </c>
      <c r="AM463" s="677">
        <v>-0.918172351938422</v>
      </c>
      <c r="AN463" s="678">
        <v>-0.06020000000000003</v>
      </c>
      <c r="AO463" s="662">
        <v>51815.0</v>
      </c>
      <c r="AP463" s="679">
        <v>-0.9131961040047227</v>
      </c>
      <c r="AQ463" s="662">
        <v>51815.0</v>
      </c>
      <c r="AR463" s="680">
        <v>-0.9081674086196898</v>
      </c>
      <c r="AS463" s="624"/>
      <c r="AT463" s="624"/>
      <c r="AU463" s="624"/>
      <c r="AV463" s="624"/>
      <c r="AW463" s="624"/>
      <c r="AX463" s="624"/>
      <c r="AY463" s="624"/>
      <c r="AZ463" s="624"/>
      <c r="BA463" s="624"/>
      <c r="BB463" s="624"/>
      <c r="BC463" s="624"/>
      <c r="BD463" s="624"/>
      <c r="BE463" s="624"/>
    </row>
    <row r="464" ht="16.5" customHeight="1">
      <c r="A464" s="711"/>
      <c r="B464" s="711"/>
      <c r="C464" s="711"/>
      <c r="D464" s="711"/>
      <c r="E464" s="711"/>
      <c r="F464" s="711"/>
      <c r="G464" s="711"/>
      <c r="H464" s="711"/>
      <c r="I464" s="711"/>
      <c r="J464" s="711"/>
      <c r="K464" s="741"/>
      <c r="L464" s="741"/>
      <c r="M464" s="788"/>
      <c r="N464" s="741"/>
      <c r="O464" s="741"/>
      <c r="P464" s="741"/>
      <c r="Q464" s="741"/>
      <c r="R464" s="788"/>
      <c r="S464" s="819"/>
      <c r="T464" s="820"/>
      <c r="U464" s="819"/>
      <c r="V464" s="820"/>
      <c r="W464" s="788"/>
      <c r="X464" s="803"/>
      <c r="Y464" s="803"/>
      <c r="Z464" s="803"/>
      <c r="AA464" s="711"/>
      <c r="AB464" s="711"/>
      <c r="AC464" s="711"/>
      <c r="AD464" s="736"/>
      <c r="AE464" s="736"/>
      <c r="AF464" s="624"/>
      <c r="AG464" s="624"/>
      <c r="AH464" s="624"/>
      <c r="AI464" s="624"/>
      <c r="AJ464" s="660">
        <f t="shared" si="6"/>
        <v>464</v>
      </c>
      <c r="AK464" s="676">
        <v>0.983</v>
      </c>
      <c r="AL464" s="662">
        <v>51697.0</v>
      </c>
      <c r="AM464" s="677">
        <v>-0.9177045627688335</v>
      </c>
      <c r="AN464" s="678">
        <v>-0.017000000000000015</v>
      </c>
      <c r="AO464" s="662">
        <v>51697.0</v>
      </c>
      <c r="AP464" s="679">
        <v>-0.9127116031197404</v>
      </c>
      <c r="AQ464" s="662">
        <v>51697.0</v>
      </c>
      <c r="AR464" s="680">
        <v>-0.9076666822665518</v>
      </c>
      <c r="AS464" s="624"/>
      <c r="AT464" s="624"/>
      <c r="AU464" s="624"/>
      <c r="AV464" s="624"/>
      <c r="AW464" s="624"/>
      <c r="AX464" s="624"/>
      <c r="AY464" s="624"/>
      <c r="AZ464" s="624"/>
      <c r="BA464" s="624"/>
      <c r="BB464" s="624"/>
      <c r="BC464" s="624"/>
      <c r="BD464" s="624"/>
      <c r="BE464" s="624"/>
    </row>
    <row r="465" ht="16.5" customHeight="1">
      <c r="A465" s="711"/>
      <c r="B465" s="711"/>
      <c r="C465" s="711"/>
      <c r="D465" s="711"/>
      <c r="E465" s="711"/>
      <c r="F465" s="711"/>
      <c r="G465" s="711"/>
      <c r="H465" s="711"/>
      <c r="I465" s="711"/>
      <c r="J465" s="711"/>
      <c r="K465" s="741"/>
      <c r="L465" s="741"/>
      <c r="M465" s="788"/>
      <c r="N465" s="741"/>
      <c r="O465" s="741"/>
      <c r="P465" s="741"/>
      <c r="Q465" s="741"/>
      <c r="R465" s="788"/>
      <c r="S465" s="819"/>
      <c r="T465" s="820"/>
      <c r="U465" s="819"/>
      <c r="V465" s="820"/>
      <c r="W465" s="788"/>
      <c r="X465" s="803"/>
      <c r="Y465" s="803"/>
      <c r="Z465" s="803"/>
      <c r="AA465" s="711"/>
      <c r="AB465" s="711"/>
      <c r="AC465" s="711"/>
      <c r="AD465" s="736"/>
      <c r="AE465" s="736"/>
      <c r="AF465" s="624"/>
      <c r="AG465" s="624"/>
      <c r="AH465" s="624"/>
      <c r="AI465" s="624"/>
      <c r="AJ465" s="660">
        <f t="shared" si="6"/>
        <v>465</v>
      </c>
      <c r="AK465" s="676">
        <v>0.951</v>
      </c>
      <c r="AL465" s="662">
        <v>51605.0</v>
      </c>
      <c r="AM465" s="677">
        <v>-0.9173379912701075</v>
      </c>
      <c r="AN465" s="678">
        <v>-0.049000000000000044</v>
      </c>
      <c r="AO465" s="662">
        <v>51605.0</v>
      </c>
      <c r="AP465" s="679">
        <v>-0.9123319813043483</v>
      </c>
      <c r="AQ465" s="662">
        <v>51605.0</v>
      </c>
      <c r="AR465" s="680">
        <v>-0.907274392043935</v>
      </c>
      <c r="AS465" s="624"/>
      <c r="AT465" s="624"/>
      <c r="AU465" s="624"/>
      <c r="AV465" s="624"/>
      <c r="AW465" s="624"/>
      <c r="AX465" s="624"/>
      <c r="AY465" s="624"/>
      <c r="AZ465" s="624"/>
      <c r="BA465" s="624"/>
      <c r="BB465" s="624"/>
      <c r="BC465" s="624"/>
      <c r="BD465" s="624"/>
      <c r="BE465" s="624"/>
    </row>
    <row r="466" ht="16.5" customHeight="1">
      <c r="A466" s="711"/>
      <c r="B466" s="711"/>
      <c r="C466" s="711"/>
      <c r="D466" s="711"/>
      <c r="E466" s="711"/>
      <c r="F466" s="711"/>
      <c r="G466" s="711"/>
      <c r="H466" s="711"/>
      <c r="I466" s="711"/>
      <c r="J466" s="711"/>
      <c r="K466" s="741"/>
      <c r="L466" s="741"/>
      <c r="M466" s="788"/>
      <c r="N466" s="741"/>
      <c r="O466" s="741"/>
      <c r="P466" s="741"/>
      <c r="Q466" s="741"/>
      <c r="R466" s="788"/>
      <c r="S466" s="819"/>
      <c r="T466" s="820"/>
      <c r="U466" s="819"/>
      <c r="V466" s="820"/>
      <c r="W466" s="788"/>
      <c r="X466" s="803"/>
      <c r="Y466" s="803"/>
      <c r="Z466" s="803"/>
      <c r="AA466" s="711"/>
      <c r="AB466" s="711"/>
      <c r="AC466" s="711"/>
      <c r="AD466" s="736"/>
      <c r="AE466" s="736"/>
      <c r="AF466" s="624"/>
      <c r="AG466" s="624"/>
      <c r="AH466" s="624"/>
      <c r="AI466" s="624"/>
      <c r="AJ466" s="660">
        <f t="shared" si="6"/>
        <v>466</v>
      </c>
      <c r="AK466" s="676">
        <v>0.9863</v>
      </c>
      <c r="AL466" s="662">
        <v>51525.0</v>
      </c>
      <c r="AM466" s="677">
        <v>-0.9170179064467077</v>
      </c>
      <c r="AN466" s="678">
        <v>-0.013700000000000045</v>
      </c>
      <c r="AO466" s="662">
        <v>51525.0</v>
      </c>
      <c r="AP466" s="679">
        <v>-0.9120005336126022</v>
      </c>
      <c r="AQ466" s="662">
        <v>51525.0</v>
      </c>
      <c r="AR466" s="680">
        <v>-0.9069319155795192</v>
      </c>
      <c r="AS466" s="624"/>
      <c r="AT466" s="624"/>
      <c r="AU466" s="624"/>
      <c r="AV466" s="624"/>
      <c r="AW466" s="624"/>
      <c r="AX466" s="624"/>
      <c r="AY466" s="624"/>
      <c r="AZ466" s="624"/>
      <c r="BA466" s="624"/>
      <c r="BB466" s="624"/>
      <c r="BC466" s="624"/>
      <c r="BD466" s="624"/>
      <c r="BE466" s="624"/>
    </row>
    <row r="467" ht="16.5" customHeight="1">
      <c r="A467" s="711"/>
      <c r="B467" s="711"/>
      <c r="C467" s="711"/>
      <c r="D467" s="711"/>
      <c r="E467" s="711"/>
      <c r="F467" s="711"/>
      <c r="G467" s="711"/>
      <c r="H467" s="711"/>
      <c r="I467" s="711"/>
      <c r="J467" s="711"/>
      <c r="K467" s="741"/>
      <c r="L467" s="741"/>
      <c r="M467" s="788"/>
      <c r="N467" s="741"/>
      <c r="O467" s="741"/>
      <c r="P467" s="741"/>
      <c r="Q467" s="741"/>
      <c r="R467" s="788"/>
      <c r="S467" s="819"/>
      <c r="T467" s="820"/>
      <c r="U467" s="819"/>
      <c r="V467" s="820"/>
      <c r="W467" s="788"/>
      <c r="X467" s="803"/>
      <c r="Y467" s="803"/>
      <c r="Z467" s="803"/>
      <c r="AA467" s="711"/>
      <c r="AB467" s="711"/>
      <c r="AC467" s="711"/>
      <c r="AD467" s="736"/>
      <c r="AE467" s="736"/>
      <c r="AF467" s="624"/>
      <c r="AG467" s="624"/>
      <c r="AH467" s="624"/>
      <c r="AI467" s="624"/>
      <c r="AJ467" s="660">
        <f t="shared" si="6"/>
        <v>467</v>
      </c>
      <c r="AK467" s="676">
        <v>0.9814</v>
      </c>
      <c r="AL467" s="662">
        <v>51499.0</v>
      </c>
      <c r="AM467" s="677">
        <v>-0.9169136122451048</v>
      </c>
      <c r="AN467" s="678">
        <v>-0.01859999999999995</v>
      </c>
      <c r="AO467" s="662">
        <v>51499.0</v>
      </c>
      <c r="AP467" s="679">
        <v>-0.911892543531934</v>
      </c>
      <c r="AQ467" s="662">
        <v>51499.0</v>
      </c>
      <c r="AR467" s="680">
        <v>-0.9068203386022851</v>
      </c>
      <c r="AS467" s="624"/>
      <c r="AT467" s="624"/>
      <c r="AU467" s="624"/>
      <c r="AV467" s="624"/>
      <c r="AW467" s="624"/>
      <c r="AX467" s="624"/>
      <c r="AY467" s="624"/>
      <c r="AZ467" s="624"/>
      <c r="BA467" s="624"/>
      <c r="BB467" s="624"/>
      <c r="BC467" s="624"/>
      <c r="BD467" s="624"/>
      <c r="BE467" s="624"/>
    </row>
    <row r="468" ht="16.5" customHeight="1">
      <c r="A468" s="711"/>
      <c r="B468" s="711"/>
      <c r="C468" s="711"/>
      <c r="D468" s="711"/>
      <c r="E468" s="711"/>
      <c r="F468" s="711"/>
      <c r="G468" s="711"/>
      <c r="H468" s="711"/>
      <c r="I468" s="711"/>
      <c r="J468" s="711"/>
      <c r="K468" s="741"/>
      <c r="L468" s="741"/>
      <c r="M468" s="788"/>
      <c r="N468" s="741"/>
      <c r="O468" s="741"/>
      <c r="P468" s="741"/>
      <c r="Q468" s="741"/>
      <c r="R468" s="788"/>
      <c r="S468" s="819"/>
      <c r="T468" s="820"/>
      <c r="U468" s="819"/>
      <c r="V468" s="820"/>
      <c r="W468" s="788"/>
      <c r="X468" s="803"/>
      <c r="Y468" s="803"/>
      <c r="Z468" s="803"/>
      <c r="AA468" s="711"/>
      <c r="AB468" s="711"/>
      <c r="AC468" s="711"/>
      <c r="AD468" s="736"/>
      <c r="AE468" s="736"/>
      <c r="AF468" s="624"/>
      <c r="AG468" s="624"/>
      <c r="AH468" s="624"/>
      <c r="AI468" s="624"/>
      <c r="AJ468" s="660">
        <f t="shared" si="6"/>
        <v>468</v>
      </c>
      <c r="AK468" s="676">
        <v>0.9656</v>
      </c>
      <c r="AL468" s="662">
        <v>51364.0</v>
      </c>
      <c r="AM468" s="677">
        <v>-0.9163699736913467</v>
      </c>
      <c r="AN468" s="678">
        <v>-0.034399999999999986</v>
      </c>
      <c r="AO468" s="662">
        <v>51364.0</v>
      </c>
      <c r="AP468" s="679">
        <v>-0.9113296917017678</v>
      </c>
      <c r="AQ468" s="662">
        <v>51364.0</v>
      </c>
      <c r="AR468" s="680">
        <v>-0.9062388425389224</v>
      </c>
      <c r="AS468" s="624"/>
      <c r="AT468" s="624"/>
      <c r="AU468" s="624"/>
      <c r="AV468" s="624"/>
      <c r="AW468" s="624"/>
      <c r="AX468" s="624"/>
      <c r="AY468" s="624"/>
      <c r="AZ468" s="624"/>
      <c r="BA468" s="624"/>
      <c r="BB468" s="624"/>
      <c r="BC468" s="624"/>
      <c r="BD468" s="624"/>
      <c r="BE468" s="624"/>
    </row>
    <row r="469" ht="16.5" customHeight="1">
      <c r="A469" s="711"/>
      <c r="B469" s="711"/>
      <c r="C469" s="711"/>
      <c r="D469" s="711"/>
      <c r="E469" s="711"/>
      <c r="F469" s="711"/>
      <c r="G469" s="711"/>
      <c r="H469" s="711"/>
      <c r="I469" s="711"/>
      <c r="J469" s="711"/>
      <c r="K469" s="741"/>
      <c r="L469" s="741"/>
      <c r="M469" s="788"/>
      <c r="N469" s="741"/>
      <c r="O469" s="741"/>
      <c r="P469" s="741"/>
      <c r="Q469" s="741"/>
      <c r="R469" s="788"/>
      <c r="S469" s="819"/>
      <c r="T469" s="820"/>
      <c r="U469" s="819"/>
      <c r="V469" s="820"/>
      <c r="W469" s="788"/>
      <c r="X469" s="803"/>
      <c r="Y469" s="803"/>
      <c r="Z469" s="803"/>
      <c r="AA469" s="711"/>
      <c r="AB469" s="711"/>
      <c r="AC469" s="711"/>
      <c r="AD469" s="736"/>
      <c r="AE469" s="736"/>
      <c r="AF469" s="624"/>
      <c r="AG469" s="624"/>
      <c r="AH469" s="624"/>
      <c r="AI469" s="624"/>
      <c r="AJ469" s="660">
        <f t="shared" si="6"/>
        <v>469</v>
      </c>
      <c r="AK469" s="676">
        <v>0.9656</v>
      </c>
      <c r="AL469" s="662">
        <v>51342.0</v>
      </c>
      <c r="AM469" s="677">
        <v>-0.9162810442889824</v>
      </c>
      <c r="AN469" s="678">
        <v>-0.034399999999999986</v>
      </c>
      <c r="AO469" s="662">
        <v>51342.0</v>
      </c>
      <c r="AP469" s="679">
        <v>-0.9112376275832437</v>
      </c>
      <c r="AQ469" s="662">
        <v>51342.0</v>
      </c>
      <c r="AR469" s="680">
        <v>-0.9061437369421972</v>
      </c>
      <c r="AS469" s="624"/>
      <c r="AT469" s="624"/>
      <c r="AU469" s="624"/>
      <c r="AV469" s="624"/>
      <c r="AW469" s="624"/>
      <c r="AX469" s="624"/>
      <c r="AY469" s="624"/>
      <c r="AZ469" s="624"/>
      <c r="BA469" s="624"/>
      <c r="BB469" s="624"/>
      <c r="BC469" s="624"/>
      <c r="BD469" s="624"/>
      <c r="BE469" s="624"/>
    </row>
    <row r="470" ht="16.5" customHeight="1">
      <c r="A470" s="711"/>
      <c r="B470" s="711"/>
      <c r="C470" s="711"/>
      <c r="D470" s="711"/>
      <c r="E470" s="711"/>
      <c r="F470" s="711"/>
      <c r="G470" s="711"/>
      <c r="H470" s="711"/>
      <c r="I470" s="711"/>
      <c r="J470" s="711"/>
      <c r="K470" s="741"/>
      <c r="L470" s="741"/>
      <c r="M470" s="788"/>
      <c r="N470" s="741"/>
      <c r="O470" s="741"/>
      <c r="P470" s="741"/>
      <c r="Q470" s="741"/>
      <c r="R470" s="788"/>
      <c r="S470" s="819"/>
      <c r="T470" s="820"/>
      <c r="U470" s="819"/>
      <c r="V470" s="820"/>
      <c r="W470" s="788"/>
      <c r="X470" s="803"/>
      <c r="Y470" s="803"/>
      <c r="Z470" s="803"/>
      <c r="AA470" s="711"/>
      <c r="AB470" s="711"/>
      <c r="AC470" s="711"/>
      <c r="AD470" s="736"/>
      <c r="AE470" s="736"/>
      <c r="AF470" s="624"/>
      <c r="AG470" s="624"/>
      <c r="AH470" s="624"/>
      <c r="AI470" s="624"/>
      <c r="AJ470" s="660">
        <f t="shared" si="6"/>
        <v>470</v>
      </c>
      <c r="AK470" s="676">
        <v>0.9494</v>
      </c>
      <c r="AL470" s="662">
        <v>51255.0</v>
      </c>
      <c r="AM470" s="677">
        <v>-0.9159284415536353</v>
      </c>
      <c r="AN470" s="678">
        <v>-0.05059999999999998</v>
      </c>
      <c r="AO470" s="662">
        <v>51255.0</v>
      </c>
      <c r="AP470" s="679">
        <v>-0.9108726184588432</v>
      </c>
      <c r="AQ470" s="662">
        <v>51255.0</v>
      </c>
      <c r="AR470" s="680">
        <v>-0.905766691531973</v>
      </c>
      <c r="AS470" s="624"/>
      <c r="AT470" s="624"/>
      <c r="AU470" s="624"/>
      <c r="AV470" s="624"/>
      <c r="AW470" s="624"/>
      <c r="AX470" s="624"/>
      <c r="AY470" s="624"/>
      <c r="AZ470" s="624"/>
      <c r="BA470" s="624"/>
      <c r="BB470" s="624"/>
      <c r="BC470" s="624"/>
      <c r="BD470" s="624"/>
      <c r="BE470" s="624"/>
    </row>
    <row r="471" ht="16.5" customHeight="1">
      <c r="A471" s="711"/>
      <c r="B471" s="711"/>
      <c r="C471" s="711"/>
      <c r="D471" s="711"/>
      <c r="E471" s="711"/>
      <c r="F471" s="711"/>
      <c r="G471" s="711"/>
      <c r="H471" s="711"/>
      <c r="I471" s="711"/>
      <c r="J471" s="711"/>
      <c r="K471" s="741"/>
      <c r="L471" s="741"/>
      <c r="M471" s="788"/>
      <c r="N471" s="741"/>
      <c r="O471" s="741"/>
      <c r="P471" s="741"/>
      <c r="Q471" s="741"/>
      <c r="R471" s="788"/>
      <c r="S471" s="819"/>
      <c r="T471" s="820"/>
      <c r="U471" s="819"/>
      <c r="V471" s="820"/>
      <c r="W471" s="788"/>
      <c r="X471" s="803"/>
      <c r="Y471" s="803"/>
      <c r="Z471" s="803"/>
      <c r="AA471" s="711"/>
      <c r="AB471" s="711"/>
      <c r="AC471" s="711"/>
      <c r="AD471" s="736"/>
      <c r="AE471" s="736"/>
      <c r="AF471" s="624"/>
      <c r="AG471" s="624"/>
      <c r="AH471" s="624"/>
      <c r="AI471" s="624"/>
      <c r="AJ471" s="660">
        <f t="shared" si="6"/>
        <v>471</v>
      </c>
      <c r="AK471" s="676">
        <v>0.9589</v>
      </c>
      <c r="AL471" s="662">
        <v>51222.0</v>
      </c>
      <c r="AM471" s="677">
        <v>-0.9157943075414672</v>
      </c>
      <c r="AN471" s="678">
        <v>-0.041100000000000025</v>
      </c>
      <c r="AO471" s="662">
        <v>51222.0</v>
      </c>
      <c r="AP471" s="679">
        <v>-0.9107337744058531</v>
      </c>
      <c r="AQ471" s="662">
        <v>51222.0</v>
      </c>
      <c r="AR471" s="680">
        <v>-0.9056232784031106</v>
      </c>
      <c r="AS471" s="624"/>
      <c r="AT471" s="624"/>
      <c r="AU471" s="624"/>
      <c r="AV471" s="624"/>
      <c r="AW471" s="624"/>
      <c r="AX471" s="624"/>
      <c r="AY471" s="624"/>
      <c r="AZ471" s="624"/>
      <c r="BA471" s="624"/>
      <c r="BB471" s="624"/>
      <c r="BC471" s="624"/>
      <c r="BD471" s="624"/>
      <c r="BE471" s="624"/>
    </row>
    <row r="472" ht="16.5" customHeight="1">
      <c r="A472" s="711"/>
      <c r="B472" s="711"/>
      <c r="C472" s="711"/>
      <c r="D472" s="711"/>
      <c r="E472" s="711"/>
      <c r="F472" s="711"/>
      <c r="G472" s="711"/>
      <c r="H472" s="711"/>
      <c r="I472" s="711"/>
      <c r="J472" s="711"/>
      <c r="K472" s="741"/>
      <c r="L472" s="741"/>
      <c r="M472" s="788"/>
      <c r="N472" s="741"/>
      <c r="O472" s="741"/>
      <c r="P472" s="741"/>
      <c r="Q472" s="741"/>
      <c r="R472" s="788"/>
      <c r="S472" s="819"/>
      <c r="T472" s="820"/>
      <c r="U472" s="819"/>
      <c r="V472" s="820"/>
      <c r="W472" s="788"/>
      <c r="X472" s="803"/>
      <c r="Y472" s="803"/>
      <c r="Z472" s="803"/>
      <c r="AA472" s="711"/>
      <c r="AB472" s="711"/>
      <c r="AC472" s="711"/>
      <c r="AD472" s="736"/>
      <c r="AE472" s="736"/>
      <c r="AF472" s="624"/>
      <c r="AG472" s="624"/>
      <c r="AH472" s="624"/>
      <c r="AI472" s="624"/>
      <c r="AJ472" s="660">
        <f t="shared" si="6"/>
        <v>472</v>
      </c>
      <c r="AK472" s="676">
        <v>0.9524</v>
      </c>
      <c r="AL472" s="662">
        <v>51000.0</v>
      </c>
      <c r="AM472" s="677">
        <v>-0.9148863720620132</v>
      </c>
      <c r="AN472" s="678">
        <v>-0.047599999999999976</v>
      </c>
      <c r="AO472" s="662">
        <v>51000.0</v>
      </c>
      <c r="AP472" s="679">
        <v>-0.9097940940017886</v>
      </c>
      <c r="AQ472" s="662">
        <v>51000.0</v>
      </c>
      <c r="AR472" s="680">
        <v>-0.9046528097143648</v>
      </c>
      <c r="AS472" s="624"/>
      <c r="AT472" s="624"/>
      <c r="AU472" s="624"/>
      <c r="AV472" s="624"/>
      <c r="AW472" s="624"/>
      <c r="AX472" s="624"/>
      <c r="AY472" s="624"/>
      <c r="AZ472" s="624"/>
      <c r="BA472" s="624"/>
      <c r="BB472" s="624"/>
      <c r="BC472" s="624"/>
      <c r="BD472" s="624"/>
      <c r="BE472" s="624"/>
    </row>
    <row r="473" ht="16.5" customHeight="1">
      <c r="A473" s="711"/>
      <c r="B473" s="711"/>
      <c r="C473" s="711"/>
      <c r="D473" s="711"/>
      <c r="E473" s="711"/>
      <c r="F473" s="711"/>
      <c r="G473" s="711"/>
      <c r="H473" s="711"/>
      <c r="I473" s="711"/>
      <c r="J473" s="711"/>
      <c r="K473" s="741"/>
      <c r="L473" s="741"/>
      <c r="M473" s="788"/>
      <c r="N473" s="741"/>
      <c r="O473" s="741"/>
      <c r="P473" s="741"/>
      <c r="Q473" s="741"/>
      <c r="R473" s="788"/>
      <c r="S473" s="819"/>
      <c r="T473" s="820"/>
      <c r="U473" s="819"/>
      <c r="V473" s="820"/>
      <c r="W473" s="788"/>
      <c r="X473" s="803"/>
      <c r="Y473" s="803"/>
      <c r="Z473" s="803"/>
      <c r="AA473" s="711"/>
      <c r="AB473" s="711"/>
      <c r="AC473" s="711"/>
      <c r="AD473" s="736"/>
      <c r="AE473" s="736"/>
      <c r="AF473" s="624"/>
      <c r="AG473" s="624"/>
      <c r="AH473" s="624"/>
      <c r="AI473" s="624"/>
      <c r="AJ473" s="660">
        <f t="shared" si="6"/>
        <v>473</v>
      </c>
      <c r="AK473" s="676">
        <v>0.9365</v>
      </c>
      <c r="AL473" s="662">
        <v>51000.0</v>
      </c>
      <c r="AM473" s="677">
        <v>-0.9148863720620132</v>
      </c>
      <c r="AN473" s="678">
        <v>-0.0635</v>
      </c>
      <c r="AO473" s="662">
        <v>51000.0</v>
      </c>
      <c r="AP473" s="679">
        <v>-0.9097940940017886</v>
      </c>
      <c r="AQ473" s="662">
        <v>51000.0</v>
      </c>
      <c r="AR473" s="680">
        <v>-0.9046528097143648</v>
      </c>
      <c r="AS473" s="624"/>
      <c r="AT473" s="624"/>
      <c r="AU473" s="624"/>
      <c r="AV473" s="624"/>
      <c r="AW473" s="624"/>
      <c r="AX473" s="624"/>
      <c r="AY473" s="624"/>
      <c r="AZ473" s="624"/>
      <c r="BA473" s="624"/>
      <c r="BB473" s="624"/>
      <c r="BC473" s="624"/>
      <c r="BD473" s="624"/>
      <c r="BE473" s="624"/>
    </row>
    <row r="474" ht="16.5" customHeight="1">
      <c r="A474" s="711"/>
      <c r="B474" s="711"/>
      <c r="C474" s="711"/>
      <c r="D474" s="711"/>
      <c r="E474" s="711"/>
      <c r="F474" s="711"/>
      <c r="G474" s="711"/>
      <c r="H474" s="711"/>
      <c r="I474" s="711"/>
      <c r="J474" s="711"/>
      <c r="K474" s="741"/>
      <c r="L474" s="741"/>
      <c r="M474" s="788"/>
      <c r="N474" s="741"/>
      <c r="O474" s="741"/>
      <c r="P474" s="741"/>
      <c r="Q474" s="741"/>
      <c r="R474" s="788"/>
      <c r="S474" s="819"/>
      <c r="T474" s="820"/>
      <c r="U474" s="819"/>
      <c r="V474" s="820"/>
      <c r="W474" s="788"/>
      <c r="X474" s="803"/>
      <c r="Y474" s="803"/>
      <c r="Z474" s="803"/>
      <c r="AA474" s="711"/>
      <c r="AB474" s="711"/>
      <c r="AC474" s="711"/>
      <c r="AD474" s="736"/>
      <c r="AE474" s="736"/>
      <c r="AF474" s="624"/>
      <c r="AG474" s="624"/>
      <c r="AH474" s="624"/>
      <c r="AI474" s="624"/>
      <c r="AJ474" s="660">
        <f t="shared" si="6"/>
        <v>474</v>
      </c>
      <c r="AK474" s="676">
        <v>0.9499</v>
      </c>
      <c r="AL474" s="662">
        <v>50950.0</v>
      </c>
      <c r="AM474" s="677">
        <v>-0.914680535093439</v>
      </c>
      <c r="AN474" s="678">
        <v>-0.05010000000000003</v>
      </c>
      <c r="AO474" s="662">
        <v>50950.0</v>
      </c>
      <c r="AP474" s="679">
        <v>-0.9095810931419661</v>
      </c>
      <c r="AQ474" s="662">
        <v>50950.0</v>
      </c>
      <c r="AR474" s="680">
        <v>-0.9044328624293521</v>
      </c>
      <c r="AS474" s="624"/>
      <c r="AT474" s="624"/>
      <c r="AU474" s="624"/>
      <c r="AV474" s="624"/>
      <c r="AW474" s="624"/>
      <c r="AX474" s="624"/>
      <c r="AY474" s="624"/>
      <c r="AZ474" s="624"/>
      <c r="BA474" s="624"/>
      <c r="BB474" s="624"/>
      <c r="BC474" s="624"/>
      <c r="BD474" s="624"/>
      <c r="BE474" s="624"/>
    </row>
    <row r="475" ht="16.5" customHeight="1">
      <c r="A475" s="711"/>
      <c r="B475" s="711"/>
      <c r="C475" s="711"/>
      <c r="D475" s="711"/>
      <c r="E475" s="711"/>
      <c r="F475" s="711"/>
      <c r="G475" s="711"/>
      <c r="H475" s="711"/>
      <c r="I475" s="711"/>
      <c r="J475" s="711"/>
      <c r="K475" s="741"/>
      <c r="L475" s="741"/>
      <c r="M475" s="788"/>
      <c r="N475" s="741"/>
      <c r="O475" s="741"/>
      <c r="P475" s="741"/>
      <c r="Q475" s="741"/>
      <c r="R475" s="788"/>
      <c r="S475" s="819"/>
      <c r="T475" s="820"/>
      <c r="U475" s="819"/>
      <c r="V475" s="820"/>
      <c r="W475" s="788"/>
      <c r="X475" s="803"/>
      <c r="Y475" s="803"/>
      <c r="Z475" s="803"/>
      <c r="AA475" s="711"/>
      <c r="AB475" s="711"/>
      <c r="AC475" s="711"/>
      <c r="AD475" s="736"/>
      <c r="AE475" s="736"/>
      <c r="AF475" s="624"/>
      <c r="AG475" s="624"/>
      <c r="AH475" s="624"/>
      <c r="AI475" s="624"/>
      <c r="AJ475" s="660">
        <f t="shared" si="6"/>
        <v>475</v>
      </c>
      <c r="AK475" s="676">
        <v>0.9649</v>
      </c>
      <c r="AL475" s="662">
        <v>50878.0</v>
      </c>
      <c r="AM475" s="677">
        <v>-0.9143832550281483</v>
      </c>
      <c r="AN475" s="678">
        <v>-0.03510000000000002</v>
      </c>
      <c r="AO475" s="662">
        <v>50878.0</v>
      </c>
      <c r="AP475" s="679">
        <v>-0.9092734880094014</v>
      </c>
      <c r="AQ475" s="662">
        <v>50878.0</v>
      </c>
      <c r="AR475" s="680">
        <v>-0.90411524668055</v>
      </c>
      <c r="AS475" s="624"/>
      <c r="AT475" s="624"/>
      <c r="AU475" s="624"/>
      <c r="AV475" s="624"/>
      <c r="AW475" s="624"/>
      <c r="AX475" s="624"/>
      <c r="AY475" s="624"/>
      <c r="AZ475" s="624"/>
      <c r="BA475" s="624"/>
      <c r="BB475" s="624"/>
      <c r="BC475" s="624"/>
      <c r="BD475" s="624"/>
      <c r="BE475" s="624"/>
    </row>
    <row r="476" ht="16.5" customHeight="1">
      <c r="A476" s="711"/>
      <c r="B476" s="711"/>
      <c r="C476" s="711"/>
      <c r="D476" s="711"/>
      <c r="E476" s="711"/>
      <c r="F476" s="711"/>
      <c r="G476" s="711"/>
      <c r="H476" s="711"/>
      <c r="I476" s="711"/>
      <c r="J476" s="711"/>
      <c r="K476" s="741"/>
      <c r="L476" s="741"/>
      <c r="M476" s="788"/>
      <c r="N476" s="741"/>
      <c r="O476" s="741"/>
      <c r="P476" s="741"/>
      <c r="Q476" s="741"/>
      <c r="R476" s="788"/>
      <c r="S476" s="819"/>
      <c r="T476" s="820"/>
      <c r="U476" s="819"/>
      <c r="V476" s="820"/>
      <c r="W476" s="788"/>
      <c r="X476" s="803"/>
      <c r="Y476" s="803"/>
      <c r="Z476" s="803"/>
      <c r="AA476" s="711"/>
      <c r="AB476" s="711"/>
      <c r="AC476" s="711"/>
      <c r="AD476" s="736"/>
      <c r="AE476" s="736"/>
      <c r="AF476" s="624"/>
      <c r="AG476" s="624"/>
      <c r="AH476" s="624"/>
      <c r="AI476" s="624"/>
      <c r="AJ476" s="660">
        <f t="shared" si="6"/>
        <v>476</v>
      </c>
      <c r="AK476" s="676">
        <v>0.9632</v>
      </c>
      <c r="AL476" s="662">
        <v>50600.0</v>
      </c>
      <c r="AM476" s="677">
        <v>-0.9132256705260707</v>
      </c>
      <c r="AN476" s="678">
        <v>-0.036800000000000055</v>
      </c>
      <c r="AO476" s="662">
        <v>50600.0</v>
      </c>
      <c r="AP476" s="679">
        <v>-0.9080759377253951</v>
      </c>
      <c r="AQ476" s="662">
        <v>50600.0</v>
      </c>
      <c r="AR476" s="680">
        <v>-0.9028789591935782</v>
      </c>
      <c r="AS476" s="624"/>
      <c r="AT476" s="624"/>
      <c r="AU476" s="624"/>
      <c r="AV476" s="624"/>
      <c r="AW476" s="624"/>
      <c r="AX476" s="624"/>
      <c r="AY476" s="624"/>
      <c r="AZ476" s="624"/>
      <c r="BA476" s="624"/>
      <c r="BB476" s="624"/>
      <c r="BC476" s="624"/>
      <c r="BD476" s="624"/>
      <c r="BE476" s="624"/>
    </row>
    <row r="477" ht="16.5" customHeight="1">
      <c r="A477" s="711"/>
      <c r="B477" s="711"/>
      <c r="C477" s="711"/>
      <c r="D477" s="711"/>
      <c r="E477" s="711"/>
      <c r="F477" s="711"/>
      <c r="G477" s="711"/>
      <c r="H477" s="711"/>
      <c r="I477" s="711"/>
      <c r="J477" s="711"/>
      <c r="K477" s="741"/>
      <c r="L477" s="741"/>
      <c r="M477" s="788"/>
      <c r="N477" s="741"/>
      <c r="O477" s="741"/>
      <c r="P477" s="741"/>
      <c r="Q477" s="741"/>
      <c r="R477" s="788"/>
      <c r="S477" s="819"/>
      <c r="T477" s="820"/>
      <c r="U477" s="819"/>
      <c r="V477" s="820"/>
      <c r="W477" s="788"/>
      <c r="X477" s="803"/>
      <c r="Y477" s="803"/>
      <c r="Z477" s="803"/>
      <c r="AA477" s="711"/>
      <c r="AB477" s="711"/>
      <c r="AC477" s="711"/>
      <c r="AD477" s="736"/>
      <c r="AE477" s="736"/>
      <c r="AF477" s="624"/>
      <c r="AG477" s="624"/>
      <c r="AH477" s="624"/>
      <c r="AI477" s="624"/>
      <c r="AJ477" s="660">
        <f t="shared" si="6"/>
        <v>477</v>
      </c>
      <c r="AK477" s="676">
        <v>0.9605</v>
      </c>
      <c r="AL477" s="662">
        <v>50105.0</v>
      </c>
      <c r="AM477" s="677">
        <v>-0.911125623021116</v>
      </c>
      <c r="AN477" s="678">
        <v>-0.03949999999999998</v>
      </c>
      <c r="AO477" s="662">
        <v>50105.0</v>
      </c>
      <c r="AP477" s="679">
        <v>-0.9059043439166644</v>
      </c>
      <c r="AQ477" s="662">
        <v>50105.0</v>
      </c>
      <c r="AR477" s="680">
        <v>-0.900638063883797</v>
      </c>
      <c r="AS477" s="624"/>
      <c r="AT477" s="624"/>
      <c r="AU477" s="624"/>
      <c r="AV477" s="624"/>
      <c r="AW477" s="624"/>
      <c r="AX477" s="624"/>
      <c r="AY477" s="624"/>
      <c r="AZ477" s="624"/>
      <c r="BA477" s="624"/>
      <c r="BB477" s="624"/>
      <c r="BC477" s="624"/>
      <c r="BD477" s="624"/>
      <c r="BE477" s="624"/>
    </row>
    <row r="478" ht="16.5" customHeight="1">
      <c r="A478" s="711"/>
      <c r="B478" s="711"/>
      <c r="C478" s="711"/>
      <c r="D478" s="711"/>
      <c r="E478" s="711"/>
      <c r="F478" s="711"/>
      <c r="G478" s="711"/>
      <c r="H478" s="711"/>
      <c r="I478" s="711"/>
      <c r="J478" s="711"/>
      <c r="K478" s="741"/>
      <c r="L478" s="741"/>
      <c r="M478" s="788"/>
      <c r="N478" s="741"/>
      <c r="O478" s="741"/>
      <c r="P478" s="741"/>
      <c r="Q478" s="741"/>
      <c r="R478" s="788"/>
      <c r="S478" s="819"/>
      <c r="T478" s="820"/>
      <c r="U478" s="819"/>
      <c r="V478" s="820"/>
      <c r="W478" s="788"/>
      <c r="X478" s="803"/>
      <c r="Y478" s="803"/>
      <c r="Z478" s="803"/>
      <c r="AA478" s="711"/>
      <c r="AB478" s="711"/>
      <c r="AC478" s="711"/>
      <c r="AD478" s="736"/>
      <c r="AE478" s="736"/>
      <c r="AF478" s="624"/>
      <c r="AG478" s="624"/>
      <c r="AH478" s="624"/>
      <c r="AI478" s="624"/>
      <c r="AJ478" s="660">
        <f t="shared" si="6"/>
        <v>478</v>
      </c>
      <c r="AK478" s="676">
        <v>0.9556</v>
      </c>
      <c r="AL478" s="662">
        <v>50068.0</v>
      </c>
      <c r="AM478" s="677">
        <v>-0.9109666233802811</v>
      </c>
      <c r="AN478" s="678">
        <v>-0.044399999999999995</v>
      </c>
      <c r="AO478" s="662">
        <v>50068.0</v>
      </c>
      <c r="AP478" s="679">
        <v>-0.9057399769742581</v>
      </c>
      <c r="AQ478" s="662">
        <v>50068.0</v>
      </c>
      <c r="AR478" s="680">
        <v>-0.9004685003967295</v>
      </c>
      <c r="AS478" s="624"/>
      <c r="AT478" s="624"/>
      <c r="AU478" s="624"/>
      <c r="AV478" s="624"/>
      <c r="AW478" s="624"/>
      <c r="AX478" s="624"/>
      <c r="AY478" s="624"/>
      <c r="AZ478" s="624"/>
      <c r="BA478" s="624"/>
      <c r="BB478" s="624"/>
      <c r="BC478" s="624"/>
      <c r="BD478" s="624"/>
      <c r="BE478" s="624"/>
    </row>
    <row r="479" ht="16.5" customHeight="1">
      <c r="A479" s="711"/>
      <c r="B479" s="711"/>
      <c r="C479" s="711"/>
      <c r="D479" s="711"/>
      <c r="E479" s="711"/>
      <c r="F479" s="711"/>
      <c r="G479" s="711"/>
      <c r="H479" s="711"/>
      <c r="I479" s="711"/>
      <c r="J479" s="711"/>
      <c r="K479" s="741"/>
      <c r="L479" s="741"/>
      <c r="M479" s="788"/>
      <c r="N479" s="741"/>
      <c r="O479" s="741"/>
      <c r="P479" s="741"/>
      <c r="Q479" s="741"/>
      <c r="R479" s="788"/>
      <c r="S479" s="819"/>
      <c r="T479" s="820"/>
      <c r="U479" s="819"/>
      <c r="V479" s="820"/>
      <c r="W479" s="788"/>
      <c r="X479" s="803"/>
      <c r="Y479" s="803"/>
      <c r="Z479" s="803"/>
      <c r="AA479" s="711"/>
      <c r="AB479" s="711"/>
      <c r="AC479" s="711"/>
      <c r="AD479" s="736"/>
      <c r="AE479" s="736"/>
      <c r="AF479" s="624"/>
      <c r="AG479" s="624"/>
      <c r="AH479" s="624"/>
      <c r="AI479" s="624"/>
      <c r="AJ479" s="660">
        <f t="shared" si="6"/>
        <v>479</v>
      </c>
      <c r="AK479" s="676">
        <v>0.9703</v>
      </c>
      <c r="AL479" s="662">
        <v>50011.0</v>
      </c>
      <c r="AM479" s="677">
        <v>-0.9107211211546938</v>
      </c>
      <c r="AN479" s="678">
        <v>-0.02969999999999995</v>
      </c>
      <c r="AO479" s="662">
        <v>50011.0</v>
      </c>
      <c r="AP479" s="679">
        <v>-0.9054862009984682</v>
      </c>
      <c r="AQ479" s="662">
        <v>50011.0</v>
      </c>
      <c r="AR479" s="680">
        <v>-0.9002067145392164</v>
      </c>
      <c r="AS479" s="624"/>
      <c r="AT479" s="624"/>
      <c r="AU479" s="624"/>
      <c r="AV479" s="624"/>
      <c r="AW479" s="624"/>
      <c r="AX479" s="624"/>
      <c r="AY479" s="624"/>
      <c r="AZ479" s="624"/>
      <c r="BA479" s="624"/>
      <c r="BB479" s="624"/>
      <c r="BC479" s="624"/>
      <c r="BD479" s="624"/>
      <c r="BE479" s="624"/>
    </row>
    <row r="480" ht="16.5" customHeight="1">
      <c r="A480" s="711"/>
      <c r="B480" s="711"/>
      <c r="C480" s="711"/>
      <c r="D480" s="711"/>
      <c r="E480" s="711"/>
      <c r="F480" s="711"/>
      <c r="G480" s="711"/>
      <c r="H480" s="711"/>
      <c r="I480" s="711"/>
      <c r="J480" s="711"/>
      <c r="K480" s="741"/>
      <c r="L480" s="741"/>
      <c r="M480" s="788"/>
      <c r="N480" s="741"/>
      <c r="O480" s="741"/>
      <c r="P480" s="741"/>
      <c r="Q480" s="741"/>
      <c r="R480" s="788"/>
      <c r="S480" s="819"/>
      <c r="T480" s="820"/>
      <c r="U480" s="819"/>
      <c r="V480" s="820"/>
      <c r="W480" s="788"/>
      <c r="X480" s="803"/>
      <c r="Y480" s="803"/>
      <c r="Z480" s="803"/>
      <c r="AA480" s="711"/>
      <c r="AB480" s="711"/>
      <c r="AC480" s="711"/>
      <c r="AD480" s="736"/>
      <c r="AE480" s="736"/>
      <c r="AF480" s="624"/>
      <c r="AG480" s="624"/>
      <c r="AH480" s="624"/>
      <c r="AI480" s="624"/>
      <c r="AJ480" s="660">
        <f t="shared" si="6"/>
        <v>480</v>
      </c>
      <c r="AK480" s="676">
        <v>0.9748</v>
      </c>
      <c r="AL480" s="662">
        <v>50000.0</v>
      </c>
      <c r="AM480" s="677">
        <v>-0.9106736656643857</v>
      </c>
      <c r="AN480" s="678">
        <v>-0.0252</v>
      </c>
      <c r="AO480" s="662">
        <v>50000.0</v>
      </c>
      <c r="AP480" s="679">
        <v>-0.9054371480948524</v>
      </c>
      <c r="AQ480" s="662">
        <v>50000.0</v>
      </c>
      <c r="AR480" s="680">
        <v>-0.9001561152575295</v>
      </c>
      <c r="AS480" s="624"/>
      <c r="AT480" s="624"/>
      <c r="AU480" s="624"/>
      <c r="AV480" s="624"/>
      <c r="AW480" s="624"/>
      <c r="AX480" s="624"/>
      <c r="AY480" s="624"/>
      <c r="AZ480" s="624"/>
      <c r="BA480" s="624"/>
      <c r="BB480" s="624"/>
      <c r="BC480" s="624"/>
      <c r="BD480" s="624"/>
      <c r="BE480" s="624"/>
    </row>
    <row r="481" ht="16.5" customHeight="1">
      <c r="A481" s="711"/>
      <c r="B481" s="711"/>
      <c r="C481" s="711"/>
      <c r="D481" s="711"/>
      <c r="E481" s="711"/>
      <c r="F481" s="711"/>
      <c r="G481" s="711"/>
      <c r="H481" s="711"/>
      <c r="I481" s="711"/>
      <c r="J481" s="711"/>
      <c r="K481" s="741"/>
      <c r="L481" s="741"/>
      <c r="M481" s="788"/>
      <c r="N481" s="741"/>
      <c r="O481" s="741"/>
      <c r="P481" s="741"/>
      <c r="Q481" s="741"/>
      <c r="R481" s="788"/>
      <c r="S481" s="819"/>
      <c r="T481" s="820"/>
      <c r="U481" s="819"/>
      <c r="V481" s="820"/>
      <c r="W481" s="788"/>
      <c r="X481" s="803"/>
      <c r="Y481" s="803"/>
      <c r="Z481" s="803"/>
      <c r="AA481" s="711"/>
      <c r="AB481" s="711"/>
      <c r="AC481" s="711"/>
      <c r="AD481" s="736"/>
      <c r="AE481" s="736"/>
      <c r="AF481" s="624"/>
      <c r="AG481" s="624"/>
      <c r="AH481" s="624"/>
      <c r="AI481" s="624"/>
      <c r="AJ481" s="660">
        <f t="shared" si="6"/>
        <v>481</v>
      </c>
      <c r="AK481" s="676">
        <v>0.9599</v>
      </c>
      <c r="AL481" s="662">
        <v>50000.0</v>
      </c>
      <c r="AM481" s="677">
        <v>-0.9106736656643857</v>
      </c>
      <c r="AN481" s="678">
        <v>-0.040100000000000025</v>
      </c>
      <c r="AO481" s="662">
        <v>50000.0</v>
      </c>
      <c r="AP481" s="679">
        <v>-0.9054371480948524</v>
      </c>
      <c r="AQ481" s="662">
        <v>50000.0</v>
      </c>
      <c r="AR481" s="680">
        <v>-0.9001561152575295</v>
      </c>
      <c r="AS481" s="624"/>
      <c r="AT481" s="624"/>
      <c r="AU481" s="624"/>
      <c r="AV481" s="624"/>
      <c r="AW481" s="624"/>
      <c r="AX481" s="624"/>
      <c r="AY481" s="624"/>
      <c r="AZ481" s="624"/>
      <c r="BA481" s="624"/>
      <c r="BB481" s="624"/>
      <c r="BC481" s="624"/>
      <c r="BD481" s="624"/>
      <c r="BE481" s="624"/>
    </row>
    <row r="482" ht="16.5" customHeight="1">
      <c r="A482" s="711"/>
      <c r="B482" s="711"/>
      <c r="C482" s="711"/>
      <c r="D482" s="711"/>
      <c r="E482" s="711"/>
      <c r="F482" s="711"/>
      <c r="G482" s="711"/>
      <c r="H482" s="711"/>
      <c r="I482" s="711"/>
      <c r="J482" s="711"/>
      <c r="K482" s="741"/>
      <c r="L482" s="741"/>
      <c r="M482" s="788"/>
      <c r="N482" s="741"/>
      <c r="O482" s="741"/>
      <c r="P482" s="741"/>
      <c r="Q482" s="741"/>
      <c r="R482" s="788"/>
      <c r="S482" s="819"/>
      <c r="T482" s="820"/>
      <c r="U482" s="819"/>
      <c r="V482" s="820"/>
      <c r="W482" s="788"/>
      <c r="X482" s="803"/>
      <c r="Y482" s="803"/>
      <c r="Z482" s="803"/>
      <c r="AA482" s="711"/>
      <c r="AB482" s="711"/>
      <c r="AC482" s="711"/>
      <c r="AD482" s="736"/>
      <c r="AE482" s="736"/>
      <c r="AF482" s="624"/>
      <c r="AG482" s="624"/>
      <c r="AH482" s="624"/>
      <c r="AI482" s="624"/>
      <c r="AJ482" s="660">
        <f t="shared" si="6"/>
        <v>482</v>
      </c>
      <c r="AK482" s="676">
        <v>0.9915</v>
      </c>
      <c r="AL482" s="662">
        <v>50000.0</v>
      </c>
      <c r="AM482" s="677">
        <v>-0.9106736656643857</v>
      </c>
      <c r="AN482" s="678">
        <v>-0.008499999999999952</v>
      </c>
      <c r="AO482" s="662">
        <v>50000.0</v>
      </c>
      <c r="AP482" s="679">
        <v>-0.9054371480948524</v>
      </c>
      <c r="AQ482" s="662">
        <v>50000.0</v>
      </c>
      <c r="AR482" s="680">
        <v>-0.9001561152575295</v>
      </c>
      <c r="AS482" s="624"/>
      <c r="AT482" s="624"/>
      <c r="AU482" s="624"/>
      <c r="AV482" s="624"/>
      <c r="AW482" s="624"/>
      <c r="AX482" s="624"/>
      <c r="AY482" s="624"/>
      <c r="AZ482" s="624"/>
      <c r="BA482" s="624"/>
      <c r="BB482" s="624"/>
      <c r="BC482" s="624"/>
      <c r="BD482" s="624"/>
      <c r="BE482" s="624"/>
    </row>
    <row r="483" ht="16.5" customHeight="1">
      <c r="A483" s="711"/>
      <c r="B483" s="711"/>
      <c r="C483" s="711"/>
      <c r="D483" s="711"/>
      <c r="E483" s="711"/>
      <c r="F483" s="711"/>
      <c r="G483" s="711"/>
      <c r="H483" s="711"/>
      <c r="I483" s="711"/>
      <c r="J483" s="711"/>
      <c r="K483" s="741"/>
      <c r="L483" s="741"/>
      <c r="M483" s="788"/>
      <c r="N483" s="741"/>
      <c r="O483" s="741"/>
      <c r="P483" s="741"/>
      <c r="Q483" s="741"/>
      <c r="R483" s="788"/>
      <c r="S483" s="819"/>
      <c r="T483" s="820"/>
      <c r="U483" s="819"/>
      <c r="V483" s="820"/>
      <c r="W483" s="788"/>
      <c r="X483" s="803"/>
      <c r="Y483" s="803"/>
      <c r="Z483" s="803"/>
      <c r="AA483" s="711"/>
      <c r="AB483" s="711"/>
      <c r="AC483" s="711"/>
      <c r="AD483" s="736"/>
      <c r="AE483" s="736"/>
      <c r="AF483" s="624"/>
      <c r="AG483" s="624"/>
      <c r="AH483" s="624"/>
      <c r="AI483" s="624"/>
      <c r="AJ483" s="660">
        <f t="shared" si="6"/>
        <v>483</v>
      </c>
      <c r="AK483" s="676">
        <v>0.9808</v>
      </c>
      <c r="AL483" s="662">
        <v>49987.0</v>
      </c>
      <c r="AM483" s="677">
        <v>-0.9106175493810994</v>
      </c>
      <c r="AN483" s="678">
        <v>-0.019199999999999995</v>
      </c>
      <c r="AO483" s="662">
        <v>49987.0</v>
      </c>
      <c r="AP483" s="679">
        <v>-0.9053791436578205</v>
      </c>
      <c r="AQ483" s="662">
        <v>49987.0</v>
      </c>
      <c r="AR483" s="680">
        <v>-0.9000962830283907</v>
      </c>
      <c r="AS483" s="624"/>
      <c r="AT483" s="624"/>
      <c r="AU483" s="624"/>
      <c r="AV483" s="624"/>
      <c r="AW483" s="624"/>
      <c r="AX483" s="624"/>
      <c r="AY483" s="624"/>
      <c r="AZ483" s="624"/>
      <c r="BA483" s="624"/>
      <c r="BB483" s="624"/>
      <c r="BC483" s="624"/>
      <c r="BD483" s="624"/>
      <c r="BE483" s="624"/>
    </row>
    <row r="484" ht="16.5" customHeight="1">
      <c r="A484" s="711"/>
      <c r="B484" s="711"/>
      <c r="C484" s="711"/>
      <c r="D484" s="711"/>
      <c r="E484" s="711"/>
      <c r="F484" s="711"/>
      <c r="G484" s="711"/>
      <c r="H484" s="711"/>
      <c r="I484" s="711"/>
      <c r="J484" s="711"/>
      <c r="K484" s="741"/>
      <c r="L484" s="741"/>
      <c r="M484" s="788"/>
      <c r="N484" s="741"/>
      <c r="O484" s="741"/>
      <c r="P484" s="741"/>
      <c r="Q484" s="741"/>
      <c r="R484" s="788"/>
      <c r="S484" s="819"/>
      <c r="T484" s="820"/>
      <c r="U484" s="819"/>
      <c r="V484" s="820"/>
      <c r="W484" s="788"/>
      <c r="X484" s="803"/>
      <c r="Y484" s="803"/>
      <c r="Z484" s="803"/>
      <c r="AA484" s="711"/>
      <c r="AB484" s="711"/>
      <c r="AC484" s="711"/>
      <c r="AD484" s="736"/>
      <c r="AE484" s="736"/>
      <c r="AF484" s="624"/>
      <c r="AG484" s="624"/>
      <c r="AH484" s="624"/>
      <c r="AI484" s="624"/>
      <c r="AJ484" s="660">
        <f t="shared" si="6"/>
        <v>484</v>
      </c>
      <c r="AK484" s="676">
        <v>0.8997</v>
      </c>
      <c r="AL484" s="662">
        <v>49800.0</v>
      </c>
      <c r="AM484" s="677">
        <v>-0.9098064264791771</v>
      </c>
      <c r="AN484" s="678">
        <v>-0.10029999999999994</v>
      </c>
      <c r="AO484" s="662">
        <v>49800.0</v>
      </c>
      <c r="AP484" s="679">
        <v>-0.9045408244242437</v>
      </c>
      <c r="AQ484" s="662">
        <v>49800.0</v>
      </c>
      <c r="AR484" s="680">
        <v>-0.899231641417695</v>
      </c>
      <c r="AS484" s="624"/>
      <c r="AT484" s="624"/>
      <c r="AU484" s="624"/>
      <c r="AV484" s="624"/>
      <c r="AW484" s="624"/>
      <c r="AX484" s="624"/>
      <c r="AY484" s="624"/>
      <c r="AZ484" s="624"/>
      <c r="BA484" s="624"/>
      <c r="BB484" s="624"/>
      <c r="BC484" s="624"/>
      <c r="BD484" s="624"/>
      <c r="BE484" s="624"/>
    </row>
    <row r="485" ht="16.5" customHeight="1">
      <c r="A485" s="711"/>
      <c r="B485" s="711"/>
      <c r="C485" s="711"/>
      <c r="D485" s="711"/>
      <c r="E485" s="711"/>
      <c r="F485" s="711"/>
      <c r="G485" s="711"/>
      <c r="H485" s="711"/>
      <c r="I485" s="711"/>
      <c r="J485" s="711"/>
      <c r="K485" s="741"/>
      <c r="L485" s="741"/>
      <c r="M485" s="788"/>
      <c r="N485" s="741"/>
      <c r="O485" s="741"/>
      <c r="P485" s="741"/>
      <c r="Q485" s="741"/>
      <c r="R485" s="788"/>
      <c r="S485" s="819"/>
      <c r="T485" s="820"/>
      <c r="U485" s="819"/>
      <c r="V485" s="820"/>
      <c r="W485" s="788"/>
      <c r="X485" s="803"/>
      <c r="Y485" s="803"/>
      <c r="Z485" s="803"/>
      <c r="AA485" s="711"/>
      <c r="AB485" s="711"/>
      <c r="AC485" s="711"/>
      <c r="AD485" s="736"/>
      <c r="AE485" s="736"/>
      <c r="AF485" s="624"/>
      <c r="AG485" s="624"/>
      <c r="AH485" s="624"/>
      <c r="AI485" s="624"/>
      <c r="AJ485" s="660">
        <f t="shared" si="6"/>
        <v>485</v>
      </c>
      <c r="AK485" s="676">
        <v>0.9474</v>
      </c>
      <c r="AL485" s="662">
        <v>49693.0</v>
      </c>
      <c r="AM485" s="677">
        <v>-0.9093390014520462</v>
      </c>
      <c r="AN485" s="678">
        <v>-0.05259999999999998</v>
      </c>
      <c r="AO485" s="662">
        <v>49693.0</v>
      </c>
      <c r="AP485" s="679">
        <v>-0.904057807847081</v>
      </c>
      <c r="AQ485" s="662">
        <v>49693.0</v>
      </c>
      <c r="AR485" s="680">
        <v>-0.8987335381461166</v>
      </c>
      <c r="AS485" s="624"/>
      <c r="AT485" s="624"/>
      <c r="AU485" s="624"/>
      <c r="AV485" s="624"/>
      <c r="AW485" s="624"/>
      <c r="AX485" s="624"/>
      <c r="AY485" s="624"/>
      <c r="AZ485" s="624"/>
      <c r="BA485" s="624"/>
      <c r="BB485" s="624"/>
      <c r="BC485" s="624"/>
      <c r="BD485" s="624"/>
      <c r="BE485" s="624"/>
    </row>
    <row r="486" ht="16.5" customHeight="1">
      <c r="A486" s="711"/>
      <c r="B486" s="711"/>
      <c r="C486" s="711"/>
      <c r="D486" s="711"/>
      <c r="E486" s="711"/>
      <c r="F486" s="711"/>
      <c r="G486" s="711"/>
      <c r="H486" s="711"/>
      <c r="I486" s="711"/>
      <c r="J486" s="711"/>
      <c r="K486" s="741"/>
      <c r="L486" s="741"/>
      <c r="M486" s="788"/>
      <c r="N486" s="741"/>
      <c r="O486" s="741"/>
      <c r="P486" s="741"/>
      <c r="Q486" s="741"/>
      <c r="R486" s="788"/>
      <c r="S486" s="819"/>
      <c r="T486" s="820"/>
      <c r="U486" s="819"/>
      <c r="V486" s="820"/>
      <c r="W486" s="788"/>
      <c r="X486" s="803"/>
      <c r="Y486" s="803"/>
      <c r="Z486" s="803"/>
      <c r="AA486" s="711"/>
      <c r="AB486" s="711"/>
      <c r="AC486" s="711"/>
      <c r="AD486" s="736"/>
      <c r="AE486" s="736"/>
      <c r="AF486" s="624"/>
      <c r="AG486" s="624"/>
      <c r="AH486" s="624"/>
      <c r="AI486" s="624"/>
      <c r="AJ486" s="660">
        <f t="shared" si="6"/>
        <v>486</v>
      </c>
      <c r="AK486" s="676">
        <v>0.9772</v>
      </c>
      <c r="AL486" s="662">
        <v>49600.0</v>
      </c>
      <c r="AM486" s="677">
        <v>-0.908930767561871</v>
      </c>
      <c r="AN486" s="678">
        <v>-0.022800000000000042</v>
      </c>
      <c r="AO486" s="662">
        <v>49600.0</v>
      </c>
      <c r="AP486" s="679">
        <v>-0.9036360048579813</v>
      </c>
      <c r="AQ486" s="662">
        <v>49600.0</v>
      </c>
      <c r="AR486" s="680">
        <v>-0.8982986076957732</v>
      </c>
      <c r="AS486" s="624"/>
      <c r="AT486" s="624"/>
      <c r="AU486" s="624"/>
      <c r="AV486" s="624"/>
      <c r="AW486" s="624"/>
      <c r="AX486" s="624"/>
      <c r="AY486" s="624"/>
      <c r="AZ486" s="624"/>
      <c r="BA486" s="624"/>
      <c r="BB486" s="624"/>
      <c r="BC486" s="624"/>
      <c r="BD486" s="624"/>
      <c r="BE486" s="624"/>
    </row>
    <row r="487" ht="16.5" customHeight="1">
      <c r="A487" s="711"/>
      <c r="B487" s="711"/>
      <c r="C487" s="711"/>
      <c r="D487" s="711"/>
      <c r="E487" s="711"/>
      <c r="F487" s="711"/>
      <c r="G487" s="711"/>
      <c r="H487" s="711"/>
      <c r="I487" s="711"/>
      <c r="J487" s="711"/>
      <c r="K487" s="741"/>
      <c r="L487" s="741"/>
      <c r="M487" s="788"/>
      <c r="N487" s="741"/>
      <c r="O487" s="741"/>
      <c r="P487" s="741"/>
      <c r="Q487" s="741"/>
      <c r="R487" s="788"/>
      <c r="S487" s="819"/>
      <c r="T487" s="820"/>
      <c r="U487" s="819"/>
      <c r="V487" s="820"/>
      <c r="W487" s="788"/>
      <c r="X487" s="803"/>
      <c r="Y487" s="803"/>
      <c r="Z487" s="803"/>
      <c r="AA487" s="711"/>
      <c r="AB487" s="711"/>
      <c r="AC487" s="711"/>
      <c r="AD487" s="736"/>
      <c r="AE487" s="736"/>
      <c r="AF487" s="624"/>
      <c r="AG487" s="624"/>
      <c r="AH487" s="624"/>
      <c r="AI487" s="624"/>
      <c r="AJ487" s="660">
        <f t="shared" si="6"/>
        <v>487</v>
      </c>
      <c r="AK487" s="676">
        <v>0.9474</v>
      </c>
      <c r="AL487" s="662">
        <v>49500.0</v>
      </c>
      <c r="AM487" s="677">
        <v>-0.9084897551894884</v>
      </c>
      <c r="AN487" s="678">
        <v>-0.05259999999999998</v>
      </c>
      <c r="AO487" s="662">
        <v>49500.0</v>
      </c>
      <c r="AP487" s="679">
        <v>-0.903180383978332</v>
      </c>
      <c r="AQ487" s="662">
        <v>49500.0</v>
      </c>
      <c r="AR487" s="680">
        <v>-0.8978288561396155</v>
      </c>
      <c r="AS487" s="624"/>
      <c r="AT487" s="624"/>
      <c r="AU487" s="624"/>
      <c r="AV487" s="624"/>
      <c r="AW487" s="624"/>
      <c r="AX487" s="624"/>
      <c r="AY487" s="624"/>
      <c r="AZ487" s="624"/>
      <c r="BA487" s="624"/>
      <c r="BB487" s="624"/>
      <c r="BC487" s="624"/>
      <c r="BD487" s="624"/>
      <c r="BE487" s="624"/>
    </row>
    <row r="488" ht="16.5" customHeight="1">
      <c r="A488" s="711"/>
      <c r="B488" s="711"/>
      <c r="C488" s="711"/>
      <c r="D488" s="711"/>
      <c r="E488" s="711"/>
      <c r="F488" s="711"/>
      <c r="G488" s="711"/>
      <c r="H488" s="711"/>
      <c r="I488" s="711"/>
      <c r="J488" s="711"/>
      <c r="K488" s="741"/>
      <c r="L488" s="741"/>
      <c r="M488" s="788"/>
      <c r="N488" s="741"/>
      <c r="O488" s="741"/>
      <c r="P488" s="741"/>
      <c r="Q488" s="741"/>
      <c r="R488" s="788"/>
      <c r="S488" s="819"/>
      <c r="T488" s="820"/>
      <c r="U488" s="819"/>
      <c r="V488" s="820"/>
      <c r="W488" s="788"/>
      <c r="X488" s="803"/>
      <c r="Y488" s="803"/>
      <c r="Z488" s="803"/>
      <c r="AA488" s="711"/>
      <c r="AB488" s="711"/>
      <c r="AC488" s="711"/>
      <c r="AD488" s="736"/>
      <c r="AE488" s="736"/>
      <c r="AF488" s="624"/>
      <c r="AG488" s="624"/>
      <c r="AH488" s="624"/>
      <c r="AI488" s="624"/>
      <c r="AJ488" s="660">
        <f t="shared" si="6"/>
        <v>488</v>
      </c>
      <c r="AK488" s="676">
        <v>0.9608</v>
      </c>
      <c r="AL488" s="662">
        <v>49489.0</v>
      </c>
      <c r="AM488" s="677">
        <v>-0.9084411136340402</v>
      </c>
      <c r="AN488" s="678">
        <v>-0.03920000000000001</v>
      </c>
      <c r="AO488" s="662">
        <v>49489.0</v>
      </c>
      <c r="AP488" s="679">
        <v>-0.9031301343497804</v>
      </c>
      <c r="AQ488" s="662">
        <v>49489.0</v>
      </c>
      <c r="AR488" s="680">
        <v>-0.8977770511863603</v>
      </c>
      <c r="AS488" s="624"/>
      <c r="AT488" s="624"/>
      <c r="AU488" s="624"/>
      <c r="AV488" s="624"/>
      <c r="AW488" s="624"/>
      <c r="AX488" s="624"/>
      <c r="AY488" s="624"/>
      <c r="AZ488" s="624"/>
      <c r="BA488" s="624"/>
      <c r="BB488" s="624"/>
      <c r="BC488" s="624"/>
      <c r="BD488" s="624"/>
      <c r="BE488" s="624"/>
    </row>
    <row r="489" ht="16.5" customHeight="1">
      <c r="A489" s="711"/>
      <c r="B489" s="711"/>
      <c r="C489" s="711"/>
      <c r="D489" s="711"/>
      <c r="E489" s="711"/>
      <c r="F489" s="711"/>
      <c r="G489" s="711"/>
      <c r="H489" s="711"/>
      <c r="I489" s="711"/>
      <c r="J489" s="711"/>
      <c r="K489" s="741"/>
      <c r="L489" s="741"/>
      <c r="M489" s="788"/>
      <c r="N489" s="741"/>
      <c r="O489" s="741"/>
      <c r="P489" s="741"/>
      <c r="Q489" s="741"/>
      <c r="R489" s="788"/>
      <c r="S489" s="819"/>
      <c r="T489" s="820"/>
      <c r="U489" s="819"/>
      <c r="V489" s="820"/>
      <c r="W489" s="788"/>
      <c r="X489" s="803"/>
      <c r="Y489" s="803"/>
      <c r="Z489" s="803"/>
      <c r="AA489" s="711"/>
      <c r="AB489" s="711"/>
      <c r="AC489" s="711"/>
      <c r="AD489" s="736"/>
      <c r="AE489" s="736"/>
      <c r="AF489" s="624"/>
      <c r="AG489" s="624"/>
      <c r="AH489" s="624"/>
      <c r="AI489" s="624"/>
      <c r="AJ489" s="660">
        <f t="shared" si="6"/>
        <v>489</v>
      </c>
      <c r="AK489" s="676">
        <v>0.9543</v>
      </c>
      <c r="AL489" s="662">
        <v>49285.0</v>
      </c>
      <c r="AM489" s="677">
        <v>-0.9075343333204009</v>
      </c>
      <c r="AN489" s="678">
        <v>-0.04569999999999996</v>
      </c>
      <c r="AO489" s="662">
        <v>49285.0</v>
      </c>
      <c r="AP489" s="679">
        <v>-0.9021934910958139</v>
      </c>
      <c r="AQ489" s="662">
        <v>49285.0</v>
      </c>
      <c r="AR489" s="680">
        <v>-0.8968115299689888</v>
      </c>
      <c r="AS489" s="624"/>
      <c r="AT489" s="624"/>
      <c r="AU489" s="624"/>
      <c r="AV489" s="624"/>
      <c r="AW489" s="624"/>
      <c r="AX489" s="624"/>
      <c r="AY489" s="624"/>
      <c r="AZ489" s="624"/>
      <c r="BA489" s="624"/>
      <c r="BB489" s="624"/>
      <c r="BC489" s="624"/>
      <c r="BD489" s="624"/>
      <c r="BE489" s="624"/>
    </row>
    <row r="490" ht="16.5" customHeight="1">
      <c r="A490" s="711"/>
      <c r="B490" s="711"/>
      <c r="C490" s="711"/>
      <c r="D490" s="711"/>
      <c r="E490" s="711"/>
      <c r="F490" s="711"/>
      <c r="G490" s="711"/>
      <c r="H490" s="711"/>
      <c r="I490" s="711"/>
      <c r="J490" s="711"/>
      <c r="K490" s="741"/>
      <c r="L490" s="741"/>
      <c r="M490" s="788"/>
      <c r="N490" s="741"/>
      <c r="O490" s="741"/>
      <c r="P490" s="741"/>
      <c r="Q490" s="741"/>
      <c r="R490" s="788"/>
      <c r="S490" s="819"/>
      <c r="T490" s="820"/>
      <c r="U490" s="819"/>
      <c r="V490" s="820"/>
      <c r="W490" s="788"/>
      <c r="X490" s="803"/>
      <c r="Y490" s="803"/>
      <c r="Z490" s="803"/>
      <c r="AA490" s="711"/>
      <c r="AB490" s="711"/>
      <c r="AC490" s="711"/>
      <c r="AD490" s="736"/>
      <c r="AE490" s="736"/>
      <c r="AF490" s="624"/>
      <c r="AG490" s="624"/>
      <c r="AH490" s="624"/>
      <c r="AI490" s="624"/>
      <c r="AJ490" s="660">
        <f t="shared" si="6"/>
        <v>490</v>
      </c>
      <c r="AK490" s="676">
        <v>0.9797</v>
      </c>
      <c r="AL490" s="662">
        <v>49200.0</v>
      </c>
      <c r="AM490" s="677">
        <v>-0.9071538627600065</v>
      </c>
      <c r="AN490" s="678">
        <v>-0.020299999999999985</v>
      </c>
      <c r="AO490" s="662">
        <v>49200.0</v>
      </c>
      <c r="AP490" s="679">
        <v>-0.9018005551583254</v>
      </c>
      <c r="AQ490" s="662">
        <v>49200.0</v>
      </c>
      <c r="AR490" s="680">
        <v>-0.8964065428413907</v>
      </c>
      <c r="AS490" s="624"/>
      <c r="AT490" s="624"/>
      <c r="AU490" s="624"/>
      <c r="AV490" s="624"/>
      <c r="AW490" s="624"/>
      <c r="AX490" s="624"/>
      <c r="AY490" s="624"/>
      <c r="AZ490" s="624"/>
      <c r="BA490" s="624"/>
      <c r="BB490" s="624"/>
      <c r="BC490" s="624"/>
      <c r="BD490" s="624"/>
      <c r="BE490" s="624"/>
    </row>
    <row r="491" ht="16.5" customHeight="1">
      <c r="A491" s="711"/>
      <c r="B491" s="711"/>
      <c r="C491" s="711"/>
      <c r="D491" s="711"/>
      <c r="E491" s="711"/>
      <c r="F491" s="711"/>
      <c r="G491" s="711"/>
      <c r="H491" s="711"/>
      <c r="I491" s="711"/>
      <c r="J491" s="711"/>
      <c r="K491" s="741"/>
      <c r="L491" s="741"/>
      <c r="M491" s="788"/>
      <c r="N491" s="741"/>
      <c r="O491" s="741"/>
      <c r="P491" s="741"/>
      <c r="Q491" s="741"/>
      <c r="R491" s="788"/>
      <c r="S491" s="819"/>
      <c r="T491" s="820"/>
      <c r="U491" s="819"/>
      <c r="V491" s="820"/>
      <c r="W491" s="788"/>
      <c r="X491" s="803"/>
      <c r="Y491" s="803"/>
      <c r="Z491" s="803"/>
      <c r="AA491" s="711"/>
      <c r="AB491" s="711"/>
      <c r="AC491" s="711"/>
      <c r="AD491" s="736"/>
      <c r="AE491" s="736"/>
      <c r="AF491" s="624"/>
      <c r="AG491" s="624"/>
      <c r="AH491" s="624"/>
      <c r="AI491" s="624"/>
      <c r="AJ491" s="660">
        <f t="shared" si="6"/>
        <v>491</v>
      </c>
      <c r="AK491" s="676">
        <v>0.985</v>
      </c>
      <c r="AL491" s="662">
        <v>49146.0</v>
      </c>
      <c r="AM491" s="677">
        <v>-0.9069113392479887</v>
      </c>
      <c r="AN491" s="678">
        <v>-0.015000000000000013</v>
      </c>
      <c r="AO491" s="662">
        <v>49146.0</v>
      </c>
      <c r="AP491" s="679">
        <v>-0.9015501056636513</v>
      </c>
      <c r="AQ491" s="662">
        <v>49146.0</v>
      </c>
      <c r="AR491" s="680">
        <v>-0.8961484316525291</v>
      </c>
      <c r="AS491" s="624"/>
      <c r="AT491" s="624"/>
      <c r="AU491" s="624"/>
      <c r="AV491" s="624"/>
      <c r="AW491" s="624"/>
      <c r="AX491" s="624"/>
      <c r="AY491" s="624"/>
      <c r="AZ491" s="624"/>
      <c r="BA491" s="624"/>
      <c r="BB491" s="624"/>
      <c r="BC491" s="624"/>
      <c r="BD491" s="624"/>
      <c r="BE491" s="624"/>
    </row>
    <row r="492" ht="16.5" customHeight="1">
      <c r="A492" s="711"/>
      <c r="B492" s="711"/>
      <c r="C492" s="711"/>
      <c r="D492" s="711"/>
      <c r="E492" s="711"/>
      <c r="F492" s="711"/>
      <c r="G492" s="711"/>
      <c r="H492" s="711"/>
      <c r="I492" s="711"/>
      <c r="J492" s="711"/>
      <c r="K492" s="741"/>
      <c r="L492" s="741"/>
      <c r="M492" s="788"/>
      <c r="N492" s="741"/>
      <c r="O492" s="741"/>
      <c r="P492" s="741"/>
      <c r="Q492" s="741"/>
      <c r="R492" s="788"/>
      <c r="S492" s="819"/>
      <c r="T492" s="820"/>
      <c r="U492" s="819"/>
      <c r="V492" s="820"/>
      <c r="W492" s="788"/>
      <c r="X492" s="803"/>
      <c r="Y492" s="803"/>
      <c r="Z492" s="803"/>
      <c r="AA492" s="711"/>
      <c r="AB492" s="711"/>
      <c r="AC492" s="711"/>
      <c r="AD492" s="736"/>
      <c r="AE492" s="736"/>
      <c r="AF492" s="624"/>
      <c r="AG492" s="624"/>
      <c r="AH492" s="624"/>
      <c r="AI492" s="624"/>
      <c r="AJ492" s="660">
        <f t="shared" si="6"/>
        <v>492</v>
      </c>
      <c r="AK492" s="676">
        <v>0.9766</v>
      </c>
      <c r="AL492" s="662">
        <v>49107.0</v>
      </c>
      <c r="AM492" s="677">
        <v>-0.9067357894936596</v>
      </c>
      <c r="AN492" s="678">
        <v>-0.023399999999999976</v>
      </c>
      <c r="AO492" s="662">
        <v>49107.0</v>
      </c>
      <c r="AP492" s="679">
        <v>-0.9013688283191457</v>
      </c>
      <c r="AQ492" s="662">
        <v>49107.0</v>
      </c>
      <c r="AR492" s="680">
        <v>-0.8959616181531</v>
      </c>
      <c r="AS492" s="624"/>
      <c r="AT492" s="624"/>
      <c r="AU492" s="624"/>
      <c r="AV492" s="624"/>
      <c r="AW492" s="624"/>
      <c r="AX492" s="624"/>
      <c r="AY492" s="624"/>
      <c r="AZ492" s="624"/>
      <c r="BA492" s="624"/>
      <c r="BB492" s="624"/>
      <c r="BC492" s="624"/>
      <c r="BD492" s="624"/>
      <c r="BE492" s="624"/>
    </row>
    <row r="493" ht="16.5" customHeight="1">
      <c r="A493" s="711"/>
      <c r="B493" s="711"/>
      <c r="C493" s="711"/>
      <c r="D493" s="711"/>
      <c r="E493" s="711"/>
      <c r="F493" s="711"/>
      <c r="G493" s="711"/>
      <c r="H493" s="711"/>
      <c r="I493" s="711"/>
      <c r="J493" s="711"/>
      <c r="K493" s="741"/>
      <c r="L493" s="741"/>
      <c r="M493" s="788"/>
      <c r="N493" s="741"/>
      <c r="O493" s="741"/>
      <c r="P493" s="741"/>
      <c r="Q493" s="741"/>
      <c r="R493" s="788"/>
      <c r="S493" s="819"/>
      <c r="T493" s="820"/>
      <c r="U493" s="819"/>
      <c r="V493" s="820"/>
      <c r="W493" s="788"/>
      <c r="X493" s="803"/>
      <c r="Y493" s="803"/>
      <c r="Z493" s="803"/>
      <c r="AA493" s="711"/>
      <c r="AB493" s="711"/>
      <c r="AC493" s="711"/>
      <c r="AD493" s="736"/>
      <c r="AE493" s="736"/>
      <c r="AF493" s="624"/>
      <c r="AG493" s="624"/>
      <c r="AH493" s="624"/>
      <c r="AI493" s="624"/>
      <c r="AJ493" s="660">
        <f t="shared" si="6"/>
        <v>493</v>
      </c>
      <c r="AK493" s="676">
        <v>0.9348</v>
      </c>
      <c r="AL493" s="662">
        <v>49000.0</v>
      </c>
      <c r="AM493" s="677">
        <v>-0.9062524509981934</v>
      </c>
      <c r="AN493" s="678">
        <v>-0.06520000000000004</v>
      </c>
      <c r="AO493" s="662">
        <v>49000.0</v>
      </c>
      <c r="AP493" s="679">
        <v>-0.9008697616693502</v>
      </c>
      <c r="AQ493" s="662">
        <v>49000.0</v>
      </c>
      <c r="AR493" s="680">
        <v>-0.8954473509853429</v>
      </c>
      <c r="AS493" s="624"/>
      <c r="AT493" s="624"/>
      <c r="AU493" s="624"/>
      <c r="AV493" s="624"/>
      <c r="AW493" s="624"/>
      <c r="AX493" s="624"/>
      <c r="AY493" s="624"/>
      <c r="AZ493" s="624"/>
      <c r="BA493" s="624"/>
      <c r="BB493" s="624"/>
      <c r="BC493" s="624"/>
      <c r="BD493" s="624"/>
      <c r="BE493" s="624"/>
    </row>
    <row r="494" ht="16.5" customHeight="1">
      <c r="A494" s="711"/>
      <c r="B494" s="711"/>
      <c r="C494" s="711"/>
      <c r="D494" s="711"/>
      <c r="E494" s="711"/>
      <c r="F494" s="711"/>
      <c r="G494" s="711"/>
      <c r="H494" s="711"/>
      <c r="I494" s="711"/>
      <c r="J494" s="711"/>
      <c r="K494" s="741"/>
      <c r="L494" s="741"/>
      <c r="M494" s="788"/>
      <c r="N494" s="741"/>
      <c r="O494" s="741"/>
      <c r="P494" s="741"/>
      <c r="Q494" s="741"/>
      <c r="R494" s="788"/>
      <c r="S494" s="819"/>
      <c r="T494" s="820"/>
      <c r="U494" s="819"/>
      <c r="V494" s="820"/>
      <c r="W494" s="788"/>
      <c r="X494" s="803"/>
      <c r="Y494" s="803"/>
      <c r="Z494" s="803"/>
      <c r="AA494" s="711"/>
      <c r="AB494" s="711"/>
      <c r="AC494" s="711"/>
      <c r="AD494" s="736"/>
      <c r="AE494" s="736"/>
      <c r="AF494" s="624"/>
      <c r="AG494" s="624"/>
      <c r="AH494" s="624"/>
      <c r="AI494" s="624"/>
      <c r="AJ494" s="660">
        <f t="shared" si="6"/>
        <v>494</v>
      </c>
      <c r="AK494" s="676">
        <v>0.9257</v>
      </c>
      <c r="AL494" s="662">
        <v>48906.0</v>
      </c>
      <c r="AM494" s="677">
        <v>-0.9058257694299755</v>
      </c>
      <c r="AN494" s="678">
        <v>-0.07430000000000003</v>
      </c>
      <c r="AO494" s="662">
        <v>48906.0</v>
      </c>
      <c r="AP494" s="679">
        <v>-0.9004292460402297</v>
      </c>
      <c r="AQ494" s="662">
        <v>48906.0</v>
      </c>
      <c r="AR494" s="680">
        <v>-0.8949934677541034</v>
      </c>
      <c r="AS494" s="624"/>
      <c r="AT494" s="624"/>
      <c r="AU494" s="624"/>
      <c r="AV494" s="624"/>
      <c r="AW494" s="624"/>
      <c r="AX494" s="624"/>
      <c r="AY494" s="624"/>
      <c r="AZ494" s="624"/>
      <c r="BA494" s="624"/>
      <c r="BB494" s="624"/>
      <c r="BC494" s="624"/>
      <c r="BD494" s="624"/>
      <c r="BE494" s="624"/>
    </row>
    <row r="495" ht="16.5" customHeight="1">
      <c r="A495" s="711"/>
      <c r="B495" s="711"/>
      <c r="C495" s="711"/>
      <c r="D495" s="711"/>
      <c r="E495" s="711"/>
      <c r="F495" s="711"/>
      <c r="G495" s="711"/>
      <c r="H495" s="711"/>
      <c r="I495" s="711"/>
      <c r="J495" s="711"/>
      <c r="K495" s="741"/>
      <c r="L495" s="741"/>
      <c r="M495" s="788"/>
      <c r="N495" s="741"/>
      <c r="O495" s="741"/>
      <c r="P495" s="741"/>
      <c r="Q495" s="741"/>
      <c r="R495" s="788"/>
      <c r="S495" s="819"/>
      <c r="T495" s="820"/>
      <c r="U495" s="819"/>
      <c r="V495" s="820"/>
      <c r="W495" s="788"/>
      <c r="X495" s="803"/>
      <c r="Y495" s="803"/>
      <c r="Z495" s="803"/>
      <c r="AA495" s="711"/>
      <c r="AB495" s="711"/>
      <c r="AC495" s="711"/>
      <c r="AD495" s="736"/>
      <c r="AE495" s="736"/>
      <c r="AF495" s="624"/>
      <c r="AG495" s="624"/>
      <c r="AH495" s="624"/>
      <c r="AI495" s="624"/>
      <c r="AJ495" s="660">
        <f t="shared" si="6"/>
        <v>495</v>
      </c>
      <c r="AK495" s="676">
        <v>0.9644</v>
      </c>
      <c r="AL495" s="662">
        <v>48623.0</v>
      </c>
      <c r="AM495" s="677">
        <v>-0.9045294253734522</v>
      </c>
      <c r="AN495" s="678">
        <v>-0.035599999999999965</v>
      </c>
      <c r="AO495" s="662">
        <v>48623.0</v>
      </c>
      <c r="AP495" s="679">
        <v>-0.8990911591811601</v>
      </c>
      <c r="AQ495" s="662">
        <v>48623.0</v>
      </c>
      <c r="AR495" s="680">
        <v>-0.8936150590205917</v>
      </c>
      <c r="AS495" s="624"/>
      <c r="AT495" s="624"/>
      <c r="AU495" s="624"/>
      <c r="AV495" s="624"/>
      <c r="AW495" s="624"/>
      <c r="AX495" s="624"/>
      <c r="AY495" s="624"/>
      <c r="AZ495" s="624"/>
      <c r="BA495" s="624"/>
      <c r="BB495" s="624"/>
      <c r="BC495" s="624"/>
      <c r="BD495" s="624"/>
      <c r="BE495" s="624"/>
    </row>
    <row r="496" ht="16.5" customHeight="1">
      <c r="A496" s="711"/>
      <c r="B496" s="711"/>
      <c r="C496" s="711"/>
      <c r="D496" s="711"/>
      <c r="E496" s="711"/>
      <c r="F496" s="711"/>
      <c r="G496" s="711"/>
      <c r="H496" s="711"/>
      <c r="I496" s="711"/>
      <c r="J496" s="711"/>
      <c r="K496" s="741"/>
      <c r="L496" s="741"/>
      <c r="M496" s="788"/>
      <c r="N496" s="741"/>
      <c r="O496" s="741"/>
      <c r="P496" s="741"/>
      <c r="Q496" s="741"/>
      <c r="R496" s="788"/>
      <c r="S496" s="819"/>
      <c r="T496" s="820"/>
      <c r="U496" s="819"/>
      <c r="V496" s="820"/>
      <c r="W496" s="788"/>
      <c r="X496" s="803"/>
      <c r="Y496" s="803"/>
      <c r="Z496" s="803"/>
      <c r="AA496" s="711"/>
      <c r="AB496" s="711"/>
      <c r="AC496" s="711"/>
      <c r="AD496" s="736"/>
      <c r="AE496" s="736"/>
      <c r="AF496" s="624"/>
      <c r="AG496" s="624"/>
      <c r="AH496" s="624"/>
      <c r="AI496" s="624"/>
      <c r="AJ496" s="660">
        <f t="shared" si="6"/>
        <v>496</v>
      </c>
      <c r="AK496" s="676">
        <v>0.9315</v>
      </c>
      <c r="AL496" s="662">
        <v>48521.0</v>
      </c>
      <c r="AM496" s="677">
        <v>-0.9040578297097601</v>
      </c>
      <c r="AN496" s="678">
        <v>-0.0685</v>
      </c>
      <c r="AO496" s="662">
        <v>48521.0</v>
      </c>
      <c r="AP496" s="679">
        <v>-0.8986044845459352</v>
      </c>
      <c r="AQ496" s="662">
        <v>48521.0</v>
      </c>
      <c r="AR496" s="680">
        <v>-0.893113823676992</v>
      </c>
      <c r="AS496" s="624"/>
      <c r="AT496" s="624"/>
      <c r="AU496" s="624"/>
      <c r="AV496" s="624"/>
      <c r="AW496" s="624"/>
      <c r="AX496" s="624"/>
      <c r="AY496" s="624"/>
      <c r="AZ496" s="624"/>
      <c r="BA496" s="624"/>
      <c r="BB496" s="624"/>
      <c r="BC496" s="624"/>
      <c r="BD496" s="624"/>
      <c r="BE496" s="624"/>
    </row>
    <row r="497" ht="16.5" customHeight="1">
      <c r="A497" s="711"/>
      <c r="B497" s="711"/>
      <c r="C497" s="711"/>
      <c r="D497" s="711"/>
      <c r="E497" s="711"/>
      <c r="F497" s="711"/>
      <c r="G497" s="711"/>
      <c r="H497" s="711"/>
      <c r="I497" s="711"/>
      <c r="J497" s="711"/>
      <c r="K497" s="741"/>
      <c r="L497" s="741"/>
      <c r="M497" s="788"/>
      <c r="N497" s="741"/>
      <c r="O497" s="741"/>
      <c r="P497" s="741"/>
      <c r="Q497" s="741"/>
      <c r="R497" s="788"/>
      <c r="S497" s="819"/>
      <c r="T497" s="820"/>
      <c r="U497" s="819"/>
      <c r="V497" s="820"/>
      <c r="W497" s="788"/>
      <c r="X497" s="803"/>
      <c r="Y497" s="803"/>
      <c r="Z497" s="803"/>
      <c r="AA497" s="711"/>
      <c r="AB497" s="711"/>
      <c r="AC497" s="711"/>
      <c r="AD497" s="736"/>
      <c r="AE497" s="736"/>
      <c r="AF497" s="624"/>
      <c r="AG497" s="624"/>
      <c r="AH497" s="624"/>
      <c r="AI497" s="624"/>
      <c r="AJ497" s="660">
        <f t="shared" si="6"/>
        <v>497</v>
      </c>
      <c r="AK497" s="676">
        <v>0.9649</v>
      </c>
      <c r="AL497" s="662">
        <v>48500.0</v>
      </c>
      <c r="AM497" s="677">
        <v>-0.9039604476849067</v>
      </c>
      <c r="AN497" s="678">
        <v>-0.03510000000000002</v>
      </c>
      <c r="AO497" s="662">
        <v>48500.0</v>
      </c>
      <c r="AP497" s="679">
        <v>-0.8985039958298098</v>
      </c>
      <c r="AQ497" s="662">
        <v>48500.0</v>
      </c>
      <c r="AR497" s="680">
        <v>-0.8930103353749324</v>
      </c>
      <c r="AS497" s="624"/>
      <c r="AT497" s="624"/>
      <c r="AU497" s="624"/>
      <c r="AV497" s="624"/>
      <c r="AW497" s="624"/>
      <c r="AX497" s="624"/>
      <c r="AY497" s="624"/>
      <c r="AZ497" s="624"/>
      <c r="BA497" s="624"/>
      <c r="BB497" s="624"/>
      <c r="BC497" s="624"/>
      <c r="BD497" s="624"/>
      <c r="BE497" s="624"/>
    </row>
    <row r="498" ht="16.5" customHeight="1">
      <c r="A498" s="711"/>
      <c r="B498" s="711"/>
      <c r="C498" s="711"/>
      <c r="D498" s="711"/>
      <c r="E498" s="711"/>
      <c r="F498" s="711"/>
      <c r="G498" s="711"/>
      <c r="H498" s="711"/>
      <c r="I498" s="711"/>
      <c r="J498" s="711"/>
      <c r="K498" s="741"/>
      <c r="L498" s="741"/>
      <c r="M498" s="788"/>
      <c r="N498" s="741"/>
      <c r="O498" s="741"/>
      <c r="P498" s="741"/>
      <c r="Q498" s="741"/>
      <c r="R498" s="788"/>
      <c r="S498" s="819"/>
      <c r="T498" s="820"/>
      <c r="U498" s="819"/>
      <c r="V498" s="820"/>
      <c r="W498" s="788"/>
      <c r="X498" s="803"/>
      <c r="Y498" s="803"/>
      <c r="Z498" s="803"/>
      <c r="AA498" s="711"/>
      <c r="AB498" s="711"/>
      <c r="AC498" s="711"/>
      <c r="AD498" s="736"/>
      <c r="AE498" s="736"/>
      <c r="AF498" s="624"/>
      <c r="AG498" s="624"/>
      <c r="AH498" s="624"/>
      <c r="AI498" s="624"/>
      <c r="AJ498" s="660">
        <f t="shared" si="6"/>
        <v>498</v>
      </c>
      <c r="AK498" s="676">
        <v>0.9449</v>
      </c>
      <c r="AL498" s="662">
        <v>48407.0</v>
      </c>
      <c r="AM498" s="677">
        <v>-0.9035279949138119</v>
      </c>
      <c r="AN498" s="678">
        <v>-0.05510000000000004</v>
      </c>
      <c r="AO498" s="662">
        <v>48407.0</v>
      </c>
      <c r="AP498" s="679">
        <v>-0.8980577759032062</v>
      </c>
      <c r="AQ498" s="662">
        <v>48407.0</v>
      </c>
      <c r="AR498" s="680">
        <v>-0.8925508242775207</v>
      </c>
      <c r="AS498" s="624"/>
      <c r="AT498" s="624"/>
      <c r="AU498" s="624"/>
      <c r="AV498" s="624"/>
      <c r="AW498" s="624"/>
      <c r="AX498" s="624"/>
      <c r="AY498" s="624"/>
      <c r="AZ498" s="624"/>
      <c r="BA498" s="624"/>
      <c r="BB498" s="624"/>
      <c r="BC498" s="624"/>
      <c r="BD498" s="624"/>
      <c r="BE498" s="624"/>
    </row>
    <row r="499" ht="16.5" customHeight="1">
      <c r="A499" s="711"/>
      <c r="B499" s="711"/>
      <c r="C499" s="711"/>
      <c r="D499" s="711"/>
      <c r="E499" s="711"/>
      <c r="F499" s="711"/>
      <c r="G499" s="711"/>
      <c r="H499" s="711"/>
      <c r="I499" s="711"/>
      <c r="J499" s="711"/>
      <c r="K499" s="741"/>
      <c r="L499" s="741"/>
      <c r="M499" s="788"/>
      <c r="N499" s="741"/>
      <c r="O499" s="741"/>
      <c r="P499" s="741"/>
      <c r="Q499" s="741"/>
      <c r="R499" s="788"/>
      <c r="S499" s="819"/>
      <c r="T499" s="820"/>
      <c r="U499" s="819"/>
      <c r="V499" s="820"/>
      <c r="W499" s="788"/>
      <c r="X499" s="803"/>
      <c r="Y499" s="803"/>
      <c r="Z499" s="803"/>
      <c r="AA499" s="711"/>
      <c r="AB499" s="711"/>
      <c r="AC499" s="711"/>
      <c r="AD499" s="736"/>
      <c r="AE499" s="736"/>
      <c r="AF499" s="624"/>
      <c r="AG499" s="624"/>
      <c r="AH499" s="624"/>
      <c r="AI499" s="624"/>
      <c r="AJ499" s="660">
        <f t="shared" si="6"/>
        <v>499</v>
      </c>
      <c r="AK499" s="676">
        <v>0.9467</v>
      </c>
      <c r="AL499" s="662">
        <v>48316.0</v>
      </c>
      <c r="AM499" s="677">
        <v>-0.9031029573533182</v>
      </c>
      <c r="AN499" s="678">
        <v>-0.053300000000000014</v>
      </c>
      <c r="AO499" s="662">
        <v>48316.0</v>
      </c>
      <c r="AP499" s="679">
        <v>-0.8976192532192186</v>
      </c>
      <c r="AQ499" s="662">
        <v>48316.0</v>
      </c>
      <c r="AR499" s="680">
        <v>-0.8920992848454715</v>
      </c>
      <c r="AS499" s="624"/>
      <c r="AT499" s="624"/>
      <c r="AU499" s="624"/>
      <c r="AV499" s="624"/>
      <c r="AW499" s="624"/>
      <c r="AX499" s="624"/>
      <c r="AY499" s="624"/>
      <c r="AZ499" s="624"/>
      <c r="BA499" s="624"/>
      <c r="BB499" s="624"/>
      <c r="BC499" s="624"/>
      <c r="BD499" s="624"/>
      <c r="BE499" s="624"/>
    </row>
    <row r="500" ht="16.5" customHeight="1">
      <c r="A500" s="711"/>
      <c r="B500" s="711"/>
      <c r="C500" s="711"/>
      <c r="D500" s="711"/>
      <c r="E500" s="711"/>
      <c r="F500" s="711"/>
      <c r="G500" s="711"/>
      <c r="H500" s="711"/>
      <c r="I500" s="711"/>
      <c r="J500" s="711"/>
      <c r="K500" s="741"/>
      <c r="L500" s="741"/>
      <c r="M500" s="788"/>
      <c r="N500" s="741"/>
      <c r="O500" s="741"/>
      <c r="P500" s="741"/>
      <c r="Q500" s="741"/>
      <c r="R500" s="788"/>
      <c r="S500" s="819"/>
      <c r="T500" s="820"/>
      <c r="U500" s="819"/>
      <c r="V500" s="820"/>
      <c r="W500" s="788"/>
      <c r="X500" s="803"/>
      <c r="Y500" s="803"/>
      <c r="Z500" s="803"/>
      <c r="AA500" s="711"/>
      <c r="AB500" s="711"/>
      <c r="AC500" s="711"/>
      <c r="AD500" s="736"/>
      <c r="AE500" s="736"/>
      <c r="AF500" s="624"/>
      <c r="AG500" s="624"/>
      <c r="AH500" s="624"/>
      <c r="AI500" s="624"/>
      <c r="AJ500" s="660">
        <f t="shared" si="6"/>
        <v>500</v>
      </c>
      <c r="AK500" s="676">
        <v>0.9289</v>
      </c>
      <c r="AL500" s="662">
        <v>48277.0</v>
      </c>
      <c r="AM500" s="677">
        <v>-0.9029202256232188</v>
      </c>
      <c r="AN500" s="678">
        <v>-0.07110000000000005</v>
      </c>
      <c r="AO500" s="662">
        <v>48277.0</v>
      </c>
      <c r="AP500" s="679">
        <v>-0.8974307379340573</v>
      </c>
      <c r="AQ500" s="662">
        <v>48277.0</v>
      </c>
      <c r="AR500" s="680">
        <v>-0.8919051875341871</v>
      </c>
      <c r="AS500" s="624"/>
      <c r="AT500" s="624"/>
      <c r="AU500" s="624"/>
      <c r="AV500" s="624"/>
      <c r="AW500" s="624"/>
      <c r="AX500" s="624"/>
      <c r="AY500" s="624"/>
      <c r="AZ500" s="624"/>
      <c r="BA500" s="624"/>
      <c r="BB500" s="624"/>
      <c r="BC500" s="624"/>
      <c r="BD500" s="624"/>
      <c r="BE500" s="624"/>
    </row>
    <row r="501" ht="16.5" customHeight="1">
      <c r="A501" s="711"/>
      <c r="B501" s="711"/>
      <c r="C501" s="711"/>
      <c r="D501" s="711"/>
      <c r="E501" s="711"/>
      <c r="F501" s="711"/>
      <c r="G501" s="711"/>
      <c r="H501" s="711"/>
      <c r="I501" s="711"/>
      <c r="J501" s="711"/>
      <c r="K501" s="741"/>
      <c r="L501" s="741"/>
      <c r="M501" s="788"/>
      <c r="N501" s="741"/>
      <c r="O501" s="741"/>
      <c r="P501" s="741"/>
      <c r="Q501" s="741"/>
      <c r="R501" s="788"/>
      <c r="S501" s="819"/>
      <c r="T501" s="820"/>
      <c r="U501" s="819"/>
      <c r="V501" s="820"/>
      <c r="W501" s="788"/>
      <c r="X501" s="803"/>
      <c r="Y501" s="803"/>
      <c r="Z501" s="803"/>
      <c r="AA501" s="711"/>
      <c r="AB501" s="711"/>
      <c r="AC501" s="711"/>
      <c r="AD501" s="736"/>
      <c r="AE501" s="736"/>
      <c r="AF501" s="624"/>
      <c r="AG501" s="624"/>
      <c r="AH501" s="624"/>
      <c r="AI501" s="624"/>
      <c r="AJ501" s="660">
        <f t="shared" si="6"/>
        <v>501</v>
      </c>
      <c r="AK501" s="676">
        <v>0.9554</v>
      </c>
      <c r="AL501" s="662">
        <v>48227.0</v>
      </c>
      <c r="AM501" s="677">
        <v>-0.902685449983269</v>
      </c>
      <c r="AN501" s="678">
        <v>-0.04459999999999997</v>
      </c>
      <c r="AO501" s="662">
        <v>48227.0</v>
      </c>
      <c r="AP501" s="679">
        <v>-0.8971885438030893</v>
      </c>
      <c r="AQ501" s="662">
        <v>48227.0</v>
      </c>
      <c r="AR501" s="680">
        <v>-0.8916558339826604</v>
      </c>
      <c r="AS501" s="624"/>
      <c r="AT501" s="624"/>
      <c r="AU501" s="624"/>
      <c r="AV501" s="624"/>
      <c r="AW501" s="624"/>
      <c r="AX501" s="624"/>
      <c r="AY501" s="624"/>
      <c r="AZ501" s="624"/>
      <c r="BA501" s="624"/>
      <c r="BB501" s="624"/>
      <c r="BC501" s="624"/>
      <c r="BD501" s="624"/>
      <c r="BE501" s="624"/>
    </row>
    <row r="502" ht="16.5" customHeight="1">
      <c r="A502" s="711"/>
      <c r="B502" s="711"/>
      <c r="C502" s="711"/>
      <c r="D502" s="711"/>
      <c r="E502" s="711"/>
      <c r="F502" s="711"/>
      <c r="G502" s="711"/>
      <c r="H502" s="711"/>
      <c r="I502" s="711"/>
      <c r="J502" s="711"/>
      <c r="K502" s="741"/>
      <c r="L502" s="741"/>
      <c r="M502" s="788"/>
      <c r="N502" s="741"/>
      <c r="O502" s="741"/>
      <c r="P502" s="741"/>
      <c r="Q502" s="741"/>
      <c r="R502" s="788"/>
      <c r="S502" s="819"/>
      <c r="T502" s="820"/>
      <c r="U502" s="819"/>
      <c r="V502" s="820"/>
      <c r="W502" s="788"/>
      <c r="X502" s="803"/>
      <c r="Y502" s="803"/>
      <c r="Z502" s="803"/>
      <c r="AA502" s="711"/>
      <c r="AB502" s="711"/>
      <c r="AC502" s="711"/>
      <c r="AD502" s="736"/>
      <c r="AE502" s="736"/>
      <c r="AF502" s="624"/>
      <c r="AG502" s="624"/>
      <c r="AH502" s="624"/>
      <c r="AI502" s="624"/>
      <c r="AJ502" s="660">
        <f t="shared" si="6"/>
        <v>502</v>
      </c>
      <c r="AK502" s="676">
        <v>0.9534</v>
      </c>
      <c r="AL502" s="662">
        <v>48204.0</v>
      </c>
      <c r="AM502" s="677">
        <v>-0.9025772626125083</v>
      </c>
      <c r="AN502" s="678">
        <v>-0.046599999999999975</v>
      </c>
      <c r="AO502" s="662">
        <v>48204.0</v>
      </c>
      <c r="AP502" s="679">
        <v>-0.8970769425448377</v>
      </c>
      <c r="AQ502" s="662">
        <v>48204.0</v>
      </c>
      <c r="AR502" s="680">
        <v>-0.8915409382736444</v>
      </c>
      <c r="AS502" s="624"/>
      <c r="AT502" s="624"/>
      <c r="AU502" s="624"/>
      <c r="AV502" s="624"/>
      <c r="AW502" s="624"/>
      <c r="AX502" s="624"/>
      <c r="AY502" s="624"/>
      <c r="AZ502" s="624"/>
      <c r="BA502" s="624"/>
      <c r="BB502" s="624"/>
      <c r="BC502" s="624"/>
      <c r="BD502" s="624"/>
      <c r="BE502" s="624"/>
    </row>
    <row r="503" ht="16.5" customHeight="1">
      <c r="A503" s="711"/>
      <c r="B503" s="711"/>
      <c r="C503" s="711"/>
      <c r="D503" s="711"/>
      <c r="E503" s="711"/>
      <c r="F503" s="711"/>
      <c r="G503" s="711"/>
      <c r="H503" s="711"/>
      <c r="I503" s="711"/>
      <c r="J503" s="711"/>
      <c r="K503" s="741"/>
      <c r="L503" s="741"/>
      <c r="M503" s="788"/>
      <c r="N503" s="741"/>
      <c r="O503" s="741"/>
      <c r="P503" s="741"/>
      <c r="Q503" s="741"/>
      <c r="R503" s="788"/>
      <c r="S503" s="819"/>
      <c r="T503" s="820"/>
      <c r="U503" s="819"/>
      <c r="V503" s="820"/>
      <c r="W503" s="788"/>
      <c r="X503" s="803"/>
      <c r="Y503" s="803"/>
      <c r="Z503" s="803"/>
      <c r="AA503" s="711"/>
      <c r="AB503" s="711"/>
      <c r="AC503" s="711"/>
      <c r="AD503" s="736"/>
      <c r="AE503" s="736"/>
      <c r="AF503" s="624"/>
      <c r="AG503" s="624"/>
      <c r="AH503" s="624"/>
      <c r="AI503" s="624"/>
      <c r="AJ503" s="660">
        <f t="shared" si="6"/>
        <v>503</v>
      </c>
      <c r="AK503" s="676">
        <v>0.9492</v>
      </c>
      <c r="AL503" s="662">
        <v>48000.0</v>
      </c>
      <c r="AM503" s="677">
        <v>-0.9016124079285976</v>
      </c>
      <c r="AN503" s="678">
        <v>-0.050799999999999956</v>
      </c>
      <c r="AO503" s="662">
        <v>48000.0</v>
      </c>
      <c r="AP503" s="679">
        <v>-0.8960817704467255</v>
      </c>
      <c r="AQ503" s="662">
        <v>48000.0</v>
      </c>
      <c r="AR503" s="680">
        <v>-0.8905165154162691</v>
      </c>
      <c r="AS503" s="624"/>
      <c r="AT503" s="624"/>
      <c r="AU503" s="624"/>
      <c r="AV503" s="624"/>
      <c r="AW503" s="624"/>
      <c r="AX503" s="624"/>
      <c r="AY503" s="624"/>
      <c r="AZ503" s="624"/>
      <c r="BA503" s="624"/>
      <c r="BB503" s="624"/>
      <c r="BC503" s="624"/>
      <c r="BD503" s="624"/>
      <c r="BE503" s="624"/>
    </row>
    <row r="504" ht="16.5" customHeight="1">
      <c r="A504" s="711"/>
      <c r="B504" s="711"/>
      <c r="C504" s="711"/>
      <c r="D504" s="711"/>
      <c r="E504" s="711"/>
      <c r="F504" s="711"/>
      <c r="G504" s="711"/>
      <c r="H504" s="711"/>
      <c r="I504" s="711"/>
      <c r="J504" s="711"/>
      <c r="K504" s="741"/>
      <c r="L504" s="741"/>
      <c r="M504" s="788"/>
      <c r="N504" s="741"/>
      <c r="O504" s="741"/>
      <c r="P504" s="741"/>
      <c r="Q504" s="741"/>
      <c r="R504" s="788"/>
      <c r="S504" s="819"/>
      <c r="T504" s="820"/>
      <c r="U504" s="819"/>
      <c r="V504" s="820"/>
      <c r="W504" s="788"/>
      <c r="X504" s="803"/>
      <c r="Y504" s="803"/>
      <c r="Z504" s="803"/>
      <c r="AA504" s="711"/>
      <c r="AB504" s="711"/>
      <c r="AC504" s="711"/>
      <c r="AD504" s="736"/>
      <c r="AE504" s="736"/>
      <c r="AF504" s="624"/>
      <c r="AG504" s="624"/>
      <c r="AH504" s="624"/>
      <c r="AI504" s="624"/>
      <c r="AJ504" s="660">
        <f t="shared" si="6"/>
        <v>504</v>
      </c>
      <c r="AK504" s="676">
        <v>0.9746</v>
      </c>
      <c r="AL504" s="662">
        <v>48000.0</v>
      </c>
      <c r="AM504" s="677">
        <v>-0.9016124079285976</v>
      </c>
      <c r="AN504" s="678">
        <v>-0.025399999999999978</v>
      </c>
      <c r="AO504" s="662">
        <v>48000.0</v>
      </c>
      <c r="AP504" s="679">
        <v>-0.8960817704467255</v>
      </c>
      <c r="AQ504" s="662">
        <v>48000.0</v>
      </c>
      <c r="AR504" s="680">
        <v>-0.8905165154162691</v>
      </c>
      <c r="AS504" s="624"/>
      <c r="AT504" s="624"/>
      <c r="AU504" s="624"/>
      <c r="AV504" s="624"/>
      <c r="AW504" s="624"/>
      <c r="AX504" s="624"/>
      <c r="AY504" s="624"/>
      <c r="AZ504" s="624"/>
      <c r="BA504" s="624"/>
      <c r="BB504" s="624"/>
      <c r="BC504" s="624"/>
      <c r="BD504" s="624"/>
      <c r="BE504" s="624"/>
    </row>
    <row r="505" ht="16.5" customHeight="1">
      <c r="A505" s="711"/>
      <c r="B505" s="711"/>
      <c r="C505" s="711"/>
      <c r="D505" s="711"/>
      <c r="E505" s="711"/>
      <c r="F505" s="711"/>
      <c r="G505" s="711"/>
      <c r="H505" s="711"/>
      <c r="I505" s="711"/>
      <c r="J505" s="711"/>
      <c r="K505" s="741"/>
      <c r="L505" s="741"/>
      <c r="M505" s="788"/>
      <c r="N505" s="741"/>
      <c r="O505" s="741"/>
      <c r="P505" s="741"/>
      <c r="Q505" s="741"/>
      <c r="R505" s="788"/>
      <c r="S505" s="819"/>
      <c r="T505" s="820"/>
      <c r="U505" s="819"/>
      <c r="V505" s="820"/>
      <c r="W505" s="788"/>
      <c r="X505" s="803"/>
      <c r="Y505" s="803"/>
      <c r="Z505" s="803"/>
      <c r="AA505" s="711"/>
      <c r="AB505" s="711"/>
      <c r="AC505" s="711"/>
      <c r="AD505" s="736"/>
      <c r="AE505" s="736"/>
      <c r="AF505" s="624"/>
      <c r="AG505" s="624"/>
      <c r="AH505" s="624"/>
      <c r="AI505" s="624"/>
      <c r="AJ505" s="660">
        <f t="shared" si="6"/>
        <v>505</v>
      </c>
      <c r="AK505" s="676">
        <v>0.9858</v>
      </c>
      <c r="AL505" s="662">
        <v>48000.0</v>
      </c>
      <c r="AM505" s="677">
        <v>-0.9016124079285976</v>
      </c>
      <c r="AN505" s="678">
        <v>-0.01419999999999999</v>
      </c>
      <c r="AO505" s="662">
        <v>48000.0</v>
      </c>
      <c r="AP505" s="679">
        <v>-0.8960817704467255</v>
      </c>
      <c r="AQ505" s="662">
        <v>48000.0</v>
      </c>
      <c r="AR505" s="680">
        <v>-0.8905165154162691</v>
      </c>
      <c r="AS505" s="624"/>
      <c r="AT505" s="624"/>
      <c r="AU505" s="624"/>
      <c r="AV505" s="624"/>
      <c r="AW505" s="624"/>
      <c r="AX505" s="624"/>
      <c r="AY505" s="624"/>
      <c r="AZ505" s="624"/>
      <c r="BA505" s="624"/>
      <c r="BB505" s="624"/>
      <c r="BC505" s="624"/>
      <c r="BD505" s="624"/>
      <c r="BE505" s="624"/>
    </row>
    <row r="506" ht="16.5" customHeight="1">
      <c r="A506" s="711"/>
      <c r="B506" s="711"/>
      <c r="C506" s="711"/>
      <c r="D506" s="711"/>
      <c r="E506" s="711"/>
      <c r="F506" s="711"/>
      <c r="G506" s="711"/>
      <c r="H506" s="711"/>
      <c r="I506" s="711"/>
      <c r="J506" s="711"/>
      <c r="K506" s="741"/>
      <c r="L506" s="741"/>
      <c r="M506" s="788"/>
      <c r="N506" s="741"/>
      <c r="O506" s="741"/>
      <c r="P506" s="741"/>
      <c r="Q506" s="741"/>
      <c r="R506" s="788"/>
      <c r="S506" s="819"/>
      <c r="T506" s="820"/>
      <c r="U506" s="819"/>
      <c r="V506" s="820"/>
      <c r="W506" s="788"/>
      <c r="X506" s="803"/>
      <c r="Y506" s="803"/>
      <c r="Z506" s="803"/>
      <c r="AA506" s="711"/>
      <c r="AB506" s="711"/>
      <c r="AC506" s="711"/>
      <c r="AD506" s="736"/>
      <c r="AE506" s="736"/>
      <c r="AF506" s="624"/>
      <c r="AG506" s="624"/>
      <c r="AH506" s="624"/>
      <c r="AI506" s="624"/>
      <c r="AJ506" s="660">
        <f t="shared" si="6"/>
        <v>506</v>
      </c>
      <c r="AK506" s="676">
        <v>0.8476</v>
      </c>
      <c r="AL506" s="662">
        <v>47981.0</v>
      </c>
      <c r="AM506" s="677">
        <v>-0.9015220590188056</v>
      </c>
      <c r="AN506" s="959">
        <v>-0.15239999999999998</v>
      </c>
      <c r="AO506" s="662">
        <v>47981.0</v>
      </c>
      <c r="AP506" s="679">
        <v>-0.8959885944372263</v>
      </c>
      <c r="AQ506" s="662">
        <v>47981.0</v>
      </c>
      <c r="AR506" s="680">
        <v>-0.890420612321636</v>
      </c>
      <c r="AS506" s="624"/>
      <c r="AT506" s="624"/>
      <c r="AU506" s="624"/>
      <c r="AV506" s="624"/>
      <c r="AW506" s="624"/>
      <c r="AX506" s="624"/>
      <c r="AY506" s="624"/>
      <c r="AZ506" s="624"/>
      <c r="BA506" s="624"/>
      <c r="BB506" s="624"/>
      <c r="BC506" s="624"/>
      <c r="BD506" s="624"/>
      <c r="BE506" s="624"/>
    </row>
    <row r="507" ht="16.5" customHeight="1">
      <c r="A507" s="711"/>
      <c r="B507" s="711"/>
      <c r="C507" s="711"/>
      <c r="D507" s="711"/>
      <c r="E507" s="711"/>
      <c r="F507" s="711"/>
      <c r="G507" s="711"/>
      <c r="H507" s="711"/>
      <c r="I507" s="711"/>
      <c r="J507" s="711"/>
      <c r="K507" s="741"/>
      <c r="L507" s="741"/>
      <c r="M507" s="788"/>
      <c r="N507" s="741"/>
      <c r="O507" s="741"/>
      <c r="P507" s="741"/>
      <c r="Q507" s="741"/>
      <c r="R507" s="788"/>
      <c r="S507" s="819"/>
      <c r="T507" s="820"/>
      <c r="U507" s="819"/>
      <c r="V507" s="820"/>
      <c r="W507" s="788"/>
      <c r="X507" s="803"/>
      <c r="Y507" s="803"/>
      <c r="Z507" s="803"/>
      <c r="AA507" s="711"/>
      <c r="AB507" s="711"/>
      <c r="AC507" s="711"/>
      <c r="AD507" s="736"/>
      <c r="AE507" s="736"/>
      <c r="AF507" s="624"/>
      <c r="AG507" s="624"/>
      <c r="AH507" s="624"/>
      <c r="AI507" s="624"/>
      <c r="AJ507" s="960">
        <f t="shared" si="6"/>
        <v>507</v>
      </c>
      <c r="AK507" s="961">
        <v>0.9522</v>
      </c>
      <c r="AL507" s="962">
        <v>47860.0</v>
      </c>
      <c r="AM507" s="963">
        <v>-0.9009447292952064</v>
      </c>
      <c r="AN507" s="964">
        <v>-0.047799999999999954</v>
      </c>
      <c r="AO507" s="962">
        <v>47860.0</v>
      </c>
      <c r="AP507" s="965">
        <v>-0.8953932470633426</v>
      </c>
      <c r="AQ507" s="962">
        <v>47860.0</v>
      </c>
      <c r="AR507" s="966">
        <v>-0.8898078869139977</v>
      </c>
      <c r="AS507" s="624"/>
      <c r="AT507" s="624"/>
      <c r="AU507" s="624"/>
      <c r="AV507" s="624"/>
      <c r="AW507" s="624"/>
      <c r="AX507" s="624"/>
      <c r="AY507" s="624"/>
      <c r="AZ507" s="624"/>
      <c r="BA507" s="624"/>
      <c r="BB507" s="624"/>
      <c r="BC507" s="624"/>
      <c r="BD507" s="624"/>
      <c r="BE507" s="624"/>
    </row>
    <row r="508" ht="16.5" customHeight="1">
      <c r="A508" s="711"/>
      <c r="B508" s="711"/>
      <c r="C508" s="711"/>
      <c r="D508" s="711"/>
      <c r="E508" s="711"/>
      <c r="F508" s="711"/>
      <c r="G508" s="711"/>
      <c r="H508" s="711"/>
      <c r="I508" s="711"/>
      <c r="J508" s="711"/>
      <c r="K508" s="741"/>
      <c r="L508" s="741"/>
      <c r="M508" s="788"/>
      <c r="N508" s="741"/>
      <c r="O508" s="741"/>
      <c r="P508" s="741"/>
      <c r="Q508" s="741"/>
      <c r="R508" s="788"/>
      <c r="S508" s="819"/>
      <c r="T508" s="820"/>
      <c r="U508" s="819"/>
      <c r="V508" s="820"/>
      <c r="W508" s="788"/>
      <c r="X508" s="803"/>
      <c r="Y508" s="803"/>
      <c r="Z508" s="803"/>
      <c r="AA508" s="711"/>
      <c r="AB508" s="711"/>
      <c r="AC508" s="711"/>
      <c r="AD508" s="736"/>
      <c r="AE508" s="736"/>
      <c r="AF508" s="624"/>
      <c r="AG508" s="624"/>
      <c r="AH508" s="624"/>
      <c r="AI508" s="624"/>
      <c r="AJ508" s="960">
        <f t="shared" si="6"/>
        <v>508</v>
      </c>
      <c r="AK508" s="961">
        <v>0.9891</v>
      </c>
      <c r="AL508" s="962">
        <v>47834.0</v>
      </c>
      <c r="AM508" s="963">
        <v>-0.9008202338778177</v>
      </c>
      <c r="AN508" s="964">
        <v>-0.01090000000000002</v>
      </c>
      <c r="AO508" s="962">
        <v>47834.0</v>
      </c>
      <c r="AP508" s="965">
        <v>-0.895264877061207</v>
      </c>
      <c r="AQ508" s="962">
        <v>47834.0</v>
      </c>
      <c r="AR508" s="966">
        <v>-0.8896757803710325</v>
      </c>
      <c r="AS508" s="624"/>
      <c r="AT508" s="624"/>
      <c r="AU508" s="624"/>
      <c r="AV508" s="624"/>
      <c r="AW508" s="624"/>
      <c r="AX508" s="624"/>
      <c r="AY508" s="624"/>
      <c r="AZ508" s="624"/>
      <c r="BA508" s="624"/>
      <c r="BB508" s="624"/>
      <c r="BC508" s="624"/>
      <c r="BD508" s="624"/>
      <c r="BE508" s="624"/>
    </row>
    <row r="509" ht="16.5" customHeight="1">
      <c r="A509" s="711"/>
      <c r="B509" s="711"/>
      <c r="C509" s="711"/>
      <c r="D509" s="711"/>
      <c r="E509" s="711"/>
      <c r="F509" s="711"/>
      <c r="G509" s="711"/>
      <c r="H509" s="711"/>
      <c r="I509" s="711"/>
      <c r="J509" s="711"/>
      <c r="K509" s="741"/>
      <c r="L509" s="741"/>
      <c r="M509" s="788"/>
      <c r="N509" s="741"/>
      <c r="O509" s="741"/>
      <c r="P509" s="741"/>
      <c r="Q509" s="741"/>
      <c r="R509" s="788"/>
      <c r="S509" s="819"/>
      <c r="T509" s="820"/>
      <c r="U509" s="819"/>
      <c r="V509" s="820"/>
      <c r="W509" s="788"/>
      <c r="X509" s="803"/>
      <c r="Y509" s="803"/>
      <c r="Z509" s="803"/>
      <c r="AA509" s="711"/>
      <c r="AB509" s="711"/>
      <c r="AC509" s="711"/>
      <c r="AD509" s="736"/>
      <c r="AE509" s="736"/>
      <c r="AF509" s="624"/>
      <c r="AG509" s="624"/>
      <c r="AH509" s="624"/>
      <c r="AI509" s="624"/>
      <c r="AJ509" s="960">
        <f t="shared" si="6"/>
        <v>509</v>
      </c>
      <c r="AK509" s="961">
        <v>0.971</v>
      </c>
      <c r="AL509" s="962">
        <v>47832.0</v>
      </c>
      <c r="AM509" s="963">
        <v>-0.9008106508287772</v>
      </c>
      <c r="AN509" s="964">
        <v>-0.029000000000000026</v>
      </c>
      <c r="AO509" s="962">
        <v>47832.0</v>
      </c>
      <c r="AP509" s="965">
        <v>-0.8952549959231476</v>
      </c>
      <c r="AQ509" s="962">
        <v>47832.0</v>
      </c>
      <c r="AR509" s="966">
        <v>-0.8896656117715993</v>
      </c>
      <c r="AS509" s="624"/>
      <c r="AT509" s="624"/>
      <c r="AU509" s="624"/>
      <c r="AV509" s="624"/>
      <c r="AW509" s="624"/>
      <c r="AX509" s="624"/>
      <c r="AY509" s="624"/>
      <c r="AZ509" s="624"/>
      <c r="BA509" s="624"/>
      <c r="BB509" s="624"/>
      <c r="BC509" s="624"/>
      <c r="BD509" s="624"/>
      <c r="BE509" s="624"/>
    </row>
    <row r="510" ht="16.5" customHeight="1">
      <c r="A510" s="711"/>
      <c r="B510" s="711"/>
      <c r="C510" s="711"/>
      <c r="D510" s="711"/>
      <c r="E510" s="711"/>
      <c r="F510" s="711"/>
      <c r="G510" s="711"/>
      <c r="H510" s="711"/>
      <c r="I510" s="711"/>
      <c r="J510" s="711"/>
      <c r="K510" s="741"/>
      <c r="L510" s="741"/>
      <c r="M510" s="788"/>
      <c r="N510" s="741"/>
      <c r="O510" s="741"/>
      <c r="P510" s="741"/>
      <c r="Q510" s="741"/>
      <c r="R510" s="788"/>
      <c r="S510" s="819"/>
      <c r="T510" s="820"/>
      <c r="U510" s="819"/>
      <c r="V510" s="820"/>
      <c r="W510" s="788"/>
      <c r="X510" s="803"/>
      <c r="Y510" s="803"/>
      <c r="Z510" s="803"/>
      <c r="AA510" s="711"/>
      <c r="AB510" s="711"/>
      <c r="AC510" s="711"/>
      <c r="AD510" s="736"/>
      <c r="AE510" s="736"/>
      <c r="AF510" s="624"/>
      <c r="AG510" s="624"/>
      <c r="AH510" s="624"/>
      <c r="AI510" s="624"/>
      <c r="AJ510" s="960">
        <f t="shared" si="6"/>
        <v>510</v>
      </c>
      <c r="AK510" s="961">
        <v>0.9721</v>
      </c>
      <c r="AL510" s="962">
        <v>47500.0</v>
      </c>
      <c r="AM510" s="963">
        <v>-0.8992069617125091</v>
      </c>
      <c r="AN510" s="964">
        <v>-0.027900000000000036</v>
      </c>
      <c r="AO510" s="962">
        <v>47500.0</v>
      </c>
      <c r="AP510" s="965">
        <v>-0.8936017381001611</v>
      </c>
      <c r="AQ510" s="962">
        <v>47500.0</v>
      </c>
      <c r="AR510" s="966">
        <v>-0.8879645670579326</v>
      </c>
      <c r="AS510" s="624"/>
      <c r="AT510" s="624"/>
      <c r="AU510" s="624"/>
      <c r="AV510" s="624"/>
      <c r="AW510" s="624"/>
      <c r="AX510" s="624"/>
      <c r="AY510" s="624"/>
      <c r="AZ510" s="624"/>
      <c r="BA510" s="624"/>
      <c r="BB510" s="624"/>
      <c r="BC510" s="624"/>
      <c r="BD510" s="624"/>
      <c r="BE510" s="624"/>
    </row>
    <row r="511" ht="16.5" customHeight="1">
      <c r="A511" s="711"/>
      <c r="B511" s="711"/>
      <c r="C511" s="711"/>
      <c r="D511" s="711"/>
      <c r="E511" s="711"/>
      <c r="F511" s="711"/>
      <c r="G511" s="711"/>
      <c r="H511" s="711"/>
      <c r="I511" s="711"/>
      <c r="J511" s="711"/>
      <c r="K511" s="741"/>
      <c r="L511" s="741"/>
      <c r="M511" s="788"/>
      <c r="N511" s="741"/>
      <c r="O511" s="741"/>
      <c r="P511" s="741"/>
      <c r="Q511" s="741"/>
      <c r="R511" s="788"/>
      <c r="S511" s="819"/>
      <c r="T511" s="820"/>
      <c r="U511" s="819"/>
      <c r="V511" s="820"/>
      <c r="W511" s="788"/>
      <c r="X511" s="803"/>
      <c r="Y511" s="803"/>
      <c r="Z511" s="803"/>
      <c r="AA511" s="711"/>
      <c r="AB511" s="711"/>
      <c r="AC511" s="711"/>
      <c r="AD511" s="736"/>
      <c r="AE511" s="736"/>
      <c r="AF511" s="624"/>
      <c r="AG511" s="624"/>
      <c r="AH511" s="624"/>
      <c r="AI511" s="624"/>
      <c r="AJ511" s="960">
        <f t="shared" si="6"/>
        <v>511</v>
      </c>
      <c r="AK511" s="961">
        <v>0.9568</v>
      </c>
      <c r="AL511" s="962">
        <v>47352.0</v>
      </c>
      <c r="AM511" s="963">
        <v>-0.8984837334621416</v>
      </c>
      <c r="AN511" s="964">
        <v>-0.043200000000000016</v>
      </c>
      <c r="AO511" s="962">
        <v>47352.0</v>
      </c>
      <c r="AP511" s="965">
        <v>-0.892856359013556</v>
      </c>
      <c r="AQ511" s="962">
        <v>47352.0</v>
      </c>
      <c r="AR511" s="966">
        <v>-0.8871978427639751</v>
      </c>
      <c r="AS511" s="624"/>
      <c r="AT511" s="624"/>
      <c r="AU511" s="624"/>
      <c r="AV511" s="624"/>
      <c r="AW511" s="624"/>
      <c r="AX511" s="624"/>
      <c r="AY511" s="624"/>
      <c r="AZ511" s="624"/>
      <c r="BA511" s="624"/>
      <c r="BB511" s="624"/>
      <c r="BC511" s="624"/>
      <c r="BD511" s="624"/>
      <c r="BE511" s="624"/>
    </row>
    <row r="512" ht="16.5" customHeight="1">
      <c r="A512" s="711"/>
      <c r="B512" s="711"/>
      <c r="C512" s="711"/>
      <c r="D512" s="711"/>
      <c r="E512" s="711"/>
      <c r="F512" s="711"/>
      <c r="G512" s="711"/>
      <c r="H512" s="711"/>
      <c r="I512" s="711"/>
      <c r="J512" s="711"/>
      <c r="K512" s="741"/>
      <c r="L512" s="741"/>
      <c r="M512" s="788"/>
      <c r="N512" s="741"/>
      <c r="O512" s="741"/>
      <c r="P512" s="741"/>
      <c r="Q512" s="741"/>
      <c r="R512" s="788"/>
      <c r="S512" s="819"/>
      <c r="T512" s="820"/>
      <c r="U512" s="819"/>
      <c r="V512" s="820"/>
      <c r="W512" s="788"/>
      <c r="X512" s="803"/>
      <c r="Y512" s="803"/>
      <c r="Z512" s="803"/>
      <c r="AA512" s="711"/>
      <c r="AB512" s="711"/>
      <c r="AC512" s="711"/>
      <c r="AD512" s="736"/>
      <c r="AE512" s="736"/>
      <c r="AF512" s="624"/>
      <c r="AG512" s="624"/>
      <c r="AH512" s="624"/>
      <c r="AI512" s="624"/>
      <c r="AJ512" s="960">
        <f t="shared" si="6"/>
        <v>512</v>
      </c>
      <c r="AK512" s="961">
        <v>0.9744</v>
      </c>
      <c r="AL512" s="962">
        <v>47128.0</v>
      </c>
      <c r="AM512" s="963">
        <v>-0.8973792346958835</v>
      </c>
      <c r="AN512" s="964">
        <v>-0.025599999999999956</v>
      </c>
      <c r="AO512" s="962">
        <v>47128.0</v>
      </c>
      <c r="AP512" s="965">
        <v>-0.8917182733196228</v>
      </c>
      <c r="AQ512" s="962">
        <v>47128.0</v>
      </c>
      <c r="AR512" s="966">
        <v>-0.8860274028116248</v>
      </c>
      <c r="AS512" s="624"/>
      <c r="AT512" s="624"/>
      <c r="AU512" s="624"/>
      <c r="AV512" s="624"/>
      <c r="AW512" s="624"/>
      <c r="AX512" s="624"/>
      <c r="AY512" s="624"/>
      <c r="AZ512" s="624"/>
      <c r="BA512" s="624"/>
      <c r="BB512" s="624"/>
      <c r="BC512" s="624"/>
      <c r="BD512" s="624"/>
      <c r="BE512" s="624"/>
    </row>
    <row r="513" ht="16.5" customHeight="1">
      <c r="A513" s="711"/>
      <c r="B513" s="711"/>
      <c r="C513" s="711"/>
      <c r="D513" s="711"/>
      <c r="E513" s="711"/>
      <c r="F513" s="711"/>
      <c r="G513" s="711"/>
      <c r="H513" s="711"/>
      <c r="I513" s="711"/>
      <c r="J513" s="711"/>
      <c r="K513" s="741"/>
      <c r="L513" s="741"/>
      <c r="M513" s="788"/>
      <c r="N513" s="741"/>
      <c r="O513" s="741"/>
      <c r="P513" s="741"/>
      <c r="Q513" s="741"/>
      <c r="R513" s="788"/>
      <c r="S513" s="819"/>
      <c r="T513" s="820"/>
      <c r="U513" s="819"/>
      <c r="V513" s="820"/>
      <c r="W513" s="788"/>
      <c r="X513" s="803"/>
      <c r="Y513" s="803"/>
      <c r="Z513" s="803"/>
      <c r="AA513" s="711"/>
      <c r="AB513" s="711"/>
      <c r="AC513" s="711"/>
      <c r="AD513" s="736"/>
      <c r="AE513" s="736"/>
      <c r="AF513" s="624"/>
      <c r="AG513" s="624"/>
      <c r="AH513" s="624"/>
      <c r="AI513" s="624"/>
      <c r="AJ513" s="960">
        <f t="shared" si="6"/>
        <v>513</v>
      </c>
      <c r="AK513" s="961">
        <v>0.9644</v>
      </c>
      <c r="AL513" s="962">
        <v>47060.0</v>
      </c>
      <c r="AM513" s="963">
        <v>-0.8970415686862551</v>
      </c>
      <c r="AN513" s="964">
        <v>-0.035599999999999965</v>
      </c>
      <c r="AO513" s="962">
        <v>47060.0</v>
      </c>
      <c r="AP513" s="965">
        <v>-0.891370396957002</v>
      </c>
      <c r="AQ513" s="962">
        <v>47060.0</v>
      </c>
      <c r="AR513" s="966">
        <v>-0.8856696934856367</v>
      </c>
      <c r="AS513" s="624"/>
      <c r="AT513" s="624"/>
      <c r="AU513" s="624"/>
      <c r="AV513" s="624"/>
      <c r="AW513" s="624"/>
      <c r="AX513" s="624"/>
      <c r="AY513" s="624"/>
      <c r="AZ513" s="624"/>
      <c r="BA513" s="624"/>
      <c r="BB513" s="624"/>
      <c r="BC513" s="624"/>
      <c r="BD513" s="624"/>
      <c r="BE513" s="624"/>
    </row>
    <row r="514" ht="16.5" customHeight="1">
      <c r="A514" s="711"/>
      <c r="B514" s="711"/>
      <c r="C514" s="711"/>
      <c r="D514" s="711"/>
      <c r="E514" s="711"/>
      <c r="F514" s="711"/>
      <c r="G514" s="711"/>
      <c r="H514" s="711"/>
      <c r="I514" s="711"/>
      <c r="J514" s="711"/>
      <c r="K514" s="741"/>
      <c r="L514" s="741"/>
      <c r="M514" s="788"/>
      <c r="N514" s="741"/>
      <c r="O514" s="741"/>
      <c r="P514" s="741"/>
      <c r="Q514" s="741"/>
      <c r="R514" s="788"/>
      <c r="S514" s="819"/>
      <c r="T514" s="820"/>
      <c r="U514" s="819"/>
      <c r="V514" s="820"/>
      <c r="W514" s="788"/>
      <c r="X514" s="803"/>
      <c r="Y514" s="803"/>
      <c r="Z514" s="803"/>
      <c r="AA514" s="711"/>
      <c r="AB514" s="711"/>
      <c r="AC514" s="711"/>
      <c r="AD514" s="736"/>
      <c r="AE514" s="736"/>
      <c r="AF514" s="624"/>
      <c r="AG514" s="624"/>
      <c r="AH514" s="624"/>
      <c r="AI514" s="624"/>
      <c r="AJ514" s="960">
        <f t="shared" si="6"/>
        <v>514</v>
      </c>
      <c r="AK514" s="961">
        <v>0.9298</v>
      </c>
      <c r="AL514" s="962">
        <v>47000.0</v>
      </c>
      <c r="AM514" s="963">
        <v>-0.8967427055247904</v>
      </c>
      <c r="AN514" s="964">
        <v>-0.07020000000000004</v>
      </c>
      <c r="AO514" s="962">
        <v>47000.0</v>
      </c>
      <c r="AP514" s="965">
        <v>-0.8910625192136945</v>
      </c>
      <c r="AQ514" s="962">
        <v>47000.0</v>
      </c>
      <c r="AR514" s="966">
        <v>-0.8853531353862143</v>
      </c>
      <c r="AS514" s="624"/>
      <c r="AT514" s="624"/>
      <c r="AU514" s="624"/>
      <c r="AV514" s="624"/>
      <c r="AW514" s="624"/>
      <c r="AX514" s="624"/>
      <c r="AY514" s="624"/>
      <c r="AZ514" s="624"/>
      <c r="BA514" s="624"/>
      <c r="BB514" s="624"/>
      <c r="BC514" s="624"/>
      <c r="BD514" s="624"/>
      <c r="BE514" s="624"/>
    </row>
    <row r="515" ht="16.5" customHeight="1">
      <c r="A515" s="711"/>
      <c r="B515" s="711"/>
      <c r="C515" s="711"/>
      <c r="D515" s="711"/>
      <c r="E515" s="711"/>
      <c r="F515" s="711"/>
      <c r="G515" s="711"/>
      <c r="H515" s="711"/>
      <c r="I515" s="711"/>
      <c r="J515" s="711"/>
      <c r="K515" s="741"/>
      <c r="L515" s="741"/>
      <c r="M515" s="788"/>
      <c r="N515" s="741"/>
      <c r="O515" s="741"/>
      <c r="P515" s="741"/>
      <c r="Q515" s="741"/>
      <c r="R515" s="788"/>
      <c r="S515" s="819"/>
      <c r="T515" s="820"/>
      <c r="U515" s="819"/>
      <c r="V515" s="820"/>
      <c r="W515" s="788"/>
      <c r="X515" s="803"/>
      <c r="Y515" s="803"/>
      <c r="Z515" s="803"/>
      <c r="AA515" s="711"/>
      <c r="AB515" s="711"/>
      <c r="AC515" s="711"/>
      <c r="AD515" s="736"/>
      <c r="AE515" s="736"/>
      <c r="AF515" s="624"/>
      <c r="AG515" s="624"/>
      <c r="AH515" s="624"/>
      <c r="AI515" s="624"/>
      <c r="AJ515" s="960">
        <f t="shared" si="6"/>
        <v>515</v>
      </c>
      <c r="AK515" s="961">
        <v>0.9534</v>
      </c>
      <c r="AL515" s="962">
        <v>46975.0</v>
      </c>
      <c r="AM515" s="963">
        <v>-0.8966179233109939</v>
      </c>
      <c r="AN515" s="964">
        <v>-0.046599999999999975</v>
      </c>
      <c r="AO515" s="962">
        <v>46975.0</v>
      </c>
      <c r="AP515" s="965">
        <v>-0.8909339794282614</v>
      </c>
      <c r="AQ515" s="962">
        <v>46975.0</v>
      </c>
      <c r="AR515" s="966">
        <v>-0.8852209776318329</v>
      </c>
      <c r="AS515" s="624"/>
      <c r="AT515" s="624"/>
      <c r="AU515" s="624"/>
      <c r="AV515" s="624"/>
      <c r="AW515" s="624"/>
      <c r="AX515" s="624"/>
      <c r="AY515" s="624"/>
      <c r="AZ515" s="624"/>
      <c r="BA515" s="624"/>
      <c r="BB515" s="624"/>
      <c r="BC515" s="624"/>
      <c r="BD515" s="624"/>
      <c r="BE515" s="624"/>
    </row>
    <row r="516" ht="16.5" customHeight="1">
      <c r="A516" s="711"/>
      <c r="B516" s="711"/>
      <c r="C516" s="711"/>
      <c r="D516" s="711"/>
      <c r="E516" s="711"/>
      <c r="F516" s="711"/>
      <c r="G516" s="711"/>
      <c r="H516" s="711"/>
      <c r="I516" s="711"/>
      <c r="J516" s="711"/>
      <c r="K516" s="741"/>
      <c r="L516" s="741"/>
      <c r="M516" s="788"/>
      <c r="N516" s="741"/>
      <c r="O516" s="741"/>
      <c r="P516" s="741"/>
      <c r="Q516" s="741"/>
      <c r="R516" s="788"/>
      <c r="S516" s="819"/>
      <c r="T516" s="820"/>
      <c r="U516" s="819"/>
      <c r="V516" s="820"/>
      <c r="W516" s="788"/>
      <c r="X516" s="803"/>
      <c r="Y516" s="803"/>
      <c r="Z516" s="803"/>
      <c r="AA516" s="711"/>
      <c r="AB516" s="711"/>
      <c r="AC516" s="711"/>
      <c r="AD516" s="736"/>
      <c r="AE516" s="736"/>
      <c r="AF516" s="624"/>
      <c r="AG516" s="624"/>
      <c r="AH516" s="624"/>
      <c r="AI516" s="624"/>
      <c r="AJ516" s="960">
        <f t="shared" si="6"/>
        <v>516</v>
      </c>
      <c r="AK516" s="961">
        <v>0.9559</v>
      </c>
      <c r="AL516" s="962">
        <v>46881.0</v>
      </c>
      <c r="AM516" s="963">
        <v>-0.8961473912589353</v>
      </c>
      <c r="AN516" s="964">
        <v>-0.04410000000000003</v>
      </c>
      <c r="AO516" s="962">
        <v>46881.0</v>
      </c>
      <c r="AP516" s="965">
        <v>-0.89044931110226</v>
      </c>
      <c r="AQ516" s="962">
        <v>46881.0</v>
      </c>
      <c r="AR516" s="966">
        <v>-0.8847226997398622</v>
      </c>
      <c r="AS516" s="624"/>
      <c r="AT516" s="624"/>
      <c r="AU516" s="624"/>
      <c r="AV516" s="624"/>
      <c r="AW516" s="624"/>
      <c r="AX516" s="624"/>
      <c r="AY516" s="624"/>
      <c r="AZ516" s="624"/>
      <c r="BA516" s="624"/>
      <c r="BB516" s="624"/>
      <c r="BC516" s="624"/>
      <c r="BD516" s="624"/>
      <c r="BE516" s="624"/>
    </row>
    <row r="517" ht="16.5" customHeight="1">
      <c r="A517" s="711"/>
      <c r="B517" s="711"/>
      <c r="C517" s="711"/>
      <c r="D517" s="711"/>
      <c r="E517" s="711"/>
      <c r="F517" s="711"/>
      <c r="G517" s="711"/>
      <c r="H517" s="711"/>
      <c r="I517" s="711"/>
      <c r="J517" s="711"/>
      <c r="K517" s="741"/>
      <c r="L517" s="741"/>
      <c r="M517" s="788"/>
      <c r="N517" s="741"/>
      <c r="O517" s="741"/>
      <c r="P517" s="741"/>
      <c r="Q517" s="741"/>
      <c r="R517" s="788"/>
      <c r="S517" s="819"/>
      <c r="T517" s="820"/>
      <c r="U517" s="819"/>
      <c r="V517" s="820"/>
      <c r="W517" s="788"/>
      <c r="X517" s="803"/>
      <c r="Y517" s="803"/>
      <c r="Z517" s="803"/>
      <c r="AA517" s="711"/>
      <c r="AB517" s="711"/>
      <c r="AC517" s="711"/>
      <c r="AD517" s="736"/>
      <c r="AE517" s="736"/>
      <c r="AF517" s="624"/>
      <c r="AG517" s="624"/>
      <c r="AH517" s="624"/>
      <c r="AI517" s="624"/>
      <c r="AJ517" s="960">
        <f t="shared" si="6"/>
        <v>517</v>
      </c>
      <c r="AK517" s="961">
        <v>0.97</v>
      </c>
      <c r="AL517" s="962">
        <v>46800.0</v>
      </c>
      <c r="AM517" s="963">
        <v>-0.8957402153566494</v>
      </c>
      <c r="AN517" s="964">
        <v>-0.030000000000000027</v>
      </c>
      <c r="AO517" s="962">
        <v>46800.0</v>
      </c>
      <c r="AP517" s="965">
        <v>-0.8900299441519443</v>
      </c>
      <c r="AQ517" s="962">
        <v>46800.0</v>
      </c>
      <c r="AR517" s="966">
        <v>-0.8842915978926776</v>
      </c>
      <c r="AS517" s="624"/>
      <c r="AT517" s="624"/>
      <c r="AU517" s="624"/>
      <c r="AV517" s="624"/>
      <c r="AW517" s="624"/>
      <c r="AX517" s="624"/>
      <c r="AY517" s="624"/>
      <c r="AZ517" s="624"/>
      <c r="BA517" s="624"/>
      <c r="BB517" s="624"/>
      <c r="BC517" s="624"/>
      <c r="BD517" s="624"/>
      <c r="BE517" s="624"/>
    </row>
    <row r="518" ht="16.5" customHeight="1">
      <c r="A518" s="711"/>
      <c r="B518" s="711"/>
      <c r="C518" s="711"/>
      <c r="D518" s="711"/>
      <c r="E518" s="711"/>
      <c r="F518" s="711"/>
      <c r="G518" s="711"/>
      <c r="H518" s="711"/>
      <c r="I518" s="711"/>
      <c r="J518" s="711"/>
      <c r="K518" s="741"/>
      <c r="L518" s="741"/>
      <c r="M518" s="788"/>
      <c r="N518" s="741"/>
      <c r="O518" s="741"/>
      <c r="P518" s="741"/>
      <c r="Q518" s="741"/>
      <c r="R518" s="788"/>
      <c r="S518" s="819"/>
      <c r="T518" s="820"/>
      <c r="U518" s="819"/>
      <c r="V518" s="820"/>
      <c r="W518" s="788"/>
      <c r="X518" s="803"/>
      <c r="Y518" s="803"/>
      <c r="Z518" s="803"/>
      <c r="AA518" s="711"/>
      <c r="AB518" s="711"/>
      <c r="AC518" s="711"/>
      <c r="AD518" s="736"/>
      <c r="AE518" s="736"/>
      <c r="AF518" s="624"/>
      <c r="AG518" s="624"/>
      <c r="AH518" s="624"/>
      <c r="AI518" s="624"/>
      <c r="AJ518" s="960">
        <f t="shared" si="6"/>
        <v>518</v>
      </c>
      <c r="AK518" s="961">
        <v>0.9162</v>
      </c>
      <c r="AL518" s="962">
        <v>46534.0</v>
      </c>
      <c r="AM518" s="963">
        <v>-0.8943918068077104</v>
      </c>
      <c r="AN518" s="964">
        <v>-0.08379999999999999</v>
      </c>
      <c r="AO518" s="962">
        <v>46534.0</v>
      </c>
      <c r="AP518" s="965">
        <v>-0.8886414384950874</v>
      </c>
      <c r="AQ518" s="962">
        <v>46534.0</v>
      </c>
      <c r="AR518" s="966">
        <v>-0.8828645080242654</v>
      </c>
      <c r="AS518" s="624"/>
      <c r="AT518" s="624"/>
      <c r="AU518" s="624"/>
      <c r="AV518" s="624"/>
      <c r="AW518" s="624"/>
      <c r="AX518" s="624"/>
      <c r="AY518" s="624"/>
      <c r="AZ518" s="624"/>
      <c r="BA518" s="624"/>
      <c r="BB518" s="624"/>
      <c r="BC518" s="624"/>
      <c r="BD518" s="624"/>
      <c r="BE518" s="624"/>
    </row>
    <row r="519" ht="16.5" customHeight="1">
      <c r="A519" s="711"/>
      <c r="B519" s="711"/>
      <c r="C519" s="711"/>
      <c r="D519" s="711"/>
      <c r="E519" s="711"/>
      <c r="F519" s="711"/>
      <c r="G519" s="711"/>
      <c r="H519" s="711"/>
      <c r="I519" s="711"/>
      <c r="J519" s="711"/>
      <c r="K519" s="741"/>
      <c r="L519" s="741"/>
      <c r="M519" s="788"/>
      <c r="N519" s="741"/>
      <c r="O519" s="741"/>
      <c r="P519" s="741"/>
      <c r="Q519" s="741"/>
      <c r="R519" s="788"/>
      <c r="S519" s="819"/>
      <c r="T519" s="820"/>
      <c r="U519" s="819"/>
      <c r="V519" s="820"/>
      <c r="W519" s="788"/>
      <c r="X519" s="803"/>
      <c r="Y519" s="803"/>
      <c r="Z519" s="803"/>
      <c r="AA519" s="711"/>
      <c r="AB519" s="711"/>
      <c r="AC519" s="711"/>
      <c r="AD519" s="736"/>
      <c r="AE519" s="736"/>
      <c r="AF519" s="624"/>
      <c r="AG519" s="624"/>
      <c r="AH519" s="624"/>
      <c r="AI519" s="624"/>
      <c r="AJ519" s="960">
        <f t="shared" si="6"/>
        <v>519</v>
      </c>
      <c r="AK519" s="961">
        <v>0.9492</v>
      </c>
      <c r="AL519" s="962">
        <v>46500.0</v>
      </c>
      <c r="AM519" s="963">
        <v>-0.894218201539586</v>
      </c>
      <c r="AN519" s="964">
        <v>-0.050799999999999956</v>
      </c>
      <c r="AO519" s="962">
        <v>46500.0</v>
      </c>
      <c r="AP519" s="965">
        <v>-0.8884627012869969</v>
      </c>
      <c r="AQ519" s="962">
        <v>46500.0</v>
      </c>
      <c r="AR519" s="966">
        <v>-0.8826808339057493</v>
      </c>
      <c r="AS519" s="624"/>
      <c r="AT519" s="624"/>
      <c r="AU519" s="624"/>
      <c r="AV519" s="624"/>
      <c r="AW519" s="624"/>
      <c r="AX519" s="624"/>
      <c r="AY519" s="624"/>
      <c r="AZ519" s="624"/>
      <c r="BA519" s="624"/>
      <c r="BB519" s="624"/>
      <c r="BC519" s="624"/>
      <c r="BD519" s="624"/>
      <c r="BE519" s="624"/>
    </row>
    <row r="520" ht="16.5" customHeight="1">
      <c r="A520" s="711"/>
      <c r="B520" s="711"/>
      <c r="C520" s="711"/>
      <c r="D520" s="711"/>
      <c r="E520" s="711"/>
      <c r="F520" s="711"/>
      <c r="G520" s="711"/>
      <c r="H520" s="711"/>
      <c r="I520" s="711"/>
      <c r="J520" s="711"/>
      <c r="K520" s="741"/>
      <c r="L520" s="741"/>
      <c r="M520" s="788"/>
      <c r="N520" s="741"/>
      <c r="O520" s="741"/>
      <c r="P520" s="741"/>
      <c r="Q520" s="741"/>
      <c r="R520" s="788"/>
      <c r="S520" s="819"/>
      <c r="T520" s="820"/>
      <c r="U520" s="819"/>
      <c r="V520" s="820"/>
      <c r="W520" s="788"/>
      <c r="X520" s="803"/>
      <c r="Y520" s="803"/>
      <c r="Z520" s="803"/>
      <c r="AA520" s="711"/>
      <c r="AB520" s="711"/>
      <c r="AC520" s="711"/>
      <c r="AD520" s="736"/>
      <c r="AE520" s="736"/>
      <c r="AF520" s="624"/>
      <c r="AG520" s="624"/>
      <c r="AH520" s="624"/>
      <c r="AI520" s="624"/>
      <c r="AJ520" s="960">
        <f t="shared" si="6"/>
        <v>520</v>
      </c>
      <c r="AK520" s="961">
        <v>0.9572</v>
      </c>
      <c r="AL520" s="962">
        <v>46445.0</v>
      </c>
      <c r="AM520" s="963">
        <v>-0.8939367650665901</v>
      </c>
      <c r="AN520" s="964">
        <v>-0.04279999999999995</v>
      </c>
      <c r="AO520" s="962">
        <v>46445.0</v>
      </c>
      <c r="AP520" s="965">
        <v>-0.888172959972368</v>
      </c>
      <c r="AQ520" s="962">
        <v>46445.0</v>
      </c>
      <c r="AR520" s="966">
        <v>-0.8823831040325674</v>
      </c>
      <c r="AS520" s="624"/>
      <c r="AT520" s="624"/>
      <c r="AU520" s="624"/>
      <c r="AV520" s="624"/>
      <c r="AW520" s="624"/>
      <c r="AX520" s="624"/>
      <c r="AY520" s="624"/>
      <c r="AZ520" s="624"/>
      <c r="BA520" s="624"/>
      <c r="BB520" s="624"/>
      <c r="BC520" s="624"/>
      <c r="BD520" s="624"/>
      <c r="BE520" s="624"/>
    </row>
    <row r="521" ht="16.5" customHeight="1">
      <c r="A521" s="711"/>
      <c r="B521" s="711"/>
      <c r="C521" s="711"/>
      <c r="D521" s="711"/>
      <c r="E521" s="711"/>
      <c r="F521" s="711"/>
      <c r="G521" s="711"/>
      <c r="H521" s="711"/>
      <c r="I521" s="711"/>
      <c r="J521" s="711"/>
      <c r="K521" s="741"/>
      <c r="L521" s="741"/>
      <c r="M521" s="788"/>
      <c r="N521" s="741"/>
      <c r="O521" s="741"/>
      <c r="P521" s="741"/>
      <c r="Q521" s="741"/>
      <c r="R521" s="788"/>
      <c r="S521" s="819"/>
      <c r="T521" s="820"/>
      <c r="U521" s="819"/>
      <c r="V521" s="820"/>
      <c r="W521" s="788"/>
      <c r="X521" s="803"/>
      <c r="Y521" s="803"/>
      <c r="Z521" s="803"/>
      <c r="AA521" s="711"/>
      <c r="AB521" s="711"/>
      <c r="AC521" s="711"/>
      <c r="AD521" s="736"/>
      <c r="AE521" s="736"/>
      <c r="AF521" s="624"/>
      <c r="AG521" s="624"/>
      <c r="AH521" s="624"/>
      <c r="AI521" s="624"/>
      <c r="AJ521" s="960">
        <f t="shared" si="6"/>
        <v>521</v>
      </c>
      <c r="AK521" s="961">
        <v>0.9593</v>
      </c>
      <c r="AL521" s="962">
        <v>46312.0</v>
      </c>
      <c r="AM521" s="963">
        <v>-0.8932531020156617</v>
      </c>
      <c r="AN521" s="964">
        <v>-0.04069999999999996</v>
      </c>
      <c r="AO521" s="962">
        <v>46312.0</v>
      </c>
      <c r="AP521" s="965">
        <v>-0.8874691982959023</v>
      </c>
      <c r="AQ521" s="962">
        <v>46312.0</v>
      </c>
      <c r="AR521" s="966">
        <v>-0.8816600126213754</v>
      </c>
      <c r="AS521" s="624"/>
      <c r="AT521" s="624"/>
      <c r="AU521" s="624"/>
      <c r="AV521" s="624"/>
      <c r="AW521" s="624"/>
      <c r="AX521" s="624"/>
      <c r="AY521" s="624"/>
      <c r="AZ521" s="624"/>
      <c r="BA521" s="624"/>
      <c r="BB521" s="624"/>
      <c r="BC521" s="624"/>
      <c r="BD521" s="624"/>
      <c r="BE521" s="624"/>
    </row>
    <row r="522" ht="16.5" customHeight="1">
      <c r="A522" s="711"/>
      <c r="B522" s="711"/>
      <c r="C522" s="711"/>
      <c r="D522" s="711"/>
      <c r="E522" s="711"/>
      <c r="F522" s="711"/>
      <c r="G522" s="711"/>
      <c r="H522" s="711"/>
      <c r="I522" s="711"/>
      <c r="J522" s="711"/>
      <c r="K522" s="741"/>
      <c r="L522" s="741"/>
      <c r="M522" s="788"/>
      <c r="N522" s="741"/>
      <c r="O522" s="741"/>
      <c r="P522" s="741"/>
      <c r="Q522" s="741"/>
      <c r="R522" s="788"/>
      <c r="S522" s="819"/>
      <c r="T522" s="820"/>
      <c r="U522" s="819"/>
      <c r="V522" s="820"/>
      <c r="W522" s="788"/>
      <c r="X522" s="803"/>
      <c r="Y522" s="803"/>
      <c r="Z522" s="803"/>
      <c r="AA522" s="711"/>
      <c r="AB522" s="711"/>
      <c r="AC522" s="711"/>
      <c r="AD522" s="736"/>
      <c r="AE522" s="736"/>
      <c r="AF522" s="624"/>
      <c r="AG522" s="624"/>
      <c r="AH522" s="624"/>
      <c r="AI522" s="624"/>
      <c r="AJ522" s="960">
        <f t="shared" si="6"/>
        <v>522</v>
      </c>
      <c r="AK522" s="961">
        <v>0.9573</v>
      </c>
      <c r="AL522" s="962">
        <v>46264.0</v>
      </c>
      <c r="AM522" s="963">
        <v>-0.8930052857647107</v>
      </c>
      <c r="AN522" s="964">
        <v>-0.04269999999999996</v>
      </c>
      <c r="AO522" s="962">
        <v>46264.0</v>
      </c>
      <c r="AP522" s="965">
        <v>-0.8872141229194536</v>
      </c>
      <c r="AQ522" s="962">
        <v>46264.0</v>
      </c>
      <c r="AR522" s="966">
        <v>-0.8813979570264536</v>
      </c>
      <c r="AS522" s="624"/>
      <c r="AT522" s="624"/>
      <c r="AU522" s="624"/>
      <c r="AV522" s="624"/>
      <c r="AW522" s="624"/>
      <c r="AX522" s="624"/>
      <c r="AY522" s="624"/>
      <c r="AZ522" s="624"/>
      <c r="BA522" s="624"/>
      <c r="BB522" s="624"/>
      <c r="BC522" s="624"/>
      <c r="BD522" s="624"/>
      <c r="BE522" s="624"/>
    </row>
    <row r="523" ht="16.5" customHeight="1">
      <c r="A523" s="711"/>
      <c r="B523" s="711"/>
      <c r="C523" s="711"/>
      <c r="D523" s="711"/>
      <c r="E523" s="711"/>
      <c r="F523" s="711"/>
      <c r="G523" s="711"/>
      <c r="H523" s="711"/>
      <c r="I523" s="711"/>
      <c r="J523" s="711"/>
      <c r="K523" s="741"/>
      <c r="L523" s="741"/>
      <c r="M523" s="788"/>
      <c r="N523" s="741"/>
      <c r="O523" s="741"/>
      <c r="P523" s="741"/>
      <c r="Q523" s="741"/>
      <c r="R523" s="788"/>
      <c r="S523" s="819"/>
      <c r="T523" s="820"/>
      <c r="U523" s="819"/>
      <c r="V523" s="820"/>
      <c r="W523" s="788"/>
      <c r="X523" s="803"/>
      <c r="Y523" s="803"/>
      <c r="Z523" s="803"/>
      <c r="AA523" s="711"/>
      <c r="AB523" s="711"/>
      <c r="AC523" s="711"/>
      <c r="AD523" s="736"/>
      <c r="AE523" s="736"/>
      <c r="AF523" s="624"/>
      <c r="AG523" s="624"/>
      <c r="AH523" s="624"/>
      <c r="AI523" s="624"/>
      <c r="AJ523" s="960">
        <f t="shared" si="6"/>
        <v>523</v>
      </c>
      <c r="AK523" s="961">
        <v>0.9645</v>
      </c>
      <c r="AL523" s="962">
        <v>46000.0</v>
      </c>
      <c r="AM523" s="963">
        <v>-0.8916319767781041</v>
      </c>
      <c r="AN523" s="964">
        <v>-0.035499999999999976</v>
      </c>
      <c r="AO523" s="962">
        <v>46000.0</v>
      </c>
      <c r="AP523" s="965">
        <v>-0.8858008381100952</v>
      </c>
      <c r="AQ523" s="962">
        <v>46000.0</v>
      </c>
      <c r="AR523" s="966">
        <v>-0.8799462438033794</v>
      </c>
      <c r="AS523" s="624"/>
      <c r="AT523" s="624"/>
      <c r="AU523" s="624"/>
      <c r="AV523" s="624"/>
      <c r="AW523" s="624"/>
      <c r="AX523" s="624"/>
      <c r="AY523" s="624"/>
      <c r="AZ523" s="624"/>
      <c r="BA523" s="624"/>
      <c r="BB523" s="624"/>
      <c r="BC523" s="624"/>
      <c r="BD523" s="624"/>
      <c r="BE523" s="624"/>
    </row>
    <row r="524" ht="16.5" customHeight="1">
      <c r="A524" s="711"/>
      <c r="B524" s="711"/>
      <c r="C524" s="711"/>
      <c r="D524" s="711"/>
      <c r="E524" s="711"/>
      <c r="F524" s="711"/>
      <c r="G524" s="711"/>
      <c r="H524" s="711"/>
      <c r="I524" s="711"/>
      <c r="J524" s="711"/>
      <c r="K524" s="741"/>
      <c r="L524" s="741"/>
      <c r="M524" s="788"/>
      <c r="N524" s="741"/>
      <c r="O524" s="741"/>
      <c r="P524" s="741"/>
      <c r="Q524" s="741"/>
      <c r="R524" s="788"/>
      <c r="S524" s="819"/>
      <c r="T524" s="820"/>
      <c r="U524" s="819"/>
      <c r="V524" s="820"/>
      <c r="W524" s="788"/>
      <c r="X524" s="803"/>
      <c r="Y524" s="803"/>
      <c r="Z524" s="803"/>
      <c r="AA524" s="711"/>
      <c r="AB524" s="711"/>
      <c r="AC524" s="711"/>
      <c r="AD524" s="736"/>
      <c r="AE524" s="736"/>
      <c r="AF524" s="624"/>
      <c r="AG524" s="624"/>
      <c r="AH524" s="624"/>
      <c r="AI524" s="624"/>
      <c r="AJ524" s="960">
        <f t="shared" si="6"/>
        <v>524</v>
      </c>
      <c r="AK524" s="961">
        <v>0.9672</v>
      </c>
      <c r="AL524" s="962">
        <v>46000.0</v>
      </c>
      <c r="AM524" s="963">
        <v>-0.8916319767781041</v>
      </c>
      <c r="AN524" s="964">
        <v>-0.03280000000000005</v>
      </c>
      <c r="AO524" s="962">
        <v>46000.0</v>
      </c>
      <c r="AP524" s="965">
        <v>-0.8858008381100952</v>
      </c>
      <c r="AQ524" s="962">
        <v>46000.0</v>
      </c>
      <c r="AR524" s="966">
        <v>-0.8799462438033794</v>
      </c>
      <c r="AS524" s="624"/>
      <c r="AT524" s="624"/>
      <c r="AU524" s="624"/>
      <c r="AV524" s="624"/>
      <c r="AW524" s="624"/>
      <c r="AX524" s="624"/>
      <c r="AY524" s="624"/>
      <c r="AZ524" s="624"/>
      <c r="BA524" s="624"/>
      <c r="BB524" s="624"/>
      <c r="BC524" s="624"/>
      <c r="BD524" s="624"/>
      <c r="BE524" s="624"/>
    </row>
    <row r="525" ht="16.5" customHeight="1">
      <c r="A525" s="711"/>
      <c r="B525" s="711"/>
      <c r="C525" s="711"/>
      <c r="D525" s="711"/>
      <c r="E525" s="711"/>
      <c r="F525" s="711"/>
      <c r="G525" s="711"/>
      <c r="H525" s="711"/>
      <c r="I525" s="711"/>
      <c r="J525" s="711"/>
      <c r="K525" s="741"/>
      <c r="L525" s="741"/>
      <c r="M525" s="788"/>
      <c r="N525" s="741"/>
      <c r="O525" s="741"/>
      <c r="P525" s="741"/>
      <c r="Q525" s="741"/>
      <c r="R525" s="788"/>
      <c r="S525" s="819"/>
      <c r="T525" s="820"/>
      <c r="U525" s="819"/>
      <c r="V525" s="820"/>
      <c r="W525" s="788"/>
      <c r="X525" s="803"/>
      <c r="Y525" s="803"/>
      <c r="Z525" s="803"/>
      <c r="AA525" s="711"/>
      <c r="AB525" s="711"/>
      <c r="AC525" s="711"/>
      <c r="AD525" s="736"/>
      <c r="AE525" s="736"/>
      <c r="AF525" s="624"/>
      <c r="AG525" s="624"/>
      <c r="AH525" s="624"/>
      <c r="AI525" s="624"/>
      <c r="AJ525" s="960">
        <f t="shared" si="6"/>
        <v>525</v>
      </c>
      <c r="AK525" s="961">
        <v>0.9924</v>
      </c>
      <c r="AL525" s="962">
        <v>45845.0</v>
      </c>
      <c r="AM525" s="963">
        <v>-0.8908174797567862</v>
      </c>
      <c r="AN525" s="964">
        <v>-0.007600000000000051</v>
      </c>
      <c r="AO525" s="962">
        <v>45845.0</v>
      </c>
      <c r="AP525" s="965">
        <v>-0.8849628316736676</v>
      </c>
      <c r="AQ525" s="962">
        <v>45845.0</v>
      </c>
      <c r="AR525" s="966">
        <v>-0.8790856470726475</v>
      </c>
      <c r="AS525" s="624"/>
      <c r="AT525" s="624"/>
      <c r="AU525" s="624"/>
      <c r="AV525" s="624"/>
      <c r="AW525" s="624"/>
      <c r="AX525" s="624"/>
      <c r="AY525" s="624"/>
      <c r="AZ525" s="624"/>
      <c r="BA525" s="624"/>
      <c r="BB525" s="624"/>
      <c r="BC525" s="624"/>
      <c r="BD525" s="624"/>
      <c r="BE525" s="624"/>
    </row>
    <row r="526" ht="16.5" customHeight="1">
      <c r="A526" s="711"/>
      <c r="B526" s="711"/>
      <c r="C526" s="711"/>
      <c r="D526" s="711"/>
      <c r="E526" s="711"/>
      <c r="F526" s="711"/>
      <c r="G526" s="711"/>
      <c r="H526" s="711"/>
      <c r="I526" s="711"/>
      <c r="J526" s="711"/>
      <c r="K526" s="741"/>
      <c r="L526" s="741"/>
      <c r="M526" s="788"/>
      <c r="N526" s="741"/>
      <c r="O526" s="741"/>
      <c r="P526" s="741"/>
      <c r="Q526" s="741"/>
      <c r="R526" s="788"/>
      <c r="S526" s="819"/>
      <c r="T526" s="820"/>
      <c r="U526" s="819"/>
      <c r="V526" s="820"/>
      <c r="W526" s="788"/>
      <c r="X526" s="803"/>
      <c r="Y526" s="803"/>
      <c r="Z526" s="803"/>
      <c r="AA526" s="711"/>
      <c r="AB526" s="711"/>
      <c r="AC526" s="711"/>
      <c r="AD526" s="736"/>
      <c r="AE526" s="736"/>
      <c r="AF526" s="624"/>
      <c r="AG526" s="624"/>
      <c r="AH526" s="624"/>
      <c r="AI526" s="624"/>
      <c r="AJ526" s="960">
        <f t="shared" si="6"/>
        <v>526</v>
      </c>
      <c r="AK526" s="961">
        <v>0.9492</v>
      </c>
      <c r="AL526" s="962">
        <v>45800.0</v>
      </c>
      <c r="AM526" s="963">
        <v>-0.8905798682721341</v>
      </c>
      <c r="AN526" s="964">
        <v>-0.050799999999999956</v>
      </c>
      <c r="AO526" s="962">
        <v>45800.0</v>
      </c>
      <c r="AP526" s="965">
        <v>-0.8847183896654537</v>
      </c>
      <c r="AQ526" s="962">
        <v>45800.0</v>
      </c>
      <c r="AR526" s="966">
        <v>-0.8788346428549195</v>
      </c>
      <c r="AS526" s="624"/>
      <c r="AT526" s="624"/>
      <c r="AU526" s="624"/>
      <c r="AV526" s="624"/>
      <c r="AW526" s="624"/>
      <c r="AX526" s="624"/>
      <c r="AY526" s="624"/>
      <c r="AZ526" s="624"/>
      <c r="BA526" s="624"/>
      <c r="BB526" s="624"/>
      <c r="BC526" s="624"/>
      <c r="BD526" s="624"/>
      <c r="BE526" s="624"/>
    </row>
    <row r="527" ht="16.5" customHeight="1">
      <c r="A527" s="711"/>
      <c r="B527" s="711"/>
      <c r="C527" s="711"/>
      <c r="D527" s="711"/>
      <c r="E527" s="711"/>
      <c r="F527" s="711"/>
      <c r="G527" s="711"/>
      <c r="H527" s="711"/>
      <c r="I527" s="711"/>
      <c r="J527" s="711"/>
      <c r="K527" s="741"/>
      <c r="L527" s="741"/>
      <c r="M527" s="788"/>
      <c r="N527" s="741"/>
      <c r="O527" s="741"/>
      <c r="P527" s="741"/>
      <c r="Q527" s="741"/>
      <c r="R527" s="788"/>
      <c r="S527" s="819"/>
      <c r="T527" s="820"/>
      <c r="U527" s="819"/>
      <c r="V527" s="820"/>
      <c r="W527" s="788"/>
      <c r="X527" s="803"/>
      <c r="Y527" s="803"/>
      <c r="Z527" s="803"/>
      <c r="AA527" s="711"/>
      <c r="AB527" s="711"/>
      <c r="AC527" s="711"/>
      <c r="AD527" s="736"/>
      <c r="AE527" s="736"/>
      <c r="AF527" s="624"/>
      <c r="AG527" s="624"/>
      <c r="AH527" s="624"/>
      <c r="AI527" s="624"/>
      <c r="AJ527" s="960">
        <f t="shared" si="6"/>
        <v>527</v>
      </c>
      <c r="AK527" s="961">
        <v>0.9148</v>
      </c>
      <c r="AL527" s="962">
        <v>45777.0</v>
      </c>
      <c r="AM527" s="963">
        <v>-0.8904582227796778</v>
      </c>
      <c r="AN527" s="964">
        <v>-0.08520000000000005</v>
      </c>
      <c r="AO527" s="962">
        <v>45777.0</v>
      </c>
      <c r="AP527" s="965">
        <v>-0.8845932521249255</v>
      </c>
      <c r="AQ527" s="962">
        <v>45777.0</v>
      </c>
      <c r="AR527" s="966">
        <v>-0.8787061506607472</v>
      </c>
      <c r="AS527" s="624"/>
      <c r="AT527" s="624"/>
      <c r="AU527" s="624"/>
      <c r="AV527" s="624"/>
      <c r="AW527" s="624"/>
      <c r="AX527" s="624"/>
      <c r="AY527" s="624"/>
      <c r="AZ527" s="624"/>
      <c r="BA527" s="624"/>
      <c r="BB527" s="624"/>
      <c r="BC527" s="624"/>
      <c r="BD527" s="624"/>
      <c r="BE527" s="624"/>
    </row>
    <row r="528" ht="16.5" customHeight="1">
      <c r="A528" s="711"/>
      <c r="B528" s="711"/>
      <c r="C528" s="711"/>
      <c r="D528" s="711"/>
      <c r="E528" s="711"/>
      <c r="F528" s="711"/>
      <c r="G528" s="711"/>
      <c r="H528" s="711"/>
      <c r="I528" s="711"/>
      <c r="J528" s="711"/>
      <c r="K528" s="741"/>
      <c r="L528" s="741"/>
      <c r="M528" s="788"/>
      <c r="N528" s="741"/>
      <c r="O528" s="741"/>
      <c r="P528" s="741"/>
      <c r="Q528" s="741"/>
      <c r="R528" s="788"/>
      <c r="S528" s="819"/>
      <c r="T528" s="820"/>
      <c r="U528" s="819"/>
      <c r="V528" s="820"/>
      <c r="W528" s="788"/>
      <c r="X528" s="803"/>
      <c r="Y528" s="803"/>
      <c r="Z528" s="803"/>
      <c r="AA528" s="711"/>
      <c r="AB528" s="711"/>
      <c r="AC528" s="711"/>
      <c r="AD528" s="736"/>
      <c r="AE528" s="736"/>
      <c r="AF528" s="624"/>
      <c r="AG528" s="624"/>
      <c r="AH528" s="624"/>
      <c r="AI528" s="624"/>
      <c r="AJ528" s="960">
        <f t="shared" si="6"/>
        <v>528</v>
      </c>
      <c r="AK528" s="961">
        <v>0.9446</v>
      </c>
      <c r="AL528" s="962">
        <v>45756.0</v>
      </c>
      <c r="AM528" s="963">
        <v>-0.890347037051447</v>
      </c>
      <c r="AN528" s="964">
        <v>-0.055400000000000005</v>
      </c>
      <c r="AO528" s="962">
        <v>45756.0</v>
      </c>
      <c r="AP528" s="965">
        <v>-0.8844788774814885</v>
      </c>
      <c r="AQ528" s="962">
        <v>45756.0</v>
      </c>
      <c r="AR528" s="966">
        <v>-0.8785887127005713</v>
      </c>
      <c r="AS528" s="624"/>
      <c r="AT528" s="624"/>
      <c r="AU528" s="624"/>
      <c r="AV528" s="624"/>
      <c r="AW528" s="624"/>
      <c r="AX528" s="624"/>
      <c r="AY528" s="624"/>
      <c r="AZ528" s="624"/>
      <c r="BA528" s="624"/>
      <c r="BB528" s="624"/>
      <c r="BC528" s="624"/>
      <c r="BD528" s="624"/>
      <c r="BE528" s="624"/>
    </row>
    <row r="529" ht="16.5" customHeight="1">
      <c r="A529" s="711"/>
      <c r="B529" s="711"/>
      <c r="C529" s="711"/>
      <c r="D529" s="711"/>
      <c r="E529" s="711"/>
      <c r="F529" s="711"/>
      <c r="G529" s="711"/>
      <c r="H529" s="711"/>
      <c r="I529" s="711"/>
      <c r="J529" s="711"/>
      <c r="K529" s="741"/>
      <c r="L529" s="741"/>
      <c r="M529" s="788"/>
      <c r="N529" s="741"/>
      <c r="O529" s="741"/>
      <c r="P529" s="741"/>
      <c r="Q529" s="741"/>
      <c r="R529" s="788"/>
      <c r="S529" s="819"/>
      <c r="T529" s="820"/>
      <c r="U529" s="819"/>
      <c r="V529" s="820"/>
      <c r="W529" s="788"/>
      <c r="X529" s="803"/>
      <c r="Y529" s="803"/>
      <c r="Z529" s="803"/>
      <c r="AA529" s="711"/>
      <c r="AB529" s="711"/>
      <c r="AC529" s="711"/>
      <c r="AD529" s="736"/>
      <c r="AE529" s="736"/>
      <c r="AF529" s="624"/>
      <c r="AG529" s="624"/>
      <c r="AH529" s="624"/>
      <c r="AI529" s="624"/>
      <c r="AJ529" s="960">
        <f t="shared" si="6"/>
        <v>529</v>
      </c>
      <c r="AK529" s="961">
        <v>0.9655</v>
      </c>
      <c r="AL529" s="962">
        <v>45754.0</v>
      </c>
      <c r="AM529" s="963">
        <v>-0.8903364420504457</v>
      </c>
      <c r="AN529" s="964">
        <v>-0.034499999999999975</v>
      </c>
      <c r="AO529" s="962">
        <v>45754.0</v>
      </c>
      <c r="AP529" s="965">
        <v>-0.8844679787482997</v>
      </c>
      <c r="AQ529" s="962">
        <v>45754.0</v>
      </c>
      <c r="AR529" s="966">
        <v>-0.8785775222044918</v>
      </c>
      <c r="AS529" s="624"/>
      <c r="AT529" s="624"/>
      <c r="AU529" s="624"/>
      <c r="AV529" s="624"/>
      <c r="AW529" s="624"/>
      <c r="AX529" s="624"/>
      <c r="AY529" s="624"/>
      <c r="AZ529" s="624"/>
      <c r="BA529" s="624"/>
      <c r="BB529" s="624"/>
      <c r="BC529" s="624"/>
      <c r="BD529" s="624"/>
      <c r="BE529" s="624"/>
    </row>
    <row r="530" ht="16.5" customHeight="1">
      <c r="A530" s="711"/>
      <c r="B530" s="711"/>
      <c r="C530" s="711"/>
      <c r="D530" s="711"/>
      <c r="E530" s="711"/>
      <c r="F530" s="711"/>
      <c r="G530" s="711"/>
      <c r="H530" s="711"/>
      <c r="I530" s="711"/>
      <c r="J530" s="711"/>
      <c r="K530" s="741"/>
      <c r="L530" s="741"/>
      <c r="M530" s="788"/>
      <c r="N530" s="741"/>
      <c r="O530" s="741"/>
      <c r="P530" s="741"/>
      <c r="Q530" s="741"/>
      <c r="R530" s="788"/>
      <c r="S530" s="819"/>
      <c r="T530" s="820"/>
      <c r="U530" s="819"/>
      <c r="V530" s="820"/>
      <c r="W530" s="788"/>
      <c r="X530" s="803"/>
      <c r="Y530" s="803"/>
      <c r="Z530" s="803"/>
      <c r="AA530" s="711"/>
      <c r="AB530" s="711"/>
      <c r="AC530" s="711"/>
      <c r="AD530" s="736"/>
      <c r="AE530" s="736"/>
      <c r="AF530" s="624"/>
      <c r="AG530" s="624"/>
      <c r="AH530" s="624"/>
      <c r="AI530" s="624"/>
      <c r="AJ530" s="960">
        <f t="shared" si="6"/>
        <v>530</v>
      </c>
      <c r="AK530" s="961">
        <v>0.9649</v>
      </c>
      <c r="AL530" s="962">
        <v>45650.0</v>
      </c>
      <c r="AM530" s="963">
        <v>-0.8897840889907869</v>
      </c>
      <c r="AN530" s="964">
        <v>-0.03510000000000002</v>
      </c>
      <c r="AO530" s="962">
        <v>45650.0</v>
      </c>
      <c r="AP530" s="965">
        <v>-0.8838998254451629</v>
      </c>
      <c r="AQ530" s="962">
        <v>45650.0</v>
      </c>
      <c r="AR530" s="966">
        <v>-0.8779941928686863</v>
      </c>
      <c r="AS530" s="624"/>
      <c r="AT530" s="624"/>
      <c r="AU530" s="624"/>
      <c r="AV530" s="624"/>
      <c r="AW530" s="624"/>
      <c r="AX530" s="624"/>
      <c r="AY530" s="624"/>
      <c r="AZ530" s="624"/>
      <c r="BA530" s="624"/>
      <c r="BB530" s="624"/>
      <c r="BC530" s="624"/>
      <c r="BD530" s="624"/>
      <c r="BE530" s="624"/>
    </row>
    <row r="531" ht="16.5" customHeight="1">
      <c r="A531" s="711"/>
      <c r="B531" s="711"/>
      <c r="C531" s="711"/>
      <c r="D531" s="711"/>
      <c r="E531" s="711"/>
      <c r="F531" s="711"/>
      <c r="G531" s="711"/>
      <c r="H531" s="711"/>
      <c r="I531" s="711"/>
      <c r="J531" s="711"/>
      <c r="K531" s="741"/>
      <c r="L531" s="741"/>
      <c r="M531" s="788"/>
      <c r="N531" s="741"/>
      <c r="O531" s="741"/>
      <c r="P531" s="741"/>
      <c r="Q531" s="741"/>
      <c r="R531" s="788"/>
      <c r="S531" s="819"/>
      <c r="T531" s="820"/>
      <c r="U531" s="819"/>
      <c r="V531" s="820"/>
      <c r="W531" s="788"/>
      <c r="X531" s="803"/>
      <c r="Y531" s="803"/>
      <c r="Z531" s="803"/>
      <c r="AA531" s="711"/>
      <c r="AB531" s="711"/>
      <c r="AC531" s="711"/>
      <c r="AD531" s="736"/>
      <c r="AE531" s="736"/>
      <c r="AF531" s="624"/>
      <c r="AG531" s="624"/>
      <c r="AH531" s="624"/>
      <c r="AI531" s="624"/>
      <c r="AJ531" s="960">
        <f t="shared" si="6"/>
        <v>531</v>
      </c>
      <c r="AK531" s="961">
        <v>0.9649</v>
      </c>
      <c r="AL531" s="962">
        <v>45533.0</v>
      </c>
      <c r="AM531" s="963">
        <v>-0.8891593656344219</v>
      </c>
      <c r="AN531" s="964">
        <v>-0.03510000000000002</v>
      </c>
      <c r="AO531" s="962">
        <v>45533.0</v>
      </c>
      <c r="AP531" s="965">
        <v>-0.883257312574743</v>
      </c>
      <c r="AQ531" s="962">
        <v>45533.0</v>
      </c>
      <c r="AR531" s="966">
        <v>-0.8773345969645207</v>
      </c>
      <c r="AS531" s="624"/>
      <c r="AT531" s="624"/>
      <c r="AU531" s="624"/>
      <c r="AV531" s="624"/>
      <c r="AW531" s="624"/>
      <c r="AX531" s="624"/>
      <c r="AY531" s="624"/>
      <c r="AZ531" s="624"/>
      <c r="BA531" s="624"/>
      <c r="BB531" s="624"/>
      <c r="BC531" s="624"/>
      <c r="BD531" s="624"/>
      <c r="BE531" s="624"/>
    </row>
    <row r="532" ht="16.5" customHeight="1">
      <c r="A532" s="711"/>
      <c r="B532" s="711"/>
      <c r="C532" s="711"/>
      <c r="D532" s="711"/>
      <c r="E532" s="711"/>
      <c r="F532" s="711"/>
      <c r="G532" s="711"/>
      <c r="H532" s="711"/>
      <c r="I532" s="711"/>
      <c r="J532" s="711"/>
      <c r="K532" s="741"/>
      <c r="L532" s="741"/>
      <c r="M532" s="788"/>
      <c r="N532" s="741"/>
      <c r="O532" s="741"/>
      <c r="P532" s="741"/>
      <c r="Q532" s="741"/>
      <c r="R532" s="788"/>
      <c r="S532" s="819"/>
      <c r="T532" s="820"/>
      <c r="U532" s="819"/>
      <c r="V532" s="820"/>
      <c r="W532" s="788"/>
      <c r="X532" s="803"/>
      <c r="Y532" s="803"/>
      <c r="Z532" s="803"/>
      <c r="AA532" s="711"/>
      <c r="AB532" s="711"/>
      <c r="AC532" s="711"/>
      <c r="AD532" s="736"/>
      <c r="AE532" s="736"/>
      <c r="AF532" s="624"/>
      <c r="AG532" s="624"/>
      <c r="AH532" s="624"/>
      <c r="AI532" s="624"/>
      <c r="AJ532" s="960">
        <f t="shared" si="6"/>
        <v>532</v>
      </c>
      <c r="AK532" s="961">
        <v>0.9971</v>
      </c>
      <c r="AL532" s="962">
        <v>45524.0</v>
      </c>
      <c r="AM532" s="963">
        <v>-0.889111163576314</v>
      </c>
      <c r="AN532" s="964">
        <v>-0.0029000000000000137</v>
      </c>
      <c r="AO532" s="962">
        <v>45524.0</v>
      </c>
      <c r="AP532" s="965">
        <v>-0.8832077414784705</v>
      </c>
      <c r="AQ532" s="962">
        <v>45524.0</v>
      </c>
      <c r="AR532" s="966">
        <v>-0.8772837113609858</v>
      </c>
      <c r="AS532" s="624"/>
      <c r="AT532" s="624"/>
      <c r="AU532" s="624"/>
      <c r="AV532" s="624"/>
      <c r="AW532" s="624"/>
      <c r="AX532" s="624"/>
      <c r="AY532" s="624"/>
      <c r="AZ532" s="624"/>
      <c r="BA532" s="624"/>
      <c r="BB532" s="624"/>
      <c r="BC532" s="624"/>
      <c r="BD532" s="624"/>
      <c r="BE532" s="624"/>
    </row>
    <row r="533" ht="16.5" customHeight="1">
      <c r="A533" s="711"/>
      <c r="B533" s="711"/>
      <c r="C533" s="711"/>
      <c r="D533" s="711"/>
      <c r="E533" s="711"/>
      <c r="F533" s="711"/>
      <c r="G533" s="711"/>
      <c r="H533" s="711"/>
      <c r="I533" s="711"/>
      <c r="J533" s="711"/>
      <c r="K533" s="741"/>
      <c r="L533" s="741"/>
      <c r="M533" s="788"/>
      <c r="N533" s="741"/>
      <c r="O533" s="741"/>
      <c r="P533" s="741"/>
      <c r="Q533" s="741"/>
      <c r="R533" s="788"/>
      <c r="S533" s="819"/>
      <c r="T533" s="820"/>
      <c r="U533" s="819"/>
      <c r="V533" s="820"/>
      <c r="W533" s="788"/>
      <c r="X533" s="803"/>
      <c r="Y533" s="803"/>
      <c r="Z533" s="803"/>
      <c r="AA533" s="711"/>
      <c r="AB533" s="711"/>
      <c r="AC533" s="711"/>
      <c r="AD533" s="736"/>
      <c r="AE533" s="736"/>
      <c r="AF533" s="624"/>
      <c r="AG533" s="624"/>
      <c r="AH533" s="624"/>
      <c r="AI533" s="624"/>
      <c r="AJ533" s="960">
        <f t="shared" si="6"/>
        <v>533</v>
      </c>
      <c r="AK533" s="961">
        <v>0.9273</v>
      </c>
      <c r="AL533" s="962">
        <v>45500.0</v>
      </c>
      <c r="AM533" s="963">
        <v>-0.8889825222491741</v>
      </c>
      <c r="AN533" s="964">
        <v>-0.07269999999999999</v>
      </c>
      <c r="AO533" s="962">
        <v>45500.0</v>
      </c>
      <c r="AP533" s="965">
        <v>-0.8830754489588846</v>
      </c>
      <c r="AQ533" s="962">
        <v>45500.0</v>
      </c>
      <c r="AR533" s="966">
        <v>-0.8771479131948592</v>
      </c>
      <c r="AS533" s="624"/>
      <c r="AT533" s="624"/>
      <c r="AU533" s="624"/>
      <c r="AV533" s="624"/>
      <c r="AW533" s="624"/>
      <c r="AX533" s="624"/>
      <c r="AY533" s="624"/>
      <c r="AZ533" s="624"/>
      <c r="BA533" s="624"/>
      <c r="BB533" s="624"/>
      <c r="BC533" s="624"/>
      <c r="BD533" s="624"/>
      <c r="BE533" s="624"/>
    </row>
    <row r="534" ht="16.5" customHeight="1">
      <c r="A534" s="711"/>
      <c r="B534" s="711"/>
      <c r="C534" s="711"/>
      <c r="D534" s="711"/>
      <c r="E534" s="711"/>
      <c r="F534" s="711"/>
      <c r="G534" s="711"/>
      <c r="H534" s="711"/>
      <c r="I534" s="711"/>
      <c r="J534" s="711"/>
      <c r="K534" s="741"/>
      <c r="L534" s="741"/>
      <c r="M534" s="788"/>
      <c r="N534" s="741"/>
      <c r="O534" s="741"/>
      <c r="P534" s="741"/>
      <c r="Q534" s="741"/>
      <c r="R534" s="788"/>
      <c r="S534" s="819"/>
      <c r="T534" s="820"/>
      <c r="U534" s="819"/>
      <c r="V534" s="820"/>
      <c r="W534" s="788"/>
      <c r="X534" s="803"/>
      <c r="Y534" s="803"/>
      <c r="Z534" s="803"/>
      <c r="AA534" s="711"/>
      <c r="AB534" s="711"/>
      <c r="AC534" s="711"/>
      <c r="AD534" s="736"/>
      <c r="AE534" s="736"/>
      <c r="AF534" s="624"/>
      <c r="AG534" s="624"/>
      <c r="AH534" s="624"/>
      <c r="AI534" s="624"/>
      <c r="AJ534" s="960">
        <f t="shared" si="6"/>
        <v>534</v>
      </c>
      <c r="AK534" s="961">
        <v>0.9701</v>
      </c>
      <c r="AL534" s="962">
        <v>45500.0</v>
      </c>
      <c r="AM534" s="963">
        <v>-0.8889825222491741</v>
      </c>
      <c r="AN534" s="964">
        <v>-0.029900000000000038</v>
      </c>
      <c r="AO534" s="962">
        <v>45500.0</v>
      </c>
      <c r="AP534" s="965">
        <v>-0.8830754489588846</v>
      </c>
      <c r="AQ534" s="962">
        <v>45500.0</v>
      </c>
      <c r="AR534" s="966">
        <v>-0.8771479131948592</v>
      </c>
      <c r="AS534" s="624"/>
      <c r="AT534" s="624"/>
      <c r="AU534" s="624"/>
      <c r="AV534" s="624"/>
      <c r="AW534" s="624"/>
      <c r="AX534" s="624"/>
      <c r="AY534" s="624"/>
      <c r="AZ534" s="624"/>
      <c r="BA534" s="624"/>
      <c r="BB534" s="624"/>
      <c r="BC534" s="624"/>
      <c r="BD534" s="624"/>
      <c r="BE534" s="624"/>
    </row>
    <row r="535" ht="16.5" customHeight="1">
      <c r="A535" s="711"/>
      <c r="B535" s="711"/>
      <c r="C535" s="711"/>
      <c r="D535" s="711"/>
      <c r="E535" s="711"/>
      <c r="F535" s="711"/>
      <c r="G535" s="711"/>
      <c r="H535" s="711"/>
      <c r="I535" s="711"/>
      <c r="J535" s="711"/>
      <c r="K535" s="741"/>
      <c r="L535" s="741"/>
      <c r="M535" s="788"/>
      <c r="N535" s="741"/>
      <c r="O535" s="741"/>
      <c r="P535" s="741"/>
      <c r="Q535" s="741"/>
      <c r="R535" s="788"/>
      <c r="S535" s="819"/>
      <c r="T535" s="820"/>
      <c r="U535" s="819"/>
      <c r="V535" s="820"/>
      <c r="W535" s="788"/>
      <c r="X535" s="803"/>
      <c r="Y535" s="803"/>
      <c r="Z535" s="803"/>
      <c r="AA535" s="711"/>
      <c r="AB535" s="711"/>
      <c r="AC535" s="711"/>
      <c r="AD535" s="736"/>
      <c r="AE535" s="736"/>
      <c r="AF535" s="624"/>
      <c r="AG535" s="624"/>
      <c r="AH535" s="624"/>
      <c r="AI535" s="624"/>
      <c r="AJ535" s="960">
        <f t="shared" si="6"/>
        <v>535</v>
      </c>
      <c r="AK535" s="961">
        <v>0.9585</v>
      </c>
      <c r="AL535" s="962">
        <v>45490.0</v>
      </c>
      <c r="AM535" s="963">
        <v>-0.8889288776608237</v>
      </c>
      <c r="AN535" s="964">
        <v>-0.04149999999999998</v>
      </c>
      <c r="AO535" s="962">
        <v>45490.0</v>
      </c>
      <c r="AP535" s="965">
        <v>-0.8830202828589211</v>
      </c>
      <c r="AQ535" s="962">
        <v>45490.0</v>
      </c>
      <c r="AR535" s="966">
        <v>-0.8770912862832987</v>
      </c>
      <c r="AS535" s="624"/>
      <c r="AT535" s="624"/>
      <c r="AU535" s="624"/>
      <c r="AV535" s="624"/>
      <c r="AW535" s="624"/>
      <c r="AX535" s="624"/>
      <c r="AY535" s="624"/>
      <c r="AZ535" s="624"/>
      <c r="BA535" s="624"/>
      <c r="BB535" s="624"/>
      <c r="BC535" s="624"/>
      <c r="BD535" s="624"/>
      <c r="BE535" s="624"/>
    </row>
    <row r="536" ht="16.5" customHeight="1">
      <c r="A536" s="711"/>
      <c r="B536" s="711"/>
      <c r="C536" s="711"/>
      <c r="D536" s="711"/>
      <c r="E536" s="711"/>
      <c r="F536" s="711"/>
      <c r="G536" s="711"/>
      <c r="H536" s="711"/>
      <c r="I536" s="711"/>
      <c r="J536" s="711"/>
      <c r="K536" s="741"/>
      <c r="L536" s="741"/>
      <c r="M536" s="788"/>
      <c r="N536" s="741"/>
      <c r="O536" s="741"/>
      <c r="P536" s="741"/>
      <c r="Q536" s="741"/>
      <c r="R536" s="788"/>
      <c r="S536" s="819"/>
      <c r="T536" s="820"/>
      <c r="U536" s="819"/>
      <c r="V536" s="820"/>
      <c r="W536" s="788"/>
      <c r="X536" s="803"/>
      <c r="Y536" s="803"/>
      <c r="Z536" s="803"/>
      <c r="AA536" s="711"/>
      <c r="AB536" s="711"/>
      <c r="AC536" s="711"/>
      <c r="AD536" s="736"/>
      <c r="AE536" s="736"/>
      <c r="AF536" s="624"/>
      <c r="AG536" s="624"/>
      <c r="AH536" s="624"/>
      <c r="AI536" s="624"/>
      <c r="AJ536" s="960">
        <f t="shared" si="6"/>
        <v>536</v>
      </c>
      <c r="AK536" s="961">
        <v>0.9549</v>
      </c>
      <c r="AL536" s="962">
        <v>45400.0</v>
      </c>
      <c r="AM536" s="963">
        <v>-0.8884449083929019</v>
      </c>
      <c r="AN536" s="964">
        <v>-0.04510000000000003</v>
      </c>
      <c r="AO536" s="962">
        <v>45400.0</v>
      </c>
      <c r="AP536" s="965">
        <v>-0.8825226152296537</v>
      </c>
      <c r="AQ536" s="962">
        <v>45400.0</v>
      </c>
      <c r="AR536" s="966">
        <v>-0.8765804680729546</v>
      </c>
      <c r="AS536" s="624"/>
      <c r="AT536" s="624"/>
      <c r="AU536" s="624"/>
      <c r="AV536" s="624"/>
      <c r="AW536" s="624"/>
      <c r="AX536" s="624"/>
      <c r="AY536" s="624"/>
      <c r="AZ536" s="624"/>
      <c r="BA536" s="624"/>
      <c r="BB536" s="624"/>
      <c r="BC536" s="624"/>
      <c r="BD536" s="624"/>
      <c r="BE536" s="624"/>
    </row>
    <row r="537" ht="16.5" customHeight="1">
      <c r="A537" s="711"/>
      <c r="B537" s="711"/>
      <c r="C537" s="711"/>
      <c r="D537" s="711"/>
      <c r="E537" s="711"/>
      <c r="F537" s="711"/>
      <c r="G537" s="711"/>
      <c r="H537" s="711"/>
      <c r="I537" s="711"/>
      <c r="J537" s="711"/>
      <c r="K537" s="741"/>
      <c r="L537" s="741"/>
      <c r="M537" s="788"/>
      <c r="N537" s="741"/>
      <c r="O537" s="741"/>
      <c r="P537" s="741"/>
      <c r="Q537" s="741"/>
      <c r="R537" s="788"/>
      <c r="S537" s="819"/>
      <c r="T537" s="820"/>
      <c r="U537" s="819"/>
      <c r="V537" s="820"/>
      <c r="W537" s="788"/>
      <c r="X537" s="803"/>
      <c r="Y537" s="803"/>
      <c r="Z537" s="803"/>
      <c r="AA537" s="711"/>
      <c r="AB537" s="711"/>
      <c r="AC537" s="711"/>
      <c r="AD537" s="736"/>
      <c r="AE537" s="736"/>
      <c r="AF537" s="624"/>
      <c r="AG537" s="624"/>
      <c r="AH537" s="624"/>
      <c r="AI537" s="624"/>
      <c r="AJ537" s="960">
        <f t="shared" si="6"/>
        <v>537</v>
      </c>
      <c r="AK537" s="961">
        <v>0.9522</v>
      </c>
      <c r="AL537" s="962">
        <v>45389.0</v>
      </c>
      <c r="AM537" s="963">
        <v>-0.8883856121557958</v>
      </c>
      <c r="AN537" s="964">
        <v>-0.047799999999999954</v>
      </c>
      <c r="AO537" s="962">
        <v>45389.0</v>
      </c>
      <c r="AP537" s="965">
        <v>-0.8824616441662422</v>
      </c>
      <c r="AQ537" s="962">
        <v>45389.0</v>
      </c>
      <c r="AR537" s="966">
        <v>-0.8765178893169511</v>
      </c>
      <c r="AS537" s="624"/>
      <c r="AT537" s="624"/>
      <c r="AU537" s="624"/>
      <c r="AV537" s="624"/>
      <c r="AW537" s="624"/>
      <c r="AX537" s="624"/>
      <c r="AY537" s="624"/>
      <c r="AZ537" s="624"/>
      <c r="BA537" s="624"/>
      <c r="BB537" s="624"/>
      <c r="BC537" s="624"/>
      <c r="BD537" s="624"/>
      <c r="BE537" s="624"/>
    </row>
    <row r="538" ht="16.5" customHeight="1">
      <c r="A538" s="711"/>
      <c r="B538" s="711"/>
      <c r="C538" s="711"/>
      <c r="D538" s="711"/>
      <c r="E538" s="711"/>
      <c r="F538" s="711"/>
      <c r="G538" s="711"/>
      <c r="H538" s="711"/>
      <c r="I538" s="711"/>
      <c r="J538" s="711"/>
      <c r="K538" s="741"/>
      <c r="L538" s="741"/>
      <c r="M538" s="788"/>
      <c r="N538" s="741"/>
      <c r="O538" s="741"/>
      <c r="P538" s="741"/>
      <c r="Q538" s="741"/>
      <c r="R538" s="788"/>
      <c r="S538" s="819"/>
      <c r="T538" s="820"/>
      <c r="U538" s="819"/>
      <c r="V538" s="820"/>
      <c r="W538" s="788"/>
      <c r="X538" s="803"/>
      <c r="Y538" s="803"/>
      <c r="Z538" s="803"/>
      <c r="AA538" s="711"/>
      <c r="AB538" s="711"/>
      <c r="AC538" s="711"/>
      <c r="AD538" s="736"/>
      <c r="AE538" s="736"/>
      <c r="AF538" s="624"/>
      <c r="AG538" s="624"/>
      <c r="AH538" s="624"/>
      <c r="AI538" s="624"/>
      <c r="AJ538" s="960">
        <f t="shared" si="6"/>
        <v>538</v>
      </c>
      <c r="AK538" s="961">
        <v>0.9554</v>
      </c>
      <c r="AL538" s="962">
        <v>45107.0</v>
      </c>
      <c r="AM538" s="963">
        <v>-0.8868546637999306</v>
      </c>
      <c r="AN538" s="964">
        <v>-0.04459999999999997</v>
      </c>
      <c r="AO538" s="962">
        <v>45107.0</v>
      </c>
      <c r="AP538" s="965">
        <v>-0.880887717372664</v>
      </c>
      <c r="AQ538" s="962">
        <v>45107.0</v>
      </c>
      <c r="AR538" s="966">
        <v>-0.8749027187638494</v>
      </c>
      <c r="AS538" s="624"/>
      <c r="AT538" s="624"/>
      <c r="AU538" s="624"/>
      <c r="AV538" s="624"/>
      <c r="AW538" s="624"/>
      <c r="AX538" s="624"/>
      <c r="AY538" s="624"/>
      <c r="AZ538" s="624"/>
      <c r="BA538" s="624"/>
      <c r="BB538" s="624"/>
      <c r="BC538" s="624"/>
      <c r="BD538" s="624"/>
      <c r="BE538" s="624"/>
    </row>
    <row r="539" ht="16.5" customHeight="1">
      <c r="A539" s="711"/>
      <c r="B539" s="711"/>
      <c r="C539" s="711"/>
      <c r="D539" s="711"/>
      <c r="E539" s="711"/>
      <c r="F539" s="711"/>
      <c r="G539" s="711"/>
      <c r="H539" s="711"/>
      <c r="I539" s="711"/>
      <c r="J539" s="711"/>
      <c r="K539" s="741"/>
      <c r="L539" s="741"/>
      <c r="M539" s="788"/>
      <c r="N539" s="741"/>
      <c r="O539" s="741"/>
      <c r="P539" s="741"/>
      <c r="Q539" s="741"/>
      <c r="R539" s="788"/>
      <c r="S539" s="819"/>
      <c r="T539" s="820"/>
      <c r="U539" s="819"/>
      <c r="V539" s="820"/>
      <c r="W539" s="788"/>
      <c r="X539" s="803"/>
      <c r="Y539" s="803"/>
      <c r="Z539" s="803"/>
      <c r="AA539" s="711"/>
      <c r="AB539" s="711"/>
      <c r="AC539" s="711"/>
      <c r="AD539" s="736"/>
      <c r="AE539" s="736"/>
      <c r="AF539" s="624"/>
      <c r="AG539" s="624"/>
      <c r="AH539" s="624"/>
      <c r="AI539" s="624"/>
      <c r="AJ539" s="960">
        <f t="shared" si="6"/>
        <v>539</v>
      </c>
      <c r="AK539" s="961">
        <v>0.9381</v>
      </c>
      <c r="AL539" s="962">
        <v>45062.0</v>
      </c>
      <c r="AM539" s="963">
        <v>-0.88660842812726</v>
      </c>
      <c r="AN539" s="964">
        <v>-0.061899999999999955</v>
      </c>
      <c r="AO539" s="962">
        <v>45062.0</v>
      </c>
      <c r="AP539" s="965">
        <v>-0.8806346161707483</v>
      </c>
      <c r="AQ539" s="962">
        <v>45062.0</v>
      </c>
      <c r="AR539" s="966">
        <v>-0.8746430312705421</v>
      </c>
      <c r="AS539" s="624"/>
      <c r="AT539" s="624"/>
      <c r="AU539" s="624"/>
      <c r="AV539" s="624"/>
      <c r="AW539" s="624"/>
      <c r="AX539" s="624"/>
      <c r="AY539" s="624"/>
      <c r="AZ539" s="624"/>
      <c r="BA539" s="624"/>
      <c r="BB539" s="624"/>
      <c r="BC539" s="624"/>
      <c r="BD539" s="624"/>
      <c r="BE539" s="624"/>
    </row>
    <row r="540" ht="16.5" customHeight="1">
      <c r="A540" s="711"/>
      <c r="B540" s="711"/>
      <c r="C540" s="711"/>
      <c r="D540" s="711"/>
      <c r="E540" s="711"/>
      <c r="F540" s="711"/>
      <c r="G540" s="711"/>
      <c r="H540" s="711"/>
      <c r="I540" s="711"/>
      <c r="J540" s="711"/>
      <c r="K540" s="741"/>
      <c r="L540" s="741"/>
      <c r="M540" s="788"/>
      <c r="N540" s="741"/>
      <c r="O540" s="741"/>
      <c r="P540" s="741"/>
      <c r="Q540" s="741"/>
      <c r="R540" s="788"/>
      <c r="S540" s="819"/>
      <c r="T540" s="820"/>
      <c r="U540" s="819"/>
      <c r="V540" s="820"/>
      <c r="W540" s="788"/>
      <c r="X540" s="803"/>
      <c r="Y540" s="803"/>
      <c r="Z540" s="803"/>
      <c r="AA540" s="711"/>
      <c r="AB540" s="711"/>
      <c r="AC540" s="711"/>
      <c r="AD540" s="736"/>
      <c r="AE540" s="736"/>
      <c r="AF540" s="624"/>
      <c r="AG540" s="624"/>
      <c r="AH540" s="624"/>
      <c r="AI540" s="624"/>
      <c r="AJ540" s="960">
        <f t="shared" si="6"/>
        <v>540</v>
      </c>
      <c r="AK540" s="961">
        <v>0.9474</v>
      </c>
      <c r="AL540" s="962">
        <v>45050.0</v>
      </c>
      <c r="AM540" s="963">
        <v>-0.8865426748256094</v>
      </c>
      <c r="AN540" s="964">
        <v>-0.05259999999999998</v>
      </c>
      <c r="AO540" s="962">
        <v>45050.0</v>
      </c>
      <c r="AP540" s="965">
        <v>-0.8805670317332803</v>
      </c>
      <c r="AQ540" s="962">
        <v>45050.0</v>
      </c>
      <c r="AR540" s="966">
        <v>-0.8745736902736578</v>
      </c>
      <c r="AS540" s="624"/>
      <c r="AT540" s="624"/>
      <c r="AU540" s="624"/>
      <c r="AV540" s="624"/>
      <c r="AW540" s="624"/>
      <c r="AX540" s="624"/>
      <c r="AY540" s="624"/>
      <c r="AZ540" s="624"/>
      <c r="BA540" s="624"/>
      <c r="BB540" s="624"/>
      <c r="BC540" s="624"/>
      <c r="BD540" s="624"/>
      <c r="BE540" s="624"/>
    </row>
    <row r="541" ht="16.5" customHeight="1">
      <c r="A541" s="711"/>
      <c r="B541" s="711"/>
      <c r="C541" s="711"/>
      <c r="D541" s="711"/>
      <c r="E541" s="711"/>
      <c r="F541" s="711"/>
      <c r="G541" s="711"/>
      <c r="H541" s="711"/>
      <c r="I541" s="711"/>
      <c r="J541" s="711"/>
      <c r="K541" s="741"/>
      <c r="L541" s="741"/>
      <c r="M541" s="788"/>
      <c r="N541" s="741"/>
      <c r="O541" s="741"/>
      <c r="P541" s="741"/>
      <c r="Q541" s="741"/>
      <c r="R541" s="788"/>
      <c r="S541" s="819"/>
      <c r="T541" s="820"/>
      <c r="U541" s="819"/>
      <c r="V541" s="820"/>
      <c r="W541" s="788"/>
      <c r="X541" s="803"/>
      <c r="Y541" s="803"/>
      <c r="Z541" s="803"/>
      <c r="AA541" s="711"/>
      <c r="AB541" s="711"/>
      <c r="AC541" s="711"/>
      <c r="AD541" s="736"/>
      <c r="AE541" s="736"/>
      <c r="AF541" s="624"/>
      <c r="AG541" s="624"/>
      <c r="AH541" s="624"/>
      <c r="AI541" s="624"/>
      <c r="AJ541" s="960">
        <f t="shared" si="6"/>
        <v>541</v>
      </c>
      <c r="AK541" s="961">
        <v>0.9593</v>
      </c>
      <c r="AL541" s="962">
        <v>45025.0</v>
      </c>
      <c r="AM541" s="963">
        <v>-0.8864055662922256</v>
      </c>
      <c r="AN541" s="964">
        <v>-0.04069999999999996</v>
      </c>
      <c r="AO541" s="962">
        <v>45025.0</v>
      </c>
      <c r="AP541" s="965">
        <v>-0.880426107893259</v>
      </c>
      <c r="AQ541" s="962">
        <v>45025.0</v>
      </c>
      <c r="AR541" s="966">
        <v>-0.8744291066473231</v>
      </c>
      <c r="AS541" s="624"/>
      <c r="AT541" s="624"/>
      <c r="AU541" s="624"/>
      <c r="AV541" s="624"/>
      <c r="AW541" s="624"/>
      <c r="AX541" s="624"/>
      <c r="AY541" s="624"/>
      <c r="AZ541" s="624"/>
      <c r="BA541" s="624"/>
      <c r="BB541" s="624"/>
      <c r="BC541" s="624"/>
      <c r="BD541" s="624"/>
      <c r="BE541" s="624"/>
    </row>
    <row r="542" ht="16.5" customHeight="1">
      <c r="A542" s="711"/>
      <c r="B542" s="711"/>
      <c r="C542" s="711"/>
      <c r="D542" s="711"/>
      <c r="E542" s="711"/>
      <c r="F542" s="711"/>
      <c r="G542" s="711"/>
      <c r="H542" s="711"/>
      <c r="I542" s="711"/>
      <c r="J542" s="711"/>
      <c r="K542" s="741"/>
      <c r="L542" s="741"/>
      <c r="M542" s="788"/>
      <c r="N542" s="741"/>
      <c r="O542" s="741"/>
      <c r="P542" s="741"/>
      <c r="Q542" s="741"/>
      <c r="R542" s="788"/>
      <c r="S542" s="819"/>
      <c r="T542" s="820"/>
      <c r="U542" s="819"/>
      <c r="V542" s="820"/>
      <c r="W542" s="788"/>
      <c r="X542" s="803"/>
      <c r="Y542" s="803"/>
      <c r="Z542" s="803"/>
      <c r="AA542" s="711"/>
      <c r="AB542" s="711"/>
      <c r="AC542" s="711"/>
      <c r="AD542" s="736"/>
      <c r="AE542" s="736"/>
      <c r="AF542" s="624"/>
      <c r="AG542" s="624"/>
      <c r="AH542" s="624"/>
      <c r="AI542" s="624"/>
      <c r="AJ542" s="960">
        <f t="shared" si="6"/>
        <v>542</v>
      </c>
      <c r="AK542" s="961">
        <v>0.9474</v>
      </c>
      <c r="AL542" s="962">
        <v>45000.0</v>
      </c>
      <c r="AM542" s="963">
        <v>-0.8862682920687912</v>
      </c>
      <c r="AN542" s="964">
        <v>-0.05259999999999998</v>
      </c>
      <c r="AO542" s="962">
        <v>45000.0</v>
      </c>
      <c r="AP542" s="965">
        <v>-0.8802850177714399</v>
      </c>
      <c r="AQ542" s="962">
        <v>45000.0</v>
      </c>
      <c r="AR542" s="966">
        <v>-0.8742843563540024</v>
      </c>
      <c r="AS542" s="624"/>
      <c r="AT542" s="624"/>
      <c r="AU542" s="624"/>
      <c r="AV542" s="624"/>
      <c r="AW542" s="624"/>
      <c r="AX542" s="624"/>
      <c r="AY542" s="624"/>
      <c r="AZ542" s="624"/>
      <c r="BA542" s="624"/>
      <c r="BB542" s="624"/>
      <c r="BC542" s="624"/>
      <c r="BD542" s="624"/>
      <c r="BE542" s="624"/>
    </row>
    <row r="543" ht="16.5" customHeight="1">
      <c r="A543" s="711"/>
      <c r="B543" s="711"/>
      <c r="C543" s="711"/>
      <c r="D543" s="711"/>
      <c r="E543" s="711"/>
      <c r="F543" s="711"/>
      <c r="G543" s="711"/>
      <c r="H543" s="711"/>
      <c r="I543" s="711"/>
      <c r="J543" s="711"/>
      <c r="K543" s="741"/>
      <c r="L543" s="741"/>
      <c r="M543" s="788"/>
      <c r="N543" s="741"/>
      <c r="O543" s="741"/>
      <c r="P543" s="741"/>
      <c r="Q543" s="741"/>
      <c r="R543" s="788"/>
      <c r="S543" s="819"/>
      <c r="T543" s="820"/>
      <c r="U543" s="819"/>
      <c r="V543" s="820"/>
      <c r="W543" s="788"/>
      <c r="X543" s="803"/>
      <c r="Y543" s="803"/>
      <c r="Z543" s="803"/>
      <c r="AA543" s="711"/>
      <c r="AB543" s="711"/>
      <c r="AC543" s="711"/>
      <c r="AD543" s="736"/>
      <c r="AE543" s="736"/>
      <c r="AF543" s="624"/>
      <c r="AG543" s="624"/>
      <c r="AH543" s="624"/>
      <c r="AI543" s="624"/>
      <c r="AJ543" s="960">
        <f t="shared" si="6"/>
        <v>543</v>
      </c>
      <c r="AK543" s="961">
        <v>0.8858</v>
      </c>
      <c r="AL543" s="962">
        <v>44780.0</v>
      </c>
      <c r="AM543" s="963">
        <v>-0.8850531031921822</v>
      </c>
      <c r="AN543" s="964">
        <v>-0.11419999999999997</v>
      </c>
      <c r="AO543" s="962">
        <v>44780.0</v>
      </c>
      <c r="AP543" s="965">
        <v>-0.8790362241011814</v>
      </c>
      <c r="AQ543" s="962">
        <v>44780.0</v>
      </c>
      <c r="AR543" s="966">
        <v>-0.8730033372015154</v>
      </c>
      <c r="AS543" s="624"/>
      <c r="AT543" s="624"/>
      <c r="AU543" s="624"/>
      <c r="AV543" s="624"/>
      <c r="AW543" s="624"/>
      <c r="AX543" s="624"/>
      <c r="AY543" s="624"/>
      <c r="AZ543" s="624"/>
      <c r="BA543" s="624"/>
      <c r="BB543" s="624"/>
      <c r="BC543" s="624"/>
      <c r="BD543" s="624"/>
      <c r="BE543" s="624"/>
    </row>
    <row r="544" ht="16.5" customHeight="1">
      <c r="A544" s="711"/>
      <c r="B544" s="711"/>
      <c r="C544" s="711"/>
      <c r="D544" s="711"/>
      <c r="E544" s="711"/>
      <c r="F544" s="711"/>
      <c r="G544" s="711"/>
      <c r="H544" s="711"/>
      <c r="I544" s="711"/>
      <c r="J544" s="711"/>
      <c r="K544" s="741"/>
      <c r="L544" s="741"/>
      <c r="M544" s="788"/>
      <c r="N544" s="741"/>
      <c r="O544" s="741"/>
      <c r="P544" s="741"/>
      <c r="Q544" s="741"/>
      <c r="R544" s="788"/>
      <c r="S544" s="819"/>
      <c r="T544" s="820"/>
      <c r="U544" s="819"/>
      <c r="V544" s="820"/>
      <c r="W544" s="788"/>
      <c r="X544" s="803"/>
      <c r="Y544" s="803"/>
      <c r="Z544" s="803"/>
      <c r="AA544" s="711"/>
      <c r="AB544" s="711"/>
      <c r="AC544" s="711"/>
      <c r="AD544" s="736"/>
      <c r="AE544" s="736"/>
      <c r="AF544" s="624"/>
      <c r="AG544" s="624"/>
      <c r="AH544" s="624"/>
      <c r="AI544" s="624"/>
      <c r="AJ544" s="960">
        <f t="shared" si="6"/>
        <v>544</v>
      </c>
      <c r="AK544" s="961">
        <v>0.9825</v>
      </c>
      <c r="AL544" s="962">
        <v>44650.0</v>
      </c>
      <c r="AM544" s="963">
        <v>-0.8843289429151531</v>
      </c>
      <c r="AN544" s="964">
        <v>-0.01749999999999996</v>
      </c>
      <c r="AO544" s="962">
        <v>44650.0</v>
      </c>
      <c r="AP544" s="965">
        <v>-0.8782921861811516</v>
      </c>
      <c r="AQ544" s="962">
        <v>44650.0</v>
      </c>
      <c r="AR544" s="966">
        <v>-0.8722402442207443</v>
      </c>
      <c r="AS544" s="624"/>
      <c r="AT544" s="624"/>
      <c r="AU544" s="624"/>
      <c r="AV544" s="624"/>
      <c r="AW544" s="624"/>
      <c r="AX544" s="624"/>
      <c r="AY544" s="624"/>
      <c r="AZ544" s="624"/>
      <c r="BA544" s="624"/>
      <c r="BB544" s="624"/>
      <c r="BC544" s="624"/>
      <c r="BD544" s="624"/>
      <c r="BE544" s="624"/>
    </row>
    <row r="545" ht="16.5" customHeight="1">
      <c r="A545" s="711"/>
      <c r="B545" s="711"/>
      <c r="C545" s="711"/>
      <c r="D545" s="711"/>
      <c r="E545" s="711"/>
      <c r="F545" s="711"/>
      <c r="G545" s="711"/>
      <c r="H545" s="711"/>
      <c r="I545" s="711"/>
      <c r="J545" s="711"/>
      <c r="K545" s="741"/>
      <c r="L545" s="741"/>
      <c r="M545" s="788"/>
      <c r="N545" s="741"/>
      <c r="O545" s="741"/>
      <c r="P545" s="741"/>
      <c r="Q545" s="741"/>
      <c r="R545" s="788"/>
      <c r="S545" s="819"/>
      <c r="T545" s="820"/>
      <c r="U545" s="819"/>
      <c r="V545" s="820"/>
      <c r="W545" s="788"/>
      <c r="X545" s="803"/>
      <c r="Y545" s="803"/>
      <c r="Z545" s="803"/>
      <c r="AA545" s="711"/>
      <c r="AB545" s="711"/>
      <c r="AC545" s="711"/>
      <c r="AD545" s="736"/>
      <c r="AE545" s="736"/>
      <c r="AF545" s="624"/>
      <c r="AG545" s="624"/>
      <c r="AH545" s="624"/>
      <c r="AI545" s="624"/>
      <c r="AJ545" s="960">
        <f t="shared" si="6"/>
        <v>545</v>
      </c>
      <c r="AK545" s="961">
        <v>0.9771</v>
      </c>
      <c r="AL545" s="962">
        <v>44471.0</v>
      </c>
      <c r="AM545" s="963">
        <v>-0.8833243583763278</v>
      </c>
      <c r="AN545" s="964">
        <v>-0.02290000000000003</v>
      </c>
      <c r="AO545" s="962">
        <v>44471.0</v>
      </c>
      <c r="AP545" s="965">
        <v>-0.8772602083171088</v>
      </c>
      <c r="AQ545" s="962">
        <v>44471.0</v>
      </c>
      <c r="AR545" s="966">
        <v>-0.8711820148380616</v>
      </c>
      <c r="AS545" s="624"/>
      <c r="AT545" s="624"/>
      <c r="AU545" s="624"/>
      <c r="AV545" s="624"/>
      <c r="AW545" s="624"/>
      <c r="AX545" s="624"/>
      <c r="AY545" s="624"/>
      <c r="AZ545" s="624"/>
      <c r="BA545" s="624"/>
      <c r="BB545" s="624"/>
      <c r="BC545" s="624"/>
      <c r="BD545" s="624"/>
      <c r="BE545" s="624"/>
    </row>
    <row r="546" ht="16.5" customHeight="1">
      <c r="A546" s="711"/>
      <c r="B546" s="711"/>
      <c r="C546" s="711"/>
      <c r="D546" s="711"/>
      <c r="E546" s="711"/>
      <c r="F546" s="711"/>
      <c r="G546" s="711"/>
      <c r="H546" s="711"/>
      <c r="I546" s="711"/>
      <c r="J546" s="711"/>
      <c r="K546" s="741"/>
      <c r="L546" s="741"/>
      <c r="M546" s="788"/>
      <c r="N546" s="741"/>
      <c r="O546" s="741"/>
      <c r="P546" s="741"/>
      <c r="Q546" s="741"/>
      <c r="R546" s="788"/>
      <c r="S546" s="819"/>
      <c r="T546" s="820"/>
      <c r="U546" s="819"/>
      <c r="V546" s="820"/>
      <c r="W546" s="788"/>
      <c r="X546" s="803"/>
      <c r="Y546" s="803"/>
      <c r="Z546" s="803"/>
      <c r="AA546" s="711"/>
      <c r="AB546" s="711"/>
      <c r="AC546" s="711"/>
      <c r="AD546" s="736"/>
      <c r="AE546" s="736"/>
      <c r="AF546" s="624"/>
      <c r="AG546" s="624"/>
      <c r="AH546" s="624"/>
      <c r="AI546" s="624"/>
      <c r="AJ546" s="960">
        <f t="shared" si="6"/>
        <v>546</v>
      </c>
      <c r="AK546" s="961">
        <v>0.9608</v>
      </c>
      <c r="AL546" s="962">
        <v>44051.0</v>
      </c>
      <c r="AM546" s="963">
        <v>-0.8809328468500313</v>
      </c>
      <c r="AN546" s="964">
        <v>-0.03920000000000001</v>
      </c>
      <c r="AO546" s="962">
        <v>44051.0</v>
      </c>
      <c r="AP546" s="965">
        <v>-0.8748043241047645</v>
      </c>
      <c r="AQ546" s="962">
        <v>44051.0</v>
      </c>
      <c r="AR546" s="966">
        <v>-0.8686644788515069</v>
      </c>
      <c r="AS546" s="624"/>
      <c r="AT546" s="624"/>
      <c r="AU546" s="624"/>
      <c r="AV546" s="624"/>
      <c r="AW546" s="624"/>
      <c r="AX546" s="624"/>
      <c r="AY546" s="624"/>
      <c r="AZ546" s="624"/>
      <c r="BA546" s="624"/>
      <c r="BB546" s="624"/>
      <c r="BC546" s="624"/>
      <c r="BD546" s="624"/>
      <c r="BE546" s="624"/>
    </row>
    <row r="547" ht="16.5" customHeight="1">
      <c r="A547" s="711"/>
      <c r="B547" s="711"/>
      <c r="C547" s="711"/>
      <c r="D547" s="711"/>
      <c r="E547" s="711"/>
      <c r="F547" s="711"/>
      <c r="G547" s="711"/>
      <c r="H547" s="711"/>
      <c r="I547" s="711"/>
      <c r="J547" s="711"/>
      <c r="K547" s="741"/>
      <c r="L547" s="741"/>
      <c r="M547" s="788"/>
      <c r="N547" s="741"/>
      <c r="O547" s="741"/>
      <c r="P547" s="741"/>
      <c r="Q547" s="741"/>
      <c r="R547" s="788"/>
      <c r="S547" s="819"/>
      <c r="T547" s="820"/>
      <c r="U547" s="819"/>
      <c r="V547" s="820"/>
      <c r="W547" s="788"/>
      <c r="X547" s="803"/>
      <c r="Y547" s="803"/>
      <c r="Z547" s="803"/>
      <c r="AA547" s="711"/>
      <c r="AB547" s="711"/>
      <c r="AC547" s="711"/>
      <c r="AD547" s="736"/>
      <c r="AE547" s="736"/>
      <c r="AF547" s="624"/>
      <c r="AG547" s="624"/>
      <c r="AH547" s="624"/>
      <c r="AI547" s="624"/>
      <c r="AJ547" s="960">
        <f t="shared" si="6"/>
        <v>547</v>
      </c>
      <c r="AK547" s="961">
        <v>0.986</v>
      </c>
      <c r="AL547" s="962">
        <v>44000.0</v>
      </c>
      <c r="AM547" s="963">
        <v>-0.8806391313195396</v>
      </c>
      <c r="AN547" s="964">
        <v>-0.014000000000000012</v>
      </c>
      <c r="AO547" s="962">
        <v>44000.0</v>
      </c>
      <c r="AP547" s="965">
        <v>-0.8745027832708517</v>
      </c>
      <c r="AQ547" s="962">
        <v>44000.0</v>
      </c>
      <c r="AR547" s="966">
        <v>-0.8683554471095145</v>
      </c>
      <c r="AS547" s="624"/>
      <c r="AT547" s="624"/>
      <c r="AU547" s="624"/>
      <c r="AV547" s="624"/>
      <c r="AW547" s="624"/>
      <c r="AX547" s="624"/>
      <c r="AY547" s="624"/>
      <c r="AZ547" s="624"/>
      <c r="BA547" s="624"/>
      <c r="BB547" s="624"/>
      <c r="BC547" s="624"/>
      <c r="BD547" s="624"/>
      <c r="BE547" s="624"/>
    </row>
    <row r="548" ht="16.5" customHeight="1">
      <c r="A548" s="711"/>
      <c r="B548" s="711"/>
      <c r="C548" s="711"/>
      <c r="D548" s="711"/>
      <c r="E548" s="711"/>
      <c r="F548" s="711"/>
      <c r="G548" s="711"/>
      <c r="H548" s="711"/>
      <c r="I548" s="711"/>
      <c r="J548" s="711"/>
      <c r="K548" s="741"/>
      <c r="L548" s="741"/>
      <c r="M548" s="788"/>
      <c r="N548" s="741"/>
      <c r="O548" s="741"/>
      <c r="P548" s="741"/>
      <c r="Q548" s="741"/>
      <c r="R548" s="788"/>
      <c r="S548" s="819"/>
      <c r="T548" s="820"/>
      <c r="U548" s="819"/>
      <c r="V548" s="820"/>
      <c r="W548" s="788"/>
      <c r="X548" s="803"/>
      <c r="Y548" s="803"/>
      <c r="Z548" s="803"/>
      <c r="AA548" s="711"/>
      <c r="AB548" s="711"/>
      <c r="AC548" s="711"/>
      <c r="AD548" s="736"/>
      <c r="AE548" s="736"/>
      <c r="AF548" s="624"/>
      <c r="AG548" s="624"/>
      <c r="AH548" s="624"/>
      <c r="AI548" s="624"/>
      <c r="AJ548" s="960">
        <f t="shared" si="6"/>
        <v>548</v>
      </c>
      <c r="AK548" s="961">
        <v>0.9591</v>
      </c>
      <c r="AL548" s="962">
        <v>43966.0</v>
      </c>
      <c r="AM548" s="963">
        <v>-0.8804429185543701</v>
      </c>
      <c r="AN548" s="964">
        <v>-0.04090000000000005</v>
      </c>
      <c r="AO548" s="962">
        <v>43966.0</v>
      </c>
      <c r="AP548" s="965">
        <v>-0.8743013526683173</v>
      </c>
      <c r="AQ548" s="962">
        <v>43966.0</v>
      </c>
      <c r="AR548" s="966">
        <v>-0.8681490220815253</v>
      </c>
      <c r="AS548" s="624"/>
      <c r="AT548" s="624"/>
      <c r="AU548" s="624"/>
      <c r="AV548" s="624"/>
      <c r="AW548" s="624"/>
      <c r="AX548" s="624"/>
      <c r="AY548" s="624"/>
      <c r="AZ548" s="624"/>
      <c r="BA548" s="624"/>
      <c r="BB548" s="624"/>
      <c r="BC548" s="624"/>
      <c r="BD548" s="624"/>
      <c r="BE548" s="624"/>
    </row>
    <row r="549" ht="16.5" customHeight="1">
      <c r="A549" s="711"/>
      <c r="B549" s="711"/>
      <c r="C549" s="711"/>
      <c r="D549" s="711"/>
      <c r="E549" s="711"/>
      <c r="F549" s="711"/>
      <c r="G549" s="711"/>
      <c r="H549" s="711"/>
      <c r="I549" s="711"/>
      <c r="J549" s="711"/>
      <c r="K549" s="741"/>
      <c r="L549" s="741"/>
      <c r="M549" s="788"/>
      <c r="N549" s="741"/>
      <c r="O549" s="741"/>
      <c r="P549" s="741"/>
      <c r="Q549" s="741"/>
      <c r="R549" s="788"/>
      <c r="S549" s="819"/>
      <c r="T549" s="820"/>
      <c r="U549" s="819"/>
      <c r="V549" s="820"/>
      <c r="W549" s="788"/>
      <c r="X549" s="803"/>
      <c r="Y549" s="803"/>
      <c r="Z549" s="803"/>
      <c r="AA549" s="711"/>
      <c r="AB549" s="711"/>
      <c r="AC549" s="711"/>
      <c r="AD549" s="736"/>
      <c r="AE549" s="736"/>
      <c r="AF549" s="624"/>
      <c r="AG549" s="624"/>
      <c r="AH549" s="624"/>
      <c r="AI549" s="624"/>
      <c r="AJ549" s="960">
        <f t="shared" si="6"/>
        <v>549</v>
      </c>
      <c r="AK549" s="961">
        <v>0.9599</v>
      </c>
      <c r="AL549" s="962">
        <v>43806.0</v>
      </c>
      <c r="AM549" s="963">
        <v>-0.8795152251778566</v>
      </c>
      <c r="AN549" s="964">
        <v>-0.040100000000000025</v>
      </c>
      <c r="AO549" s="962">
        <v>43806.0</v>
      </c>
      <c r="AP549" s="965">
        <v>-0.8733490947256819</v>
      </c>
      <c r="AQ549" s="962">
        <v>43806.0</v>
      </c>
      <c r="AR549" s="966">
        <v>-0.8671732560991383</v>
      </c>
      <c r="AS549" s="624"/>
      <c r="AT549" s="624"/>
      <c r="AU549" s="624"/>
      <c r="AV549" s="624"/>
      <c r="AW549" s="624"/>
      <c r="AX549" s="624"/>
      <c r="AY549" s="624"/>
      <c r="AZ549" s="624"/>
      <c r="BA549" s="624"/>
      <c r="BB549" s="624"/>
      <c r="BC549" s="624"/>
      <c r="BD549" s="624"/>
      <c r="BE549" s="624"/>
    </row>
    <row r="550" ht="16.5" customHeight="1">
      <c r="A550" s="711"/>
      <c r="B550" s="711"/>
      <c r="C550" s="711"/>
      <c r="D550" s="711"/>
      <c r="E550" s="711"/>
      <c r="F550" s="711"/>
      <c r="G550" s="711"/>
      <c r="H550" s="711"/>
      <c r="I550" s="711"/>
      <c r="J550" s="711"/>
      <c r="K550" s="741"/>
      <c r="L550" s="741"/>
      <c r="M550" s="788"/>
      <c r="N550" s="741"/>
      <c r="O550" s="741"/>
      <c r="P550" s="741"/>
      <c r="Q550" s="741"/>
      <c r="R550" s="788"/>
      <c r="S550" s="819"/>
      <c r="T550" s="820"/>
      <c r="U550" s="819"/>
      <c r="V550" s="820"/>
      <c r="W550" s="788"/>
      <c r="X550" s="803"/>
      <c r="Y550" s="803"/>
      <c r="Z550" s="803"/>
      <c r="AA550" s="711"/>
      <c r="AB550" s="711"/>
      <c r="AC550" s="711"/>
      <c r="AD550" s="736"/>
      <c r="AE550" s="736"/>
      <c r="AF550" s="624"/>
      <c r="AG550" s="624"/>
      <c r="AH550" s="624"/>
      <c r="AI550" s="624"/>
      <c r="AJ550" s="960">
        <f t="shared" si="6"/>
        <v>550</v>
      </c>
      <c r="AK550" s="961">
        <v>0.9619</v>
      </c>
      <c r="AL550" s="962">
        <v>43800.0</v>
      </c>
      <c r="AM550" s="963">
        <v>-0.8794802969929086</v>
      </c>
      <c r="AN550" s="964">
        <v>-0.03810000000000002</v>
      </c>
      <c r="AO550" s="962">
        <v>43800.0</v>
      </c>
      <c r="AP550" s="965">
        <v>-0.8733132450570225</v>
      </c>
      <c r="AQ550" s="962">
        <v>43800.0</v>
      </c>
      <c r="AR550" s="966">
        <v>-0.8671365247326671</v>
      </c>
      <c r="AS550" s="624"/>
      <c r="AT550" s="624"/>
      <c r="AU550" s="624"/>
      <c r="AV550" s="624"/>
      <c r="AW550" s="624"/>
      <c r="AX550" s="624"/>
      <c r="AY550" s="624"/>
      <c r="AZ550" s="624"/>
      <c r="BA550" s="624"/>
      <c r="BB550" s="624"/>
      <c r="BC550" s="624"/>
      <c r="BD550" s="624"/>
      <c r="BE550" s="624"/>
    </row>
    <row r="551" ht="16.5" customHeight="1">
      <c r="A551" s="711"/>
      <c r="B551" s="711"/>
      <c r="C551" s="711"/>
      <c r="D551" s="711"/>
      <c r="E551" s="711"/>
      <c r="F551" s="711"/>
      <c r="G551" s="711"/>
      <c r="H551" s="711"/>
      <c r="I551" s="711"/>
      <c r="J551" s="711"/>
      <c r="K551" s="741"/>
      <c r="L551" s="741"/>
      <c r="M551" s="788"/>
      <c r="N551" s="741"/>
      <c r="O551" s="741"/>
      <c r="P551" s="741"/>
      <c r="Q551" s="741"/>
      <c r="R551" s="788"/>
      <c r="S551" s="819"/>
      <c r="T551" s="820"/>
      <c r="U551" s="819"/>
      <c r="V551" s="820"/>
      <c r="W551" s="788"/>
      <c r="X551" s="803"/>
      <c r="Y551" s="803"/>
      <c r="Z551" s="803"/>
      <c r="AA551" s="711"/>
      <c r="AB551" s="711"/>
      <c r="AC551" s="711"/>
      <c r="AD551" s="736"/>
      <c r="AE551" s="736"/>
      <c r="AF551" s="624"/>
      <c r="AG551" s="624"/>
      <c r="AH551" s="624"/>
      <c r="AI551" s="624"/>
      <c r="AJ551" s="960">
        <f t="shared" si="6"/>
        <v>551</v>
      </c>
      <c r="AK551" s="961">
        <v>0.9794</v>
      </c>
      <c r="AL551" s="962">
        <v>43787.0</v>
      </c>
      <c r="AM551" s="963">
        <v>-0.8794045845185771</v>
      </c>
      <c r="AN551" s="964">
        <v>-0.02059999999999995</v>
      </c>
      <c r="AO551" s="962">
        <v>43787.0</v>
      </c>
      <c r="AP551" s="965">
        <v>-0.8732355359592974</v>
      </c>
      <c r="AQ551" s="962">
        <v>43787.0</v>
      </c>
      <c r="AR551" s="966">
        <v>-0.8670569052555517</v>
      </c>
      <c r="AS551" s="624"/>
      <c r="AT551" s="624"/>
      <c r="AU551" s="624"/>
      <c r="AV551" s="624"/>
      <c r="AW551" s="624"/>
      <c r="AX551" s="624"/>
      <c r="AY551" s="624"/>
      <c r="AZ551" s="624"/>
      <c r="BA551" s="624"/>
      <c r="BB551" s="624"/>
      <c r="BC551" s="624"/>
      <c r="BD551" s="624"/>
      <c r="BE551" s="624"/>
    </row>
    <row r="552" ht="16.5" customHeight="1">
      <c r="A552" s="711"/>
      <c r="B552" s="711"/>
      <c r="C552" s="711"/>
      <c r="D552" s="711"/>
      <c r="E552" s="711"/>
      <c r="F552" s="711"/>
      <c r="G552" s="711"/>
      <c r="H552" s="711"/>
      <c r="I552" s="711"/>
      <c r="J552" s="711"/>
      <c r="K552" s="741"/>
      <c r="L552" s="741"/>
      <c r="M552" s="788"/>
      <c r="N552" s="741"/>
      <c r="O552" s="741"/>
      <c r="P552" s="741"/>
      <c r="Q552" s="741"/>
      <c r="R552" s="788"/>
      <c r="S552" s="819"/>
      <c r="T552" s="820"/>
      <c r="U552" s="819"/>
      <c r="V552" s="820"/>
      <c r="W552" s="788"/>
      <c r="X552" s="803"/>
      <c r="Y552" s="803"/>
      <c r="Z552" s="803"/>
      <c r="AA552" s="711"/>
      <c r="AB552" s="711"/>
      <c r="AC552" s="711"/>
      <c r="AD552" s="736"/>
      <c r="AE552" s="736"/>
      <c r="AF552" s="624"/>
      <c r="AG552" s="624"/>
      <c r="AH552" s="624"/>
      <c r="AI552" s="624"/>
      <c r="AJ552" s="960">
        <f t="shared" si="6"/>
        <v>552</v>
      </c>
      <c r="AK552" s="961">
        <v>0.9492</v>
      </c>
      <c r="AL552" s="962">
        <v>43500.0</v>
      </c>
      <c r="AM552" s="963">
        <v>-0.8777209162898633</v>
      </c>
      <c r="AN552" s="964">
        <v>-0.050799999999999956</v>
      </c>
      <c r="AO552" s="962">
        <v>43500.0</v>
      </c>
      <c r="AP552" s="965">
        <v>-0.8715077634535391</v>
      </c>
      <c r="AQ552" s="962">
        <v>43500.0</v>
      </c>
      <c r="AR552" s="966">
        <v>-0.8652869468520542</v>
      </c>
      <c r="AS552" s="624"/>
      <c r="AT552" s="624"/>
      <c r="AU552" s="624"/>
      <c r="AV552" s="624"/>
      <c r="AW552" s="624"/>
      <c r="AX552" s="624"/>
      <c r="AY552" s="624"/>
      <c r="AZ552" s="624"/>
      <c r="BA552" s="624"/>
      <c r="BB552" s="624"/>
      <c r="BC552" s="624"/>
      <c r="BD552" s="624"/>
      <c r="BE552" s="624"/>
    </row>
    <row r="553" ht="16.5" customHeight="1">
      <c r="A553" s="711"/>
      <c r="B553" s="711"/>
      <c r="C553" s="711"/>
      <c r="D553" s="711"/>
      <c r="E553" s="711"/>
      <c r="F553" s="711"/>
      <c r="G553" s="711"/>
      <c r="H553" s="711"/>
      <c r="I553" s="711"/>
      <c r="J553" s="711"/>
      <c r="K553" s="741"/>
      <c r="L553" s="741"/>
      <c r="M553" s="788"/>
      <c r="N553" s="741"/>
      <c r="O553" s="741"/>
      <c r="P553" s="741"/>
      <c r="Q553" s="741"/>
      <c r="R553" s="788"/>
      <c r="S553" s="819"/>
      <c r="T553" s="820"/>
      <c r="U553" s="819"/>
      <c r="V553" s="820"/>
      <c r="W553" s="788"/>
      <c r="X553" s="803"/>
      <c r="Y553" s="803"/>
      <c r="Z553" s="803"/>
      <c r="AA553" s="711"/>
      <c r="AB553" s="711"/>
      <c r="AC553" s="711"/>
      <c r="AD553" s="736"/>
      <c r="AE553" s="736"/>
      <c r="AF553" s="624"/>
      <c r="AG553" s="624"/>
      <c r="AH553" s="624"/>
      <c r="AI553" s="624"/>
      <c r="AJ553" s="960">
        <f t="shared" si="6"/>
        <v>553</v>
      </c>
      <c r="AK553" s="961">
        <v>0.9746</v>
      </c>
      <c r="AL553" s="962">
        <v>43500.0</v>
      </c>
      <c r="AM553" s="963">
        <v>-0.8777209162898633</v>
      </c>
      <c r="AN553" s="964">
        <v>-0.025399999999999978</v>
      </c>
      <c r="AO553" s="962">
        <v>43500.0</v>
      </c>
      <c r="AP553" s="965">
        <v>-0.8715077634535391</v>
      </c>
      <c r="AQ553" s="962">
        <v>43500.0</v>
      </c>
      <c r="AR553" s="966">
        <v>-0.8652869468520542</v>
      </c>
      <c r="AS553" s="624"/>
      <c r="AT553" s="624"/>
      <c r="AU553" s="624"/>
      <c r="AV553" s="624"/>
      <c r="AW553" s="624"/>
      <c r="AX553" s="624"/>
      <c r="AY553" s="624"/>
      <c r="AZ553" s="624"/>
      <c r="BA553" s="624"/>
      <c r="BB553" s="624"/>
      <c r="BC553" s="624"/>
      <c r="BD553" s="624"/>
      <c r="BE553" s="624"/>
    </row>
    <row r="554" ht="16.5" customHeight="1">
      <c r="A554" s="711"/>
      <c r="B554" s="711"/>
      <c r="C554" s="711"/>
      <c r="D554" s="711"/>
      <c r="E554" s="711"/>
      <c r="F554" s="711"/>
      <c r="G554" s="711"/>
      <c r="H554" s="711"/>
      <c r="I554" s="711"/>
      <c r="J554" s="711"/>
      <c r="K554" s="741"/>
      <c r="L554" s="741"/>
      <c r="M554" s="788"/>
      <c r="N554" s="741"/>
      <c r="O554" s="741"/>
      <c r="P554" s="741"/>
      <c r="Q554" s="741"/>
      <c r="R554" s="788"/>
      <c r="S554" s="819"/>
      <c r="T554" s="820"/>
      <c r="U554" s="819"/>
      <c r="V554" s="820"/>
      <c r="W554" s="788"/>
      <c r="X554" s="803"/>
      <c r="Y554" s="803"/>
      <c r="Z554" s="803"/>
      <c r="AA554" s="711"/>
      <c r="AB554" s="711"/>
      <c r="AC554" s="711"/>
      <c r="AD554" s="736"/>
      <c r="AE554" s="736"/>
      <c r="AF554" s="624"/>
      <c r="AG554" s="624"/>
      <c r="AH554" s="624"/>
      <c r="AI554" s="624"/>
      <c r="AJ554" s="960">
        <f t="shared" si="6"/>
        <v>554</v>
      </c>
      <c r="AK554" s="961">
        <v>0.9534</v>
      </c>
      <c r="AL554" s="962">
        <v>43470.0</v>
      </c>
      <c r="AM554" s="963">
        <v>-0.8775435717470181</v>
      </c>
      <c r="AN554" s="964">
        <v>-0.046599999999999975</v>
      </c>
      <c r="AO554" s="962">
        <v>43470.0</v>
      </c>
      <c r="AP554" s="965">
        <v>-0.8713258061038729</v>
      </c>
      <c r="AQ554" s="962">
        <v>43470.0</v>
      </c>
      <c r="AR554" s="966">
        <v>-0.86510057881192</v>
      </c>
      <c r="AS554" s="624"/>
      <c r="AT554" s="624"/>
      <c r="AU554" s="624"/>
      <c r="AV554" s="624"/>
      <c r="AW554" s="624"/>
      <c r="AX554" s="624"/>
      <c r="AY554" s="624"/>
      <c r="AZ554" s="624"/>
      <c r="BA554" s="624"/>
      <c r="BB554" s="624"/>
      <c r="BC554" s="624"/>
      <c r="BD554" s="624"/>
      <c r="BE554" s="624"/>
    </row>
    <row r="555" ht="16.5" customHeight="1">
      <c r="A555" s="711"/>
      <c r="B555" s="711"/>
      <c r="C555" s="711"/>
      <c r="D555" s="711"/>
      <c r="E555" s="711"/>
      <c r="F555" s="711"/>
      <c r="G555" s="711"/>
      <c r="H555" s="711"/>
      <c r="I555" s="711"/>
      <c r="J555" s="711"/>
      <c r="K555" s="741"/>
      <c r="L555" s="741"/>
      <c r="M555" s="788"/>
      <c r="N555" s="741"/>
      <c r="O555" s="741"/>
      <c r="P555" s="741"/>
      <c r="Q555" s="741"/>
      <c r="R555" s="788"/>
      <c r="S555" s="819"/>
      <c r="T555" s="820"/>
      <c r="U555" s="819"/>
      <c r="V555" s="820"/>
      <c r="W555" s="788"/>
      <c r="X555" s="803"/>
      <c r="Y555" s="803"/>
      <c r="Z555" s="803"/>
      <c r="AA555" s="711"/>
      <c r="AB555" s="711"/>
      <c r="AC555" s="711"/>
      <c r="AD555" s="736"/>
      <c r="AE555" s="736"/>
      <c r="AF555" s="624"/>
      <c r="AG555" s="624"/>
      <c r="AH555" s="624"/>
      <c r="AI555" s="624"/>
      <c r="AJ555" s="960">
        <f t="shared" si="6"/>
        <v>555</v>
      </c>
      <c r="AK555" s="961">
        <v>0.9656</v>
      </c>
      <c r="AL555" s="962">
        <v>43210.0</v>
      </c>
      <c r="AM555" s="963">
        <v>-0.8759957715464399</v>
      </c>
      <c r="AN555" s="964">
        <v>-0.034399999999999986</v>
      </c>
      <c r="AO555" s="962">
        <v>43210.0</v>
      </c>
      <c r="AP555" s="965">
        <v>-0.8697380097821065</v>
      </c>
      <c r="AQ555" s="962">
        <v>43210.0</v>
      </c>
      <c r="AR555" s="966">
        <v>-0.8634745506528101</v>
      </c>
      <c r="AS555" s="624"/>
      <c r="AT555" s="624"/>
      <c r="AU555" s="624"/>
      <c r="AV555" s="624"/>
      <c r="AW555" s="624"/>
      <c r="AX555" s="624"/>
      <c r="AY555" s="624"/>
      <c r="AZ555" s="624"/>
      <c r="BA555" s="624"/>
      <c r="BB555" s="624"/>
      <c r="BC555" s="624"/>
      <c r="BD555" s="624"/>
      <c r="BE555" s="624"/>
    </row>
    <row r="556" ht="16.5" customHeight="1">
      <c r="A556" s="711"/>
      <c r="B556" s="711"/>
      <c r="C556" s="711"/>
      <c r="D556" s="711"/>
      <c r="E556" s="711"/>
      <c r="F556" s="711"/>
      <c r="G556" s="711"/>
      <c r="H556" s="711"/>
      <c r="I556" s="711"/>
      <c r="J556" s="711"/>
      <c r="K556" s="741"/>
      <c r="L556" s="741"/>
      <c r="M556" s="788"/>
      <c r="N556" s="741"/>
      <c r="O556" s="741"/>
      <c r="P556" s="741"/>
      <c r="Q556" s="741"/>
      <c r="R556" s="788"/>
      <c r="S556" s="819"/>
      <c r="T556" s="820"/>
      <c r="U556" s="819"/>
      <c r="V556" s="820"/>
      <c r="W556" s="788"/>
      <c r="X556" s="803"/>
      <c r="Y556" s="803"/>
      <c r="Z556" s="803"/>
      <c r="AA556" s="711"/>
      <c r="AB556" s="711"/>
      <c r="AC556" s="711"/>
      <c r="AD556" s="736"/>
      <c r="AE556" s="736"/>
      <c r="AF556" s="624"/>
      <c r="AG556" s="624"/>
      <c r="AH556" s="624"/>
      <c r="AI556" s="624"/>
      <c r="AJ556" s="960">
        <f t="shared" si="6"/>
        <v>556</v>
      </c>
      <c r="AK556" s="961">
        <v>0.901</v>
      </c>
      <c r="AL556" s="962">
        <v>43123.0</v>
      </c>
      <c r="AM556" s="963">
        <v>-0.8754734975909659</v>
      </c>
      <c r="AN556" s="964">
        <v>-0.09899999999999998</v>
      </c>
      <c r="AO556" s="962">
        <v>43123.0</v>
      </c>
      <c r="AP556" s="965">
        <v>-0.8692023456972299</v>
      </c>
      <c r="AQ556" s="962">
        <v>43123.0</v>
      </c>
      <c r="AR556" s="966">
        <v>-0.8629260918459274</v>
      </c>
      <c r="AS556" s="624"/>
      <c r="AT556" s="624"/>
      <c r="AU556" s="624"/>
      <c r="AV556" s="624"/>
      <c r="AW556" s="624"/>
      <c r="AX556" s="624"/>
      <c r="AY556" s="624"/>
      <c r="AZ556" s="624"/>
      <c r="BA556" s="624"/>
      <c r="BB556" s="624"/>
      <c r="BC556" s="624"/>
      <c r="BD556" s="624"/>
      <c r="BE556" s="624"/>
    </row>
    <row r="557" ht="16.5" customHeight="1">
      <c r="A557" s="711"/>
      <c r="B557" s="711"/>
      <c r="C557" s="711"/>
      <c r="D557" s="711"/>
      <c r="E557" s="711"/>
      <c r="F557" s="711"/>
      <c r="G557" s="711"/>
      <c r="H557" s="711"/>
      <c r="I557" s="711"/>
      <c r="J557" s="711"/>
      <c r="K557" s="741"/>
      <c r="L557" s="741"/>
      <c r="M557" s="788"/>
      <c r="N557" s="741"/>
      <c r="O557" s="741"/>
      <c r="P557" s="741"/>
      <c r="Q557" s="741"/>
      <c r="R557" s="788"/>
      <c r="S557" s="819"/>
      <c r="T557" s="820"/>
      <c r="U557" s="819"/>
      <c r="V557" s="820"/>
      <c r="W557" s="788"/>
      <c r="X557" s="803"/>
      <c r="Y557" s="803"/>
      <c r="Z557" s="803"/>
      <c r="AA557" s="711"/>
      <c r="AB557" s="711"/>
      <c r="AC557" s="711"/>
      <c r="AD557" s="736"/>
      <c r="AE557" s="736"/>
      <c r="AF557" s="624"/>
      <c r="AG557" s="624"/>
      <c r="AH557" s="624"/>
      <c r="AI557" s="624"/>
      <c r="AJ557" s="960">
        <f t="shared" si="6"/>
        <v>557</v>
      </c>
      <c r="AK557" s="961">
        <v>0.9567</v>
      </c>
      <c r="AL557" s="962">
        <v>43090.0</v>
      </c>
      <c r="AM557" s="963">
        <v>-0.875274818754769</v>
      </c>
      <c r="AN557" s="964">
        <v>-0.043300000000000005</v>
      </c>
      <c r="AO557" s="962">
        <v>43090.0</v>
      </c>
      <c r="AP557" s="965">
        <v>-0.8689985870303538</v>
      </c>
      <c r="AQ557" s="962">
        <v>43090.0</v>
      </c>
      <c r="AR557" s="966">
        <v>-0.862717479855397</v>
      </c>
      <c r="AS557" s="624"/>
      <c r="AT557" s="624"/>
      <c r="AU557" s="624"/>
      <c r="AV557" s="624"/>
      <c r="AW557" s="624"/>
      <c r="AX557" s="624"/>
      <c r="AY557" s="624"/>
      <c r="AZ557" s="624"/>
      <c r="BA557" s="624"/>
      <c r="BB557" s="624"/>
      <c r="BC557" s="624"/>
      <c r="BD557" s="624"/>
      <c r="BE557" s="624"/>
    </row>
    <row r="558" ht="16.5" customHeight="1">
      <c r="A558" s="711"/>
      <c r="B558" s="711"/>
      <c r="C558" s="711"/>
      <c r="D558" s="711"/>
      <c r="E558" s="711"/>
      <c r="F558" s="711"/>
      <c r="G558" s="711"/>
      <c r="H558" s="711"/>
      <c r="I558" s="711"/>
      <c r="J558" s="711"/>
      <c r="K558" s="741"/>
      <c r="L558" s="741"/>
      <c r="M558" s="788"/>
      <c r="N558" s="741"/>
      <c r="O558" s="741"/>
      <c r="P558" s="741"/>
      <c r="Q558" s="741"/>
      <c r="R558" s="788"/>
      <c r="S558" s="819"/>
      <c r="T558" s="820"/>
      <c r="U558" s="819"/>
      <c r="V558" s="820"/>
      <c r="W558" s="788"/>
      <c r="X558" s="803"/>
      <c r="Y558" s="803"/>
      <c r="Z558" s="803"/>
      <c r="AA558" s="711"/>
      <c r="AB558" s="711"/>
      <c r="AC558" s="711"/>
      <c r="AD558" s="736"/>
      <c r="AE558" s="736"/>
      <c r="AF558" s="624"/>
      <c r="AG558" s="624"/>
      <c r="AH558" s="624"/>
      <c r="AI558" s="624"/>
      <c r="AJ558" s="960">
        <f t="shared" si="6"/>
        <v>558</v>
      </c>
      <c r="AK558" s="961">
        <v>1.0</v>
      </c>
      <c r="AL558" s="962">
        <v>43082.0</v>
      </c>
      <c r="AM558" s="963">
        <v>-0.8752266064703884</v>
      </c>
      <c r="AN558" s="964">
        <v>0.0</v>
      </c>
      <c r="AO558" s="962">
        <v>43082.0</v>
      </c>
      <c r="AP558" s="965">
        <v>-0.8689491432064569</v>
      </c>
      <c r="AQ558" s="962">
        <v>43082.0</v>
      </c>
      <c r="AR558" s="966">
        <v>-0.8626668594576871</v>
      </c>
      <c r="AS558" s="624"/>
      <c r="AT558" s="624"/>
      <c r="AU558" s="624"/>
      <c r="AV558" s="624"/>
      <c r="AW558" s="624"/>
      <c r="AX558" s="624"/>
      <c r="AY558" s="624"/>
      <c r="AZ558" s="624"/>
      <c r="BA558" s="624"/>
      <c r="BB558" s="624"/>
      <c r="BC558" s="624"/>
      <c r="BD558" s="624"/>
      <c r="BE558" s="624"/>
    </row>
    <row r="559" ht="16.5" customHeight="1">
      <c r="A559" s="711"/>
      <c r="B559" s="711"/>
      <c r="C559" s="711"/>
      <c r="D559" s="711"/>
      <c r="E559" s="711"/>
      <c r="F559" s="711"/>
      <c r="G559" s="711"/>
      <c r="H559" s="711"/>
      <c r="I559" s="711"/>
      <c r="J559" s="711"/>
      <c r="K559" s="741"/>
      <c r="L559" s="741"/>
      <c r="M559" s="788"/>
      <c r="N559" s="741"/>
      <c r="O559" s="741"/>
      <c r="P559" s="741"/>
      <c r="Q559" s="741"/>
      <c r="R559" s="788"/>
      <c r="S559" s="819"/>
      <c r="T559" s="820"/>
      <c r="U559" s="819"/>
      <c r="V559" s="820"/>
      <c r="W559" s="788"/>
      <c r="X559" s="803"/>
      <c r="Y559" s="803"/>
      <c r="Z559" s="803"/>
      <c r="AA559" s="711"/>
      <c r="AB559" s="711"/>
      <c r="AC559" s="711"/>
      <c r="AD559" s="736"/>
      <c r="AE559" s="736"/>
      <c r="AF559" s="624"/>
      <c r="AG559" s="624"/>
      <c r="AH559" s="624"/>
      <c r="AI559" s="624"/>
      <c r="AJ559" s="960">
        <f t="shared" si="6"/>
        <v>559</v>
      </c>
      <c r="AK559" s="961">
        <v>0.9424</v>
      </c>
      <c r="AL559" s="962">
        <v>42900.0</v>
      </c>
      <c r="AM559" s="963">
        <v>-0.8741247281314237</v>
      </c>
      <c r="AN559" s="964">
        <v>-0.057599999999999985</v>
      </c>
      <c r="AO559" s="962">
        <v>42900.0</v>
      </c>
      <c r="AP559" s="965">
        <v>-0.8678192408511419</v>
      </c>
      <c r="AQ559" s="962">
        <v>42900.0</v>
      </c>
      <c r="AR559" s="966">
        <v>-0.8615101893459068</v>
      </c>
      <c r="AS559" s="624"/>
      <c r="AT559" s="624"/>
      <c r="AU559" s="624"/>
      <c r="AV559" s="624"/>
      <c r="AW559" s="624"/>
      <c r="AX559" s="624"/>
      <c r="AY559" s="624"/>
      <c r="AZ559" s="624"/>
      <c r="BA559" s="624"/>
      <c r="BB559" s="624"/>
      <c r="BC559" s="624"/>
      <c r="BD559" s="624"/>
      <c r="BE559" s="624"/>
    </row>
    <row r="560" ht="16.5" customHeight="1">
      <c r="A560" s="711"/>
      <c r="B560" s="711"/>
      <c r="C560" s="711"/>
      <c r="D560" s="711"/>
      <c r="E560" s="711"/>
      <c r="F560" s="711"/>
      <c r="G560" s="711"/>
      <c r="H560" s="711"/>
      <c r="I560" s="711"/>
      <c r="J560" s="711"/>
      <c r="K560" s="741"/>
      <c r="L560" s="741"/>
      <c r="M560" s="788"/>
      <c r="N560" s="741"/>
      <c r="O560" s="741"/>
      <c r="P560" s="741"/>
      <c r="Q560" s="741"/>
      <c r="R560" s="788"/>
      <c r="S560" s="819"/>
      <c r="T560" s="820"/>
      <c r="U560" s="819"/>
      <c r="V560" s="820"/>
      <c r="W560" s="788"/>
      <c r="X560" s="803"/>
      <c r="Y560" s="803"/>
      <c r="Z560" s="803"/>
      <c r="AA560" s="711"/>
      <c r="AB560" s="711"/>
      <c r="AC560" s="711"/>
      <c r="AD560" s="736"/>
      <c r="AE560" s="736"/>
      <c r="AF560" s="624"/>
      <c r="AG560" s="624"/>
      <c r="AH560" s="624"/>
      <c r="AI560" s="624"/>
      <c r="AJ560" s="960">
        <f t="shared" si="6"/>
        <v>560</v>
      </c>
      <c r="AK560" s="961">
        <v>0.9593</v>
      </c>
      <c r="AL560" s="962">
        <v>42850.0</v>
      </c>
      <c r="AM560" s="963">
        <v>-0.8738203140792022</v>
      </c>
      <c r="AN560" s="964">
        <v>-0.04069999999999996</v>
      </c>
      <c r="AO560" s="962">
        <v>42850.0</v>
      </c>
      <c r="AP560" s="965">
        <v>-0.8675071258622269</v>
      </c>
      <c r="AQ560" s="962">
        <v>42850.0</v>
      </c>
      <c r="AR560" s="966">
        <v>-0.8611907204893621</v>
      </c>
      <c r="AS560" s="624"/>
      <c r="AT560" s="624"/>
      <c r="AU560" s="624"/>
      <c r="AV560" s="624"/>
      <c r="AW560" s="624"/>
      <c r="AX560" s="624"/>
      <c r="AY560" s="624"/>
      <c r="AZ560" s="624"/>
      <c r="BA560" s="624"/>
      <c r="BB560" s="624"/>
      <c r="BC560" s="624"/>
      <c r="BD560" s="624"/>
      <c r="BE560" s="624"/>
    </row>
    <row r="561" ht="16.5" customHeight="1">
      <c r="A561" s="711"/>
      <c r="B561" s="711"/>
      <c r="C561" s="711"/>
      <c r="D561" s="711"/>
      <c r="E561" s="711"/>
      <c r="F561" s="711"/>
      <c r="G561" s="711"/>
      <c r="H561" s="711"/>
      <c r="I561" s="711"/>
      <c r="J561" s="711"/>
      <c r="K561" s="741"/>
      <c r="L561" s="741"/>
      <c r="M561" s="788"/>
      <c r="N561" s="741"/>
      <c r="O561" s="741"/>
      <c r="P561" s="741"/>
      <c r="Q561" s="741"/>
      <c r="R561" s="788"/>
      <c r="S561" s="819"/>
      <c r="T561" s="820"/>
      <c r="U561" s="819"/>
      <c r="V561" s="820"/>
      <c r="W561" s="788"/>
      <c r="X561" s="803"/>
      <c r="Y561" s="803"/>
      <c r="Z561" s="803"/>
      <c r="AA561" s="711"/>
      <c r="AB561" s="711"/>
      <c r="AC561" s="711"/>
      <c r="AD561" s="736"/>
      <c r="AE561" s="736"/>
      <c r="AF561" s="624"/>
      <c r="AG561" s="624"/>
      <c r="AH561" s="624"/>
      <c r="AI561" s="624"/>
      <c r="AJ561" s="960">
        <f t="shared" si="6"/>
        <v>561</v>
      </c>
      <c r="AK561" s="961">
        <v>0.9655</v>
      </c>
      <c r="AL561" s="962">
        <v>42825.0</v>
      </c>
      <c r="AM561" s="963">
        <v>-0.873667831093614</v>
      </c>
      <c r="AN561" s="964">
        <v>-0.034499999999999975</v>
      </c>
      <c r="AO561" s="962">
        <v>42825.0</v>
      </c>
      <c r="AP561" s="965">
        <v>-0.8673507921055605</v>
      </c>
      <c r="AQ561" s="962">
        <v>42825.0</v>
      </c>
      <c r="AR561" s="966">
        <v>-0.8610307098102282</v>
      </c>
      <c r="AS561" s="624"/>
      <c r="AT561" s="624"/>
      <c r="AU561" s="624"/>
      <c r="AV561" s="624"/>
      <c r="AW561" s="624"/>
      <c r="AX561" s="624"/>
      <c r="AY561" s="624"/>
      <c r="AZ561" s="624"/>
      <c r="BA561" s="624"/>
      <c r="BB561" s="624"/>
      <c r="BC561" s="624"/>
      <c r="BD561" s="624"/>
      <c r="BE561" s="624"/>
    </row>
    <row r="562" ht="16.5" customHeight="1">
      <c r="A562" s="711"/>
      <c r="B562" s="711"/>
      <c r="C562" s="711"/>
      <c r="D562" s="711"/>
      <c r="E562" s="711"/>
      <c r="F562" s="711"/>
      <c r="G562" s="711"/>
      <c r="H562" s="711"/>
      <c r="I562" s="711"/>
      <c r="J562" s="711"/>
      <c r="K562" s="741"/>
      <c r="L562" s="741"/>
      <c r="M562" s="788"/>
      <c r="N562" s="741"/>
      <c r="O562" s="741"/>
      <c r="P562" s="741"/>
      <c r="Q562" s="741"/>
      <c r="R562" s="788"/>
      <c r="S562" s="819"/>
      <c r="T562" s="820"/>
      <c r="U562" s="819"/>
      <c r="V562" s="820"/>
      <c r="W562" s="788"/>
      <c r="X562" s="803"/>
      <c r="Y562" s="803"/>
      <c r="Z562" s="803"/>
      <c r="AA562" s="711"/>
      <c r="AB562" s="711"/>
      <c r="AC562" s="711"/>
      <c r="AD562" s="736"/>
      <c r="AE562" s="736"/>
      <c r="AF562" s="624"/>
      <c r="AG562" s="624"/>
      <c r="AH562" s="624"/>
      <c r="AI562" s="624"/>
      <c r="AJ562" s="960">
        <f t="shared" si="6"/>
        <v>562</v>
      </c>
      <c r="AK562" s="961">
        <v>0.9611</v>
      </c>
      <c r="AL562" s="962">
        <v>42743.0</v>
      </c>
      <c r="AM562" s="963">
        <v>-0.8731663922884076</v>
      </c>
      <c r="AN562" s="964">
        <v>-0.038900000000000046</v>
      </c>
      <c r="AO562" s="962">
        <v>42743.0</v>
      </c>
      <c r="AP562" s="965">
        <v>-0.8668367214283055</v>
      </c>
      <c r="AQ562" s="962">
        <v>42743.0</v>
      </c>
      <c r="AR562" s="966">
        <v>-0.860504578954237</v>
      </c>
      <c r="AS562" s="624"/>
      <c r="AT562" s="624"/>
      <c r="AU562" s="624"/>
      <c r="AV562" s="624"/>
      <c r="AW562" s="624"/>
      <c r="AX562" s="624"/>
      <c r="AY562" s="624"/>
      <c r="AZ562" s="624"/>
      <c r="BA562" s="624"/>
      <c r="BB562" s="624"/>
      <c r="BC562" s="624"/>
      <c r="BD562" s="624"/>
      <c r="BE562" s="624"/>
    </row>
    <row r="563" ht="16.5" customHeight="1">
      <c r="A563" s="711"/>
      <c r="B563" s="711"/>
      <c r="C563" s="711"/>
      <c r="D563" s="711"/>
      <c r="E563" s="711"/>
      <c r="F563" s="711"/>
      <c r="G563" s="711"/>
      <c r="H563" s="711"/>
      <c r="I563" s="711"/>
      <c r="J563" s="711"/>
      <c r="K563" s="741"/>
      <c r="L563" s="741"/>
      <c r="M563" s="788"/>
      <c r="N563" s="741"/>
      <c r="O563" s="741"/>
      <c r="P563" s="741"/>
      <c r="Q563" s="741"/>
      <c r="R563" s="788"/>
      <c r="S563" s="819"/>
      <c r="T563" s="820"/>
      <c r="U563" s="819"/>
      <c r="V563" s="820"/>
      <c r="W563" s="788"/>
      <c r="X563" s="803"/>
      <c r="Y563" s="803"/>
      <c r="Z563" s="803"/>
      <c r="AA563" s="711"/>
      <c r="AB563" s="711"/>
      <c r="AC563" s="711"/>
      <c r="AD563" s="736"/>
      <c r="AE563" s="736"/>
      <c r="AF563" s="624"/>
      <c r="AG563" s="624"/>
      <c r="AH563" s="624"/>
      <c r="AI563" s="624"/>
      <c r="AJ563" s="960">
        <f t="shared" si="6"/>
        <v>563</v>
      </c>
      <c r="AK563" s="961">
        <v>0.9543</v>
      </c>
      <c r="AL563" s="962">
        <v>42700.0</v>
      </c>
      <c r="AM563" s="963">
        <v>-0.8729026476662939</v>
      </c>
      <c r="AN563" s="964">
        <v>-0.04569999999999996</v>
      </c>
      <c r="AO563" s="962">
        <v>42700.0</v>
      </c>
      <c r="AP563" s="965">
        <v>-0.8665663519964044</v>
      </c>
      <c r="AQ563" s="962">
        <v>42700.0</v>
      </c>
      <c r="AR563" s="966">
        <v>-0.8602278854034714</v>
      </c>
      <c r="AS563" s="624"/>
      <c r="AT563" s="624"/>
      <c r="AU563" s="624"/>
      <c r="AV563" s="624"/>
      <c r="AW563" s="624"/>
      <c r="AX563" s="624"/>
      <c r="AY563" s="624"/>
      <c r="AZ563" s="624"/>
      <c r="BA563" s="624"/>
      <c r="BB563" s="624"/>
      <c r="BC563" s="624"/>
      <c r="BD563" s="624"/>
      <c r="BE563" s="624"/>
    </row>
    <row r="564" ht="16.5" customHeight="1">
      <c r="A564" s="711"/>
      <c r="B564" s="711"/>
      <c r="C564" s="711"/>
      <c r="D564" s="711"/>
      <c r="E564" s="711"/>
      <c r="F564" s="711"/>
      <c r="G564" s="711"/>
      <c r="H564" s="711"/>
      <c r="I564" s="711"/>
      <c r="J564" s="711"/>
      <c r="K564" s="741"/>
      <c r="L564" s="741"/>
      <c r="M564" s="788"/>
      <c r="N564" s="741"/>
      <c r="O564" s="741"/>
      <c r="P564" s="741"/>
      <c r="Q564" s="741"/>
      <c r="R564" s="788"/>
      <c r="S564" s="819"/>
      <c r="T564" s="820"/>
      <c r="U564" s="819"/>
      <c r="V564" s="820"/>
      <c r="W564" s="788"/>
      <c r="X564" s="803"/>
      <c r="Y564" s="803"/>
      <c r="Z564" s="803"/>
      <c r="AA564" s="711"/>
      <c r="AB564" s="711"/>
      <c r="AC564" s="711"/>
      <c r="AD564" s="736"/>
      <c r="AE564" s="736"/>
      <c r="AF564" s="624"/>
      <c r="AG564" s="624"/>
      <c r="AH564" s="624"/>
      <c r="AI564" s="624"/>
      <c r="AJ564" s="960">
        <f t="shared" si="6"/>
        <v>564</v>
      </c>
      <c r="AK564" s="961">
        <v>0.9514</v>
      </c>
      <c r="AL564" s="962">
        <v>42641.0</v>
      </c>
      <c r="AM564" s="963">
        <v>-0.872539872759839</v>
      </c>
      <c r="AN564" s="964">
        <v>-0.04859999999999998</v>
      </c>
      <c r="AO564" s="962">
        <v>42641.0</v>
      </c>
      <c r="AP564" s="965">
        <v>-0.8661944864219536</v>
      </c>
      <c r="AQ564" s="962">
        <v>42641.0</v>
      </c>
      <c r="AR564" s="966">
        <v>-0.859847342745289</v>
      </c>
      <c r="AS564" s="624"/>
      <c r="AT564" s="624"/>
      <c r="AU564" s="624"/>
      <c r="AV564" s="624"/>
      <c r="AW564" s="624"/>
      <c r="AX564" s="624"/>
      <c r="AY564" s="624"/>
      <c r="AZ564" s="624"/>
      <c r="BA564" s="624"/>
      <c r="BB564" s="624"/>
      <c r="BC564" s="624"/>
      <c r="BD564" s="624"/>
      <c r="BE564" s="624"/>
    </row>
    <row r="565" ht="16.5" customHeight="1">
      <c r="A565" s="711"/>
      <c r="B565" s="711"/>
      <c r="C565" s="711"/>
      <c r="D565" s="711"/>
      <c r="E565" s="711"/>
      <c r="F565" s="711"/>
      <c r="G565" s="711"/>
      <c r="H565" s="711"/>
      <c r="I565" s="711"/>
      <c r="J565" s="711"/>
      <c r="K565" s="741"/>
      <c r="L565" s="741"/>
      <c r="M565" s="788"/>
      <c r="N565" s="741"/>
      <c r="O565" s="741"/>
      <c r="P565" s="741"/>
      <c r="Q565" s="741"/>
      <c r="R565" s="788"/>
      <c r="S565" s="819"/>
      <c r="T565" s="820"/>
      <c r="U565" s="819"/>
      <c r="V565" s="820"/>
      <c r="W565" s="788"/>
      <c r="X565" s="803"/>
      <c r="Y565" s="803"/>
      <c r="Z565" s="803"/>
      <c r="AA565" s="711"/>
      <c r="AB565" s="711"/>
      <c r="AC565" s="711"/>
      <c r="AD565" s="736"/>
      <c r="AE565" s="736"/>
      <c r="AF565" s="624"/>
      <c r="AG565" s="624"/>
      <c r="AH565" s="624"/>
      <c r="AI565" s="624"/>
      <c r="AJ565" s="960">
        <f t="shared" si="6"/>
        <v>565</v>
      </c>
      <c r="AK565" s="961">
        <v>0.9947</v>
      </c>
      <c r="AL565" s="962">
        <v>42500.0</v>
      </c>
      <c r="AM565" s="963">
        <v>-0.8716687024350261</v>
      </c>
      <c r="AN565" s="964">
        <v>-0.005299999999999971</v>
      </c>
      <c r="AO565" s="962">
        <v>42500.0</v>
      </c>
      <c r="AP565" s="965">
        <v>-0.86530158750642</v>
      </c>
      <c r="AQ565" s="962">
        <v>42500.0</v>
      </c>
      <c r="AR565" s="966">
        <v>-0.85893370836082</v>
      </c>
      <c r="AS565" s="624"/>
      <c r="AT565" s="624"/>
      <c r="AU565" s="624"/>
      <c r="AV565" s="624"/>
      <c r="AW565" s="624"/>
      <c r="AX565" s="624"/>
      <c r="AY565" s="624"/>
      <c r="AZ565" s="624"/>
      <c r="BA565" s="624"/>
      <c r="BB565" s="624"/>
      <c r="BC565" s="624"/>
      <c r="BD565" s="624"/>
      <c r="BE565" s="624"/>
    </row>
    <row r="566" ht="16.5" customHeight="1">
      <c r="A566" s="711"/>
      <c r="B566" s="711"/>
      <c r="C566" s="711"/>
      <c r="D566" s="711"/>
      <c r="E566" s="711"/>
      <c r="F566" s="711"/>
      <c r="G566" s="711"/>
      <c r="H566" s="711"/>
      <c r="I566" s="711"/>
      <c r="J566" s="711"/>
      <c r="K566" s="741"/>
      <c r="L566" s="741"/>
      <c r="M566" s="788"/>
      <c r="N566" s="741"/>
      <c r="O566" s="741"/>
      <c r="P566" s="741"/>
      <c r="Q566" s="741"/>
      <c r="R566" s="788"/>
      <c r="S566" s="819"/>
      <c r="T566" s="820"/>
      <c r="U566" s="819"/>
      <c r="V566" s="820"/>
      <c r="W566" s="788"/>
      <c r="X566" s="803"/>
      <c r="Y566" s="803"/>
      <c r="Z566" s="803"/>
      <c r="AA566" s="711"/>
      <c r="AB566" s="711"/>
      <c r="AC566" s="711"/>
      <c r="AD566" s="736"/>
      <c r="AE566" s="736"/>
      <c r="AF566" s="624"/>
      <c r="AG566" s="624"/>
      <c r="AH566" s="624"/>
      <c r="AI566" s="624"/>
      <c r="AJ566" s="960">
        <f t="shared" si="6"/>
        <v>566</v>
      </c>
      <c r="AK566" s="961">
        <v>0.9499</v>
      </c>
      <c r="AL566" s="962">
        <v>42379.0</v>
      </c>
      <c r="AM566" s="963">
        <v>-0.8709163565612792</v>
      </c>
      <c r="AN566" s="964">
        <v>-0.05010000000000003</v>
      </c>
      <c r="AO566" s="962">
        <v>42379.0</v>
      </c>
      <c r="AP566" s="965">
        <v>-0.8645305918092607</v>
      </c>
      <c r="AQ566" s="962">
        <v>42379.0</v>
      </c>
      <c r="AR566" s="966">
        <v>-0.8581449204064434</v>
      </c>
      <c r="AS566" s="624"/>
      <c r="AT566" s="624"/>
      <c r="AU566" s="624"/>
      <c r="AV566" s="624"/>
      <c r="AW566" s="624"/>
      <c r="AX566" s="624"/>
      <c r="AY566" s="624"/>
      <c r="AZ566" s="624"/>
      <c r="BA566" s="624"/>
      <c r="BB566" s="624"/>
      <c r="BC566" s="624"/>
      <c r="BD566" s="624"/>
      <c r="BE566" s="624"/>
    </row>
    <row r="567" ht="16.5" customHeight="1">
      <c r="A567" s="711"/>
      <c r="B567" s="711"/>
      <c r="C567" s="711"/>
      <c r="D567" s="711"/>
      <c r="E567" s="711"/>
      <c r="F567" s="711"/>
      <c r="G567" s="711"/>
      <c r="H567" s="711"/>
      <c r="I567" s="711"/>
      <c r="J567" s="711"/>
      <c r="K567" s="741"/>
      <c r="L567" s="741"/>
      <c r="M567" s="788"/>
      <c r="N567" s="741"/>
      <c r="O567" s="741"/>
      <c r="P567" s="741"/>
      <c r="Q567" s="741"/>
      <c r="R567" s="788"/>
      <c r="S567" s="819"/>
      <c r="T567" s="820"/>
      <c r="U567" s="819"/>
      <c r="V567" s="820"/>
      <c r="W567" s="788"/>
      <c r="X567" s="803"/>
      <c r="Y567" s="803"/>
      <c r="Z567" s="803"/>
      <c r="AA567" s="711"/>
      <c r="AB567" s="711"/>
      <c r="AC567" s="711"/>
      <c r="AD567" s="736"/>
      <c r="AE567" s="736"/>
      <c r="AF567" s="624"/>
      <c r="AG567" s="624"/>
      <c r="AH567" s="624"/>
      <c r="AI567" s="624"/>
      <c r="AJ567" s="960">
        <f t="shared" si="6"/>
        <v>567</v>
      </c>
      <c r="AK567" s="961">
        <v>0.967</v>
      </c>
      <c r="AL567" s="962">
        <v>42234.0</v>
      </c>
      <c r="AM567" s="963">
        <v>-0.8700089731412721</v>
      </c>
      <c r="AN567" s="964">
        <v>-0.03300000000000003</v>
      </c>
      <c r="AO567" s="962">
        <v>42234.0</v>
      </c>
      <c r="AP567" s="965">
        <v>-0.8636008562821367</v>
      </c>
      <c r="AQ567" s="962">
        <v>42234.0</v>
      </c>
      <c r="AR567" s="966">
        <v>-0.8571938668980882</v>
      </c>
      <c r="AS567" s="624"/>
      <c r="AT567" s="624"/>
      <c r="AU567" s="624"/>
      <c r="AV567" s="624"/>
      <c r="AW567" s="624"/>
      <c r="AX567" s="624"/>
      <c r="AY567" s="624"/>
      <c r="AZ567" s="624"/>
      <c r="BA567" s="624"/>
      <c r="BB567" s="624"/>
      <c r="BC567" s="624"/>
      <c r="BD567" s="624"/>
      <c r="BE567" s="624"/>
    </row>
    <row r="568" ht="16.5" customHeight="1">
      <c r="A568" s="711"/>
      <c r="B568" s="711"/>
      <c r="C568" s="711"/>
      <c r="D568" s="711"/>
      <c r="E568" s="711"/>
      <c r="F568" s="711"/>
      <c r="G568" s="711"/>
      <c r="H568" s="711"/>
      <c r="I568" s="711"/>
      <c r="J568" s="711"/>
      <c r="K568" s="741"/>
      <c r="L568" s="741"/>
      <c r="M568" s="788"/>
      <c r="N568" s="741"/>
      <c r="O568" s="741"/>
      <c r="P568" s="741"/>
      <c r="Q568" s="741"/>
      <c r="R568" s="788"/>
      <c r="S568" s="819"/>
      <c r="T568" s="820"/>
      <c r="U568" s="819"/>
      <c r="V568" s="820"/>
      <c r="W568" s="788"/>
      <c r="X568" s="803"/>
      <c r="Y568" s="803"/>
      <c r="Z568" s="803"/>
      <c r="AA568" s="711"/>
      <c r="AB568" s="711"/>
      <c r="AC568" s="711"/>
      <c r="AD568" s="736"/>
      <c r="AE568" s="736"/>
      <c r="AF568" s="624"/>
      <c r="AG568" s="624"/>
      <c r="AH568" s="624"/>
      <c r="AI568" s="624"/>
      <c r="AJ568" s="960">
        <f t="shared" si="6"/>
        <v>568</v>
      </c>
      <c r="AK568" s="961">
        <v>0.9264</v>
      </c>
      <c r="AL568" s="962">
        <v>42200.0</v>
      </c>
      <c r="AM568" s="963">
        <v>-0.8697952858657927</v>
      </c>
      <c r="AN568" s="964">
        <v>-0.0736</v>
      </c>
      <c r="AO568" s="962">
        <v>42200.0</v>
      </c>
      <c r="AP568" s="965">
        <v>-0.8633819274292078</v>
      </c>
      <c r="AQ568" s="962">
        <v>42200.0</v>
      </c>
      <c r="AR568" s="966">
        <v>-0.8569699399723224</v>
      </c>
      <c r="AS568" s="624"/>
      <c r="AT568" s="624"/>
      <c r="AU568" s="624"/>
      <c r="AV568" s="624"/>
      <c r="AW568" s="624"/>
      <c r="AX568" s="624"/>
      <c r="AY568" s="624"/>
      <c r="AZ568" s="624"/>
      <c r="BA568" s="624"/>
      <c r="BB568" s="624"/>
      <c r="BC568" s="624"/>
      <c r="BD568" s="624"/>
      <c r="BE568" s="624"/>
    </row>
    <row r="569" ht="16.5" customHeight="1">
      <c r="A569" s="711"/>
      <c r="B569" s="711"/>
      <c r="C569" s="711"/>
      <c r="D569" s="711"/>
      <c r="E569" s="711"/>
      <c r="F569" s="711"/>
      <c r="G569" s="711"/>
      <c r="H569" s="711"/>
      <c r="I569" s="711"/>
      <c r="J569" s="711"/>
      <c r="K569" s="741"/>
      <c r="L569" s="741"/>
      <c r="M569" s="788"/>
      <c r="N569" s="741"/>
      <c r="O569" s="741"/>
      <c r="P569" s="741"/>
      <c r="Q569" s="741"/>
      <c r="R569" s="788"/>
      <c r="S569" s="819"/>
      <c r="T569" s="820"/>
      <c r="U569" s="819"/>
      <c r="V569" s="820"/>
      <c r="W569" s="788"/>
      <c r="X569" s="803"/>
      <c r="Y569" s="803"/>
      <c r="Z569" s="803"/>
      <c r="AA569" s="711"/>
      <c r="AB569" s="711"/>
      <c r="AC569" s="711"/>
      <c r="AD569" s="736"/>
      <c r="AE569" s="736"/>
      <c r="AF569" s="624"/>
      <c r="AG569" s="624"/>
      <c r="AH569" s="624"/>
      <c r="AI569" s="624"/>
      <c r="AJ569" s="960">
        <f t="shared" si="6"/>
        <v>569</v>
      </c>
      <c r="AK569" s="961">
        <v>0.949</v>
      </c>
      <c r="AL569" s="962">
        <v>42193.0</v>
      </c>
      <c r="AM569" s="963">
        <v>-0.8697512478405105</v>
      </c>
      <c r="AN569" s="964">
        <v>-0.051000000000000045</v>
      </c>
      <c r="AO569" s="962">
        <v>42193.0</v>
      </c>
      <c r="AP569" s="965">
        <v>-0.863336810240082</v>
      </c>
      <c r="AQ569" s="962">
        <v>42193.0</v>
      </c>
      <c r="AR569" s="966">
        <v>-0.8569237938007505</v>
      </c>
      <c r="AS569" s="624"/>
      <c r="AT569" s="624"/>
      <c r="AU569" s="624"/>
      <c r="AV569" s="624"/>
      <c r="AW569" s="624"/>
      <c r="AX569" s="624"/>
      <c r="AY569" s="624"/>
      <c r="AZ569" s="624"/>
      <c r="BA569" s="624"/>
      <c r="BB569" s="624"/>
      <c r="BC569" s="624"/>
      <c r="BD569" s="624"/>
      <c r="BE569" s="624"/>
    </row>
    <row r="570" ht="16.5" customHeight="1">
      <c r="A570" s="711"/>
      <c r="B570" s="711"/>
      <c r="C570" s="711"/>
      <c r="D570" s="711"/>
      <c r="E570" s="711"/>
      <c r="F570" s="711"/>
      <c r="G570" s="711"/>
      <c r="H570" s="711"/>
      <c r="I570" s="711"/>
      <c r="J570" s="711"/>
      <c r="K570" s="741"/>
      <c r="L570" s="741"/>
      <c r="M570" s="788"/>
      <c r="N570" s="741"/>
      <c r="O570" s="741"/>
      <c r="P570" s="741"/>
      <c r="Q570" s="741"/>
      <c r="R570" s="788"/>
      <c r="S570" s="819"/>
      <c r="T570" s="820"/>
      <c r="U570" s="819"/>
      <c r="V570" s="820"/>
      <c r="W570" s="788"/>
      <c r="X570" s="803"/>
      <c r="Y570" s="803"/>
      <c r="Z570" s="803"/>
      <c r="AA570" s="711"/>
      <c r="AB570" s="711"/>
      <c r="AC570" s="711"/>
      <c r="AD570" s="736"/>
      <c r="AE570" s="736"/>
      <c r="AF570" s="624"/>
      <c r="AG570" s="624"/>
      <c r="AH570" s="624"/>
      <c r="AI570" s="624"/>
      <c r="AJ570" s="960">
        <f t="shared" si="6"/>
        <v>570</v>
      </c>
      <c r="AK570" s="961">
        <v>0.9524</v>
      </c>
      <c r="AL570" s="962">
        <v>42000.0</v>
      </c>
      <c r="AM570" s="963">
        <v>-0.8685311723091811</v>
      </c>
      <c r="AN570" s="964">
        <v>-0.047599999999999976</v>
      </c>
      <c r="AO570" s="962">
        <v>42000.0</v>
      </c>
      <c r="AP570" s="965">
        <v>-0.8620869790450267</v>
      </c>
      <c r="AQ570" s="962">
        <v>42000.0</v>
      </c>
      <c r="AR570" s="966">
        <v>-0.8556455969827983</v>
      </c>
      <c r="AS570" s="624"/>
      <c r="AT570" s="624"/>
      <c r="AU570" s="624"/>
      <c r="AV570" s="624"/>
      <c r="AW570" s="624"/>
      <c r="AX570" s="624"/>
      <c r="AY570" s="624"/>
      <c r="AZ570" s="624"/>
      <c r="BA570" s="624"/>
      <c r="BB570" s="624"/>
      <c r="BC570" s="624"/>
      <c r="BD570" s="624"/>
      <c r="BE570" s="624"/>
    </row>
    <row r="571" ht="16.5" customHeight="1">
      <c r="A571" s="711"/>
      <c r="B571" s="711"/>
      <c r="C571" s="711"/>
      <c r="D571" s="711"/>
      <c r="E571" s="711"/>
      <c r="F571" s="711"/>
      <c r="G571" s="711"/>
      <c r="H571" s="711"/>
      <c r="I571" s="711"/>
      <c r="J571" s="711"/>
      <c r="K571" s="741"/>
      <c r="L571" s="741"/>
      <c r="M571" s="788"/>
      <c r="N571" s="741"/>
      <c r="O571" s="741"/>
      <c r="P571" s="741"/>
      <c r="Q571" s="741"/>
      <c r="R571" s="788"/>
      <c r="S571" s="819"/>
      <c r="T571" s="820"/>
      <c r="U571" s="819"/>
      <c r="V571" s="820"/>
      <c r="W571" s="788"/>
      <c r="X571" s="803"/>
      <c r="Y571" s="803"/>
      <c r="Z571" s="803"/>
      <c r="AA571" s="711"/>
      <c r="AB571" s="711"/>
      <c r="AC571" s="711"/>
      <c r="AD571" s="736"/>
      <c r="AE571" s="736"/>
      <c r="AF571" s="624"/>
      <c r="AG571" s="624"/>
      <c r="AH571" s="624"/>
      <c r="AI571" s="624"/>
      <c r="AJ571" s="960">
        <f t="shared" si="6"/>
        <v>571</v>
      </c>
      <c r="AK571" s="961">
        <v>0.9624</v>
      </c>
      <c r="AL571" s="962">
        <v>41924.0</v>
      </c>
      <c r="AM571" s="963">
        <v>-0.8680475976474817</v>
      </c>
      <c r="AN571" s="964">
        <v>-0.03759999999999997</v>
      </c>
      <c r="AO571" s="962">
        <v>41924.0</v>
      </c>
      <c r="AP571" s="965">
        <v>-0.8615916866176917</v>
      </c>
      <c r="AQ571" s="962">
        <v>41924.0</v>
      </c>
      <c r="AR571" s="966">
        <v>-0.8551391375886794</v>
      </c>
      <c r="AS571" s="624"/>
      <c r="AT571" s="624"/>
      <c r="AU571" s="624"/>
      <c r="AV571" s="624"/>
      <c r="AW571" s="624"/>
      <c r="AX571" s="624"/>
      <c r="AY571" s="624"/>
      <c r="AZ571" s="624"/>
      <c r="BA571" s="624"/>
      <c r="BB571" s="624"/>
      <c r="BC571" s="624"/>
      <c r="BD571" s="624"/>
      <c r="BE571" s="624"/>
    </row>
    <row r="572" ht="16.5" customHeight="1">
      <c r="A572" s="711"/>
      <c r="B572" s="711"/>
      <c r="C572" s="711"/>
      <c r="D572" s="711"/>
      <c r="E572" s="711"/>
      <c r="F572" s="711"/>
      <c r="G572" s="711"/>
      <c r="H572" s="711"/>
      <c r="I572" s="711"/>
      <c r="J572" s="711"/>
      <c r="K572" s="741"/>
      <c r="L572" s="741"/>
      <c r="M572" s="788"/>
      <c r="N572" s="741"/>
      <c r="O572" s="741"/>
      <c r="P572" s="741"/>
      <c r="Q572" s="741"/>
      <c r="R572" s="788"/>
      <c r="S572" s="819"/>
      <c r="T572" s="820"/>
      <c r="U572" s="819"/>
      <c r="V572" s="820"/>
      <c r="W572" s="788"/>
      <c r="X572" s="803"/>
      <c r="Y572" s="803"/>
      <c r="Z572" s="803"/>
      <c r="AA572" s="711"/>
      <c r="AB572" s="711"/>
      <c r="AC572" s="711"/>
      <c r="AD572" s="736"/>
      <c r="AE572" s="736"/>
      <c r="AF572" s="624"/>
      <c r="AG572" s="624"/>
      <c r="AH572" s="624"/>
      <c r="AI572" s="624"/>
      <c r="AJ572" s="960">
        <f t="shared" si="6"/>
        <v>572</v>
      </c>
      <c r="AK572" s="961">
        <v>0.9416</v>
      </c>
      <c r="AL572" s="962">
        <v>41909.0</v>
      </c>
      <c r="AM572" s="963">
        <v>-0.8679519453121599</v>
      </c>
      <c r="AN572" s="964">
        <v>-0.05840000000000001</v>
      </c>
      <c r="AO572" s="962">
        <v>41909.0</v>
      </c>
      <c r="AP572" s="965">
        <v>-0.8614937215539149</v>
      </c>
      <c r="AQ572" s="962">
        <v>41909.0</v>
      </c>
      <c r="AR572" s="966">
        <v>-0.8550389687354067</v>
      </c>
      <c r="AS572" s="624"/>
      <c r="AT572" s="624"/>
      <c r="AU572" s="624"/>
      <c r="AV572" s="624"/>
      <c r="AW572" s="624"/>
      <c r="AX572" s="624"/>
      <c r="AY572" s="624"/>
      <c r="AZ572" s="624"/>
      <c r="BA572" s="624"/>
      <c r="BB572" s="624"/>
      <c r="BC572" s="624"/>
      <c r="BD572" s="624"/>
      <c r="BE572" s="624"/>
    </row>
    <row r="573" ht="16.5" customHeight="1">
      <c r="A573" s="711"/>
      <c r="B573" s="711"/>
      <c r="C573" s="711"/>
      <c r="D573" s="711"/>
      <c r="E573" s="711"/>
      <c r="F573" s="711"/>
      <c r="G573" s="711"/>
      <c r="H573" s="711"/>
      <c r="I573" s="711"/>
      <c r="J573" s="711"/>
      <c r="K573" s="741"/>
      <c r="L573" s="741"/>
      <c r="M573" s="788"/>
      <c r="N573" s="741"/>
      <c r="O573" s="741"/>
      <c r="P573" s="741"/>
      <c r="Q573" s="741"/>
      <c r="R573" s="788"/>
      <c r="S573" s="819"/>
      <c r="T573" s="820"/>
      <c r="U573" s="819"/>
      <c r="V573" s="820"/>
      <c r="W573" s="788"/>
      <c r="X573" s="803"/>
      <c r="Y573" s="803"/>
      <c r="Z573" s="803"/>
      <c r="AA573" s="711"/>
      <c r="AB573" s="711"/>
      <c r="AC573" s="711"/>
      <c r="AD573" s="736"/>
      <c r="AE573" s="736"/>
      <c r="AF573" s="624"/>
      <c r="AG573" s="624"/>
      <c r="AH573" s="624"/>
      <c r="AI573" s="624"/>
      <c r="AJ573" s="960">
        <f t="shared" si="6"/>
        <v>573</v>
      </c>
      <c r="AK573" s="961">
        <v>0.9061</v>
      </c>
      <c r="AL573" s="962">
        <v>41868.0</v>
      </c>
      <c r="AM573" s="963">
        <v>-0.8676901416674638</v>
      </c>
      <c r="AN573" s="964">
        <v>-0.09389999999999998</v>
      </c>
      <c r="AO573" s="962">
        <v>41868.0</v>
      </c>
      <c r="AP573" s="965">
        <v>-0.8612255964497058</v>
      </c>
      <c r="AQ573" s="962">
        <v>41868.0</v>
      </c>
      <c r="AR573" s="966">
        <v>-0.8547648203227545</v>
      </c>
      <c r="AS573" s="624"/>
      <c r="AT573" s="624"/>
      <c r="AU573" s="624"/>
      <c r="AV573" s="624"/>
      <c r="AW573" s="624"/>
      <c r="AX573" s="624"/>
      <c r="AY573" s="624"/>
      <c r="AZ573" s="624"/>
      <c r="BA573" s="624"/>
      <c r="BB573" s="624"/>
      <c r="BC573" s="624"/>
      <c r="BD573" s="624"/>
      <c r="BE573" s="624"/>
    </row>
    <row r="574" ht="16.5" customHeight="1">
      <c r="A574" s="711"/>
      <c r="B574" s="711"/>
      <c r="C574" s="711"/>
      <c r="D574" s="711"/>
      <c r="E574" s="711"/>
      <c r="F574" s="711"/>
      <c r="G574" s="711"/>
      <c r="H574" s="711"/>
      <c r="I574" s="711"/>
      <c r="J574" s="711"/>
      <c r="K574" s="741"/>
      <c r="L574" s="741"/>
      <c r="M574" s="788"/>
      <c r="N574" s="741"/>
      <c r="O574" s="741"/>
      <c r="P574" s="741"/>
      <c r="Q574" s="741"/>
      <c r="R574" s="788"/>
      <c r="S574" s="819"/>
      <c r="T574" s="820"/>
      <c r="U574" s="819"/>
      <c r="V574" s="820"/>
      <c r="W574" s="788"/>
      <c r="X574" s="803"/>
      <c r="Y574" s="803"/>
      <c r="Z574" s="803"/>
      <c r="AA574" s="711"/>
      <c r="AB574" s="711"/>
      <c r="AC574" s="711"/>
      <c r="AD574" s="736"/>
      <c r="AE574" s="736"/>
      <c r="AF574" s="624"/>
      <c r="AG574" s="624"/>
      <c r="AH574" s="624"/>
      <c r="AI574" s="624"/>
      <c r="AJ574" s="960">
        <f t="shared" si="6"/>
        <v>574</v>
      </c>
      <c r="AK574" s="961">
        <v>0.9634</v>
      </c>
      <c r="AL574" s="962">
        <v>41845.0</v>
      </c>
      <c r="AM574" s="963">
        <v>-0.8675430490107513</v>
      </c>
      <c r="AN574" s="964">
        <v>-0.036599999999999966</v>
      </c>
      <c r="AO574" s="962">
        <v>41845.0</v>
      </c>
      <c r="AP574" s="965">
        <v>-0.8610749576140913</v>
      </c>
      <c r="AQ574" s="962">
        <v>41845.0</v>
      </c>
      <c r="AR574" s="966">
        <v>-0.854610802810262</v>
      </c>
      <c r="AS574" s="624"/>
      <c r="AT574" s="624"/>
      <c r="AU574" s="624"/>
      <c r="AV574" s="624"/>
      <c r="AW574" s="624"/>
      <c r="AX574" s="624"/>
      <c r="AY574" s="624"/>
      <c r="AZ574" s="624"/>
      <c r="BA574" s="624"/>
      <c r="BB574" s="624"/>
      <c r="BC574" s="624"/>
      <c r="BD574" s="624"/>
      <c r="BE574" s="624"/>
    </row>
    <row r="575" ht="16.5" customHeight="1">
      <c r="A575" s="711"/>
      <c r="B575" s="711"/>
      <c r="C575" s="711"/>
      <c r="D575" s="711"/>
      <c r="E575" s="711"/>
      <c r="F575" s="711"/>
      <c r="G575" s="711"/>
      <c r="H575" s="711"/>
      <c r="I575" s="711"/>
      <c r="J575" s="711"/>
      <c r="K575" s="741"/>
      <c r="L575" s="741"/>
      <c r="M575" s="788"/>
      <c r="N575" s="741"/>
      <c r="O575" s="741"/>
      <c r="P575" s="741"/>
      <c r="Q575" s="741"/>
      <c r="R575" s="788"/>
      <c r="S575" s="819"/>
      <c r="T575" s="820"/>
      <c r="U575" s="819"/>
      <c r="V575" s="820"/>
      <c r="W575" s="788"/>
      <c r="X575" s="803"/>
      <c r="Y575" s="803"/>
      <c r="Z575" s="803"/>
      <c r="AA575" s="711"/>
      <c r="AB575" s="711"/>
      <c r="AC575" s="711"/>
      <c r="AD575" s="736"/>
      <c r="AE575" s="736"/>
      <c r="AF575" s="624"/>
      <c r="AG575" s="624"/>
      <c r="AH575" s="624"/>
      <c r="AI575" s="624"/>
      <c r="AJ575" s="960">
        <f t="shared" si="6"/>
        <v>575</v>
      </c>
      <c r="AK575" s="961">
        <v>0.9543</v>
      </c>
      <c r="AL575" s="962">
        <v>41628.0</v>
      </c>
      <c r="AM575" s="963">
        <v>-0.866147186943751</v>
      </c>
      <c r="AN575" s="964">
        <v>-0.04569999999999996</v>
      </c>
      <c r="AO575" s="962">
        <v>41628.0</v>
      </c>
      <c r="AP575" s="965">
        <v>-0.8596456391856326</v>
      </c>
      <c r="AQ575" s="962">
        <v>41628.0</v>
      </c>
      <c r="AR575" s="966">
        <v>-0.853149617086272</v>
      </c>
      <c r="AS575" s="624"/>
      <c r="AT575" s="624"/>
      <c r="AU575" s="624"/>
      <c r="AV575" s="624"/>
      <c r="AW575" s="624"/>
      <c r="AX575" s="624"/>
      <c r="AY575" s="624"/>
      <c r="AZ575" s="624"/>
      <c r="BA575" s="624"/>
      <c r="BB575" s="624"/>
      <c r="BC575" s="624"/>
      <c r="BD575" s="624"/>
      <c r="BE575" s="624"/>
    </row>
    <row r="576" ht="16.5" customHeight="1">
      <c r="A576" s="711"/>
      <c r="B576" s="711"/>
      <c r="C576" s="711"/>
      <c r="D576" s="711"/>
      <c r="E576" s="711"/>
      <c r="F576" s="711"/>
      <c r="G576" s="711"/>
      <c r="H576" s="711"/>
      <c r="I576" s="711"/>
      <c r="J576" s="711"/>
      <c r="K576" s="741"/>
      <c r="L576" s="741"/>
      <c r="M576" s="788"/>
      <c r="N576" s="741"/>
      <c r="O576" s="741"/>
      <c r="P576" s="741"/>
      <c r="Q576" s="741"/>
      <c r="R576" s="788"/>
      <c r="S576" s="819"/>
      <c r="T576" s="820"/>
      <c r="U576" s="819"/>
      <c r="V576" s="820"/>
      <c r="W576" s="788"/>
      <c r="X576" s="803"/>
      <c r="Y576" s="803"/>
      <c r="Z576" s="803"/>
      <c r="AA576" s="711"/>
      <c r="AB576" s="711"/>
      <c r="AC576" s="711"/>
      <c r="AD576" s="736"/>
      <c r="AE576" s="736"/>
      <c r="AF576" s="624"/>
      <c r="AG576" s="624"/>
      <c r="AH576" s="624"/>
      <c r="AI576" s="624"/>
      <c r="AJ576" s="960">
        <f t="shared" si="6"/>
        <v>576</v>
      </c>
      <c r="AK576" s="961">
        <v>0.9771</v>
      </c>
      <c r="AL576" s="962">
        <v>41500.0</v>
      </c>
      <c r="AM576" s="963">
        <v>-0.8653169337304693</v>
      </c>
      <c r="AN576" s="964">
        <v>-0.02290000000000003</v>
      </c>
      <c r="AO576" s="962">
        <v>41500.0</v>
      </c>
      <c r="AP576" s="965">
        <v>-0.858795653216526</v>
      </c>
      <c r="AQ576" s="962">
        <v>41500.0</v>
      </c>
      <c r="AR576" s="966">
        <v>-0.852280843082253</v>
      </c>
      <c r="AS576" s="624"/>
      <c r="AT576" s="624"/>
      <c r="AU576" s="624"/>
      <c r="AV576" s="624"/>
      <c r="AW576" s="624"/>
      <c r="AX576" s="624"/>
      <c r="AY576" s="624"/>
      <c r="AZ576" s="624"/>
      <c r="BA576" s="624"/>
      <c r="BB576" s="624"/>
      <c r="BC576" s="624"/>
      <c r="BD576" s="624"/>
      <c r="BE576" s="624"/>
    </row>
    <row r="577" ht="16.5" customHeight="1">
      <c r="A577" s="711"/>
      <c r="B577" s="711"/>
      <c r="C577" s="711"/>
      <c r="D577" s="711"/>
      <c r="E577" s="711"/>
      <c r="F577" s="711"/>
      <c r="G577" s="711"/>
      <c r="H577" s="711"/>
      <c r="I577" s="711"/>
      <c r="J577" s="711"/>
      <c r="K577" s="741"/>
      <c r="L577" s="741"/>
      <c r="M577" s="788"/>
      <c r="N577" s="741"/>
      <c r="O577" s="741"/>
      <c r="P577" s="741"/>
      <c r="Q577" s="741"/>
      <c r="R577" s="788"/>
      <c r="S577" s="819"/>
      <c r="T577" s="820"/>
      <c r="U577" s="819"/>
      <c r="V577" s="820"/>
      <c r="W577" s="788"/>
      <c r="X577" s="803"/>
      <c r="Y577" s="803"/>
      <c r="Z577" s="803"/>
      <c r="AA577" s="711"/>
      <c r="AB577" s="711"/>
      <c r="AC577" s="711"/>
      <c r="AD577" s="736"/>
      <c r="AE577" s="736"/>
      <c r="AF577" s="624"/>
      <c r="AG577" s="624"/>
      <c r="AH577" s="624"/>
      <c r="AI577" s="624"/>
      <c r="AJ577" s="960">
        <f t="shared" si="6"/>
        <v>577</v>
      </c>
      <c r="AK577" s="961">
        <v>0.9851</v>
      </c>
      <c r="AL577" s="962">
        <v>41476.0</v>
      </c>
      <c r="AM577" s="963">
        <v>-0.8651606888915209</v>
      </c>
      <c r="AN577" s="964">
        <v>-0.014900000000000024</v>
      </c>
      <c r="AO577" s="962">
        <v>41476.0</v>
      </c>
      <c r="AP577" s="965">
        <v>-0.8586357087214974</v>
      </c>
      <c r="AQ577" s="962">
        <v>41476.0</v>
      </c>
      <c r="AR577" s="966">
        <v>-0.8521173766766628</v>
      </c>
      <c r="AS577" s="624"/>
      <c r="AT577" s="624"/>
      <c r="AU577" s="624"/>
      <c r="AV577" s="624"/>
      <c r="AW577" s="624"/>
      <c r="AX577" s="624"/>
      <c r="AY577" s="624"/>
      <c r="AZ577" s="624"/>
      <c r="BA577" s="624"/>
      <c r="BB577" s="624"/>
      <c r="BC577" s="624"/>
      <c r="BD577" s="624"/>
      <c r="BE577" s="624"/>
    </row>
    <row r="578" ht="16.5" customHeight="1">
      <c r="A578" s="711"/>
      <c r="B578" s="711"/>
      <c r="C578" s="711"/>
      <c r="D578" s="711"/>
      <c r="E578" s="711"/>
      <c r="F578" s="711"/>
      <c r="G578" s="711"/>
      <c r="H578" s="711"/>
      <c r="I578" s="711"/>
      <c r="J578" s="711"/>
      <c r="K578" s="741"/>
      <c r="L578" s="741"/>
      <c r="M578" s="788"/>
      <c r="N578" s="741"/>
      <c r="O578" s="741"/>
      <c r="P578" s="741"/>
      <c r="Q578" s="741"/>
      <c r="R578" s="788"/>
      <c r="S578" s="819"/>
      <c r="T578" s="820"/>
      <c r="U578" s="819"/>
      <c r="V578" s="820"/>
      <c r="W578" s="788"/>
      <c r="X578" s="803"/>
      <c r="Y578" s="803"/>
      <c r="Z578" s="803"/>
      <c r="AA578" s="711"/>
      <c r="AB578" s="711"/>
      <c r="AC578" s="711"/>
      <c r="AD578" s="736"/>
      <c r="AE578" s="736"/>
      <c r="AF578" s="624"/>
      <c r="AG578" s="624"/>
      <c r="AH578" s="624"/>
      <c r="AI578" s="624"/>
      <c r="AJ578" s="960">
        <f t="shared" si="6"/>
        <v>578</v>
      </c>
      <c r="AK578" s="961">
        <v>0.948</v>
      </c>
      <c r="AL578" s="962">
        <v>41383.0</v>
      </c>
      <c r="AM578" s="963">
        <v>-0.864553526193073</v>
      </c>
      <c r="AN578" s="964">
        <v>-0.052000000000000046</v>
      </c>
      <c r="AO578" s="962">
        <v>41383.0</v>
      </c>
      <c r="AP578" s="965">
        <v>-0.8580142107207201</v>
      </c>
      <c r="AQ578" s="962">
        <v>41383.0</v>
      </c>
      <c r="AR578" s="966">
        <v>-0.851482233957321</v>
      </c>
      <c r="AS578" s="624"/>
      <c r="AT578" s="624"/>
      <c r="AU578" s="624"/>
      <c r="AV578" s="624"/>
      <c r="AW578" s="624"/>
      <c r="AX578" s="624"/>
      <c r="AY578" s="624"/>
      <c r="AZ578" s="624"/>
      <c r="BA578" s="624"/>
      <c r="BB578" s="624"/>
      <c r="BC578" s="624"/>
      <c r="BD578" s="624"/>
      <c r="BE578" s="624"/>
    </row>
    <row r="579" ht="16.5" customHeight="1">
      <c r="A579" s="711"/>
      <c r="B579" s="711"/>
      <c r="C579" s="711"/>
      <c r="D579" s="711"/>
      <c r="E579" s="711"/>
      <c r="F579" s="711"/>
      <c r="G579" s="711"/>
      <c r="H579" s="711"/>
      <c r="I579" s="711"/>
      <c r="J579" s="711"/>
      <c r="K579" s="741"/>
      <c r="L579" s="741"/>
      <c r="M579" s="788"/>
      <c r="N579" s="741"/>
      <c r="O579" s="741"/>
      <c r="P579" s="741"/>
      <c r="Q579" s="741"/>
      <c r="R579" s="788"/>
      <c r="S579" s="819"/>
      <c r="T579" s="820"/>
      <c r="U579" s="819"/>
      <c r="V579" s="820"/>
      <c r="W579" s="788"/>
      <c r="X579" s="803"/>
      <c r="Y579" s="803"/>
      <c r="Z579" s="803"/>
      <c r="AA579" s="711"/>
      <c r="AB579" s="711"/>
      <c r="AC579" s="711"/>
      <c r="AD579" s="736"/>
      <c r="AE579" s="736"/>
      <c r="AF579" s="624"/>
      <c r="AG579" s="624"/>
      <c r="AH579" s="624"/>
      <c r="AI579" s="624"/>
      <c r="AJ579" s="960">
        <f t="shared" si="6"/>
        <v>579</v>
      </c>
      <c r="AK579" s="961">
        <v>0.9395</v>
      </c>
      <c r="AL579" s="962">
        <v>41187.0</v>
      </c>
      <c r="AM579" s="963">
        <v>-0.8632649469491744</v>
      </c>
      <c r="AN579" s="964">
        <v>-0.0605</v>
      </c>
      <c r="AO579" s="962">
        <v>41187.0</v>
      </c>
      <c r="AP579" s="965">
        <v>-0.8566954250343355</v>
      </c>
      <c r="AQ579" s="962">
        <v>41187.0</v>
      </c>
      <c r="AR579" s="966">
        <v>-0.8501347067215028</v>
      </c>
      <c r="AS579" s="624"/>
      <c r="AT579" s="624"/>
      <c r="AU579" s="624"/>
      <c r="AV579" s="624"/>
      <c r="AW579" s="624"/>
      <c r="AX579" s="624"/>
      <c r="AY579" s="624"/>
      <c r="AZ579" s="624"/>
      <c r="BA579" s="624"/>
      <c r="BB579" s="624"/>
      <c r="BC579" s="624"/>
      <c r="BD579" s="624"/>
      <c r="BE579" s="624"/>
    </row>
    <row r="580" ht="16.5" customHeight="1">
      <c r="A580" s="711"/>
      <c r="B580" s="711"/>
      <c r="C580" s="711"/>
      <c r="D580" s="711"/>
      <c r="E580" s="711"/>
      <c r="F580" s="711"/>
      <c r="G580" s="711"/>
      <c r="H580" s="711"/>
      <c r="I580" s="711"/>
      <c r="J580" s="711"/>
      <c r="K580" s="741"/>
      <c r="L580" s="741"/>
      <c r="M580" s="788"/>
      <c r="N580" s="741"/>
      <c r="O580" s="741"/>
      <c r="P580" s="741"/>
      <c r="Q580" s="741"/>
      <c r="R580" s="788"/>
      <c r="S580" s="819"/>
      <c r="T580" s="820"/>
      <c r="U580" s="819"/>
      <c r="V580" s="820"/>
      <c r="W580" s="788"/>
      <c r="X580" s="803"/>
      <c r="Y580" s="803"/>
      <c r="Z580" s="803"/>
      <c r="AA580" s="711"/>
      <c r="AB580" s="711"/>
      <c r="AC580" s="711"/>
      <c r="AD580" s="736"/>
      <c r="AE580" s="736"/>
      <c r="AF580" s="624"/>
      <c r="AG580" s="624"/>
      <c r="AH580" s="624"/>
      <c r="AI580" s="624"/>
      <c r="AJ580" s="960">
        <f t="shared" si="6"/>
        <v>580</v>
      </c>
      <c r="AK580" s="961">
        <v>0.8857</v>
      </c>
      <c r="AL580" s="962">
        <v>41038.0</v>
      </c>
      <c r="AM580" s="963">
        <v>-0.8622771680046197</v>
      </c>
      <c r="AN580" s="964">
        <v>-0.11429999999999996</v>
      </c>
      <c r="AO580" s="962">
        <v>41038.0</v>
      </c>
      <c r="AP580" s="965">
        <v>-0.8556846895031052</v>
      </c>
      <c r="AQ580" s="962">
        <v>41038.0</v>
      </c>
      <c r="AR580" s="966">
        <v>-0.8491021368080005</v>
      </c>
      <c r="AS580" s="624"/>
      <c r="AT580" s="624"/>
      <c r="AU580" s="624"/>
      <c r="AV580" s="624"/>
      <c r="AW580" s="624"/>
      <c r="AX580" s="624"/>
      <c r="AY580" s="624"/>
      <c r="AZ580" s="624"/>
      <c r="BA580" s="624"/>
      <c r="BB580" s="624"/>
      <c r="BC580" s="624"/>
      <c r="BD580" s="624"/>
      <c r="BE580" s="624"/>
    </row>
    <row r="581" ht="16.5" customHeight="1">
      <c r="A581" s="711"/>
      <c r="B581" s="711"/>
      <c r="C581" s="711"/>
      <c r="D581" s="711"/>
      <c r="E581" s="711"/>
      <c r="F581" s="711"/>
      <c r="G581" s="711"/>
      <c r="H581" s="711"/>
      <c r="I581" s="711"/>
      <c r="J581" s="711"/>
      <c r="K581" s="741"/>
      <c r="L581" s="741"/>
      <c r="M581" s="788"/>
      <c r="N581" s="741"/>
      <c r="O581" s="741"/>
      <c r="P581" s="741"/>
      <c r="Q581" s="741"/>
      <c r="R581" s="788"/>
      <c r="S581" s="819"/>
      <c r="T581" s="820"/>
      <c r="U581" s="819"/>
      <c r="V581" s="820"/>
      <c r="W581" s="788"/>
      <c r="X581" s="803"/>
      <c r="Y581" s="803"/>
      <c r="Z581" s="803"/>
      <c r="AA581" s="711"/>
      <c r="AB581" s="711"/>
      <c r="AC581" s="711"/>
      <c r="AD581" s="736"/>
      <c r="AE581" s="736"/>
      <c r="AF581" s="624"/>
      <c r="AG581" s="624"/>
      <c r="AH581" s="624"/>
      <c r="AI581" s="624"/>
      <c r="AJ581" s="960">
        <f t="shared" si="6"/>
        <v>581</v>
      </c>
      <c r="AK581" s="961">
        <v>0.9492</v>
      </c>
      <c r="AL581" s="962">
        <v>41000.0</v>
      </c>
      <c r="AM581" s="963">
        <v>-0.862024111278893</v>
      </c>
      <c r="AN581" s="964">
        <v>-0.050799999999999956</v>
      </c>
      <c r="AO581" s="962">
        <v>41000.0</v>
      </c>
      <c r="AP581" s="965">
        <v>-0.8554257791433828</v>
      </c>
      <c r="AQ581" s="962">
        <v>41000.0</v>
      </c>
      <c r="AR581" s="966">
        <v>-0.8488376602001554</v>
      </c>
      <c r="AS581" s="624"/>
      <c r="AT581" s="624"/>
      <c r="AU581" s="624"/>
      <c r="AV581" s="624"/>
      <c r="AW581" s="624"/>
      <c r="AX581" s="624"/>
      <c r="AY581" s="624"/>
      <c r="AZ581" s="624"/>
      <c r="BA581" s="624"/>
      <c r="BB581" s="624"/>
      <c r="BC581" s="624"/>
      <c r="BD581" s="624"/>
      <c r="BE581" s="624"/>
    </row>
    <row r="582" ht="16.5" customHeight="1">
      <c r="A582" s="711"/>
      <c r="B582" s="711"/>
      <c r="C582" s="711"/>
      <c r="D582" s="711"/>
      <c r="E582" s="711"/>
      <c r="F582" s="711"/>
      <c r="G582" s="711"/>
      <c r="H582" s="711"/>
      <c r="I582" s="711"/>
      <c r="J582" s="711"/>
      <c r="K582" s="741"/>
      <c r="L582" s="741"/>
      <c r="M582" s="788"/>
      <c r="N582" s="741"/>
      <c r="O582" s="741"/>
      <c r="P582" s="741"/>
      <c r="Q582" s="741"/>
      <c r="R582" s="788"/>
      <c r="S582" s="819"/>
      <c r="T582" s="820"/>
      <c r="U582" s="819"/>
      <c r="V582" s="820"/>
      <c r="W582" s="788"/>
      <c r="X582" s="803"/>
      <c r="Y582" s="803"/>
      <c r="Z582" s="803"/>
      <c r="AA582" s="711"/>
      <c r="AB582" s="711"/>
      <c r="AC582" s="711"/>
      <c r="AD582" s="736"/>
      <c r="AE582" s="736"/>
      <c r="AF582" s="624"/>
      <c r="AG582" s="624"/>
      <c r="AH582" s="624"/>
      <c r="AI582" s="624"/>
      <c r="AJ582" s="960">
        <f t="shared" si="6"/>
        <v>582</v>
      </c>
      <c r="AK582" s="961">
        <v>0.9624</v>
      </c>
      <c r="AL582" s="962">
        <v>41000.0</v>
      </c>
      <c r="AM582" s="963">
        <v>-0.862024111278893</v>
      </c>
      <c r="AN582" s="964">
        <v>-0.03759999999999997</v>
      </c>
      <c r="AO582" s="962">
        <v>41000.0</v>
      </c>
      <c r="AP582" s="965">
        <v>-0.8554257791433828</v>
      </c>
      <c r="AQ582" s="962">
        <v>41000.0</v>
      </c>
      <c r="AR582" s="966">
        <v>-0.8488376602001554</v>
      </c>
      <c r="AS582" s="624"/>
      <c r="AT582" s="624"/>
      <c r="AU582" s="624"/>
      <c r="AV582" s="624"/>
      <c r="AW582" s="624"/>
      <c r="AX582" s="624"/>
      <c r="AY582" s="624"/>
      <c r="AZ582" s="624"/>
      <c r="BA582" s="624"/>
      <c r="BB582" s="624"/>
      <c r="BC582" s="624"/>
      <c r="BD582" s="624"/>
      <c r="BE582" s="624"/>
    </row>
    <row r="583" ht="16.5" customHeight="1">
      <c r="A583" s="711"/>
      <c r="B583" s="711"/>
      <c r="C583" s="711"/>
      <c r="D583" s="711"/>
      <c r="E583" s="711"/>
      <c r="F583" s="711"/>
      <c r="G583" s="711"/>
      <c r="H583" s="711"/>
      <c r="I583" s="711"/>
      <c r="J583" s="711"/>
      <c r="K583" s="741"/>
      <c r="L583" s="741"/>
      <c r="M583" s="788"/>
      <c r="N583" s="741"/>
      <c r="O583" s="741"/>
      <c r="P583" s="741"/>
      <c r="Q583" s="741"/>
      <c r="R583" s="788"/>
      <c r="S583" s="819"/>
      <c r="T583" s="820"/>
      <c r="U583" s="819"/>
      <c r="V583" s="820"/>
      <c r="W583" s="788"/>
      <c r="X583" s="803"/>
      <c r="Y583" s="803"/>
      <c r="Z583" s="803"/>
      <c r="AA583" s="711"/>
      <c r="AB583" s="711"/>
      <c r="AC583" s="711"/>
      <c r="AD583" s="736"/>
      <c r="AE583" s="736"/>
      <c r="AF583" s="624"/>
      <c r="AG583" s="624"/>
      <c r="AH583" s="624"/>
      <c r="AI583" s="624"/>
      <c r="AJ583" s="960">
        <f t="shared" si="6"/>
        <v>583</v>
      </c>
      <c r="AK583" s="961">
        <v>1.0208</v>
      </c>
      <c r="AL583" s="962">
        <v>40750.0</v>
      </c>
      <c r="AM583" s="963">
        <v>-0.8603476325249698</v>
      </c>
      <c r="AN583" s="964">
        <v>0.02079999999999993</v>
      </c>
      <c r="AO583" s="962">
        <v>40750.0</v>
      </c>
      <c r="AP583" s="965">
        <v>-0.8537108024465219</v>
      </c>
      <c r="AQ583" s="962">
        <v>40750.0</v>
      </c>
      <c r="AR583" s="966">
        <v>-0.8470860882628798</v>
      </c>
      <c r="AS583" s="624"/>
      <c r="AT583" s="624"/>
      <c r="AU583" s="624"/>
      <c r="AV583" s="624"/>
      <c r="AW583" s="624"/>
      <c r="AX583" s="624"/>
      <c r="AY583" s="624"/>
      <c r="AZ583" s="624"/>
      <c r="BA583" s="624"/>
      <c r="BB583" s="624"/>
      <c r="BC583" s="624"/>
      <c r="BD583" s="624"/>
      <c r="BE583" s="624"/>
    </row>
    <row r="584" ht="16.5" customHeight="1">
      <c r="A584" s="711"/>
      <c r="B584" s="711"/>
      <c r="C584" s="711"/>
      <c r="D584" s="711"/>
      <c r="E584" s="711"/>
      <c r="F584" s="711"/>
      <c r="G584" s="711"/>
      <c r="H584" s="711"/>
      <c r="I584" s="711"/>
      <c r="J584" s="711"/>
      <c r="K584" s="741"/>
      <c r="L584" s="741"/>
      <c r="M584" s="788"/>
      <c r="N584" s="741"/>
      <c r="O584" s="741"/>
      <c r="P584" s="741"/>
      <c r="Q584" s="741"/>
      <c r="R584" s="788"/>
      <c r="S584" s="819"/>
      <c r="T584" s="820"/>
      <c r="U584" s="819"/>
      <c r="V584" s="820"/>
      <c r="W584" s="788"/>
      <c r="X584" s="803"/>
      <c r="Y584" s="803"/>
      <c r="Z584" s="803"/>
      <c r="AA584" s="711"/>
      <c r="AB584" s="711"/>
      <c r="AC584" s="711"/>
      <c r="AD584" s="736"/>
      <c r="AE584" s="736"/>
      <c r="AF584" s="624"/>
      <c r="AG584" s="624"/>
      <c r="AH584" s="624"/>
      <c r="AI584" s="624"/>
      <c r="AJ584" s="960">
        <f t="shared" si="6"/>
        <v>584</v>
      </c>
      <c r="AK584" s="961">
        <v>0.9554</v>
      </c>
      <c r="AL584" s="962">
        <v>40689.0</v>
      </c>
      <c r="AM584" s="963">
        <v>-0.859935489597365</v>
      </c>
      <c r="AN584" s="964">
        <v>-0.04459999999999997</v>
      </c>
      <c r="AO584" s="962">
        <v>40689.0</v>
      </c>
      <c r="AP584" s="965">
        <v>-0.8532892698224549</v>
      </c>
      <c r="AQ584" s="962">
        <v>40689.0</v>
      </c>
      <c r="AR584" s="966">
        <v>-0.8466556333624458</v>
      </c>
      <c r="AS584" s="624"/>
      <c r="AT584" s="624"/>
      <c r="AU584" s="624"/>
      <c r="AV584" s="624"/>
      <c r="AW584" s="624"/>
      <c r="AX584" s="624"/>
      <c r="AY584" s="624"/>
      <c r="AZ584" s="624"/>
      <c r="BA584" s="624"/>
      <c r="BB584" s="624"/>
      <c r="BC584" s="624"/>
      <c r="BD584" s="624"/>
      <c r="BE584" s="624"/>
    </row>
    <row r="585" ht="16.5" customHeight="1">
      <c r="A585" s="711"/>
      <c r="B585" s="711"/>
      <c r="C585" s="711"/>
      <c r="D585" s="711"/>
      <c r="E585" s="711"/>
      <c r="F585" s="711"/>
      <c r="G585" s="711"/>
      <c r="H585" s="711"/>
      <c r="I585" s="711"/>
      <c r="J585" s="711"/>
      <c r="K585" s="741"/>
      <c r="L585" s="741"/>
      <c r="M585" s="788"/>
      <c r="N585" s="741"/>
      <c r="O585" s="741"/>
      <c r="P585" s="741"/>
      <c r="Q585" s="741"/>
      <c r="R585" s="788"/>
      <c r="S585" s="819"/>
      <c r="T585" s="820"/>
      <c r="U585" s="819"/>
      <c r="V585" s="820"/>
      <c r="W585" s="788"/>
      <c r="X585" s="803"/>
      <c r="Y585" s="803"/>
      <c r="Z585" s="803"/>
      <c r="AA585" s="711"/>
      <c r="AB585" s="711"/>
      <c r="AC585" s="711"/>
      <c r="AD585" s="736"/>
      <c r="AE585" s="736"/>
      <c r="AF585" s="624"/>
      <c r="AG585" s="624"/>
      <c r="AH585" s="624"/>
      <c r="AI585" s="624"/>
      <c r="AJ585" s="960">
        <f t="shared" si="6"/>
        <v>585</v>
      </c>
      <c r="AK585" s="961">
        <v>0.9649</v>
      </c>
      <c r="AL585" s="962">
        <v>40670.0</v>
      </c>
      <c r="AM585" s="963">
        <v>-0.8598068689496896</v>
      </c>
      <c r="AN585" s="964">
        <v>-0.03510000000000002</v>
      </c>
      <c r="AO585" s="962">
        <v>40670.0</v>
      </c>
      <c r="AP585" s="965">
        <v>-0.8531577248524586</v>
      </c>
      <c r="AQ585" s="962">
        <v>40670.0</v>
      </c>
      <c r="AR585" s="966">
        <v>-0.8465213099130141</v>
      </c>
      <c r="AS585" s="624"/>
      <c r="AT585" s="624"/>
      <c r="AU585" s="624"/>
      <c r="AV585" s="624"/>
      <c r="AW585" s="624"/>
      <c r="AX585" s="624"/>
      <c r="AY585" s="624"/>
      <c r="AZ585" s="624"/>
      <c r="BA585" s="624"/>
      <c r="BB585" s="624"/>
      <c r="BC585" s="624"/>
      <c r="BD585" s="624"/>
      <c r="BE585" s="624"/>
    </row>
    <row r="586" ht="16.5" customHeight="1">
      <c r="A586" s="711"/>
      <c r="B586" s="711"/>
      <c r="C586" s="711"/>
      <c r="D586" s="711"/>
      <c r="E586" s="711"/>
      <c r="F586" s="711"/>
      <c r="G586" s="711"/>
      <c r="H586" s="711"/>
      <c r="I586" s="711"/>
      <c r="J586" s="711"/>
      <c r="K586" s="741"/>
      <c r="L586" s="741"/>
      <c r="M586" s="788"/>
      <c r="N586" s="741"/>
      <c r="O586" s="741"/>
      <c r="P586" s="741"/>
      <c r="Q586" s="741"/>
      <c r="R586" s="788"/>
      <c r="S586" s="819"/>
      <c r="T586" s="820"/>
      <c r="U586" s="819"/>
      <c r="V586" s="820"/>
      <c r="W586" s="788"/>
      <c r="X586" s="803"/>
      <c r="Y586" s="803"/>
      <c r="Z586" s="803"/>
      <c r="AA586" s="711"/>
      <c r="AB586" s="711"/>
      <c r="AC586" s="711"/>
      <c r="AD586" s="736"/>
      <c r="AE586" s="736"/>
      <c r="AF586" s="624"/>
      <c r="AG586" s="624"/>
      <c r="AH586" s="624"/>
      <c r="AI586" s="624"/>
      <c r="AJ586" s="960">
        <f t="shared" si="6"/>
        <v>586</v>
      </c>
      <c r="AK586" s="961">
        <v>0.967</v>
      </c>
      <c r="AL586" s="962">
        <v>40619.0</v>
      </c>
      <c r="AM586" s="963">
        <v>-0.8594610397367759</v>
      </c>
      <c r="AN586" s="964">
        <v>-0.03300000000000003</v>
      </c>
      <c r="AO586" s="962">
        <v>40619.0</v>
      </c>
      <c r="AP586" s="965">
        <v>-0.8528040469655426</v>
      </c>
      <c r="AQ586" s="962">
        <v>40619.0</v>
      </c>
      <c r="AR586" s="966">
        <v>-0.8461601754191502</v>
      </c>
      <c r="AS586" s="624"/>
      <c r="AT586" s="624"/>
      <c r="AU586" s="624"/>
      <c r="AV586" s="624"/>
      <c r="AW586" s="624"/>
      <c r="AX586" s="624"/>
      <c r="AY586" s="624"/>
      <c r="AZ586" s="624"/>
      <c r="BA586" s="624"/>
      <c r="BB586" s="624"/>
      <c r="BC586" s="624"/>
      <c r="BD586" s="624"/>
      <c r="BE586" s="624"/>
    </row>
    <row r="587" ht="16.5" customHeight="1">
      <c r="A587" s="711"/>
      <c r="B587" s="711"/>
      <c r="C587" s="711"/>
      <c r="D587" s="711"/>
      <c r="E587" s="711"/>
      <c r="F587" s="711"/>
      <c r="G587" s="711"/>
      <c r="H587" s="711"/>
      <c r="I587" s="711"/>
      <c r="J587" s="711"/>
      <c r="K587" s="741"/>
      <c r="L587" s="741"/>
      <c r="M587" s="788"/>
      <c r="N587" s="741"/>
      <c r="O587" s="741"/>
      <c r="P587" s="741"/>
      <c r="Q587" s="741"/>
      <c r="R587" s="788"/>
      <c r="S587" s="819"/>
      <c r="T587" s="820"/>
      <c r="U587" s="819"/>
      <c r="V587" s="820"/>
      <c r="W587" s="788"/>
      <c r="X587" s="803"/>
      <c r="Y587" s="803"/>
      <c r="Z587" s="803"/>
      <c r="AA587" s="711"/>
      <c r="AB587" s="711"/>
      <c r="AC587" s="711"/>
      <c r="AD587" s="736"/>
      <c r="AE587" s="736"/>
      <c r="AF587" s="624"/>
      <c r="AG587" s="624"/>
      <c r="AH587" s="624"/>
      <c r="AI587" s="624"/>
      <c r="AJ587" s="960">
        <f t="shared" si="6"/>
        <v>587</v>
      </c>
      <c r="AK587" s="961">
        <v>0.9441</v>
      </c>
      <c r="AL587" s="962">
        <v>40592.0</v>
      </c>
      <c r="AM587" s="963">
        <v>-0.85927760844638</v>
      </c>
      <c r="AN587" s="964">
        <v>-0.05589999999999995</v>
      </c>
      <c r="AO587" s="962">
        <v>40592.0</v>
      </c>
      <c r="AP587" s="965">
        <v>-0.8526164609936081</v>
      </c>
      <c r="AQ587" s="962">
        <v>40592.0</v>
      </c>
      <c r="AR587" s="966">
        <v>-0.845968642680927</v>
      </c>
      <c r="AS587" s="624"/>
      <c r="AT587" s="624"/>
      <c r="AU587" s="624"/>
      <c r="AV587" s="624"/>
      <c r="AW587" s="624"/>
      <c r="AX587" s="624"/>
      <c r="AY587" s="624"/>
      <c r="AZ587" s="624"/>
      <c r="BA587" s="624"/>
      <c r="BB587" s="624"/>
      <c r="BC587" s="624"/>
      <c r="BD587" s="624"/>
      <c r="BE587" s="624"/>
    </row>
    <row r="588" ht="16.5" customHeight="1">
      <c r="A588" s="711"/>
      <c r="B588" s="711"/>
      <c r="C588" s="711"/>
      <c r="D588" s="711"/>
      <c r="E588" s="711"/>
      <c r="F588" s="711"/>
      <c r="G588" s="711"/>
      <c r="H588" s="711"/>
      <c r="I588" s="711"/>
      <c r="J588" s="711"/>
      <c r="K588" s="741"/>
      <c r="L588" s="741"/>
      <c r="M588" s="788"/>
      <c r="N588" s="741"/>
      <c r="O588" s="741"/>
      <c r="P588" s="741"/>
      <c r="Q588" s="741"/>
      <c r="R588" s="788"/>
      <c r="S588" s="819"/>
      <c r="T588" s="820"/>
      <c r="U588" s="819"/>
      <c r="V588" s="820"/>
      <c r="W588" s="788"/>
      <c r="X588" s="803"/>
      <c r="Y588" s="803"/>
      <c r="Z588" s="803"/>
      <c r="AA588" s="711"/>
      <c r="AB588" s="711"/>
      <c r="AC588" s="711"/>
      <c r="AD588" s="736"/>
      <c r="AE588" s="736"/>
      <c r="AF588" s="624"/>
      <c r="AG588" s="624"/>
      <c r="AH588" s="624"/>
      <c r="AI588" s="624"/>
      <c r="AJ588" s="960">
        <f t="shared" si="6"/>
        <v>588</v>
      </c>
      <c r="AK588" s="961">
        <v>0.9198</v>
      </c>
      <c r="AL588" s="962">
        <v>40532.0</v>
      </c>
      <c r="AM588" s="963">
        <v>-0.8588691257384371</v>
      </c>
      <c r="AN588" s="964">
        <v>-0.08020000000000005</v>
      </c>
      <c r="AO588" s="962">
        <v>40532.0</v>
      </c>
      <c r="AP588" s="965">
        <v>-0.852198746944041</v>
      </c>
      <c r="AQ588" s="962">
        <v>40532.0</v>
      </c>
      <c r="AR588" s="966">
        <v>-0.8455421601916295</v>
      </c>
      <c r="AS588" s="624"/>
      <c r="AT588" s="624"/>
      <c r="AU588" s="624"/>
      <c r="AV588" s="624"/>
      <c r="AW588" s="624"/>
      <c r="AX588" s="624"/>
      <c r="AY588" s="624"/>
      <c r="AZ588" s="624"/>
      <c r="BA588" s="624"/>
      <c r="BB588" s="624"/>
      <c r="BC588" s="624"/>
      <c r="BD588" s="624"/>
      <c r="BE588" s="624"/>
    </row>
    <row r="589" ht="16.5" customHeight="1">
      <c r="A589" s="711"/>
      <c r="B589" s="711"/>
      <c r="C589" s="711"/>
      <c r="D589" s="711"/>
      <c r="E589" s="711"/>
      <c r="F589" s="711"/>
      <c r="G589" s="711"/>
      <c r="H589" s="711"/>
      <c r="I589" s="711"/>
      <c r="J589" s="711"/>
      <c r="K589" s="741"/>
      <c r="L589" s="741"/>
      <c r="M589" s="788"/>
      <c r="N589" s="741"/>
      <c r="O589" s="741"/>
      <c r="P589" s="741"/>
      <c r="Q589" s="741"/>
      <c r="R589" s="788"/>
      <c r="S589" s="819"/>
      <c r="T589" s="820"/>
      <c r="U589" s="819"/>
      <c r="V589" s="820"/>
      <c r="W589" s="788"/>
      <c r="X589" s="803"/>
      <c r="Y589" s="803"/>
      <c r="Z589" s="803"/>
      <c r="AA589" s="711"/>
      <c r="AB589" s="711"/>
      <c r="AC589" s="711"/>
      <c r="AD589" s="736"/>
      <c r="AE589" s="736"/>
      <c r="AF589" s="624"/>
      <c r="AG589" s="624"/>
      <c r="AH589" s="624"/>
      <c r="AI589" s="624"/>
      <c r="AJ589" s="960">
        <f t="shared" si="6"/>
        <v>589</v>
      </c>
      <c r="AK589" s="961">
        <v>0.9746</v>
      </c>
      <c r="AL589" s="962">
        <v>40504.0</v>
      </c>
      <c r="AM589" s="963">
        <v>-0.8586780949022972</v>
      </c>
      <c r="AN589" s="964">
        <v>-0.025399999999999978</v>
      </c>
      <c r="AO589" s="962">
        <v>40504.0</v>
      </c>
      <c r="AP589" s="965">
        <v>-0.8520034087733819</v>
      </c>
      <c r="AQ589" s="962">
        <v>40504.0</v>
      </c>
      <c r="AR589" s="966">
        <v>-0.8453427311169177</v>
      </c>
      <c r="AS589" s="624"/>
      <c r="AT589" s="624"/>
      <c r="AU589" s="624"/>
      <c r="AV589" s="624"/>
      <c r="AW589" s="624"/>
      <c r="AX589" s="624"/>
      <c r="AY589" s="624"/>
      <c r="AZ589" s="624"/>
      <c r="BA589" s="624"/>
      <c r="BB589" s="624"/>
      <c r="BC589" s="624"/>
      <c r="BD589" s="624"/>
      <c r="BE589" s="624"/>
    </row>
    <row r="590" ht="16.5" customHeight="1">
      <c r="A590" s="711"/>
      <c r="B590" s="711"/>
      <c r="C590" s="711"/>
      <c r="D590" s="711"/>
      <c r="E590" s="711"/>
      <c r="F590" s="711"/>
      <c r="G590" s="711"/>
      <c r="H590" s="711"/>
      <c r="I590" s="711"/>
      <c r="J590" s="711"/>
      <c r="K590" s="741"/>
      <c r="L590" s="741"/>
      <c r="M590" s="788"/>
      <c r="N590" s="741"/>
      <c r="O590" s="741"/>
      <c r="P590" s="741"/>
      <c r="Q590" s="741"/>
      <c r="R590" s="788"/>
      <c r="S590" s="819"/>
      <c r="T590" s="820"/>
      <c r="U590" s="819"/>
      <c r="V590" s="820"/>
      <c r="W590" s="788"/>
      <c r="X590" s="803"/>
      <c r="Y590" s="803"/>
      <c r="Z590" s="803"/>
      <c r="AA590" s="711"/>
      <c r="AB590" s="711"/>
      <c r="AC590" s="711"/>
      <c r="AD590" s="736"/>
      <c r="AE590" s="736"/>
      <c r="AF590" s="624"/>
      <c r="AG590" s="624"/>
      <c r="AH590" s="624"/>
      <c r="AI590" s="624"/>
      <c r="AJ590" s="960">
        <f t="shared" si="6"/>
        <v>590</v>
      </c>
      <c r="AK590" s="961">
        <v>0.9568</v>
      </c>
      <c r="AL590" s="962">
        <v>40501.0</v>
      </c>
      <c r="AM590" s="963">
        <v>-0.8586576119825421</v>
      </c>
      <c r="AN590" s="964">
        <v>-0.043200000000000016</v>
      </c>
      <c r="AO590" s="962">
        <v>40501.0</v>
      </c>
      <c r="AP590" s="965">
        <v>-0.8519824643776492</v>
      </c>
      <c r="AQ590" s="962">
        <v>40501.0</v>
      </c>
      <c r="AR590" s="966">
        <v>-0.8453213484496407</v>
      </c>
      <c r="AS590" s="624"/>
      <c r="AT590" s="624"/>
      <c r="AU590" s="624"/>
      <c r="AV590" s="624"/>
      <c r="AW590" s="624"/>
      <c r="AX590" s="624"/>
      <c r="AY590" s="624"/>
      <c r="AZ590" s="624"/>
      <c r="BA590" s="624"/>
      <c r="BB590" s="624"/>
      <c r="BC590" s="624"/>
      <c r="BD590" s="624"/>
      <c r="BE590" s="624"/>
    </row>
    <row r="591" ht="16.5" customHeight="1">
      <c r="A591" s="711"/>
      <c r="B591" s="711"/>
      <c r="C591" s="711"/>
      <c r="D591" s="711"/>
      <c r="E591" s="711"/>
      <c r="F591" s="711"/>
      <c r="G591" s="711"/>
      <c r="H591" s="711"/>
      <c r="I591" s="711"/>
      <c r="J591" s="711"/>
      <c r="K591" s="741"/>
      <c r="L591" s="741"/>
      <c r="M591" s="788"/>
      <c r="N591" s="741"/>
      <c r="O591" s="741"/>
      <c r="P591" s="741"/>
      <c r="Q591" s="741"/>
      <c r="R591" s="788"/>
      <c r="S591" s="819"/>
      <c r="T591" s="820"/>
      <c r="U591" s="819"/>
      <c r="V591" s="820"/>
      <c r="W591" s="788"/>
      <c r="X591" s="803"/>
      <c r="Y591" s="803"/>
      <c r="Z591" s="803"/>
      <c r="AA591" s="711"/>
      <c r="AB591" s="711"/>
      <c r="AC591" s="711"/>
      <c r="AD591" s="736"/>
      <c r="AE591" s="736"/>
      <c r="AF591" s="624"/>
      <c r="AG591" s="624"/>
      <c r="AH591" s="624"/>
      <c r="AI591" s="624"/>
      <c r="AJ591" s="960">
        <f t="shared" si="6"/>
        <v>591</v>
      </c>
      <c r="AK591" s="961">
        <v>0.9467</v>
      </c>
      <c r="AL591" s="962">
        <v>40500.0</v>
      </c>
      <c r="AM591" s="963">
        <v>-0.8586507836829218</v>
      </c>
      <c r="AN591" s="964">
        <v>-0.053300000000000014</v>
      </c>
      <c r="AO591" s="962">
        <v>40500.0</v>
      </c>
      <c r="AP591" s="965">
        <v>-0.8519754822537504</v>
      </c>
      <c r="AQ591" s="962">
        <v>40500.0</v>
      </c>
      <c r="AR591" s="966">
        <v>-0.8453142202369388</v>
      </c>
      <c r="AS591" s="624"/>
      <c r="AT591" s="624"/>
      <c r="AU591" s="624"/>
      <c r="AV591" s="624"/>
      <c r="AW591" s="624"/>
      <c r="AX591" s="624"/>
      <c r="AY591" s="624"/>
      <c r="AZ591" s="624"/>
      <c r="BA591" s="624"/>
      <c r="BB591" s="624"/>
      <c r="BC591" s="624"/>
      <c r="BD591" s="624"/>
      <c r="BE591" s="624"/>
    </row>
    <row r="592" ht="16.5" customHeight="1">
      <c r="A592" s="711"/>
      <c r="B592" s="711"/>
      <c r="C592" s="711"/>
      <c r="D592" s="711"/>
      <c r="E592" s="711"/>
      <c r="F592" s="711"/>
      <c r="G592" s="711"/>
      <c r="H592" s="711"/>
      <c r="I592" s="711"/>
      <c r="J592" s="711"/>
      <c r="K592" s="741"/>
      <c r="L592" s="741"/>
      <c r="M592" s="788"/>
      <c r="N592" s="741"/>
      <c r="O592" s="741"/>
      <c r="P592" s="741"/>
      <c r="Q592" s="741"/>
      <c r="R592" s="788"/>
      <c r="S592" s="819"/>
      <c r="T592" s="820"/>
      <c r="U592" s="819"/>
      <c r="V592" s="820"/>
      <c r="W592" s="788"/>
      <c r="X592" s="803"/>
      <c r="Y592" s="803"/>
      <c r="Z592" s="803"/>
      <c r="AA592" s="711"/>
      <c r="AB592" s="711"/>
      <c r="AC592" s="711"/>
      <c r="AD592" s="736"/>
      <c r="AE592" s="736"/>
      <c r="AF592" s="624"/>
      <c r="AG592" s="624"/>
      <c r="AH592" s="624"/>
      <c r="AI592" s="624"/>
      <c r="AJ592" s="960">
        <f t="shared" si="6"/>
        <v>592</v>
      </c>
      <c r="AK592" s="961">
        <v>0.9749</v>
      </c>
      <c r="AL592" s="962">
        <v>40200.0</v>
      </c>
      <c r="AM592" s="963">
        <v>-0.8565873278547554</v>
      </c>
      <c r="AN592" s="964">
        <v>-0.02510000000000001</v>
      </c>
      <c r="AO592" s="962">
        <v>40200.0</v>
      </c>
      <c r="AP592" s="965">
        <v>-0.8498659046284047</v>
      </c>
      <c r="AQ592" s="962">
        <v>40200.0</v>
      </c>
      <c r="AR592" s="966">
        <v>-0.8431608564466311</v>
      </c>
      <c r="AS592" s="624"/>
      <c r="AT592" s="624"/>
      <c r="AU592" s="624"/>
      <c r="AV592" s="624"/>
      <c r="AW592" s="624"/>
      <c r="AX592" s="624"/>
      <c r="AY592" s="624"/>
      <c r="AZ592" s="624"/>
      <c r="BA592" s="624"/>
      <c r="BB592" s="624"/>
      <c r="BC592" s="624"/>
      <c r="BD592" s="624"/>
      <c r="BE592" s="624"/>
    </row>
    <row r="593" ht="16.5" customHeight="1">
      <c r="A593" s="711"/>
      <c r="B593" s="711"/>
      <c r="C593" s="711"/>
      <c r="D593" s="711"/>
      <c r="E593" s="711"/>
      <c r="F593" s="711"/>
      <c r="G593" s="711"/>
      <c r="H593" s="711"/>
      <c r="I593" s="711"/>
      <c r="J593" s="711"/>
      <c r="K593" s="741"/>
      <c r="L593" s="741"/>
      <c r="M593" s="788"/>
      <c r="N593" s="741"/>
      <c r="O593" s="741"/>
      <c r="P593" s="741"/>
      <c r="Q593" s="741"/>
      <c r="R593" s="788"/>
      <c r="S593" s="819"/>
      <c r="T593" s="820"/>
      <c r="U593" s="819"/>
      <c r="V593" s="820"/>
      <c r="W593" s="788"/>
      <c r="X593" s="803"/>
      <c r="Y593" s="803"/>
      <c r="Z593" s="803"/>
      <c r="AA593" s="711"/>
      <c r="AB593" s="711"/>
      <c r="AC593" s="711"/>
      <c r="AD593" s="736"/>
      <c r="AE593" s="736"/>
      <c r="AF593" s="624"/>
      <c r="AG593" s="624"/>
      <c r="AH593" s="624"/>
      <c r="AI593" s="624"/>
      <c r="AJ593" s="960">
        <f t="shared" si="6"/>
        <v>593</v>
      </c>
      <c r="AK593" s="961">
        <v>0.9797</v>
      </c>
      <c r="AL593" s="962">
        <v>40108.0</v>
      </c>
      <c r="AM593" s="963">
        <v>-0.8559485196785875</v>
      </c>
      <c r="AN593" s="964">
        <v>-0.020299999999999985</v>
      </c>
      <c r="AO593" s="962">
        <v>40108.0</v>
      </c>
      <c r="AP593" s="965">
        <v>-0.8492129635746769</v>
      </c>
      <c r="AQ593" s="962">
        <v>40108.0</v>
      </c>
      <c r="AR593" s="966">
        <v>-0.842494504754199</v>
      </c>
      <c r="AS593" s="624"/>
      <c r="AT593" s="624"/>
      <c r="AU593" s="624"/>
      <c r="AV593" s="624"/>
      <c r="AW593" s="624"/>
      <c r="AX593" s="624"/>
      <c r="AY593" s="624"/>
      <c r="AZ593" s="624"/>
      <c r="BA593" s="624"/>
      <c r="BB593" s="624"/>
      <c r="BC593" s="624"/>
      <c r="BD593" s="624"/>
      <c r="BE593" s="624"/>
    </row>
    <row r="594" ht="16.5" customHeight="1">
      <c r="A594" s="711"/>
      <c r="B594" s="711"/>
      <c r="C594" s="711"/>
      <c r="D594" s="711"/>
      <c r="E594" s="711"/>
      <c r="F594" s="711"/>
      <c r="G594" s="711"/>
      <c r="H594" s="711"/>
      <c r="I594" s="711"/>
      <c r="J594" s="711"/>
      <c r="K594" s="741"/>
      <c r="L594" s="741"/>
      <c r="M594" s="788"/>
      <c r="N594" s="741"/>
      <c r="O594" s="741"/>
      <c r="P594" s="741"/>
      <c r="Q594" s="741"/>
      <c r="R594" s="788"/>
      <c r="S594" s="819"/>
      <c r="T594" s="820"/>
      <c r="U594" s="819"/>
      <c r="V594" s="820"/>
      <c r="W594" s="788"/>
      <c r="X594" s="803"/>
      <c r="Y594" s="803"/>
      <c r="Z594" s="803"/>
      <c r="AA594" s="711"/>
      <c r="AB594" s="711"/>
      <c r="AC594" s="711"/>
      <c r="AD594" s="736"/>
      <c r="AE594" s="736"/>
      <c r="AF594" s="624"/>
      <c r="AG594" s="624"/>
      <c r="AH594" s="624"/>
      <c r="AI594" s="624"/>
      <c r="AJ594" s="960">
        <f t="shared" si="6"/>
        <v>594</v>
      </c>
      <c r="AK594" s="961">
        <v>0.9048</v>
      </c>
      <c r="AL594" s="962">
        <v>40077.0</v>
      </c>
      <c r="AM594" s="963">
        <v>-0.8557326287914627</v>
      </c>
      <c r="AN594" s="964">
        <v>-0.09519999999999995</v>
      </c>
      <c r="AO594" s="962">
        <v>40077.0</v>
      </c>
      <c r="AP594" s="965">
        <v>-0.8489923118106197</v>
      </c>
      <c r="AQ594" s="962">
        <v>40077.0</v>
      </c>
      <c r="AR594" s="966">
        <v>-0.842269336107394</v>
      </c>
      <c r="AS594" s="624"/>
      <c r="AT594" s="624"/>
      <c r="AU594" s="624"/>
      <c r="AV594" s="624"/>
      <c r="AW594" s="624"/>
      <c r="AX594" s="624"/>
      <c r="AY594" s="624"/>
      <c r="AZ594" s="624"/>
      <c r="BA594" s="624"/>
      <c r="BB594" s="624"/>
      <c r="BC594" s="624"/>
      <c r="BD594" s="624"/>
      <c r="BE594" s="624"/>
    </row>
    <row r="595" ht="16.5" customHeight="1">
      <c r="A595" s="711"/>
      <c r="B595" s="711"/>
      <c r="C595" s="711"/>
      <c r="D595" s="711"/>
      <c r="E595" s="711"/>
      <c r="F595" s="711"/>
      <c r="G595" s="711"/>
      <c r="H595" s="711"/>
      <c r="I595" s="711"/>
      <c r="J595" s="711"/>
      <c r="K595" s="741"/>
      <c r="L595" s="741"/>
      <c r="M595" s="788"/>
      <c r="N595" s="741"/>
      <c r="O595" s="741"/>
      <c r="P595" s="741"/>
      <c r="Q595" s="741"/>
      <c r="R595" s="788"/>
      <c r="S595" s="819"/>
      <c r="T595" s="820"/>
      <c r="U595" s="819"/>
      <c r="V595" s="820"/>
      <c r="W595" s="788"/>
      <c r="X595" s="803"/>
      <c r="Y595" s="803"/>
      <c r="Z595" s="803"/>
      <c r="AA595" s="711"/>
      <c r="AB595" s="711"/>
      <c r="AC595" s="711"/>
      <c r="AD595" s="736"/>
      <c r="AE595" s="736"/>
      <c r="AF595" s="624"/>
      <c r="AG595" s="624"/>
      <c r="AH595" s="624"/>
      <c r="AI595" s="624"/>
      <c r="AJ595" s="960">
        <f t="shared" si="6"/>
        <v>595</v>
      </c>
      <c r="AK595" s="961">
        <v>0.951</v>
      </c>
      <c r="AL595" s="962">
        <v>40014.0</v>
      </c>
      <c r="AM595" s="963">
        <v>-0.855292885348068</v>
      </c>
      <c r="AN595" s="964">
        <v>-0.049000000000000044</v>
      </c>
      <c r="AO595" s="962">
        <v>40014.0</v>
      </c>
      <c r="AP595" s="965">
        <v>-0.8485428951139055</v>
      </c>
      <c r="AQ595" s="962">
        <v>40014.0</v>
      </c>
      <c r="AR595" s="966">
        <v>-0.841810742995947</v>
      </c>
      <c r="AS595" s="624"/>
      <c r="AT595" s="624"/>
      <c r="AU595" s="624"/>
      <c r="AV595" s="624"/>
      <c r="AW595" s="624"/>
      <c r="AX595" s="624"/>
      <c r="AY595" s="624"/>
      <c r="AZ595" s="624"/>
      <c r="BA595" s="624"/>
      <c r="BB595" s="624"/>
      <c r="BC595" s="624"/>
      <c r="BD595" s="624"/>
      <c r="BE595" s="624"/>
    </row>
    <row r="596" ht="16.5" customHeight="1">
      <c r="A596" s="711"/>
      <c r="B596" s="711"/>
      <c r="C596" s="711"/>
      <c r="D596" s="711"/>
      <c r="E596" s="711"/>
      <c r="F596" s="711"/>
      <c r="G596" s="711"/>
      <c r="H596" s="711"/>
      <c r="I596" s="711"/>
      <c r="J596" s="711"/>
      <c r="K596" s="741"/>
      <c r="L596" s="741"/>
      <c r="M596" s="788"/>
      <c r="N596" s="741"/>
      <c r="O596" s="741"/>
      <c r="P596" s="741"/>
      <c r="Q596" s="741"/>
      <c r="R596" s="788"/>
      <c r="S596" s="819"/>
      <c r="T596" s="820"/>
      <c r="U596" s="819"/>
      <c r="V596" s="820"/>
      <c r="W596" s="788"/>
      <c r="X596" s="803"/>
      <c r="Y596" s="803"/>
      <c r="Z596" s="803"/>
      <c r="AA596" s="711"/>
      <c r="AB596" s="711"/>
      <c r="AC596" s="711"/>
      <c r="AD596" s="736"/>
      <c r="AE596" s="736"/>
      <c r="AF596" s="624"/>
      <c r="AG596" s="624"/>
      <c r="AH596" s="624"/>
      <c r="AI596" s="624"/>
      <c r="AJ596" s="960">
        <f t="shared" si="6"/>
        <v>596</v>
      </c>
      <c r="AK596" s="961">
        <v>0.9721</v>
      </c>
      <c r="AL596" s="962">
        <v>40005.0</v>
      </c>
      <c r="AM596" s="963">
        <v>-0.8552299555318593</v>
      </c>
      <c r="AN596" s="964">
        <v>-0.027900000000000036</v>
      </c>
      <c r="AO596" s="962">
        <v>40005.0</v>
      </c>
      <c r="AP596" s="965">
        <v>-0.8484785836363041</v>
      </c>
      <c r="AQ596" s="962">
        <v>40005.0</v>
      </c>
      <c r="AR596" s="966">
        <v>-0.841745120941022</v>
      </c>
      <c r="AS596" s="624"/>
      <c r="AT596" s="624"/>
      <c r="AU596" s="624"/>
      <c r="AV596" s="624"/>
      <c r="AW596" s="624"/>
      <c r="AX596" s="624"/>
      <c r="AY596" s="624"/>
      <c r="AZ596" s="624"/>
      <c r="BA596" s="624"/>
      <c r="BB596" s="624"/>
      <c r="BC596" s="624"/>
      <c r="BD596" s="624"/>
      <c r="BE596" s="624"/>
    </row>
    <row r="597" ht="16.5" customHeight="1">
      <c r="A597" s="711"/>
      <c r="B597" s="711"/>
      <c r="C597" s="711"/>
      <c r="D597" s="711"/>
      <c r="E597" s="711"/>
      <c r="F597" s="711"/>
      <c r="G597" s="711"/>
      <c r="H597" s="711"/>
      <c r="I597" s="711"/>
      <c r="J597" s="711"/>
      <c r="K597" s="741"/>
      <c r="L597" s="741"/>
      <c r="M597" s="788"/>
      <c r="N597" s="741"/>
      <c r="O597" s="741"/>
      <c r="P597" s="741"/>
      <c r="Q597" s="741"/>
      <c r="R597" s="788"/>
      <c r="S597" s="819"/>
      <c r="T597" s="820"/>
      <c r="U597" s="819"/>
      <c r="V597" s="820"/>
      <c r="W597" s="788"/>
      <c r="X597" s="803"/>
      <c r="Y597" s="803"/>
      <c r="Z597" s="803"/>
      <c r="AA597" s="711"/>
      <c r="AB597" s="711"/>
      <c r="AC597" s="711"/>
      <c r="AD597" s="736"/>
      <c r="AE597" s="736"/>
      <c r="AF597" s="624"/>
      <c r="AG597" s="624"/>
      <c r="AH597" s="624"/>
      <c r="AI597" s="624"/>
      <c r="AJ597" s="960">
        <f t="shared" si="6"/>
        <v>597</v>
      </c>
      <c r="AK597" s="961">
        <v>0.9746</v>
      </c>
      <c r="AL597" s="962">
        <v>40000.0</v>
      </c>
      <c r="AM597" s="963">
        <v>-0.8551949826984823</v>
      </c>
      <c r="AN597" s="964">
        <v>-0.025399999999999978</v>
      </c>
      <c r="AO597" s="962">
        <v>40000.0</v>
      </c>
      <c r="AP597" s="965">
        <v>-0.8484428432386957</v>
      </c>
      <c r="AQ597" s="962">
        <v>40000.0</v>
      </c>
      <c r="AR597" s="966">
        <v>-0.8417086524819004</v>
      </c>
      <c r="AS597" s="624"/>
      <c r="AT597" s="624"/>
      <c r="AU597" s="624"/>
      <c r="AV597" s="624"/>
      <c r="AW597" s="624"/>
      <c r="AX597" s="624"/>
      <c r="AY597" s="624"/>
      <c r="AZ597" s="624"/>
      <c r="BA597" s="624"/>
      <c r="BB597" s="624"/>
      <c r="BC597" s="624"/>
      <c r="BD597" s="624"/>
      <c r="BE597" s="624"/>
    </row>
    <row r="598" ht="16.5" customHeight="1">
      <c r="A598" s="711"/>
      <c r="B598" s="711"/>
      <c r="C598" s="711"/>
      <c r="D598" s="711"/>
      <c r="E598" s="711"/>
      <c r="F598" s="711"/>
      <c r="G598" s="711"/>
      <c r="H598" s="711"/>
      <c r="I598" s="711"/>
      <c r="J598" s="711"/>
      <c r="K598" s="741"/>
      <c r="L598" s="741"/>
      <c r="M598" s="788"/>
      <c r="N598" s="741"/>
      <c r="O598" s="741"/>
      <c r="P598" s="741"/>
      <c r="Q598" s="741"/>
      <c r="R598" s="788"/>
      <c r="S598" s="819"/>
      <c r="T598" s="820"/>
      <c r="U598" s="819"/>
      <c r="V598" s="820"/>
      <c r="W598" s="788"/>
      <c r="X598" s="803"/>
      <c r="Y598" s="803"/>
      <c r="Z598" s="803"/>
      <c r="AA598" s="711"/>
      <c r="AB598" s="711"/>
      <c r="AC598" s="711"/>
      <c r="AD598" s="736"/>
      <c r="AE598" s="736"/>
      <c r="AF598" s="624"/>
      <c r="AG598" s="624"/>
      <c r="AH598" s="624"/>
      <c r="AI598" s="624"/>
      <c r="AJ598" s="960">
        <f t="shared" si="6"/>
        <v>598</v>
      </c>
      <c r="AK598" s="961">
        <v>0.9585</v>
      </c>
      <c r="AL598" s="962">
        <v>40000.0</v>
      </c>
      <c r="AM598" s="963">
        <v>-0.8551949826984823</v>
      </c>
      <c r="AN598" s="964">
        <v>-0.04149999999999998</v>
      </c>
      <c r="AO598" s="962">
        <v>40000.0</v>
      </c>
      <c r="AP598" s="965">
        <v>-0.8484428432386957</v>
      </c>
      <c r="AQ598" s="962">
        <v>40000.0</v>
      </c>
      <c r="AR598" s="966">
        <v>-0.8417086524819004</v>
      </c>
      <c r="AS598" s="624"/>
      <c r="AT598" s="624"/>
      <c r="AU598" s="624"/>
      <c r="AV598" s="624"/>
      <c r="AW598" s="624"/>
      <c r="AX598" s="624"/>
      <c r="AY598" s="624"/>
      <c r="AZ598" s="624"/>
      <c r="BA598" s="624"/>
      <c r="BB598" s="624"/>
      <c r="BC598" s="624"/>
      <c r="BD598" s="624"/>
      <c r="BE598" s="624"/>
    </row>
    <row r="599" ht="16.5" customHeight="1">
      <c r="A599" s="711"/>
      <c r="B599" s="711"/>
      <c r="C599" s="711"/>
      <c r="D599" s="711"/>
      <c r="E599" s="711"/>
      <c r="F599" s="711"/>
      <c r="G599" s="711"/>
      <c r="H599" s="711"/>
      <c r="I599" s="711"/>
      <c r="J599" s="711"/>
      <c r="K599" s="741"/>
      <c r="L599" s="741"/>
      <c r="M599" s="788"/>
      <c r="N599" s="741"/>
      <c r="O599" s="741"/>
      <c r="P599" s="741"/>
      <c r="Q599" s="741"/>
      <c r="R599" s="788"/>
      <c r="S599" s="819"/>
      <c r="T599" s="820"/>
      <c r="U599" s="819"/>
      <c r="V599" s="820"/>
      <c r="W599" s="788"/>
      <c r="X599" s="803"/>
      <c r="Y599" s="803"/>
      <c r="Z599" s="803"/>
      <c r="AA599" s="711"/>
      <c r="AB599" s="711"/>
      <c r="AC599" s="711"/>
      <c r="AD599" s="736"/>
      <c r="AE599" s="736"/>
      <c r="AF599" s="624"/>
      <c r="AG599" s="624"/>
      <c r="AH599" s="624"/>
      <c r="AI599" s="624"/>
      <c r="AJ599" s="960">
        <f t="shared" si="6"/>
        <v>599</v>
      </c>
      <c r="AK599" s="961">
        <v>0.9476</v>
      </c>
      <c r="AL599" s="962">
        <v>39986.0</v>
      </c>
      <c r="AM599" s="963">
        <v>-0.8550970138121479</v>
      </c>
      <c r="AN599" s="964">
        <v>-0.0524</v>
      </c>
      <c r="AO599" s="962">
        <v>39986.0</v>
      </c>
      <c r="AP599" s="965">
        <v>-0.8483427252696718</v>
      </c>
      <c r="AQ599" s="962">
        <v>39986.0</v>
      </c>
      <c r="AR599" s="966">
        <v>-0.8416064960817546</v>
      </c>
      <c r="AS599" s="624"/>
      <c r="AT599" s="624"/>
      <c r="AU599" s="624"/>
      <c r="AV599" s="624"/>
      <c r="AW599" s="624"/>
      <c r="AX599" s="624"/>
      <c r="AY599" s="624"/>
      <c r="AZ599" s="624"/>
      <c r="BA599" s="624"/>
      <c r="BB599" s="624"/>
      <c r="BC599" s="624"/>
      <c r="BD599" s="624"/>
      <c r="BE599" s="624"/>
    </row>
    <row r="600" ht="16.5" customHeight="1">
      <c r="A600" s="711"/>
      <c r="B600" s="711"/>
      <c r="C600" s="711"/>
      <c r="D600" s="711"/>
      <c r="E600" s="711"/>
      <c r="F600" s="711"/>
      <c r="G600" s="711"/>
      <c r="H600" s="711"/>
      <c r="I600" s="711"/>
      <c r="J600" s="711"/>
      <c r="K600" s="741"/>
      <c r="L600" s="741"/>
      <c r="M600" s="788"/>
      <c r="N600" s="741"/>
      <c r="O600" s="741"/>
      <c r="P600" s="741"/>
      <c r="Q600" s="741"/>
      <c r="R600" s="788"/>
      <c r="S600" s="819"/>
      <c r="T600" s="820"/>
      <c r="U600" s="819"/>
      <c r="V600" s="820"/>
      <c r="W600" s="788"/>
      <c r="X600" s="803"/>
      <c r="Y600" s="803"/>
      <c r="Z600" s="803"/>
      <c r="AA600" s="711"/>
      <c r="AB600" s="711"/>
      <c r="AC600" s="711"/>
      <c r="AD600" s="736"/>
      <c r="AE600" s="736"/>
      <c r="AF600" s="624"/>
      <c r="AG600" s="624"/>
      <c r="AH600" s="624"/>
      <c r="AI600" s="624"/>
      <c r="AJ600" s="960">
        <f t="shared" si="6"/>
        <v>600</v>
      </c>
      <c r="AK600" s="961">
        <v>0.9538</v>
      </c>
      <c r="AL600" s="962">
        <v>39966.0</v>
      </c>
      <c r="AM600" s="963">
        <v>-0.8549569432709104</v>
      </c>
      <c r="AN600" s="964">
        <v>-0.04620000000000002</v>
      </c>
      <c r="AO600" s="962">
        <v>39966.0</v>
      </c>
      <c r="AP600" s="965">
        <v>-0.8481995848605381</v>
      </c>
      <c r="AQ600" s="962">
        <v>39966.0</v>
      </c>
      <c r="AR600" s="966">
        <v>-0.8414604439907443</v>
      </c>
      <c r="AS600" s="624"/>
      <c r="AT600" s="624"/>
      <c r="AU600" s="624"/>
      <c r="AV600" s="624"/>
      <c r="AW600" s="624"/>
      <c r="AX600" s="624"/>
      <c r="AY600" s="624"/>
      <c r="AZ600" s="624"/>
      <c r="BA600" s="624"/>
      <c r="BB600" s="624"/>
      <c r="BC600" s="624"/>
      <c r="BD600" s="624"/>
      <c r="BE600" s="624"/>
    </row>
    <row r="601" ht="16.5" customHeight="1">
      <c r="A601" s="711"/>
      <c r="B601" s="711"/>
      <c r="C601" s="711"/>
      <c r="D601" s="711"/>
      <c r="E601" s="711"/>
      <c r="F601" s="711"/>
      <c r="G601" s="711"/>
      <c r="H601" s="711"/>
      <c r="I601" s="711"/>
      <c r="J601" s="711"/>
      <c r="K601" s="741"/>
      <c r="L601" s="741"/>
      <c r="M601" s="788"/>
      <c r="N601" s="741"/>
      <c r="O601" s="741"/>
      <c r="P601" s="741"/>
      <c r="Q601" s="741"/>
      <c r="R601" s="788"/>
      <c r="S601" s="819"/>
      <c r="T601" s="820"/>
      <c r="U601" s="819"/>
      <c r="V601" s="820"/>
      <c r="W601" s="788"/>
      <c r="X601" s="803"/>
      <c r="Y601" s="803"/>
      <c r="Z601" s="803"/>
      <c r="AA601" s="711"/>
      <c r="AB601" s="711"/>
      <c r="AC601" s="711"/>
      <c r="AD601" s="736"/>
      <c r="AE601" s="736"/>
      <c r="AF601" s="624"/>
      <c r="AG601" s="624"/>
      <c r="AH601" s="624"/>
      <c r="AI601" s="624"/>
      <c r="AJ601" s="960">
        <f t="shared" si="6"/>
        <v>601</v>
      </c>
      <c r="AK601" s="961">
        <v>0.9746</v>
      </c>
      <c r="AL601" s="962">
        <v>39951.0</v>
      </c>
      <c r="AM601" s="963">
        <v>-0.8548518015163763</v>
      </c>
      <c r="AN601" s="964">
        <v>-0.025399999999999978</v>
      </c>
      <c r="AO601" s="962">
        <v>39951.0</v>
      </c>
      <c r="AP601" s="965">
        <v>-0.8480921409000773</v>
      </c>
      <c r="AQ601" s="962">
        <v>39951.0</v>
      </c>
      <c r="AR601" s="966">
        <v>-0.8413508165505961</v>
      </c>
      <c r="AS601" s="624"/>
      <c r="AT601" s="624"/>
      <c r="AU601" s="624"/>
      <c r="AV601" s="624"/>
      <c r="AW601" s="624"/>
      <c r="AX601" s="624"/>
      <c r="AY601" s="624"/>
      <c r="AZ601" s="624"/>
      <c r="BA601" s="624"/>
      <c r="BB601" s="624"/>
      <c r="BC601" s="624"/>
      <c r="BD601" s="624"/>
      <c r="BE601" s="624"/>
    </row>
    <row r="602" ht="16.5" customHeight="1">
      <c r="A602" s="711"/>
      <c r="B602" s="711"/>
      <c r="C602" s="711"/>
      <c r="D602" s="711"/>
      <c r="E602" s="711"/>
      <c r="F602" s="711"/>
      <c r="G602" s="711"/>
      <c r="H602" s="711"/>
      <c r="I602" s="711"/>
      <c r="J602" s="711"/>
      <c r="K602" s="741"/>
      <c r="L602" s="741"/>
      <c r="M602" s="788"/>
      <c r="N602" s="741"/>
      <c r="O602" s="741"/>
      <c r="P602" s="741"/>
      <c r="Q602" s="741"/>
      <c r="R602" s="788"/>
      <c r="S602" s="819"/>
      <c r="T602" s="820"/>
      <c r="U602" s="819"/>
      <c r="V602" s="820"/>
      <c r="W602" s="788"/>
      <c r="X602" s="803"/>
      <c r="Y602" s="803"/>
      <c r="Z602" s="803"/>
      <c r="AA602" s="711"/>
      <c r="AB602" s="711"/>
      <c r="AC602" s="711"/>
      <c r="AD602" s="736"/>
      <c r="AE602" s="736"/>
      <c r="AF602" s="624"/>
      <c r="AG602" s="624"/>
      <c r="AH602" s="624"/>
      <c r="AI602" s="624"/>
      <c r="AJ602" s="960">
        <f t="shared" si="6"/>
        <v>602</v>
      </c>
      <c r="AK602" s="961">
        <v>1.0103</v>
      </c>
      <c r="AL602" s="962">
        <v>39929.0</v>
      </c>
      <c r="AM602" s="963">
        <v>-0.8546974557255743</v>
      </c>
      <c r="AN602" s="964">
        <v>0.010299999999999976</v>
      </c>
      <c r="AO602" s="962">
        <v>39929.0</v>
      </c>
      <c r="AP602" s="965">
        <v>-0.8479344188461753</v>
      </c>
      <c r="AQ602" s="962">
        <v>39929.0</v>
      </c>
      <c r="AR602" s="966">
        <v>-0.8411898924998431</v>
      </c>
      <c r="AS602" s="624"/>
      <c r="AT602" s="624"/>
      <c r="AU602" s="624"/>
      <c r="AV602" s="624"/>
      <c r="AW602" s="624"/>
      <c r="AX602" s="624"/>
      <c r="AY602" s="624"/>
      <c r="AZ602" s="624"/>
      <c r="BA602" s="624"/>
      <c r="BB602" s="624"/>
      <c r="BC602" s="624"/>
      <c r="BD602" s="624"/>
      <c r="BE602" s="624"/>
    </row>
    <row r="603" ht="16.5" customHeight="1">
      <c r="A603" s="711"/>
      <c r="B603" s="711"/>
      <c r="C603" s="711"/>
      <c r="D603" s="711"/>
      <c r="E603" s="711"/>
      <c r="F603" s="711"/>
      <c r="G603" s="711"/>
      <c r="H603" s="711"/>
      <c r="I603" s="711"/>
      <c r="J603" s="711"/>
      <c r="K603" s="741"/>
      <c r="L603" s="741"/>
      <c r="M603" s="788"/>
      <c r="N603" s="741"/>
      <c r="O603" s="741"/>
      <c r="P603" s="741"/>
      <c r="Q603" s="741"/>
      <c r="R603" s="788"/>
      <c r="S603" s="819"/>
      <c r="T603" s="820"/>
      <c r="U603" s="819"/>
      <c r="V603" s="820"/>
      <c r="W603" s="788"/>
      <c r="X603" s="803"/>
      <c r="Y603" s="803"/>
      <c r="Z603" s="803"/>
      <c r="AA603" s="711"/>
      <c r="AB603" s="711"/>
      <c r="AC603" s="711"/>
      <c r="AD603" s="736"/>
      <c r="AE603" s="736"/>
      <c r="AF603" s="624"/>
      <c r="AG603" s="624"/>
      <c r="AH603" s="624"/>
      <c r="AI603" s="624"/>
      <c r="AJ603" s="960">
        <f t="shared" si="6"/>
        <v>603</v>
      </c>
      <c r="AK603" s="961">
        <v>0.967</v>
      </c>
      <c r="AL603" s="962">
        <v>39821.0</v>
      </c>
      <c r="AM603" s="963">
        <v>-0.8539373743979138</v>
      </c>
      <c r="AN603" s="964">
        <v>-0.03300000000000003</v>
      </c>
      <c r="AO603" s="962">
        <v>39821.0</v>
      </c>
      <c r="AP603" s="965">
        <v>-0.84715776855033</v>
      </c>
      <c r="AQ603" s="962">
        <v>39821.0</v>
      </c>
      <c r="AR603" s="966">
        <v>-0.8403975310419257</v>
      </c>
      <c r="AS603" s="624"/>
      <c r="AT603" s="624"/>
      <c r="AU603" s="624"/>
      <c r="AV603" s="624"/>
      <c r="AW603" s="624"/>
      <c r="AX603" s="624"/>
      <c r="AY603" s="624"/>
      <c r="AZ603" s="624"/>
      <c r="BA603" s="624"/>
      <c r="BB603" s="624"/>
      <c r="BC603" s="624"/>
      <c r="BD603" s="624"/>
      <c r="BE603" s="624"/>
    </row>
    <row r="604" ht="16.5" customHeight="1">
      <c r="A604" s="711"/>
      <c r="B604" s="711"/>
      <c r="C604" s="711"/>
      <c r="D604" s="711"/>
      <c r="E604" s="711"/>
      <c r="F604" s="711"/>
      <c r="G604" s="711"/>
      <c r="H604" s="711"/>
      <c r="I604" s="711"/>
      <c r="J604" s="711"/>
      <c r="K604" s="741"/>
      <c r="L604" s="741"/>
      <c r="M604" s="788"/>
      <c r="N604" s="741"/>
      <c r="O604" s="741"/>
      <c r="P604" s="741"/>
      <c r="Q604" s="741"/>
      <c r="R604" s="788"/>
      <c r="S604" s="819"/>
      <c r="T604" s="820"/>
      <c r="U604" s="819"/>
      <c r="V604" s="820"/>
      <c r="W604" s="788"/>
      <c r="X604" s="803"/>
      <c r="Y604" s="803"/>
      <c r="Z604" s="803"/>
      <c r="AA604" s="711"/>
      <c r="AB604" s="711"/>
      <c r="AC604" s="711"/>
      <c r="AD604" s="736"/>
      <c r="AE604" s="736"/>
      <c r="AF604" s="624"/>
      <c r="AG604" s="624"/>
      <c r="AH604" s="624"/>
      <c r="AI604" s="624"/>
      <c r="AJ604" s="960">
        <f t="shared" si="6"/>
        <v>604</v>
      </c>
      <c r="AK604" s="961">
        <v>0.9701</v>
      </c>
      <c r="AL604" s="962">
        <v>39821.0</v>
      </c>
      <c r="AM604" s="963">
        <v>-0.8539373743979138</v>
      </c>
      <c r="AN604" s="964">
        <v>-0.029900000000000038</v>
      </c>
      <c r="AO604" s="962">
        <v>39821.0</v>
      </c>
      <c r="AP604" s="965">
        <v>-0.84715776855033</v>
      </c>
      <c r="AQ604" s="962">
        <v>39821.0</v>
      </c>
      <c r="AR604" s="966">
        <v>-0.8403975310419257</v>
      </c>
      <c r="AS604" s="624"/>
      <c r="AT604" s="624"/>
      <c r="AU604" s="624"/>
      <c r="AV604" s="624"/>
      <c r="AW604" s="624"/>
      <c r="AX604" s="624"/>
      <c r="AY604" s="624"/>
      <c r="AZ604" s="624"/>
      <c r="BA604" s="624"/>
      <c r="BB604" s="624"/>
      <c r="BC604" s="624"/>
      <c r="BD604" s="624"/>
      <c r="BE604" s="624"/>
    </row>
    <row r="605" ht="16.5" customHeight="1">
      <c r="A605" s="711"/>
      <c r="B605" s="711"/>
      <c r="C605" s="711"/>
      <c r="D605" s="711"/>
      <c r="E605" s="711"/>
      <c r="F605" s="711"/>
      <c r="G605" s="711"/>
      <c r="H605" s="711"/>
      <c r="I605" s="711"/>
      <c r="J605" s="711"/>
      <c r="K605" s="741"/>
      <c r="L605" s="741"/>
      <c r="M605" s="788"/>
      <c r="N605" s="741"/>
      <c r="O605" s="741"/>
      <c r="P605" s="741"/>
      <c r="Q605" s="741"/>
      <c r="R605" s="788"/>
      <c r="S605" s="819"/>
      <c r="T605" s="820"/>
      <c r="U605" s="819"/>
      <c r="V605" s="820"/>
      <c r="W605" s="788"/>
      <c r="X605" s="803"/>
      <c r="Y605" s="803"/>
      <c r="Z605" s="803"/>
      <c r="AA605" s="711"/>
      <c r="AB605" s="711"/>
      <c r="AC605" s="711"/>
      <c r="AD605" s="736"/>
      <c r="AE605" s="736"/>
      <c r="AF605" s="624"/>
      <c r="AG605" s="624"/>
      <c r="AH605" s="624"/>
      <c r="AI605" s="624"/>
      <c r="AJ605" s="960">
        <f t="shared" si="6"/>
        <v>605</v>
      </c>
      <c r="AK605" s="961">
        <v>0.9481</v>
      </c>
      <c r="AL605" s="962">
        <v>39800.0</v>
      </c>
      <c r="AM605" s="963">
        <v>-0.8537891197337393</v>
      </c>
      <c r="AN605" s="964">
        <v>-0.051899999999999946</v>
      </c>
      <c r="AO605" s="962">
        <v>39800.0</v>
      </c>
      <c r="AP605" s="965">
        <v>-0.8470062932159492</v>
      </c>
      <c r="AQ605" s="962">
        <v>39800.0</v>
      </c>
      <c r="AR605" s="966">
        <v>-0.8402430022797865</v>
      </c>
      <c r="AS605" s="624"/>
      <c r="AT605" s="624"/>
      <c r="AU605" s="624"/>
      <c r="AV605" s="624"/>
      <c r="AW605" s="624"/>
      <c r="AX605" s="624"/>
      <c r="AY605" s="624"/>
      <c r="AZ605" s="624"/>
      <c r="BA605" s="624"/>
      <c r="BB605" s="624"/>
      <c r="BC605" s="624"/>
      <c r="BD605" s="624"/>
      <c r="BE605" s="624"/>
    </row>
    <row r="606" ht="16.5" customHeight="1">
      <c r="A606" s="711"/>
      <c r="B606" s="711"/>
      <c r="C606" s="711"/>
      <c r="D606" s="711"/>
      <c r="E606" s="711"/>
      <c r="F606" s="711"/>
      <c r="G606" s="711"/>
      <c r="H606" s="711"/>
      <c r="I606" s="711"/>
      <c r="J606" s="711"/>
      <c r="K606" s="741"/>
      <c r="L606" s="741"/>
      <c r="M606" s="788"/>
      <c r="N606" s="741"/>
      <c r="O606" s="741"/>
      <c r="P606" s="741"/>
      <c r="Q606" s="741"/>
      <c r="R606" s="788"/>
      <c r="S606" s="819"/>
      <c r="T606" s="820"/>
      <c r="U606" s="819"/>
      <c r="V606" s="820"/>
      <c r="W606" s="788"/>
      <c r="X606" s="803"/>
      <c r="Y606" s="803"/>
      <c r="Z606" s="803"/>
      <c r="AA606" s="711"/>
      <c r="AB606" s="711"/>
      <c r="AC606" s="711"/>
      <c r="AD606" s="736"/>
      <c r="AE606" s="736"/>
      <c r="AF606" s="624"/>
      <c r="AG606" s="624"/>
      <c r="AH606" s="624"/>
      <c r="AI606" s="624"/>
      <c r="AJ606" s="960">
        <f t="shared" si="6"/>
        <v>606</v>
      </c>
      <c r="AK606" s="961">
        <v>0.9654</v>
      </c>
      <c r="AL606" s="962">
        <v>39500.0</v>
      </c>
      <c r="AM606" s="963">
        <v>-0.8516546919605428</v>
      </c>
      <c r="AN606" s="964">
        <v>-0.034599999999999964</v>
      </c>
      <c r="AO606" s="962">
        <v>39500.0</v>
      </c>
      <c r="AP606" s="965">
        <v>-0.8448258969845384</v>
      </c>
      <c r="AQ606" s="962">
        <v>39500.0</v>
      </c>
      <c r="AR606" s="966">
        <v>-0.8380190426199786</v>
      </c>
      <c r="AS606" s="624"/>
      <c r="AT606" s="624"/>
      <c r="AU606" s="624"/>
      <c r="AV606" s="624"/>
      <c r="AW606" s="624"/>
      <c r="AX606" s="624"/>
      <c r="AY606" s="624"/>
      <c r="AZ606" s="624"/>
      <c r="BA606" s="624"/>
      <c r="BB606" s="624"/>
      <c r="BC606" s="624"/>
      <c r="BD606" s="624"/>
      <c r="BE606" s="624"/>
    </row>
    <row r="607" ht="16.5" customHeight="1">
      <c r="A607" s="711"/>
      <c r="B607" s="711"/>
      <c r="C607" s="711"/>
      <c r="D607" s="711"/>
      <c r="E607" s="711"/>
      <c r="F607" s="711"/>
      <c r="G607" s="711"/>
      <c r="H607" s="711"/>
      <c r="I607" s="711"/>
      <c r="J607" s="711"/>
      <c r="K607" s="741"/>
      <c r="L607" s="741"/>
      <c r="M607" s="788"/>
      <c r="N607" s="741"/>
      <c r="O607" s="741"/>
      <c r="P607" s="741"/>
      <c r="Q607" s="741"/>
      <c r="R607" s="788"/>
      <c r="S607" s="819"/>
      <c r="T607" s="820"/>
      <c r="U607" s="819"/>
      <c r="V607" s="820"/>
      <c r="W607" s="788"/>
      <c r="X607" s="803"/>
      <c r="Y607" s="803"/>
      <c r="Z607" s="803"/>
      <c r="AA607" s="711"/>
      <c r="AB607" s="711"/>
      <c r="AC607" s="711"/>
      <c r="AD607" s="736"/>
      <c r="AE607" s="736"/>
      <c r="AF607" s="624"/>
      <c r="AG607" s="624"/>
      <c r="AH607" s="624"/>
      <c r="AI607" s="624"/>
      <c r="AJ607" s="960">
        <f t="shared" si="6"/>
        <v>607</v>
      </c>
      <c r="AK607" s="961">
        <v>0.9766</v>
      </c>
      <c r="AL607" s="962">
        <v>39404.0</v>
      </c>
      <c r="AM607" s="963">
        <v>-0.8509651159394539</v>
      </c>
      <c r="AN607" s="964">
        <v>-0.023399999999999976</v>
      </c>
      <c r="AO607" s="962">
        <v>39404.0</v>
      </c>
      <c r="AP607" s="965">
        <v>-0.8441216284342183</v>
      </c>
      <c r="AQ607" s="962">
        <v>39404.0</v>
      </c>
      <c r="AR607" s="966">
        <v>-0.8373008573950252</v>
      </c>
      <c r="AS607" s="624"/>
      <c r="AT607" s="624"/>
      <c r="AU607" s="624"/>
      <c r="AV607" s="624"/>
      <c r="AW607" s="624"/>
      <c r="AX607" s="624"/>
      <c r="AY607" s="624"/>
      <c r="AZ607" s="624"/>
      <c r="BA607" s="624"/>
      <c r="BB607" s="624"/>
      <c r="BC607" s="624"/>
      <c r="BD607" s="624"/>
      <c r="BE607" s="624"/>
    </row>
    <row r="608" ht="16.5" customHeight="1">
      <c r="A608" s="711"/>
      <c r="B608" s="711"/>
      <c r="C608" s="711"/>
      <c r="D608" s="711"/>
      <c r="E608" s="711"/>
      <c r="F608" s="711"/>
      <c r="G608" s="711"/>
      <c r="H608" s="711"/>
      <c r="I608" s="711"/>
      <c r="J608" s="711"/>
      <c r="K608" s="741"/>
      <c r="L608" s="741"/>
      <c r="M608" s="788"/>
      <c r="N608" s="741"/>
      <c r="O608" s="741"/>
      <c r="P608" s="741"/>
      <c r="Q608" s="741"/>
      <c r="R608" s="788"/>
      <c r="S608" s="819"/>
      <c r="T608" s="820"/>
      <c r="U608" s="819"/>
      <c r="V608" s="820"/>
      <c r="W608" s="788"/>
      <c r="X608" s="803"/>
      <c r="Y608" s="803"/>
      <c r="Z608" s="803"/>
      <c r="AA608" s="711"/>
      <c r="AB608" s="711"/>
      <c r="AC608" s="711"/>
      <c r="AD608" s="736"/>
      <c r="AE608" s="736"/>
      <c r="AF608" s="624"/>
      <c r="AG608" s="624"/>
      <c r="AH608" s="624"/>
      <c r="AI608" s="624"/>
      <c r="AJ608" s="960">
        <f t="shared" si="6"/>
        <v>608</v>
      </c>
      <c r="AK608" s="961">
        <v>0.9516</v>
      </c>
      <c r="AL608" s="962">
        <v>39300.0</v>
      </c>
      <c r="AM608" s="963">
        <v>-0.8502144575097447</v>
      </c>
      <c r="AN608" s="964">
        <v>-0.0484</v>
      </c>
      <c r="AO608" s="962">
        <v>39300.0</v>
      </c>
      <c r="AP608" s="965">
        <v>-0.8433550633665152</v>
      </c>
      <c r="AQ608" s="962">
        <v>39300.0</v>
      </c>
      <c r="AR608" s="966">
        <v>-0.8365192296065385</v>
      </c>
      <c r="AS608" s="624"/>
      <c r="AT608" s="624"/>
      <c r="AU608" s="624"/>
      <c r="AV608" s="624"/>
      <c r="AW608" s="624"/>
      <c r="AX608" s="624"/>
      <c r="AY608" s="624"/>
      <c r="AZ608" s="624"/>
      <c r="BA608" s="624"/>
      <c r="BB608" s="624"/>
      <c r="BC608" s="624"/>
      <c r="BD608" s="624"/>
      <c r="BE608" s="624"/>
    </row>
    <row r="609" ht="16.5" customHeight="1">
      <c r="A609" s="711"/>
      <c r="B609" s="711"/>
      <c r="C609" s="711"/>
      <c r="D609" s="711"/>
      <c r="E609" s="711"/>
      <c r="F609" s="711"/>
      <c r="G609" s="711"/>
      <c r="H609" s="711"/>
      <c r="I609" s="711"/>
      <c r="J609" s="711"/>
      <c r="K609" s="741"/>
      <c r="L609" s="741"/>
      <c r="M609" s="788"/>
      <c r="N609" s="741"/>
      <c r="O609" s="741"/>
      <c r="P609" s="741"/>
      <c r="Q609" s="741"/>
      <c r="R609" s="788"/>
      <c r="S609" s="819"/>
      <c r="T609" s="820"/>
      <c r="U609" s="819"/>
      <c r="V609" s="820"/>
      <c r="W609" s="788"/>
      <c r="X609" s="803"/>
      <c r="Y609" s="803"/>
      <c r="Z609" s="803"/>
      <c r="AA609" s="711"/>
      <c r="AB609" s="711"/>
      <c r="AC609" s="711"/>
      <c r="AD609" s="736"/>
      <c r="AE609" s="736"/>
      <c r="AF609" s="624"/>
      <c r="AG609" s="624"/>
      <c r="AH609" s="624"/>
      <c r="AI609" s="624"/>
      <c r="AJ609" s="960">
        <f t="shared" si="6"/>
        <v>609</v>
      </c>
      <c r="AK609" s="961">
        <v>0.9649</v>
      </c>
      <c r="AL609" s="962">
        <v>39200.0</v>
      </c>
      <c r="AM609" s="963">
        <v>-0.8494891052071752</v>
      </c>
      <c r="AN609" s="964">
        <v>-0.03510000000000002</v>
      </c>
      <c r="AO609" s="962">
        <v>39200.0</v>
      </c>
      <c r="AP609" s="965">
        <v>-0.8426144267447524</v>
      </c>
      <c r="AQ609" s="962">
        <v>39200.0</v>
      </c>
      <c r="AR609" s="966">
        <v>-0.835764123461438</v>
      </c>
      <c r="AS609" s="624"/>
      <c r="AT609" s="624"/>
      <c r="AU609" s="624"/>
      <c r="AV609" s="624"/>
      <c r="AW609" s="624"/>
      <c r="AX609" s="624"/>
      <c r="AY609" s="624"/>
      <c r="AZ609" s="624"/>
      <c r="BA609" s="624"/>
      <c r="BB609" s="624"/>
      <c r="BC609" s="624"/>
      <c r="BD609" s="624"/>
      <c r="BE609" s="624"/>
    </row>
    <row r="610" ht="16.5" customHeight="1">
      <c r="A610" s="711"/>
      <c r="B610" s="711"/>
      <c r="C610" s="711"/>
      <c r="D610" s="711"/>
      <c r="E610" s="711"/>
      <c r="F610" s="711"/>
      <c r="G610" s="711"/>
      <c r="H610" s="711"/>
      <c r="I610" s="711"/>
      <c r="J610" s="711"/>
      <c r="K610" s="741"/>
      <c r="L610" s="741"/>
      <c r="M610" s="788"/>
      <c r="N610" s="741"/>
      <c r="O610" s="741"/>
      <c r="P610" s="741"/>
      <c r="Q610" s="741"/>
      <c r="R610" s="788"/>
      <c r="S610" s="819"/>
      <c r="T610" s="820"/>
      <c r="U610" s="819"/>
      <c r="V610" s="820"/>
      <c r="W610" s="788"/>
      <c r="X610" s="803"/>
      <c r="Y610" s="803"/>
      <c r="Z610" s="803"/>
      <c r="AA610" s="711"/>
      <c r="AB610" s="711"/>
      <c r="AC610" s="711"/>
      <c r="AD610" s="736"/>
      <c r="AE610" s="736"/>
      <c r="AF610" s="624"/>
      <c r="AG610" s="624"/>
      <c r="AH610" s="624"/>
      <c r="AI610" s="624"/>
      <c r="AJ610" s="960">
        <f t="shared" si="6"/>
        <v>610</v>
      </c>
      <c r="AK610" s="961">
        <v>0.9701</v>
      </c>
      <c r="AL610" s="962">
        <v>39193.0</v>
      </c>
      <c r="AM610" s="963">
        <v>-0.8494381991963276</v>
      </c>
      <c r="AN610" s="964">
        <v>-0.029900000000000038</v>
      </c>
      <c r="AO610" s="962">
        <v>39193.0</v>
      </c>
      <c r="AP610" s="965">
        <v>-0.8425624512297958</v>
      </c>
      <c r="AQ610" s="962">
        <v>39193.0</v>
      </c>
      <c r="AR610" s="966">
        <v>-0.835711135600456</v>
      </c>
      <c r="AS610" s="624"/>
      <c r="AT610" s="624"/>
      <c r="AU610" s="624"/>
      <c r="AV610" s="624"/>
      <c r="AW610" s="624"/>
      <c r="AX610" s="624"/>
      <c r="AY610" s="624"/>
      <c r="AZ610" s="624"/>
      <c r="BA610" s="624"/>
      <c r="BB610" s="624"/>
      <c r="BC610" s="624"/>
      <c r="BD610" s="624"/>
      <c r="BE610" s="624"/>
    </row>
    <row r="611" ht="16.5" customHeight="1">
      <c r="A611" s="711"/>
      <c r="B611" s="711"/>
      <c r="C611" s="711"/>
      <c r="D611" s="711"/>
      <c r="E611" s="711"/>
      <c r="F611" s="711"/>
      <c r="G611" s="711"/>
      <c r="H611" s="711"/>
      <c r="I611" s="711"/>
      <c r="J611" s="711"/>
      <c r="K611" s="741"/>
      <c r="L611" s="741"/>
      <c r="M611" s="788"/>
      <c r="N611" s="741"/>
      <c r="O611" s="741"/>
      <c r="P611" s="741"/>
      <c r="Q611" s="741"/>
      <c r="R611" s="788"/>
      <c r="S611" s="819"/>
      <c r="T611" s="820"/>
      <c r="U611" s="819"/>
      <c r="V611" s="820"/>
      <c r="W611" s="788"/>
      <c r="X611" s="803"/>
      <c r="Y611" s="803"/>
      <c r="Z611" s="803"/>
      <c r="AA611" s="711"/>
      <c r="AB611" s="711"/>
      <c r="AC611" s="711"/>
      <c r="AD611" s="736"/>
      <c r="AE611" s="736"/>
      <c r="AF611" s="624"/>
      <c r="AG611" s="624"/>
      <c r="AH611" s="624"/>
      <c r="AI611" s="624"/>
      <c r="AJ611" s="960">
        <f t="shared" si="6"/>
        <v>611</v>
      </c>
      <c r="AK611" s="961">
        <v>0.9632</v>
      </c>
      <c r="AL611" s="962">
        <v>39100.0</v>
      </c>
      <c r="AM611" s="963">
        <v>-0.8487602403095043</v>
      </c>
      <c r="AN611" s="964">
        <v>-0.036800000000000055</v>
      </c>
      <c r="AO611" s="962">
        <v>39100.0</v>
      </c>
      <c r="AP611" s="965">
        <v>-0.8418702883014989</v>
      </c>
      <c r="AQ611" s="962">
        <v>39100.0</v>
      </c>
      <c r="AR611" s="966">
        <v>-0.8350055295343252</v>
      </c>
      <c r="AS611" s="624"/>
      <c r="AT611" s="624"/>
      <c r="AU611" s="624"/>
      <c r="AV611" s="624"/>
      <c r="AW611" s="624"/>
      <c r="AX611" s="624"/>
      <c r="AY611" s="624"/>
      <c r="AZ611" s="624"/>
      <c r="BA611" s="624"/>
      <c r="BB611" s="624"/>
      <c r="BC611" s="624"/>
      <c r="BD611" s="624"/>
      <c r="BE611" s="624"/>
    </row>
    <row r="612" ht="16.5" customHeight="1">
      <c r="A612" s="711"/>
      <c r="B612" s="711"/>
      <c r="C612" s="711"/>
      <c r="D612" s="711"/>
      <c r="E612" s="711"/>
      <c r="F612" s="711"/>
      <c r="G612" s="711"/>
      <c r="H612" s="711"/>
      <c r="I612" s="711"/>
      <c r="J612" s="711"/>
      <c r="K612" s="741"/>
      <c r="L612" s="741"/>
      <c r="M612" s="788"/>
      <c r="N612" s="741"/>
      <c r="O612" s="741"/>
      <c r="P612" s="741"/>
      <c r="Q612" s="741"/>
      <c r="R612" s="788"/>
      <c r="S612" s="819"/>
      <c r="T612" s="820"/>
      <c r="U612" s="819"/>
      <c r="V612" s="820"/>
      <c r="W612" s="788"/>
      <c r="X612" s="803"/>
      <c r="Y612" s="803"/>
      <c r="Z612" s="803"/>
      <c r="AA612" s="711"/>
      <c r="AB612" s="711"/>
      <c r="AC612" s="711"/>
      <c r="AD612" s="736"/>
      <c r="AE612" s="736"/>
      <c r="AF612" s="624"/>
      <c r="AG612" s="624"/>
      <c r="AH612" s="624"/>
      <c r="AI612" s="624"/>
      <c r="AJ612" s="960">
        <f t="shared" si="6"/>
        <v>612</v>
      </c>
      <c r="AK612" s="961">
        <v>0.9485</v>
      </c>
      <c r="AL612" s="962">
        <v>39061.0</v>
      </c>
      <c r="AM612" s="963">
        <v>-0.8484750272401145</v>
      </c>
      <c r="AN612" s="964">
        <v>-0.05149999999999999</v>
      </c>
      <c r="AO612" s="962">
        <v>39061.0</v>
      </c>
      <c r="AP612" s="965">
        <v>-0.8415791215672187</v>
      </c>
      <c r="AQ612" s="962">
        <v>39061.0</v>
      </c>
      <c r="AR612" s="966">
        <v>-0.8347087290631854</v>
      </c>
      <c r="AS612" s="624"/>
      <c r="AT612" s="624"/>
      <c r="AU612" s="624"/>
      <c r="AV612" s="624"/>
      <c r="AW612" s="624"/>
      <c r="AX612" s="624"/>
      <c r="AY612" s="624"/>
      <c r="AZ612" s="624"/>
      <c r="BA612" s="624"/>
      <c r="BB612" s="624"/>
      <c r="BC612" s="624"/>
      <c r="BD612" s="624"/>
      <c r="BE612" s="624"/>
    </row>
    <row r="613" ht="16.5" customHeight="1">
      <c r="A613" s="711"/>
      <c r="B613" s="711"/>
      <c r="C613" s="711"/>
      <c r="D613" s="711"/>
      <c r="E613" s="711"/>
      <c r="F613" s="711"/>
      <c r="G613" s="711"/>
      <c r="H613" s="711"/>
      <c r="I613" s="711"/>
      <c r="J613" s="711"/>
      <c r="K613" s="741"/>
      <c r="L613" s="741"/>
      <c r="M613" s="788"/>
      <c r="N613" s="741"/>
      <c r="O613" s="741"/>
      <c r="P613" s="741"/>
      <c r="Q613" s="741"/>
      <c r="R613" s="788"/>
      <c r="S613" s="819"/>
      <c r="T613" s="820"/>
      <c r="U613" s="819"/>
      <c r="V613" s="820"/>
      <c r="W613" s="788"/>
      <c r="X613" s="803"/>
      <c r="Y613" s="803"/>
      <c r="Z613" s="803"/>
      <c r="AA613" s="711"/>
      <c r="AB613" s="711"/>
      <c r="AC613" s="711"/>
      <c r="AD613" s="736"/>
      <c r="AE613" s="736"/>
      <c r="AF613" s="624"/>
      <c r="AG613" s="624"/>
      <c r="AH613" s="624"/>
      <c r="AI613" s="624"/>
      <c r="AJ613" s="960">
        <f t="shared" si="6"/>
        <v>613</v>
      </c>
      <c r="AK613" s="961">
        <v>0.9691</v>
      </c>
      <c r="AL613" s="962">
        <v>39030.0</v>
      </c>
      <c r="AM613" s="963">
        <v>-0.8482479357814379</v>
      </c>
      <c r="AN613" s="964">
        <v>-0.03090000000000004</v>
      </c>
      <c r="AO613" s="962">
        <v>39030.0</v>
      </c>
      <c r="AP613" s="965">
        <v>-0.8413472989442773</v>
      </c>
      <c r="AQ613" s="962">
        <v>39030.0</v>
      </c>
      <c r="AR613" s="966">
        <v>-0.8344724299312254</v>
      </c>
      <c r="AS613" s="624"/>
      <c r="AT613" s="624"/>
      <c r="AU613" s="624"/>
      <c r="AV613" s="624"/>
      <c r="AW613" s="624"/>
      <c r="AX613" s="624"/>
      <c r="AY613" s="624"/>
      <c r="AZ613" s="624"/>
      <c r="BA613" s="624"/>
      <c r="BB613" s="624"/>
      <c r="BC613" s="624"/>
      <c r="BD613" s="624"/>
      <c r="BE613" s="624"/>
    </row>
    <row r="614" ht="16.5" customHeight="1">
      <c r="A614" s="711"/>
      <c r="B614" s="711"/>
      <c r="C614" s="711"/>
      <c r="D614" s="711"/>
      <c r="E614" s="711"/>
      <c r="F614" s="711"/>
      <c r="G614" s="711"/>
      <c r="H614" s="711"/>
      <c r="I614" s="711"/>
      <c r="J614" s="711"/>
      <c r="K614" s="741"/>
      <c r="L614" s="741"/>
      <c r="M614" s="788"/>
      <c r="N614" s="741"/>
      <c r="O614" s="741"/>
      <c r="P614" s="741"/>
      <c r="Q614" s="741"/>
      <c r="R614" s="788"/>
      <c r="S614" s="819"/>
      <c r="T614" s="820"/>
      <c r="U614" s="819"/>
      <c r="V614" s="820"/>
      <c r="W614" s="788"/>
      <c r="X614" s="803"/>
      <c r="Y614" s="803"/>
      <c r="Z614" s="803"/>
      <c r="AA614" s="711"/>
      <c r="AB614" s="711"/>
      <c r="AC614" s="711"/>
      <c r="AD614" s="736"/>
      <c r="AE614" s="736"/>
      <c r="AF614" s="624"/>
      <c r="AG614" s="624"/>
      <c r="AH614" s="624"/>
      <c r="AI614" s="624"/>
      <c r="AJ614" s="960">
        <f t="shared" si="6"/>
        <v>614</v>
      </c>
      <c r="AK614" s="961">
        <v>0.975</v>
      </c>
      <c r="AL614" s="962">
        <v>39009.0</v>
      </c>
      <c r="AM614" s="963">
        <v>-0.8480939062942521</v>
      </c>
      <c r="AN614" s="964">
        <v>-0.025000000000000022</v>
      </c>
      <c r="AO614" s="962">
        <v>39009.0</v>
      </c>
      <c r="AP614" s="965">
        <v>-0.8411900651044223</v>
      </c>
      <c r="AQ614" s="962">
        <v>39009.0</v>
      </c>
      <c r="AR614" s="966">
        <v>-0.8343121644248732</v>
      </c>
      <c r="AS614" s="624"/>
      <c r="AT614" s="624"/>
      <c r="AU614" s="624"/>
      <c r="AV614" s="624"/>
      <c r="AW614" s="624"/>
      <c r="AX614" s="624"/>
      <c r="AY614" s="624"/>
      <c r="AZ614" s="624"/>
      <c r="BA614" s="624"/>
      <c r="BB614" s="624"/>
      <c r="BC614" s="624"/>
      <c r="BD614" s="624"/>
      <c r="BE614" s="624"/>
    </row>
    <row r="615" ht="16.5" customHeight="1">
      <c r="A615" s="711"/>
      <c r="B615" s="711"/>
      <c r="C615" s="711"/>
      <c r="D615" s="711"/>
      <c r="E615" s="711"/>
      <c r="F615" s="711"/>
      <c r="G615" s="711"/>
      <c r="H615" s="711"/>
      <c r="I615" s="711"/>
      <c r="J615" s="711"/>
      <c r="K615" s="741"/>
      <c r="L615" s="741"/>
      <c r="M615" s="788"/>
      <c r="N615" s="741"/>
      <c r="O615" s="741"/>
      <c r="P615" s="741"/>
      <c r="Q615" s="741"/>
      <c r="R615" s="788"/>
      <c r="S615" s="819"/>
      <c r="T615" s="820"/>
      <c r="U615" s="819"/>
      <c r="V615" s="820"/>
      <c r="W615" s="788"/>
      <c r="X615" s="803"/>
      <c r="Y615" s="803"/>
      <c r="Z615" s="803"/>
      <c r="AA615" s="711"/>
      <c r="AB615" s="711"/>
      <c r="AC615" s="711"/>
      <c r="AD615" s="736"/>
      <c r="AE615" s="736"/>
      <c r="AF615" s="624"/>
      <c r="AG615" s="624"/>
      <c r="AH615" s="624"/>
      <c r="AI615" s="624"/>
      <c r="AJ615" s="960">
        <f t="shared" si="6"/>
        <v>615</v>
      </c>
      <c r="AK615" s="961">
        <v>0.9544</v>
      </c>
      <c r="AL615" s="962">
        <v>39000.0</v>
      </c>
      <c r="AM615" s="963">
        <v>-0.8480278458066189</v>
      </c>
      <c r="AN615" s="964">
        <v>-0.045599999999999974</v>
      </c>
      <c r="AO615" s="962">
        <v>39000.0</v>
      </c>
      <c r="AP615" s="965">
        <v>-0.84112263147971</v>
      </c>
      <c r="AQ615" s="962">
        <v>39000.0</v>
      </c>
      <c r="AR615" s="966">
        <v>-0.8342434317153806</v>
      </c>
      <c r="AS615" s="624"/>
      <c r="AT615" s="624"/>
      <c r="AU615" s="624"/>
      <c r="AV615" s="624"/>
      <c r="AW615" s="624"/>
      <c r="AX615" s="624"/>
      <c r="AY615" s="624"/>
      <c r="AZ615" s="624"/>
      <c r="BA615" s="624"/>
      <c r="BB615" s="624"/>
      <c r="BC615" s="624"/>
      <c r="BD615" s="624"/>
      <c r="BE615" s="624"/>
    </row>
    <row r="616" ht="16.5" customHeight="1">
      <c r="A616" s="711"/>
      <c r="B616" s="711"/>
      <c r="C616" s="711"/>
      <c r="D616" s="711"/>
      <c r="E616" s="711"/>
      <c r="F616" s="711"/>
      <c r="G616" s="711"/>
      <c r="H616" s="711"/>
      <c r="I616" s="711"/>
      <c r="J616" s="711"/>
      <c r="K616" s="741"/>
      <c r="L616" s="741"/>
      <c r="M616" s="788"/>
      <c r="N616" s="741"/>
      <c r="O616" s="741"/>
      <c r="P616" s="741"/>
      <c r="Q616" s="741"/>
      <c r="R616" s="788"/>
      <c r="S616" s="819"/>
      <c r="T616" s="820"/>
      <c r="U616" s="819"/>
      <c r="V616" s="820"/>
      <c r="W616" s="788"/>
      <c r="X616" s="803"/>
      <c r="Y616" s="803"/>
      <c r="Z616" s="803"/>
      <c r="AA616" s="711"/>
      <c r="AB616" s="711"/>
      <c r="AC616" s="711"/>
      <c r="AD616" s="736"/>
      <c r="AE616" s="736"/>
      <c r="AF616" s="624"/>
      <c r="AG616" s="624"/>
      <c r="AH616" s="624"/>
      <c r="AI616" s="624"/>
      <c r="AJ616" s="960">
        <f t="shared" si="6"/>
        <v>616</v>
      </c>
      <c r="AK616" s="961">
        <v>0.957</v>
      </c>
      <c r="AL616" s="962">
        <v>39000.0</v>
      </c>
      <c r="AM616" s="963">
        <v>-0.8480278458066189</v>
      </c>
      <c r="AN616" s="964">
        <v>-0.04300000000000004</v>
      </c>
      <c r="AO616" s="962">
        <v>39000.0</v>
      </c>
      <c r="AP616" s="965">
        <v>-0.84112263147971</v>
      </c>
      <c r="AQ616" s="962">
        <v>39000.0</v>
      </c>
      <c r="AR616" s="966">
        <v>-0.8342434317153806</v>
      </c>
      <c r="AS616" s="624"/>
      <c r="AT616" s="624"/>
      <c r="AU616" s="624"/>
      <c r="AV616" s="624"/>
      <c r="AW616" s="624"/>
      <c r="AX616" s="624"/>
      <c r="AY616" s="624"/>
      <c r="AZ616" s="624"/>
      <c r="BA616" s="624"/>
      <c r="BB616" s="624"/>
      <c r="BC616" s="624"/>
      <c r="BD616" s="624"/>
      <c r="BE616" s="624"/>
    </row>
    <row r="617" ht="16.5" customHeight="1">
      <c r="A617" s="711"/>
      <c r="B617" s="711"/>
      <c r="C617" s="711"/>
      <c r="D617" s="711"/>
      <c r="E617" s="711"/>
      <c r="F617" s="711"/>
      <c r="G617" s="711"/>
      <c r="H617" s="711"/>
      <c r="I617" s="711"/>
      <c r="J617" s="711"/>
      <c r="K617" s="741"/>
      <c r="L617" s="741"/>
      <c r="M617" s="788"/>
      <c r="N617" s="741"/>
      <c r="O617" s="741"/>
      <c r="P617" s="741"/>
      <c r="Q617" s="741"/>
      <c r="R617" s="788"/>
      <c r="S617" s="819"/>
      <c r="T617" s="820"/>
      <c r="U617" s="819"/>
      <c r="V617" s="820"/>
      <c r="W617" s="788"/>
      <c r="X617" s="803"/>
      <c r="Y617" s="803"/>
      <c r="Z617" s="803"/>
      <c r="AA617" s="711"/>
      <c r="AB617" s="711"/>
      <c r="AC617" s="711"/>
      <c r="AD617" s="736"/>
      <c r="AE617" s="736"/>
      <c r="AF617" s="624"/>
      <c r="AG617" s="624"/>
      <c r="AH617" s="624"/>
      <c r="AI617" s="624"/>
      <c r="AJ617" s="960">
        <f t="shared" si="6"/>
        <v>617</v>
      </c>
      <c r="AK617" s="961">
        <v>0.9518</v>
      </c>
      <c r="AL617" s="962">
        <v>38500.0</v>
      </c>
      <c r="AM617" s="963">
        <v>-0.844312328071517</v>
      </c>
      <c r="AN617" s="964">
        <v>-0.04820000000000002</v>
      </c>
      <c r="AO617" s="962">
        <v>38500.0</v>
      </c>
      <c r="AP617" s="965">
        <v>-0.8373309866955255</v>
      </c>
      <c r="AQ617" s="962">
        <v>38500.0</v>
      </c>
      <c r="AR617" s="966">
        <v>-0.830379815171518</v>
      </c>
      <c r="AS617" s="624"/>
      <c r="AT617" s="624"/>
      <c r="AU617" s="624"/>
      <c r="AV617" s="624"/>
      <c r="AW617" s="624"/>
      <c r="AX617" s="624"/>
      <c r="AY617" s="624"/>
      <c r="AZ617" s="624"/>
      <c r="BA617" s="624"/>
      <c r="BB617" s="624"/>
      <c r="BC617" s="624"/>
      <c r="BD617" s="624"/>
      <c r="BE617" s="624"/>
    </row>
    <row r="618" ht="16.5" customHeight="1">
      <c r="A618" s="711"/>
      <c r="B618" s="711"/>
      <c r="C618" s="711"/>
      <c r="D618" s="711"/>
      <c r="E618" s="711"/>
      <c r="F618" s="711"/>
      <c r="G618" s="711"/>
      <c r="H618" s="711"/>
      <c r="I618" s="711"/>
      <c r="J618" s="711"/>
      <c r="K618" s="741"/>
      <c r="L618" s="741"/>
      <c r="M618" s="788"/>
      <c r="N618" s="741"/>
      <c r="O618" s="741"/>
      <c r="P618" s="741"/>
      <c r="Q618" s="741"/>
      <c r="R618" s="788"/>
      <c r="S618" s="819"/>
      <c r="T618" s="820"/>
      <c r="U618" s="819"/>
      <c r="V618" s="820"/>
      <c r="W618" s="788"/>
      <c r="X618" s="803"/>
      <c r="Y618" s="803"/>
      <c r="Z618" s="803"/>
      <c r="AA618" s="711"/>
      <c r="AB618" s="711"/>
      <c r="AC618" s="711"/>
      <c r="AD618" s="736"/>
      <c r="AE618" s="736"/>
      <c r="AF618" s="624"/>
      <c r="AG618" s="624"/>
      <c r="AH618" s="624"/>
      <c r="AI618" s="624"/>
      <c r="AJ618" s="960">
        <f t="shared" si="6"/>
        <v>618</v>
      </c>
      <c r="AK618" s="961">
        <v>0.9645</v>
      </c>
      <c r="AL618" s="962">
        <v>38423.0</v>
      </c>
      <c r="AM618" s="963">
        <v>-0.8437321215574842</v>
      </c>
      <c r="AN618" s="964">
        <v>-0.035499999999999976</v>
      </c>
      <c r="AO618" s="962">
        <v>38423.0</v>
      </c>
      <c r="AP618" s="965">
        <v>-0.8367390862995363</v>
      </c>
      <c r="AQ618" s="962">
        <v>38423.0</v>
      </c>
      <c r="AR618" s="966">
        <v>-0.8297768679839548</v>
      </c>
      <c r="AS618" s="624"/>
      <c r="AT618" s="624"/>
      <c r="AU618" s="624"/>
      <c r="AV618" s="624"/>
      <c r="AW618" s="624"/>
      <c r="AX618" s="624"/>
      <c r="AY618" s="624"/>
      <c r="AZ618" s="624"/>
      <c r="BA618" s="624"/>
      <c r="BB618" s="624"/>
      <c r="BC618" s="624"/>
      <c r="BD618" s="624"/>
      <c r="BE618" s="624"/>
    </row>
    <row r="619" ht="16.5" customHeight="1">
      <c r="A619" s="711"/>
      <c r="B619" s="711"/>
      <c r="C619" s="711"/>
      <c r="D619" s="711"/>
      <c r="E619" s="711"/>
      <c r="F619" s="711"/>
      <c r="G619" s="711"/>
      <c r="H619" s="711"/>
      <c r="I619" s="711"/>
      <c r="J619" s="711"/>
      <c r="K619" s="741"/>
      <c r="L619" s="741"/>
      <c r="M619" s="788"/>
      <c r="N619" s="741"/>
      <c r="O619" s="741"/>
      <c r="P619" s="741"/>
      <c r="Q619" s="741"/>
      <c r="R619" s="788"/>
      <c r="S619" s="819"/>
      <c r="T619" s="820"/>
      <c r="U619" s="819"/>
      <c r="V619" s="820"/>
      <c r="W619" s="788"/>
      <c r="X619" s="803"/>
      <c r="Y619" s="803"/>
      <c r="Z619" s="803"/>
      <c r="AA619" s="711"/>
      <c r="AB619" s="711"/>
      <c r="AC619" s="711"/>
      <c r="AD619" s="736"/>
      <c r="AE619" s="736"/>
      <c r="AF619" s="624"/>
      <c r="AG619" s="624"/>
      <c r="AH619" s="624"/>
      <c r="AI619" s="624"/>
      <c r="AJ619" s="960">
        <f t="shared" si="6"/>
        <v>619</v>
      </c>
      <c r="AK619" s="961">
        <v>0.9497</v>
      </c>
      <c r="AL619" s="962">
        <v>38288.0</v>
      </c>
      <c r="AM619" s="963">
        <v>-0.8427096527063176</v>
      </c>
      <c r="AN619" s="964">
        <v>-0.05030000000000001</v>
      </c>
      <c r="AO619" s="962">
        <v>38288.0</v>
      </c>
      <c r="AP619" s="965">
        <v>-0.8356961359323988</v>
      </c>
      <c r="AQ619" s="962">
        <v>38288.0</v>
      </c>
      <c r="AR619" s="966">
        <v>-0.828714575208087</v>
      </c>
      <c r="AS619" s="624"/>
      <c r="AT619" s="624"/>
      <c r="AU619" s="624"/>
      <c r="AV619" s="624"/>
      <c r="AW619" s="624"/>
      <c r="AX619" s="624"/>
      <c r="AY619" s="624"/>
      <c r="AZ619" s="624"/>
      <c r="BA619" s="624"/>
      <c r="BB619" s="624"/>
      <c r="BC619" s="624"/>
      <c r="BD619" s="624"/>
      <c r="BE619" s="624"/>
    </row>
    <row r="620" ht="16.5" customHeight="1">
      <c r="A620" s="711"/>
      <c r="B620" s="711"/>
      <c r="C620" s="711"/>
      <c r="D620" s="711"/>
      <c r="E620" s="711"/>
      <c r="F620" s="711"/>
      <c r="G620" s="711"/>
      <c r="H620" s="711"/>
      <c r="I620" s="711"/>
      <c r="J620" s="711"/>
      <c r="K620" s="741"/>
      <c r="L620" s="741"/>
      <c r="M620" s="788"/>
      <c r="N620" s="741"/>
      <c r="O620" s="741"/>
      <c r="P620" s="741"/>
      <c r="Q620" s="741"/>
      <c r="R620" s="788"/>
      <c r="S620" s="819"/>
      <c r="T620" s="820"/>
      <c r="U620" s="819"/>
      <c r="V620" s="820"/>
      <c r="W620" s="788"/>
      <c r="X620" s="803"/>
      <c r="Y620" s="803"/>
      <c r="Z620" s="803"/>
      <c r="AA620" s="711"/>
      <c r="AB620" s="711"/>
      <c r="AC620" s="711"/>
      <c r="AD620" s="736"/>
      <c r="AE620" s="736"/>
      <c r="AF620" s="624"/>
      <c r="AG620" s="624"/>
      <c r="AH620" s="624"/>
      <c r="AI620" s="624"/>
      <c r="AJ620" s="960">
        <f t="shared" si="6"/>
        <v>620</v>
      </c>
      <c r="AK620" s="961">
        <v>0.9624</v>
      </c>
      <c r="AL620" s="962">
        <v>38128.0</v>
      </c>
      <c r="AM620" s="963">
        <v>-0.8414891711454642</v>
      </c>
      <c r="AN620" s="964">
        <v>-0.03759999999999997</v>
      </c>
      <c r="AO620" s="962">
        <v>38128.0</v>
      </c>
      <c r="AP620" s="965">
        <v>-0.8344514156200853</v>
      </c>
      <c r="AQ620" s="962">
        <v>38128.0</v>
      </c>
      <c r="AR620" s="966">
        <v>-0.8274469737581078</v>
      </c>
      <c r="AS620" s="624"/>
      <c r="AT620" s="624"/>
      <c r="AU620" s="624"/>
      <c r="AV620" s="624"/>
      <c r="AW620" s="624"/>
      <c r="AX620" s="624"/>
      <c r="AY620" s="624"/>
      <c r="AZ620" s="624"/>
      <c r="BA620" s="624"/>
      <c r="BB620" s="624"/>
      <c r="BC620" s="624"/>
      <c r="BD620" s="624"/>
      <c r="BE620" s="624"/>
    </row>
    <row r="621" ht="16.5" customHeight="1">
      <c r="A621" s="711"/>
      <c r="B621" s="711"/>
      <c r="C621" s="711"/>
      <c r="D621" s="711"/>
      <c r="E621" s="711"/>
      <c r="F621" s="711"/>
      <c r="G621" s="711"/>
      <c r="H621" s="711"/>
      <c r="I621" s="711"/>
      <c r="J621" s="711"/>
      <c r="K621" s="741"/>
      <c r="L621" s="741"/>
      <c r="M621" s="788"/>
      <c r="N621" s="741"/>
      <c r="O621" s="741"/>
      <c r="P621" s="741"/>
      <c r="Q621" s="741"/>
      <c r="R621" s="788"/>
      <c r="S621" s="819"/>
      <c r="T621" s="820"/>
      <c r="U621" s="819"/>
      <c r="V621" s="820"/>
      <c r="W621" s="788"/>
      <c r="X621" s="803"/>
      <c r="Y621" s="803"/>
      <c r="Z621" s="803"/>
      <c r="AA621" s="711"/>
      <c r="AB621" s="711"/>
      <c r="AC621" s="711"/>
      <c r="AD621" s="736"/>
      <c r="AE621" s="736"/>
      <c r="AF621" s="624"/>
      <c r="AG621" s="624"/>
      <c r="AH621" s="624"/>
      <c r="AI621" s="624"/>
      <c r="AJ621" s="960">
        <f t="shared" si="6"/>
        <v>621</v>
      </c>
      <c r="AK621" s="961">
        <v>1.0098</v>
      </c>
      <c r="AL621" s="962">
        <v>38020.0</v>
      </c>
      <c r="AM621" s="963">
        <v>-0.8406599969431408</v>
      </c>
      <c r="AN621" s="964">
        <v>0.009800000000000031</v>
      </c>
      <c r="AO621" s="962">
        <v>38020.0</v>
      </c>
      <c r="AP621" s="965">
        <v>-0.8336059030717502</v>
      </c>
      <c r="AQ621" s="962">
        <v>38020.0</v>
      </c>
      <c r="AR621" s="966">
        <v>-0.8265860438740262</v>
      </c>
      <c r="AS621" s="624"/>
      <c r="AT621" s="624"/>
      <c r="AU621" s="624"/>
      <c r="AV621" s="624"/>
      <c r="AW621" s="624"/>
      <c r="AX621" s="624"/>
      <c r="AY621" s="624"/>
      <c r="AZ621" s="624"/>
      <c r="BA621" s="624"/>
      <c r="BB621" s="624"/>
      <c r="BC621" s="624"/>
      <c r="BD621" s="624"/>
      <c r="BE621" s="624"/>
    </row>
    <row r="622" ht="16.5" customHeight="1">
      <c r="A622" s="711"/>
      <c r="B622" s="711"/>
      <c r="C622" s="711"/>
      <c r="D622" s="711"/>
      <c r="E622" s="711"/>
      <c r="F622" s="711"/>
      <c r="G622" s="711"/>
      <c r="H622" s="711"/>
      <c r="I622" s="711"/>
      <c r="J622" s="711"/>
      <c r="K622" s="741"/>
      <c r="L622" s="741"/>
      <c r="M622" s="788"/>
      <c r="N622" s="741"/>
      <c r="O622" s="741"/>
      <c r="P622" s="741"/>
      <c r="Q622" s="741"/>
      <c r="R622" s="788"/>
      <c r="S622" s="819"/>
      <c r="T622" s="820"/>
      <c r="U622" s="819"/>
      <c r="V622" s="820"/>
      <c r="W622" s="788"/>
      <c r="X622" s="803"/>
      <c r="Y622" s="803"/>
      <c r="Z622" s="803"/>
      <c r="AA622" s="711"/>
      <c r="AB622" s="711"/>
      <c r="AC622" s="711"/>
      <c r="AD622" s="736"/>
      <c r="AE622" s="736"/>
      <c r="AF622" s="624"/>
      <c r="AG622" s="624"/>
      <c r="AH622" s="624"/>
      <c r="AI622" s="624"/>
      <c r="AJ622" s="960">
        <f t="shared" si="6"/>
        <v>622</v>
      </c>
      <c r="AK622" s="961">
        <v>0.9516</v>
      </c>
      <c r="AL622" s="962">
        <v>38000.0</v>
      </c>
      <c r="AM622" s="963">
        <v>-0.8405059708526087</v>
      </c>
      <c r="AN622" s="964">
        <v>-0.0484</v>
      </c>
      <c r="AO622" s="962">
        <v>38000.0</v>
      </c>
      <c r="AP622" s="965">
        <v>-0.8334488534402432</v>
      </c>
      <c r="AQ622" s="962">
        <v>38000.0</v>
      </c>
      <c r="AR622" s="966">
        <v>-0.8264261416667006</v>
      </c>
      <c r="AS622" s="624"/>
      <c r="AT622" s="624"/>
      <c r="AU622" s="624"/>
      <c r="AV622" s="624"/>
      <c r="AW622" s="624"/>
      <c r="AX622" s="624"/>
      <c r="AY622" s="624"/>
      <c r="AZ622" s="624"/>
      <c r="BA622" s="624"/>
      <c r="BB622" s="624"/>
      <c r="BC622" s="624"/>
      <c r="BD622" s="624"/>
      <c r="BE622" s="624"/>
    </row>
    <row r="623" ht="16.5" customHeight="1">
      <c r="A623" s="711"/>
      <c r="B623" s="711"/>
      <c r="C623" s="711"/>
      <c r="D623" s="711"/>
      <c r="E623" s="711"/>
      <c r="F623" s="711"/>
      <c r="G623" s="711"/>
      <c r="H623" s="711"/>
      <c r="I623" s="711"/>
      <c r="J623" s="711"/>
      <c r="K623" s="741"/>
      <c r="L623" s="741"/>
      <c r="M623" s="788"/>
      <c r="N623" s="741"/>
      <c r="O623" s="741"/>
      <c r="P623" s="741"/>
      <c r="Q623" s="741"/>
      <c r="R623" s="788"/>
      <c r="S623" s="819"/>
      <c r="T623" s="820"/>
      <c r="U623" s="819"/>
      <c r="V623" s="820"/>
      <c r="W623" s="788"/>
      <c r="X623" s="803"/>
      <c r="Y623" s="803"/>
      <c r="Z623" s="803"/>
      <c r="AA623" s="711"/>
      <c r="AB623" s="711"/>
      <c r="AC623" s="711"/>
      <c r="AD623" s="736"/>
      <c r="AE623" s="736"/>
      <c r="AF623" s="624"/>
      <c r="AG623" s="624"/>
      <c r="AH623" s="624"/>
      <c r="AI623" s="624"/>
      <c r="AJ623" s="960">
        <f t="shared" si="6"/>
        <v>623</v>
      </c>
      <c r="AK623" s="961">
        <v>0.9797</v>
      </c>
      <c r="AL623" s="962">
        <v>37970.0</v>
      </c>
      <c r="AM623" s="963">
        <v>-0.8402746525042252</v>
      </c>
      <c r="AN623" s="964">
        <v>-0.020299999999999985</v>
      </c>
      <c r="AO623" s="962">
        <v>37970.0</v>
      </c>
      <c r="AP623" s="965">
        <v>-0.8332130010181328</v>
      </c>
      <c r="AQ623" s="962">
        <v>37970.0</v>
      </c>
      <c r="AR623" s="966">
        <v>-0.8261860118571522</v>
      </c>
      <c r="AS623" s="624"/>
      <c r="AT623" s="624"/>
      <c r="AU623" s="624"/>
      <c r="AV623" s="624"/>
      <c r="AW623" s="624"/>
      <c r="AX623" s="624"/>
      <c r="AY623" s="624"/>
      <c r="AZ623" s="624"/>
      <c r="BA623" s="624"/>
      <c r="BB623" s="624"/>
      <c r="BC623" s="624"/>
      <c r="BD623" s="624"/>
      <c r="BE623" s="624"/>
    </row>
    <row r="624" ht="16.5" customHeight="1">
      <c r="A624" s="711"/>
      <c r="B624" s="711"/>
      <c r="C624" s="711"/>
      <c r="D624" s="711"/>
      <c r="E624" s="711"/>
      <c r="F624" s="711"/>
      <c r="G624" s="711"/>
      <c r="H624" s="711"/>
      <c r="I624" s="711"/>
      <c r="J624" s="711"/>
      <c r="K624" s="741"/>
      <c r="L624" s="741"/>
      <c r="M624" s="788"/>
      <c r="N624" s="741"/>
      <c r="O624" s="741"/>
      <c r="P624" s="741"/>
      <c r="Q624" s="741"/>
      <c r="R624" s="788"/>
      <c r="S624" s="819"/>
      <c r="T624" s="820"/>
      <c r="U624" s="819"/>
      <c r="V624" s="820"/>
      <c r="W624" s="788"/>
      <c r="X624" s="803"/>
      <c r="Y624" s="803"/>
      <c r="Z624" s="803"/>
      <c r="AA624" s="711"/>
      <c r="AB624" s="711"/>
      <c r="AC624" s="711"/>
      <c r="AD624" s="736"/>
      <c r="AE624" s="736"/>
      <c r="AF624" s="624"/>
      <c r="AG624" s="624"/>
      <c r="AH624" s="624"/>
      <c r="AI624" s="624"/>
      <c r="AJ624" s="960">
        <f t="shared" si="6"/>
        <v>624</v>
      </c>
      <c r="AK624" s="961">
        <v>0.9574</v>
      </c>
      <c r="AL624" s="962">
        <v>37900.0</v>
      </c>
      <c r="AM624" s="963">
        <v>-0.8397336041784641</v>
      </c>
      <c r="AN624" s="964">
        <v>-0.04259999999999997</v>
      </c>
      <c r="AO624" s="962">
        <v>37900.0</v>
      </c>
      <c r="AP624" s="965">
        <v>-0.8326613790335385</v>
      </c>
      <c r="AQ624" s="962">
        <v>37900.0</v>
      </c>
      <c r="AR624" s="966">
        <v>-0.8256244162604598</v>
      </c>
      <c r="AS624" s="624"/>
      <c r="AT624" s="624"/>
      <c r="AU624" s="624"/>
      <c r="AV624" s="624"/>
      <c r="AW624" s="624"/>
      <c r="AX624" s="624"/>
      <c r="AY624" s="624"/>
      <c r="AZ624" s="624"/>
      <c r="BA624" s="624"/>
      <c r="BB624" s="624"/>
      <c r="BC624" s="624"/>
      <c r="BD624" s="624"/>
      <c r="BE624" s="624"/>
    </row>
    <row r="625" ht="16.5" customHeight="1">
      <c r="A625" s="711"/>
      <c r="B625" s="711"/>
      <c r="C625" s="711"/>
      <c r="D625" s="711"/>
      <c r="E625" s="711"/>
      <c r="F625" s="711"/>
      <c r="G625" s="711"/>
      <c r="H625" s="711"/>
      <c r="I625" s="711"/>
      <c r="J625" s="711"/>
      <c r="K625" s="741"/>
      <c r="L625" s="741"/>
      <c r="M625" s="788"/>
      <c r="N625" s="741"/>
      <c r="O625" s="741"/>
      <c r="P625" s="741"/>
      <c r="Q625" s="741"/>
      <c r="R625" s="788"/>
      <c r="S625" s="819"/>
      <c r="T625" s="820"/>
      <c r="U625" s="819"/>
      <c r="V625" s="820"/>
      <c r="W625" s="788"/>
      <c r="X625" s="803"/>
      <c r="Y625" s="803"/>
      <c r="Z625" s="803"/>
      <c r="AA625" s="711"/>
      <c r="AB625" s="711"/>
      <c r="AC625" s="711"/>
      <c r="AD625" s="736"/>
      <c r="AE625" s="736"/>
      <c r="AF625" s="624"/>
      <c r="AG625" s="624"/>
      <c r="AH625" s="624"/>
      <c r="AI625" s="624"/>
      <c r="AJ625" s="960">
        <f t="shared" si="6"/>
        <v>625</v>
      </c>
      <c r="AK625" s="961">
        <v>0.9701</v>
      </c>
      <c r="AL625" s="962">
        <v>37900.0</v>
      </c>
      <c r="AM625" s="963">
        <v>-0.8397336041784641</v>
      </c>
      <c r="AN625" s="964">
        <v>-0.029900000000000038</v>
      </c>
      <c r="AO625" s="962">
        <v>37900.0</v>
      </c>
      <c r="AP625" s="965">
        <v>-0.8326613790335385</v>
      </c>
      <c r="AQ625" s="962">
        <v>37900.0</v>
      </c>
      <c r="AR625" s="966">
        <v>-0.8256244162604598</v>
      </c>
      <c r="AS625" s="624"/>
      <c r="AT625" s="624"/>
      <c r="AU625" s="624"/>
      <c r="AV625" s="624"/>
      <c r="AW625" s="624"/>
      <c r="AX625" s="624"/>
      <c r="AY625" s="624"/>
      <c r="AZ625" s="624"/>
      <c r="BA625" s="624"/>
      <c r="BB625" s="624"/>
      <c r="BC625" s="624"/>
      <c r="BD625" s="624"/>
      <c r="BE625" s="624"/>
    </row>
    <row r="626" ht="16.5" customHeight="1">
      <c r="A626" s="711"/>
      <c r="B626" s="711"/>
      <c r="C626" s="711"/>
      <c r="D626" s="711"/>
      <c r="E626" s="711"/>
      <c r="F626" s="711"/>
      <c r="G626" s="711"/>
      <c r="H626" s="711"/>
      <c r="I626" s="711"/>
      <c r="J626" s="711"/>
      <c r="K626" s="741"/>
      <c r="L626" s="741"/>
      <c r="M626" s="788"/>
      <c r="N626" s="741"/>
      <c r="O626" s="741"/>
      <c r="P626" s="741"/>
      <c r="Q626" s="741"/>
      <c r="R626" s="788"/>
      <c r="S626" s="819"/>
      <c r="T626" s="820"/>
      <c r="U626" s="819"/>
      <c r="V626" s="820"/>
      <c r="W626" s="788"/>
      <c r="X626" s="803"/>
      <c r="Y626" s="803"/>
      <c r="Z626" s="803"/>
      <c r="AA626" s="711"/>
      <c r="AB626" s="711"/>
      <c r="AC626" s="711"/>
      <c r="AD626" s="736"/>
      <c r="AE626" s="736"/>
      <c r="AF626" s="624"/>
      <c r="AG626" s="624"/>
      <c r="AH626" s="624"/>
      <c r="AI626" s="624"/>
      <c r="AJ626" s="960">
        <f t="shared" si="6"/>
        <v>626</v>
      </c>
      <c r="AK626" s="961">
        <v>0.9518</v>
      </c>
      <c r="AL626" s="962">
        <v>37896.0</v>
      </c>
      <c r="AM626" s="963">
        <v>-0.8397026318342139</v>
      </c>
      <c r="AN626" s="964">
        <v>-0.04820000000000002</v>
      </c>
      <c r="AO626" s="962">
        <v>37896.0</v>
      </c>
      <c r="AP626" s="965">
        <v>-0.832629802730025</v>
      </c>
      <c r="AQ626" s="962">
        <v>37896.0</v>
      </c>
      <c r="AR626" s="966">
        <v>-0.8255922703330478</v>
      </c>
      <c r="AS626" s="624"/>
      <c r="AT626" s="624"/>
      <c r="AU626" s="624"/>
      <c r="AV626" s="624"/>
      <c r="AW626" s="624"/>
      <c r="AX626" s="624"/>
      <c r="AY626" s="624"/>
      <c r="AZ626" s="624"/>
      <c r="BA626" s="624"/>
      <c r="BB626" s="624"/>
      <c r="BC626" s="624"/>
      <c r="BD626" s="624"/>
      <c r="BE626" s="624"/>
    </row>
    <row r="627" ht="16.5" customHeight="1">
      <c r="A627" s="711"/>
      <c r="B627" s="711"/>
      <c r="C627" s="711"/>
      <c r="D627" s="711"/>
      <c r="E627" s="711"/>
      <c r="F627" s="711"/>
      <c r="G627" s="711"/>
      <c r="H627" s="711"/>
      <c r="I627" s="711"/>
      <c r="J627" s="711"/>
      <c r="K627" s="741"/>
      <c r="L627" s="741"/>
      <c r="M627" s="788"/>
      <c r="N627" s="741"/>
      <c r="O627" s="741"/>
      <c r="P627" s="741"/>
      <c r="Q627" s="741"/>
      <c r="R627" s="788"/>
      <c r="S627" s="819"/>
      <c r="T627" s="820"/>
      <c r="U627" s="819"/>
      <c r="V627" s="820"/>
      <c r="W627" s="788"/>
      <c r="X627" s="803"/>
      <c r="Y627" s="803"/>
      <c r="Z627" s="803"/>
      <c r="AA627" s="711"/>
      <c r="AB627" s="711"/>
      <c r="AC627" s="711"/>
      <c r="AD627" s="736"/>
      <c r="AE627" s="736"/>
      <c r="AF627" s="624"/>
      <c r="AG627" s="624"/>
      <c r="AH627" s="624"/>
      <c r="AI627" s="624"/>
      <c r="AJ627" s="960">
        <f t="shared" si="6"/>
        <v>627</v>
      </c>
      <c r="AK627" s="961">
        <v>0.9849</v>
      </c>
      <c r="AL627" s="962">
        <v>37891.0</v>
      </c>
      <c r="AM627" s="963">
        <v>-0.8396639079865544</v>
      </c>
      <c r="AN627" s="964">
        <v>-0.015100000000000002</v>
      </c>
      <c r="AO627" s="962">
        <v>37891.0</v>
      </c>
      <c r="AP627" s="965">
        <v>-0.8325903239715643</v>
      </c>
      <c r="AQ627" s="962">
        <v>37891.0</v>
      </c>
      <c r="AR627" s="966">
        <v>-0.8255520795901292</v>
      </c>
      <c r="AS627" s="624"/>
      <c r="AT627" s="624"/>
      <c r="AU627" s="624"/>
      <c r="AV627" s="624"/>
      <c r="AW627" s="624"/>
      <c r="AX627" s="624"/>
      <c r="AY627" s="624"/>
      <c r="AZ627" s="624"/>
      <c r="BA627" s="624"/>
      <c r="BB627" s="624"/>
      <c r="BC627" s="624"/>
      <c r="BD627" s="624"/>
      <c r="BE627" s="624"/>
    </row>
    <row r="628" ht="16.5" customHeight="1">
      <c r="A628" s="711"/>
      <c r="B628" s="711"/>
      <c r="C628" s="711"/>
      <c r="D628" s="711"/>
      <c r="E628" s="711"/>
      <c r="F628" s="711"/>
      <c r="G628" s="711"/>
      <c r="H628" s="711"/>
      <c r="I628" s="711"/>
      <c r="J628" s="711"/>
      <c r="K628" s="741"/>
      <c r="L628" s="741"/>
      <c r="M628" s="788"/>
      <c r="N628" s="741"/>
      <c r="O628" s="741"/>
      <c r="P628" s="741"/>
      <c r="Q628" s="741"/>
      <c r="R628" s="788"/>
      <c r="S628" s="819"/>
      <c r="T628" s="820"/>
      <c r="U628" s="819"/>
      <c r="V628" s="820"/>
      <c r="W628" s="788"/>
      <c r="X628" s="803"/>
      <c r="Y628" s="803"/>
      <c r="Z628" s="803"/>
      <c r="AA628" s="711"/>
      <c r="AB628" s="711"/>
      <c r="AC628" s="711"/>
      <c r="AD628" s="736"/>
      <c r="AE628" s="736"/>
      <c r="AF628" s="624"/>
      <c r="AG628" s="624"/>
      <c r="AH628" s="624"/>
      <c r="AI628" s="624"/>
      <c r="AJ628" s="960">
        <f t="shared" si="6"/>
        <v>628</v>
      </c>
      <c r="AK628" s="961">
        <v>0.9611</v>
      </c>
      <c r="AL628" s="962">
        <v>37850.0</v>
      </c>
      <c r="AM628" s="963">
        <v>-0.8393460193711962</v>
      </c>
      <c r="AN628" s="964">
        <v>-0.038900000000000046</v>
      </c>
      <c r="AO628" s="962">
        <v>37850.0</v>
      </c>
      <c r="AP628" s="965">
        <v>-0.8322662466998743</v>
      </c>
      <c r="AQ628" s="962">
        <v>37850.0</v>
      </c>
      <c r="AR628" s="966">
        <v>-0.825222165957109</v>
      </c>
      <c r="AS628" s="624"/>
      <c r="AT628" s="624"/>
      <c r="AU628" s="624"/>
      <c r="AV628" s="624"/>
      <c r="AW628" s="624"/>
      <c r="AX628" s="624"/>
      <c r="AY628" s="624"/>
      <c r="AZ628" s="624"/>
      <c r="BA628" s="624"/>
      <c r="BB628" s="624"/>
      <c r="BC628" s="624"/>
      <c r="BD628" s="624"/>
      <c r="BE628" s="624"/>
    </row>
    <row r="629" ht="16.5" customHeight="1">
      <c r="A629" s="711"/>
      <c r="B629" s="711"/>
      <c r="C629" s="711"/>
      <c r="D629" s="711"/>
      <c r="E629" s="711"/>
      <c r="F629" s="711"/>
      <c r="G629" s="711"/>
      <c r="H629" s="711"/>
      <c r="I629" s="711"/>
      <c r="J629" s="711"/>
      <c r="K629" s="741"/>
      <c r="L629" s="741"/>
      <c r="M629" s="788"/>
      <c r="N629" s="741"/>
      <c r="O629" s="741"/>
      <c r="P629" s="741"/>
      <c r="Q629" s="741"/>
      <c r="R629" s="788"/>
      <c r="S629" s="819"/>
      <c r="T629" s="820"/>
      <c r="U629" s="819"/>
      <c r="V629" s="820"/>
      <c r="W629" s="788"/>
      <c r="X629" s="803"/>
      <c r="Y629" s="803"/>
      <c r="Z629" s="803"/>
      <c r="AA629" s="711"/>
      <c r="AB629" s="711"/>
      <c r="AC629" s="711"/>
      <c r="AD629" s="736"/>
      <c r="AE629" s="736"/>
      <c r="AF629" s="624"/>
      <c r="AG629" s="624"/>
      <c r="AH629" s="624"/>
      <c r="AI629" s="624"/>
      <c r="AJ629" s="960">
        <f t="shared" si="6"/>
        <v>629</v>
      </c>
      <c r="AK629" s="961">
        <v>0.9447</v>
      </c>
      <c r="AL629" s="962">
        <v>37500.0</v>
      </c>
      <c r="AM629" s="963">
        <v>-0.8366065532449203</v>
      </c>
      <c r="AN629" s="964">
        <v>-0.055300000000000016</v>
      </c>
      <c r="AO629" s="962">
        <v>37500.0</v>
      </c>
      <c r="AP629" s="965">
        <v>-0.8294740721857777</v>
      </c>
      <c r="AQ629" s="962">
        <v>37500.0</v>
      </c>
      <c r="AR629" s="966">
        <v>-0.8223803120650218</v>
      </c>
      <c r="AS629" s="624"/>
      <c r="AT629" s="624"/>
      <c r="AU629" s="624"/>
      <c r="AV629" s="624"/>
      <c r="AW629" s="624"/>
      <c r="AX629" s="624"/>
      <c r="AY629" s="624"/>
      <c r="AZ629" s="624"/>
      <c r="BA629" s="624"/>
      <c r="BB629" s="624"/>
      <c r="BC629" s="624"/>
      <c r="BD629" s="624"/>
      <c r="BE629" s="624"/>
    </row>
    <row r="630" ht="16.5" customHeight="1">
      <c r="A630" s="711"/>
      <c r="B630" s="711"/>
      <c r="C630" s="711"/>
      <c r="D630" s="711"/>
      <c r="E630" s="711"/>
      <c r="F630" s="711"/>
      <c r="G630" s="711"/>
      <c r="H630" s="711"/>
      <c r="I630" s="711"/>
      <c r="J630" s="711"/>
      <c r="K630" s="741"/>
      <c r="L630" s="741"/>
      <c r="M630" s="788"/>
      <c r="N630" s="741"/>
      <c r="O630" s="741"/>
      <c r="P630" s="741"/>
      <c r="Q630" s="741"/>
      <c r="R630" s="788"/>
      <c r="S630" s="819"/>
      <c r="T630" s="820"/>
      <c r="U630" s="819"/>
      <c r="V630" s="820"/>
      <c r="W630" s="788"/>
      <c r="X630" s="803"/>
      <c r="Y630" s="803"/>
      <c r="Z630" s="803"/>
      <c r="AA630" s="711"/>
      <c r="AB630" s="711"/>
      <c r="AC630" s="711"/>
      <c r="AD630" s="736"/>
      <c r="AE630" s="736"/>
      <c r="AF630" s="624"/>
      <c r="AG630" s="624"/>
      <c r="AH630" s="624"/>
      <c r="AI630" s="624"/>
      <c r="AJ630" s="960">
        <f t="shared" si="6"/>
        <v>630</v>
      </c>
      <c r="AK630" s="961">
        <v>0.9851</v>
      </c>
      <c r="AL630" s="962">
        <v>37494.0</v>
      </c>
      <c r="AM630" s="963">
        <v>-0.8365591859610788</v>
      </c>
      <c r="AN630" s="964">
        <v>-0.014900000000000024</v>
      </c>
      <c r="AO630" s="962">
        <v>37494.0</v>
      </c>
      <c r="AP630" s="965">
        <v>-0.8294258033005555</v>
      </c>
      <c r="AQ630" s="962">
        <v>37494.0</v>
      </c>
      <c r="AR630" s="966">
        <v>-0.8223311938403447</v>
      </c>
      <c r="AS630" s="624"/>
      <c r="AT630" s="624"/>
      <c r="AU630" s="624"/>
      <c r="AV630" s="624"/>
      <c r="AW630" s="624"/>
      <c r="AX630" s="624"/>
      <c r="AY630" s="624"/>
      <c r="AZ630" s="624"/>
      <c r="BA630" s="624"/>
      <c r="BB630" s="624"/>
      <c r="BC630" s="624"/>
      <c r="BD630" s="624"/>
      <c r="BE630" s="624"/>
    </row>
    <row r="631" ht="16.5" customHeight="1">
      <c r="A631" s="711"/>
      <c r="B631" s="711"/>
      <c r="C631" s="711"/>
      <c r="D631" s="711"/>
      <c r="E631" s="711"/>
      <c r="F631" s="711"/>
      <c r="G631" s="711"/>
      <c r="H631" s="711"/>
      <c r="I631" s="711"/>
      <c r="J631" s="711"/>
      <c r="K631" s="741"/>
      <c r="L631" s="741"/>
      <c r="M631" s="788"/>
      <c r="N631" s="741"/>
      <c r="O631" s="741"/>
      <c r="P631" s="741"/>
      <c r="Q631" s="741"/>
      <c r="R631" s="788"/>
      <c r="S631" s="819"/>
      <c r="T631" s="820"/>
      <c r="U631" s="819"/>
      <c r="V631" s="820"/>
      <c r="W631" s="788"/>
      <c r="X631" s="803"/>
      <c r="Y631" s="803"/>
      <c r="Z631" s="803"/>
      <c r="AA631" s="711"/>
      <c r="AB631" s="711"/>
      <c r="AC631" s="711"/>
      <c r="AD631" s="736"/>
      <c r="AE631" s="736"/>
      <c r="AF631" s="624"/>
      <c r="AG631" s="624"/>
      <c r="AH631" s="624"/>
      <c r="AI631" s="624"/>
      <c r="AJ631" s="960">
        <f t="shared" si="6"/>
        <v>631</v>
      </c>
      <c r="AK631" s="961">
        <v>0.9768</v>
      </c>
      <c r="AL631" s="962">
        <v>37425.0</v>
      </c>
      <c r="AM631" s="963">
        <v>-0.8360134742333581</v>
      </c>
      <c r="AN631" s="964">
        <v>-0.0232</v>
      </c>
      <c r="AO631" s="962">
        <v>37425.0</v>
      </c>
      <c r="AP631" s="965">
        <v>-0.8288697281232373</v>
      </c>
      <c r="AQ631" s="962">
        <v>37425.0</v>
      </c>
      <c r="AR631" s="966">
        <v>-0.821765357036228</v>
      </c>
      <c r="AS631" s="624"/>
      <c r="AT631" s="624"/>
      <c r="AU631" s="624"/>
      <c r="AV631" s="624"/>
      <c r="AW631" s="624"/>
      <c r="AX631" s="624"/>
      <c r="AY631" s="624"/>
      <c r="AZ631" s="624"/>
      <c r="BA631" s="624"/>
      <c r="BB631" s="624"/>
      <c r="BC631" s="624"/>
      <c r="BD631" s="624"/>
      <c r="BE631" s="624"/>
    </row>
    <row r="632" ht="16.5" customHeight="1">
      <c r="A632" s="711"/>
      <c r="B632" s="711"/>
      <c r="C632" s="711"/>
      <c r="D632" s="711"/>
      <c r="E632" s="711"/>
      <c r="F632" s="711"/>
      <c r="G632" s="711"/>
      <c r="H632" s="711"/>
      <c r="I632" s="711"/>
      <c r="J632" s="711"/>
      <c r="K632" s="741"/>
      <c r="L632" s="741"/>
      <c r="M632" s="788"/>
      <c r="N632" s="741"/>
      <c r="O632" s="741"/>
      <c r="P632" s="741"/>
      <c r="Q632" s="741"/>
      <c r="R632" s="788"/>
      <c r="S632" s="819"/>
      <c r="T632" s="820"/>
      <c r="U632" s="819"/>
      <c r="V632" s="820"/>
      <c r="W632" s="788"/>
      <c r="X632" s="803"/>
      <c r="Y632" s="803"/>
      <c r="Z632" s="803"/>
      <c r="AA632" s="711"/>
      <c r="AB632" s="711"/>
      <c r="AC632" s="711"/>
      <c r="AD632" s="736"/>
      <c r="AE632" s="736"/>
      <c r="AF632" s="624"/>
      <c r="AG632" s="624"/>
      <c r="AH632" s="624"/>
      <c r="AI632" s="624"/>
      <c r="AJ632" s="960">
        <f t="shared" si="6"/>
        <v>632</v>
      </c>
      <c r="AK632" s="961">
        <v>0.972</v>
      </c>
      <c r="AL632" s="962">
        <v>37179.0</v>
      </c>
      <c r="AM632" s="963">
        <v>-0.83405302286881</v>
      </c>
      <c r="AN632" s="964">
        <v>-0.028000000000000025</v>
      </c>
      <c r="AO632" s="962">
        <v>37179.0</v>
      </c>
      <c r="AP632" s="965">
        <v>-0.8268724053654973</v>
      </c>
      <c r="AQ632" s="962">
        <v>37179.0</v>
      </c>
      <c r="AR632" s="966">
        <v>-0.8197333206116867</v>
      </c>
      <c r="AS632" s="624"/>
      <c r="AT632" s="624"/>
      <c r="AU632" s="624"/>
      <c r="AV632" s="624"/>
      <c r="AW632" s="624"/>
      <c r="AX632" s="624"/>
      <c r="AY632" s="624"/>
      <c r="AZ632" s="624"/>
      <c r="BA632" s="624"/>
      <c r="BB632" s="624"/>
      <c r="BC632" s="624"/>
      <c r="BD632" s="624"/>
      <c r="BE632" s="624"/>
    </row>
    <row r="633" ht="16.5" customHeight="1">
      <c r="A633" s="711"/>
      <c r="B633" s="711"/>
      <c r="C633" s="711"/>
      <c r="D633" s="711"/>
      <c r="E633" s="711"/>
      <c r="F633" s="711"/>
      <c r="G633" s="711"/>
      <c r="H633" s="711"/>
      <c r="I633" s="711"/>
      <c r="J633" s="711"/>
      <c r="K633" s="741"/>
      <c r="L633" s="741"/>
      <c r="M633" s="788"/>
      <c r="N633" s="741"/>
      <c r="O633" s="741"/>
      <c r="P633" s="741"/>
      <c r="Q633" s="741"/>
      <c r="R633" s="788"/>
      <c r="S633" s="819"/>
      <c r="T633" s="820"/>
      <c r="U633" s="819"/>
      <c r="V633" s="820"/>
      <c r="W633" s="788"/>
      <c r="X633" s="803"/>
      <c r="Y633" s="803"/>
      <c r="Z633" s="803"/>
      <c r="AA633" s="711"/>
      <c r="AB633" s="711"/>
      <c r="AC633" s="711"/>
      <c r="AD633" s="736"/>
      <c r="AE633" s="736"/>
      <c r="AF633" s="624"/>
      <c r="AG633" s="624"/>
      <c r="AH633" s="624"/>
      <c r="AI633" s="624"/>
      <c r="AJ633" s="960">
        <f t="shared" si="6"/>
        <v>633</v>
      </c>
      <c r="AK633" s="961">
        <v>0.9973</v>
      </c>
      <c r="AL633" s="962">
        <v>37124.0</v>
      </c>
      <c r="AM633" s="963">
        <v>-0.8336115146639216</v>
      </c>
      <c r="AN633" s="964">
        <v>-0.0027000000000000357</v>
      </c>
      <c r="AO633" s="962">
        <v>37124.0</v>
      </c>
      <c r="AP633" s="965">
        <v>-0.8264226704566663</v>
      </c>
      <c r="AQ633" s="962">
        <v>37124.0</v>
      </c>
      <c r="AR633" s="966">
        <v>-0.8192758439914551</v>
      </c>
      <c r="AS633" s="624"/>
      <c r="AT633" s="624"/>
      <c r="AU633" s="624"/>
      <c r="AV633" s="624"/>
      <c r="AW633" s="624"/>
      <c r="AX633" s="624"/>
      <c r="AY633" s="624"/>
      <c r="AZ633" s="624"/>
      <c r="BA633" s="624"/>
      <c r="BB633" s="624"/>
      <c r="BC633" s="624"/>
      <c r="BD633" s="624"/>
      <c r="BE633" s="624"/>
    </row>
    <row r="634" ht="16.5" customHeight="1">
      <c r="A634" s="711"/>
      <c r="B634" s="711"/>
      <c r="C634" s="711"/>
      <c r="D634" s="711"/>
      <c r="E634" s="711"/>
      <c r="F634" s="711"/>
      <c r="G634" s="711"/>
      <c r="H634" s="711"/>
      <c r="I634" s="711"/>
      <c r="J634" s="711"/>
      <c r="K634" s="741"/>
      <c r="L634" s="741"/>
      <c r="M634" s="788"/>
      <c r="N634" s="741"/>
      <c r="O634" s="741"/>
      <c r="P634" s="741"/>
      <c r="Q634" s="741"/>
      <c r="R634" s="788"/>
      <c r="S634" s="819"/>
      <c r="T634" s="820"/>
      <c r="U634" s="819"/>
      <c r="V634" s="820"/>
      <c r="W634" s="788"/>
      <c r="X634" s="803"/>
      <c r="Y634" s="803"/>
      <c r="Z634" s="803"/>
      <c r="AA634" s="711"/>
      <c r="AB634" s="711"/>
      <c r="AC634" s="711"/>
      <c r="AD634" s="736"/>
      <c r="AE634" s="736"/>
      <c r="AF634" s="624"/>
      <c r="AG634" s="624"/>
      <c r="AH634" s="624"/>
      <c r="AI634" s="624"/>
      <c r="AJ634" s="960">
        <f t="shared" si="6"/>
        <v>634</v>
      </c>
      <c r="AK634" s="961">
        <v>0.9636</v>
      </c>
      <c r="AL634" s="962">
        <v>37069.0</v>
      </c>
      <c r="AM634" s="963">
        <v>-0.8331688318097665</v>
      </c>
      <c r="AN634" s="964">
        <v>-0.03639999999999999</v>
      </c>
      <c r="AO634" s="962">
        <v>37069.0</v>
      </c>
      <c r="AP634" s="965">
        <v>-0.8259717672679394</v>
      </c>
      <c r="AQ634" s="962">
        <v>37069.0</v>
      </c>
      <c r="AR634" s="966">
        <v>-0.8188172063976106</v>
      </c>
      <c r="AS634" s="624"/>
      <c r="AT634" s="624"/>
      <c r="AU634" s="624"/>
      <c r="AV634" s="624"/>
      <c r="AW634" s="624"/>
      <c r="AX634" s="624"/>
      <c r="AY634" s="624"/>
      <c r="AZ634" s="624"/>
      <c r="BA634" s="624"/>
      <c r="BB634" s="624"/>
      <c r="BC634" s="624"/>
      <c r="BD634" s="624"/>
      <c r="BE634" s="624"/>
    </row>
    <row r="635" ht="16.5" customHeight="1">
      <c r="A635" s="711"/>
      <c r="B635" s="711"/>
      <c r="C635" s="711"/>
      <c r="D635" s="711"/>
      <c r="E635" s="711"/>
      <c r="F635" s="711"/>
      <c r="G635" s="711"/>
      <c r="H635" s="711"/>
      <c r="I635" s="711"/>
      <c r="J635" s="711"/>
      <c r="K635" s="741"/>
      <c r="L635" s="741"/>
      <c r="M635" s="788"/>
      <c r="N635" s="741"/>
      <c r="O635" s="741"/>
      <c r="P635" s="741"/>
      <c r="Q635" s="741"/>
      <c r="R635" s="788"/>
      <c r="S635" s="819"/>
      <c r="T635" s="820"/>
      <c r="U635" s="819"/>
      <c r="V635" s="820"/>
      <c r="W635" s="788"/>
      <c r="X635" s="803"/>
      <c r="Y635" s="803"/>
      <c r="Z635" s="803"/>
      <c r="AA635" s="711"/>
      <c r="AB635" s="711"/>
      <c r="AC635" s="711"/>
      <c r="AD635" s="736"/>
      <c r="AE635" s="736"/>
      <c r="AF635" s="624"/>
      <c r="AG635" s="624"/>
      <c r="AH635" s="624"/>
      <c r="AI635" s="624"/>
      <c r="AJ635" s="960">
        <f t="shared" si="6"/>
        <v>635</v>
      </c>
      <c r="AK635" s="961">
        <v>0.9849</v>
      </c>
      <c r="AL635" s="962">
        <v>37050.0</v>
      </c>
      <c r="AM635" s="963">
        <v>-0.833015631453421</v>
      </c>
      <c r="AN635" s="964">
        <v>-0.015100000000000002</v>
      </c>
      <c r="AO635" s="962">
        <v>37050.0</v>
      </c>
      <c r="AP635" s="965">
        <v>-0.8258157286562745</v>
      </c>
      <c r="AQ635" s="962">
        <v>37050.0</v>
      </c>
      <c r="AR635" s="966">
        <v>-0.8186584976145755</v>
      </c>
      <c r="AS635" s="624"/>
      <c r="AT635" s="624"/>
      <c r="AU635" s="624"/>
      <c r="AV635" s="624"/>
      <c r="AW635" s="624"/>
      <c r="AX635" s="624"/>
      <c r="AY635" s="624"/>
      <c r="AZ635" s="624"/>
      <c r="BA635" s="624"/>
      <c r="BB635" s="624"/>
      <c r="BC635" s="624"/>
      <c r="BD635" s="624"/>
      <c r="BE635" s="624"/>
    </row>
    <row r="636" ht="16.5" customHeight="1">
      <c r="A636" s="711"/>
      <c r="B636" s="711"/>
      <c r="C636" s="711"/>
      <c r="D636" s="711"/>
      <c r="E636" s="711"/>
      <c r="F636" s="711"/>
      <c r="G636" s="711"/>
      <c r="H636" s="711"/>
      <c r="I636" s="711"/>
      <c r="J636" s="711"/>
      <c r="K636" s="741"/>
      <c r="L636" s="741"/>
      <c r="M636" s="788"/>
      <c r="N636" s="741"/>
      <c r="O636" s="741"/>
      <c r="P636" s="741"/>
      <c r="Q636" s="741"/>
      <c r="R636" s="788"/>
      <c r="S636" s="819"/>
      <c r="T636" s="820"/>
      <c r="U636" s="819"/>
      <c r="V636" s="820"/>
      <c r="W636" s="788"/>
      <c r="X636" s="803"/>
      <c r="Y636" s="803"/>
      <c r="Z636" s="803"/>
      <c r="AA636" s="711"/>
      <c r="AB636" s="711"/>
      <c r="AC636" s="711"/>
      <c r="AD636" s="736"/>
      <c r="AE636" s="736"/>
      <c r="AF636" s="624"/>
      <c r="AG636" s="624"/>
      <c r="AH636" s="624"/>
      <c r="AI636" s="624"/>
      <c r="AJ636" s="960">
        <f t="shared" si="6"/>
        <v>636</v>
      </c>
      <c r="AK636" s="961">
        <v>0.9524</v>
      </c>
      <c r="AL636" s="962">
        <v>37042.0</v>
      </c>
      <c r="AM636" s="963">
        <v>-0.8329510839596181</v>
      </c>
      <c r="AN636" s="964">
        <v>-0.047599999999999976</v>
      </c>
      <c r="AO636" s="962">
        <v>37042.0</v>
      </c>
      <c r="AP636" s="965">
        <v>-0.8257499863391292</v>
      </c>
      <c r="AQ636" s="962">
        <v>37042.0</v>
      </c>
      <c r="AR636" s="966">
        <v>-0.8185916312796451</v>
      </c>
      <c r="AS636" s="624"/>
      <c r="AT636" s="624"/>
      <c r="AU636" s="624"/>
      <c r="AV636" s="624"/>
      <c r="AW636" s="624"/>
      <c r="AX636" s="624"/>
      <c r="AY636" s="624"/>
      <c r="AZ636" s="624"/>
      <c r="BA636" s="624"/>
      <c r="BB636" s="624"/>
      <c r="BC636" s="624"/>
      <c r="BD636" s="624"/>
      <c r="BE636" s="624"/>
    </row>
    <row r="637" ht="16.5" customHeight="1">
      <c r="A637" s="711"/>
      <c r="B637" s="711"/>
      <c r="C637" s="711"/>
      <c r="D637" s="711"/>
      <c r="E637" s="711"/>
      <c r="F637" s="711"/>
      <c r="G637" s="711"/>
      <c r="H637" s="711"/>
      <c r="I637" s="711"/>
      <c r="J637" s="711"/>
      <c r="K637" s="741"/>
      <c r="L637" s="741"/>
      <c r="M637" s="788"/>
      <c r="N637" s="741"/>
      <c r="O637" s="741"/>
      <c r="P637" s="741"/>
      <c r="Q637" s="741"/>
      <c r="R637" s="788"/>
      <c r="S637" s="819"/>
      <c r="T637" s="820"/>
      <c r="U637" s="819"/>
      <c r="V637" s="820"/>
      <c r="W637" s="788"/>
      <c r="X637" s="803"/>
      <c r="Y637" s="803"/>
      <c r="Z637" s="803"/>
      <c r="AA637" s="711"/>
      <c r="AB637" s="711"/>
      <c r="AC637" s="711"/>
      <c r="AD637" s="736"/>
      <c r="AE637" s="736"/>
      <c r="AF637" s="624"/>
      <c r="AG637" s="624"/>
      <c r="AH637" s="624"/>
      <c r="AI637" s="624"/>
      <c r="AJ637" s="960">
        <f t="shared" si="6"/>
        <v>637</v>
      </c>
      <c r="AK637" s="961">
        <v>0.9468</v>
      </c>
      <c r="AL637" s="962">
        <v>37000.0</v>
      </c>
      <c r="AM637" s="963">
        <v>-0.832611800045295</v>
      </c>
      <c r="AN637" s="964">
        <v>-0.053200000000000025</v>
      </c>
      <c r="AO637" s="962">
        <v>37000.0</v>
      </c>
      <c r="AP637" s="965">
        <v>-0.8254044318664112</v>
      </c>
      <c r="AQ637" s="962">
        <v>37000.0</v>
      </c>
      <c r="AR637" s="966">
        <v>-0.8182401783018581</v>
      </c>
      <c r="AS637" s="624"/>
      <c r="AT637" s="624"/>
      <c r="AU637" s="624"/>
      <c r="AV637" s="624"/>
      <c r="AW637" s="624"/>
      <c r="AX637" s="624"/>
      <c r="AY637" s="624"/>
      <c r="AZ637" s="624"/>
      <c r="BA637" s="624"/>
      <c r="BB637" s="624"/>
      <c r="BC637" s="624"/>
      <c r="BD637" s="624"/>
      <c r="BE637" s="624"/>
    </row>
    <row r="638" ht="16.5" customHeight="1">
      <c r="A638" s="711"/>
      <c r="B638" s="711"/>
      <c r="C638" s="711"/>
      <c r="D638" s="711"/>
      <c r="E638" s="711"/>
      <c r="F638" s="711"/>
      <c r="G638" s="711"/>
      <c r="H638" s="711"/>
      <c r="I638" s="711"/>
      <c r="J638" s="711"/>
      <c r="K638" s="741"/>
      <c r="L638" s="741"/>
      <c r="M638" s="788"/>
      <c r="N638" s="741"/>
      <c r="O638" s="741"/>
      <c r="P638" s="741"/>
      <c r="Q638" s="741"/>
      <c r="R638" s="788"/>
      <c r="S638" s="819"/>
      <c r="T638" s="820"/>
      <c r="U638" s="819"/>
      <c r="V638" s="820"/>
      <c r="W638" s="788"/>
      <c r="X638" s="803"/>
      <c r="Y638" s="803"/>
      <c r="Z638" s="803"/>
      <c r="AA638" s="711"/>
      <c r="AB638" s="711"/>
      <c r="AC638" s="711"/>
      <c r="AD638" s="736"/>
      <c r="AE638" s="736"/>
      <c r="AF638" s="624"/>
      <c r="AG638" s="624"/>
      <c r="AH638" s="624"/>
      <c r="AI638" s="624"/>
      <c r="AJ638" s="960">
        <f t="shared" si="6"/>
        <v>638</v>
      </c>
      <c r="AK638" s="961">
        <v>0.9568</v>
      </c>
      <c r="AL638" s="962">
        <v>37000.0</v>
      </c>
      <c r="AM638" s="963">
        <v>-0.832611800045295</v>
      </c>
      <c r="AN638" s="964">
        <v>-0.043200000000000016</v>
      </c>
      <c r="AO638" s="962">
        <v>37000.0</v>
      </c>
      <c r="AP638" s="965">
        <v>-0.8254044318664112</v>
      </c>
      <c r="AQ638" s="962">
        <v>37000.0</v>
      </c>
      <c r="AR638" s="966">
        <v>-0.8182401783018581</v>
      </c>
      <c r="AS638" s="624"/>
      <c r="AT638" s="624"/>
      <c r="AU638" s="624"/>
      <c r="AV638" s="624"/>
      <c r="AW638" s="624"/>
      <c r="AX638" s="624"/>
      <c r="AY638" s="624"/>
      <c r="AZ638" s="624"/>
      <c r="BA638" s="624"/>
      <c r="BB638" s="624"/>
      <c r="BC638" s="624"/>
      <c r="BD638" s="624"/>
      <c r="BE638" s="624"/>
    </row>
    <row r="639" ht="16.5" customHeight="1">
      <c r="A639" s="711"/>
      <c r="B639" s="711"/>
      <c r="C639" s="711"/>
      <c r="D639" s="711"/>
      <c r="E639" s="711"/>
      <c r="F639" s="711"/>
      <c r="G639" s="711"/>
      <c r="H639" s="711"/>
      <c r="I639" s="711"/>
      <c r="J639" s="711"/>
      <c r="K639" s="741"/>
      <c r="L639" s="741"/>
      <c r="M639" s="788"/>
      <c r="N639" s="741"/>
      <c r="O639" s="741"/>
      <c r="P639" s="741"/>
      <c r="Q639" s="741"/>
      <c r="R639" s="788"/>
      <c r="S639" s="819"/>
      <c r="T639" s="820"/>
      <c r="U639" s="819"/>
      <c r="V639" s="820"/>
      <c r="W639" s="788"/>
      <c r="X639" s="803"/>
      <c r="Y639" s="803"/>
      <c r="Z639" s="803"/>
      <c r="AA639" s="711"/>
      <c r="AB639" s="711"/>
      <c r="AC639" s="711"/>
      <c r="AD639" s="736"/>
      <c r="AE639" s="736"/>
      <c r="AF639" s="624"/>
      <c r="AG639" s="624"/>
      <c r="AH639" s="624"/>
      <c r="AI639" s="624"/>
      <c r="AJ639" s="960">
        <f t="shared" si="6"/>
        <v>639</v>
      </c>
      <c r="AK639" s="961">
        <v>0.9766</v>
      </c>
      <c r="AL639" s="962">
        <v>36870.0</v>
      </c>
      <c r="AM639" s="963">
        <v>-0.8315572619184132</v>
      </c>
      <c r="AN639" s="964">
        <v>-0.023399999999999976</v>
      </c>
      <c r="AO639" s="962">
        <v>36870.0</v>
      </c>
      <c r="AP639" s="965">
        <v>-0.8243305093437776</v>
      </c>
      <c r="AQ639" s="962">
        <v>36870.0</v>
      </c>
      <c r="AR639" s="966">
        <v>-0.8171480264211104</v>
      </c>
      <c r="AS639" s="624"/>
      <c r="AT639" s="624"/>
      <c r="AU639" s="624"/>
      <c r="AV639" s="624"/>
      <c r="AW639" s="624"/>
      <c r="AX639" s="624"/>
      <c r="AY639" s="624"/>
      <c r="AZ639" s="624"/>
      <c r="BA639" s="624"/>
      <c r="BB639" s="624"/>
      <c r="BC639" s="624"/>
      <c r="BD639" s="624"/>
      <c r="BE639" s="624"/>
    </row>
    <row r="640" ht="16.5" customHeight="1">
      <c r="A640" s="711"/>
      <c r="B640" s="711"/>
      <c r="C640" s="711"/>
      <c r="D640" s="711"/>
      <c r="E640" s="711"/>
      <c r="F640" s="711"/>
      <c r="G640" s="711"/>
      <c r="H640" s="711"/>
      <c r="I640" s="711"/>
      <c r="J640" s="711"/>
      <c r="K640" s="741"/>
      <c r="L640" s="741"/>
      <c r="M640" s="788"/>
      <c r="N640" s="741"/>
      <c r="O640" s="741"/>
      <c r="P640" s="741"/>
      <c r="Q640" s="741"/>
      <c r="R640" s="788"/>
      <c r="S640" s="819"/>
      <c r="T640" s="820"/>
      <c r="U640" s="819"/>
      <c r="V640" s="820"/>
      <c r="W640" s="788"/>
      <c r="X640" s="803"/>
      <c r="Y640" s="803"/>
      <c r="Z640" s="803"/>
      <c r="AA640" s="711"/>
      <c r="AB640" s="711"/>
      <c r="AC640" s="711"/>
      <c r="AD640" s="736"/>
      <c r="AE640" s="736"/>
      <c r="AF640" s="624"/>
      <c r="AG640" s="624"/>
      <c r="AH640" s="624"/>
      <c r="AI640" s="624"/>
      <c r="AJ640" s="960">
        <f t="shared" si="6"/>
        <v>640</v>
      </c>
      <c r="AK640" s="961">
        <v>0.9644</v>
      </c>
      <c r="AL640" s="962">
        <v>36800.0</v>
      </c>
      <c r="AM640" s="963">
        <v>-0.8309866845939339</v>
      </c>
      <c r="AN640" s="964">
        <v>-0.035599999999999965</v>
      </c>
      <c r="AO640" s="962">
        <v>36800.0</v>
      </c>
      <c r="AP640" s="965">
        <v>-0.8237495099034137</v>
      </c>
      <c r="AQ640" s="962">
        <v>36800.0</v>
      </c>
      <c r="AR640" s="966">
        <v>-0.8165572289582271</v>
      </c>
      <c r="AS640" s="624"/>
      <c r="AT640" s="624"/>
      <c r="AU640" s="624"/>
      <c r="AV640" s="624"/>
      <c r="AW640" s="624"/>
      <c r="AX640" s="624"/>
      <c r="AY640" s="624"/>
      <c r="AZ640" s="624"/>
      <c r="BA640" s="624"/>
      <c r="BB640" s="624"/>
      <c r="BC640" s="624"/>
      <c r="BD640" s="624"/>
      <c r="BE640" s="624"/>
    </row>
    <row r="641" ht="16.5" customHeight="1">
      <c r="A641" s="711"/>
      <c r="B641" s="711"/>
      <c r="C641" s="711"/>
      <c r="D641" s="711"/>
      <c r="E641" s="711"/>
      <c r="F641" s="711"/>
      <c r="G641" s="711"/>
      <c r="H641" s="711"/>
      <c r="I641" s="711"/>
      <c r="J641" s="711"/>
      <c r="K641" s="741"/>
      <c r="L641" s="741"/>
      <c r="M641" s="788"/>
      <c r="N641" s="741"/>
      <c r="O641" s="741"/>
      <c r="P641" s="741"/>
      <c r="Q641" s="741"/>
      <c r="R641" s="788"/>
      <c r="S641" s="819"/>
      <c r="T641" s="820"/>
      <c r="U641" s="819"/>
      <c r="V641" s="820"/>
      <c r="W641" s="788"/>
      <c r="X641" s="803"/>
      <c r="Y641" s="803"/>
      <c r="Z641" s="803"/>
      <c r="AA641" s="711"/>
      <c r="AB641" s="711"/>
      <c r="AC641" s="711"/>
      <c r="AD641" s="736"/>
      <c r="AE641" s="736"/>
      <c r="AF641" s="624"/>
      <c r="AG641" s="624"/>
      <c r="AH641" s="624"/>
      <c r="AI641" s="624"/>
      <c r="AJ641" s="960">
        <f t="shared" si="6"/>
        <v>641</v>
      </c>
      <c r="AK641" s="961">
        <v>0.9726</v>
      </c>
      <c r="AL641" s="962">
        <v>36800.0</v>
      </c>
      <c r="AM641" s="963">
        <v>-0.8309866845939339</v>
      </c>
      <c r="AN641" s="964">
        <v>-0.02739999999999998</v>
      </c>
      <c r="AO641" s="962">
        <v>36800.0</v>
      </c>
      <c r="AP641" s="965">
        <v>-0.8237495099034137</v>
      </c>
      <c r="AQ641" s="962">
        <v>36800.0</v>
      </c>
      <c r="AR641" s="966">
        <v>-0.8165572289582271</v>
      </c>
      <c r="AS641" s="624"/>
      <c r="AT641" s="624"/>
      <c r="AU641" s="624"/>
      <c r="AV641" s="624"/>
      <c r="AW641" s="624"/>
      <c r="AX641" s="624"/>
      <c r="AY641" s="624"/>
      <c r="AZ641" s="624"/>
      <c r="BA641" s="624"/>
      <c r="BB641" s="624"/>
      <c r="BC641" s="624"/>
      <c r="BD641" s="624"/>
      <c r="BE641" s="624"/>
    </row>
    <row r="642" ht="16.5" customHeight="1">
      <c r="A642" s="711"/>
      <c r="B642" s="711"/>
      <c r="C642" s="711"/>
      <c r="D642" s="711"/>
      <c r="E642" s="711"/>
      <c r="F642" s="711"/>
      <c r="G642" s="711"/>
      <c r="H642" s="711"/>
      <c r="I642" s="711"/>
      <c r="J642" s="711"/>
      <c r="K642" s="741"/>
      <c r="L642" s="741"/>
      <c r="M642" s="788"/>
      <c r="N642" s="741"/>
      <c r="O642" s="741"/>
      <c r="P642" s="741"/>
      <c r="Q642" s="741"/>
      <c r="R642" s="788"/>
      <c r="S642" s="819"/>
      <c r="T642" s="820"/>
      <c r="U642" s="819"/>
      <c r="V642" s="820"/>
      <c r="W642" s="788"/>
      <c r="X642" s="803"/>
      <c r="Y642" s="803"/>
      <c r="Z642" s="803"/>
      <c r="AA642" s="711"/>
      <c r="AB642" s="711"/>
      <c r="AC642" s="711"/>
      <c r="AD642" s="736"/>
      <c r="AE642" s="736"/>
      <c r="AF642" s="624"/>
      <c r="AG642" s="624"/>
      <c r="AH642" s="624"/>
      <c r="AI642" s="624"/>
      <c r="AJ642" s="960">
        <f t="shared" si="6"/>
        <v>642</v>
      </c>
      <c r="AK642" s="961">
        <v>0.934</v>
      </c>
      <c r="AL642" s="962">
        <v>36743.0</v>
      </c>
      <c r="AM642" s="963">
        <v>-0.8305206442542162</v>
      </c>
      <c r="AN642" s="964">
        <v>-0.06599999999999995</v>
      </c>
      <c r="AO642" s="962">
        <v>36743.0</v>
      </c>
      <c r="AP642" s="965">
        <v>-0.8232749912403373</v>
      </c>
      <c r="AQ642" s="962">
        <v>36743.0</v>
      </c>
      <c r="AR642" s="966">
        <v>-0.8160747412702773</v>
      </c>
      <c r="AS642" s="624"/>
      <c r="AT642" s="624"/>
      <c r="AU642" s="624"/>
      <c r="AV642" s="624"/>
      <c r="AW642" s="624"/>
      <c r="AX642" s="624"/>
      <c r="AY642" s="624"/>
      <c r="AZ642" s="624"/>
      <c r="BA642" s="624"/>
      <c r="BB642" s="624"/>
      <c r="BC642" s="624"/>
      <c r="BD642" s="624"/>
      <c r="BE642" s="624"/>
    </row>
    <row r="643" ht="16.5" customHeight="1">
      <c r="A643" s="711"/>
      <c r="B643" s="711"/>
      <c r="C643" s="711"/>
      <c r="D643" s="711"/>
      <c r="E643" s="711"/>
      <c r="F643" s="711"/>
      <c r="G643" s="711"/>
      <c r="H643" s="711"/>
      <c r="I643" s="711"/>
      <c r="J643" s="711"/>
      <c r="K643" s="741"/>
      <c r="L643" s="741"/>
      <c r="M643" s="788"/>
      <c r="N643" s="741"/>
      <c r="O643" s="741"/>
      <c r="P643" s="741"/>
      <c r="Q643" s="741"/>
      <c r="R643" s="788"/>
      <c r="S643" s="819"/>
      <c r="T643" s="820"/>
      <c r="U643" s="819"/>
      <c r="V643" s="820"/>
      <c r="W643" s="788"/>
      <c r="X643" s="803"/>
      <c r="Y643" s="803"/>
      <c r="Z643" s="803"/>
      <c r="AA643" s="711"/>
      <c r="AB643" s="711"/>
      <c r="AC643" s="711"/>
      <c r="AD643" s="736"/>
      <c r="AE643" s="736"/>
      <c r="AF643" s="624"/>
      <c r="AG643" s="624"/>
      <c r="AH643" s="624"/>
      <c r="AI643" s="624"/>
      <c r="AJ643" s="960">
        <f t="shared" si="6"/>
        <v>643</v>
      </c>
      <c r="AK643" s="961">
        <v>0.9461</v>
      </c>
      <c r="AL643" s="962">
        <v>36535.0</v>
      </c>
      <c r="AM643" s="963">
        <v>-0.8288090785185862</v>
      </c>
      <c r="AN643" s="964">
        <v>-0.05389999999999995</v>
      </c>
      <c r="AO643" s="962">
        <v>36535.0</v>
      </c>
      <c r="AP643" s="965">
        <v>-0.8215325516547207</v>
      </c>
      <c r="AQ643" s="962">
        <v>36535.0</v>
      </c>
      <c r="AR643" s="966">
        <v>-0.8143032947292363</v>
      </c>
      <c r="AS643" s="624"/>
      <c r="AT643" s="624"/>
      <c r="AU643" s="624"/>
      <c r="AV643" s="624"/>
      <c r="AW643" s="624"/>
      <c r="AX643" s="624"/>
      <c r="AY643" s="624"/>
      <c r="AZ643" s="624"/>
      <c r="BA643" s="624"/>
      <c r="BB643" s="624"/>
      <c r="BC643" s="624"/>
      <c r="BD643" s="624"/>
      <c r="BE643" s="624"/>
    </row>
    <row r="644" ht="16.5" customHeight="1">
      <c r="A644" s="711"/>
      <c r="B644" s="711"/>
      <c r="C644" s="711"/>
      <c r="D644" s="711"/>
      <c r="E644" s="711"/>
      <c r="F644" s="711"/>
      <c r="G644" s="711"/>
      <c r="H644" s="711"/>
      <c r="I644" s="711"/>
      <c r="J644" s="711"/>
      <c r="K644" s="741"/>
      <c r="L644" s="741"/>
      <c r="M644" s="788"/>
      <c r="N644" s="741"/>
      <c r="O644" s="741"/>
      <c r="P644" s="741"/>
      <c r="Q644" s="741"/>
      <c r="R644" s="788"/>
      <c r="S644" s="819"/>
      <c r="T644" s="820"/>
      <c r="U644" s="819"/>
      <c r="V644" s="820"/>
      <c r="W644" s="788"/>
      <c r="X644" s="803"/>
      <c r="Y644" s="803"/>
      <c r="Z644" s="803"/>
      <c r="AA644" s="711"/>
      <c r="AB644" s="711"/>
      <c r="AC644" s="711"/>
      <c r="AD644" s="736"/>
      <c r="AE644" s="736"/>
      <c r="AF644" s="624"/>
      <c r="AG644" s="624"/>
      <c r="AH644" s="624"/>
      <c r="AI644" s="624"/>
      <c r="AJ644" s="960">
        <f t="shared" si="6"/>
        <v>644</v>
      </c>
      <c r="AK644" s="961">
        <v>0.9323</v>
      </c>
      <c r="AL644" s="962">
        <v>36500.0</v>
      </c>
      <c r="AM644" s="963">
        <v>-0.8285193804248749</v>
      </c>
      <c r="AN644" s="964">
        <v>-0.06769999999999998</v>
      </c>
      <c r="AO644" s="962">
        <v>36500.0</v>
      </c>
      <c r="AP644" s="965">
        <v>-0.8212376686488362</v>
      </c>
      <c r="AQ644" s="962">
        <v>36500.0</v>
      </c>
      <c r="AR644" s="966">
        <v>-0.8140035422433906</v>
      </c>
      <c r="AS644" s="624"/>
      <c r="AT644" s="624"/>
      <c r="AU644" s="624"/>
      <c r="AV644" s="624"/>
      <c r="AW644" s="624"/>
      <c r="AX644" s="624"/>
      <c r="AY644" s="624"/>
      <c r="AZ644" s="624"/>
      <c r="BA644" s="624"/>
      <c r="BB644" s="624"/>
      <c r="BC644" s="624"/>
      <c r="BD644" s="624"/>
      <c r="BE644" s="624"/>
    </row>
    <row r="645" ht="16.5" customHeight="1">
      <c r="A645" s="711"/>
      <c r="B645" s="711"/>
      <c r="C645" s="711"/>
      <c r="D645" s="711"/>
      <c r="E645" s="711"/>
      <c r="F645" s="711"/>
      <c r="G645" s="711"/>
      <c r="H645" s="711"/>
      <c r="I645" s="711"/>
      <c r="J645" s="711"/>
      <c r="K645" s="741"/>
      <c r="L645" s="741"/>
      <c r="M645" s="788"/>
      <c r="N645" s="741"/>
      <c r="O645" s="741"/>
      <c r="P645" s="741"/>
      <c r="Q645" s="741"/>
      <c r="R645" s="788"/>
      <c r="S645" s="819"/>
      <c r="T645" s="820"/>
      <c r="U645" s="819"/>
      <c r="V645" s="820"/>
      <c r="W645" s="788"/>
      <c r="X645" s="803"/>
      <c r="Y645" s="803"/>
      <c r="Z645" s="803"/>
      <c r="AA645" s="711"/>
      <c r="AB645" s="711"/>
      <c r="AC645" s="711"/>
      <c r="AD645" s="736"/>
      <c r="AE645" s="736"/>
      <c r="AF645" s="624"/>
      <c r="AG645" s="624"/>
      <c r="AH645" s="624"/>
      <c r="AI645" s="624"/>
      <c r="AJ645" s="960">
        <f t="shared" si="6"/>
        <v>645</v>
      </c>
      <c r="AK645" s="961">
        <v>0.9869</v>
      </c>
      <c r="AL645" s="962">
        <v>36474.0</v>
      </c>
      <c r="AM645" s="963">
        <v>-0.8283038588160176</v>
      </c>
      <c r="AN645" s="964">
        <v>-0.0131</v>
      </c>
      <c r="AO645" s="962">
        <v>36474.0</v>
      </c>
      <c r="AP645" s="965">
        <v>-0.8210182973347185</v>
      </c>
      <c r="AQ645" s="962">
        <v>36474.0</v>
      </c>
      <c r="AR645" s="966">
        <v>-0.8137805557850146</v>
      </c>
      <c r="AS645" s="624"/>
      <c r="AT645" s="624"/>
      <c r="AU645" s="624"/>
      <c r="AV645" s="624"/>
      <c r="AW645" s="624"/>
      <c r="AX645" s="624"/>
      <c r="AY645" s="624"/>
      <c r="AZ645" s="624"/>
      <c r="BA645" s="624"/>
      <c r="BB645" s="624"/>
      <c r="BC645" s="624"/>
      <c r="BD645" s="624"/>
      <c r="BE645" s="624"/>
    </row>
    <row r="646" ht="16.5" customHeight="1">
      <c r="A646" s="711"/>
      <c r="B646" s="711"/>
      <c r="C646" s="711"/>
      <c r="D646" s="711"/>
      <c r="E646" s="711"/>
      <c r="F646" s="711"/>
      <c r="G646" s="711"/>
      <c r="H646" s="711"/>
      <c r="I646" s="711"/>
      <c r="J646" s="711"/>
      <c r="K646" s="741"/>
      <c r="L646" s="741"/>
      <c r="M646" s="788"/>
      <c r="N646" s="741"/>
      <c r="O646" s="741"/>
      <c r="P646" s="741"/>
      <c r="Q646" s="741"/>
      <c r="R646" s="788"/>
      <c r="S646" s="819"/>
      <c r="T646" s="820"/>
      <c r="U646" s="819"/>
      <c r="V646" s="820"/>
      <c r="W646" s="788"/>
      <c r="X646" s="803"/>
      <c r="Y646" s="803"/>
      <c r="Z646" s="803"/>
      <c r="AA646" s="711"/>
      <c r="AB646" s="711"/>
      <c r="AC646" s="711"/>
      <c r="AD646" s="736"/>
      <c r="AE646" s="736"/>
      <c r="AF646" s="624"/>
      <c r="AG646" s="624"/>
      <c r="AH646" s="624"/>
      <c r="AI646" s="624"/>
      <c r="AJ646" s="960">
        <f t="shared" si="6"/>
        <v>646</v>
      </c>
      <c r="AK646" s="961">
        <v>0.9499</v>
      </c>
      <c r="AL646" s="962">
        <v>36410.0</v>
      </c>
      <c r="AM646" s="963">
        <v>-0.8277721893623311</v>
      </c>
      <c r="AN646" s="964">
        <v>-0.05010000000000003</v>
      </c>
      <c r="AO646" s="962">
        <v>36410.0</v>
      </c>
      <c r="AP646" s="965">
        <v>-0.8204771588115747</v>
      </c>
      <c r="AQ646" s="962">
        <v>36410.0</v>
      </c>
      <c r="AR646" s="966">
        <v>-0.8132305264432207</v>
      </c>
      <c r="AS646" s="624"/>
      <c r="AT646" s="624"/>
      <c r="AU646" s="624"/>
      <c r="AV646" s="624"/>
      <c r="AW646" s="624"/>
      <c r="AX646" s="624"/>
      <c r="AY646" s="624"/>
      <c r="AZ646" s="624"/>
      <c r="BA646" s="624"/>
      <c r="BB646" s="624"/>
      <c r="BC646" s="624"/>
      <c r="BD646" s="624"/>
      <c r="BE646" s="624"/>
    </row>
    <row r="647" ht="16.5" customHeight="1">
      <c r="A647" s="711"/>
      <c r="B647" s="711"/>
      <c r="C647" s="711"/>
      <c r="D647" s="711"/>
      <c r="E647" s="711"/>
      <c r="F647" s="711"/>
      <c r="G647" s="711"/>
      <c r="H647" s="711"/>
      <c r="I647" s="711"/>
      <c r="J647" s="711"/>
      <c r="K647" s="741"/>
      <c r="L647" s="741"/>
      <c r="M647" s="788"/>
      <c r="N647" s="741"/>
      <c r="O647" s="741"/>
      <c r="P647" s="741"/>
      <c r="Q647" s="741"/>
      <c r="R647" s="788"/>
      <c r="S647" s="819"/>
      <c r="T647" s="820"/>
      <c r="U647" s="819"/>
      <c r="V647" s="820"/>
      <c r="W647" s="788"/>
      <c r="X647" s="803"/>
      <c r="Y647" s="803"/>
      <c r="Z647" s="803"/>
      <c r="AA647" s="711"/>
      <c r="AB647" s="711"/>
      <c r="AC647" s="711"/>
      <c r="AD647" s="736"/>
      <c r="AE647" s="736"/>
      <c r="AF647" s="624"/>
      <c r="AG647" s="624"/>
      <c r="AH647" s="624"/>
      <c r="AI647" s="624"/>
      <c r="AJ647" s="960">
        <f t="shared" si="6"/>
        <v>647</v>
      </c>
      <c r="AK647" s="961">
        <v>0.952</v>
      </c>
      <c r="AL647" s="962">
        <v>36369.0</v>
      </c>
      <c r="AM647" s="963">
        <v>-0.8274307237599063</v>
      </c>
      <c r="AN647" s="964">
        <v>-0.04800000000000004</v>
      </c>
      <c r="AO647" s="962">
        <v>36369.0</v>
      </c>
      <c r="AP647" s="965">
        <v>-0.8201296324680645</v>
      </c>
      <c r="AQ647" s="962">
        <v>36369.0</v>
      </c>
      <c r="AR647" s="966">
        <v>-0.8128773104495096</v>
      </c>
      <c r="AS647" s="624"/>
      <c r="AT647" s="624"/>
      <c r="AU647" s="624"/>
      <c r="AV647" s="624"/>
      <c r="AW647" s="624"/>
      <c r="AX647" s="624"/>
      <c r="AY647" s="624"/>
      <c r="AZ647" s="624"/>
      <c r="BA647" s="624"/>
      <c r="BB647" s="624"/>
      <c r="BC647" s="624"/>
      <c r="BD647" s="624"/>
      <c r="BE647" s="624"/>
    </row>
    <row r="648" ht="16.5" customHeight="1">
      <c r="A648" s="711"/>
      <c r="B648" s="711"/>
      <c r="C648" s="711"/>
      <c r="D648" s="711"/>
      <c r="E648" s="711"/>
      <c r="F648" s="711"/>
      <c r="G648" s="711"/>
      <c r="H648" s="711"/>
      <c r="I648" s="711"/>
      <c r="J648" s="711"/>
      <c r="K648" s="741"/>
      <c r="L648" s="741"/>
      <c r="M648" s="788"/>
      <c r="N648" s="741"/>
      <c r="O648" s="741"/>
      <c r="P648" s="741"/>
      <c r="Q648" s="741"/>
      <c r="R648" s="788"/>
      <c r="S648" s="819"/>
      <c r="T648" s="820"/>
      <c r="U648" s="819"/>
      <c r="V648" s="820"/>
      <c r="W648" s="788"/>
      <c r="X648" s="803"/>
      <c r="Y648" s="803"/>
      <c r="Z648" s="803"/>
      <c r="AA648" s="711"/>
      <c r="AB648" s="711"/>
      <c r="AC648" s="711"/>
      <c r="AD648" s="736"/>
      <c r="AE648" s="736"/>
      <c r="AF648" s="624"/>
      <c r="AG648" s="624"/>
      <c r="AH648" s="624"/>
      <c r="AI648" s="624"/>
      <c r="AJ648" s="960">
        <f t="shared" si="6"/>
        <v>648</v>
      </c>
      <c r="AK648" s="961">
        <v>0.9847</v>
      </c>
      <c r="AL648" s="962">
        <v>36302.0</v>
      </c>
      <c r="AM648" s="963">
        <v>-0.8268712612772571</v>
      </c>
      <c r="AN648" s="964">
        <v>-0.01529999999999998</v>
      </c>
      <c r="AO648" s="962">
        <v>36302.0</v>
      </c>
      <c r="AP648" s="965">
        <v>-0.8195602750127423</v>
      </c>
      <c r="AQ648" s="962">
        <v>36302.0</v>
      </c>
      <c r="AR648" s="966">
        <v>-0.8122986655264854</v>
      </c>
      <c r="AS648" s="624"/>
      <c r="AT648" s="624"/>
      <c r="AU648" s="624"/>
      <c r="AV648" s="624"/>
      <c r="AW648" s="624"/>
      <c r="AX648" s="624"/>
      <c r="AY648" s="624"/>
      <c r="AZ648" s="624"/>
      <c r="BA648" s="624"/>
      <c r="BB648" s="624"/>
      <c r="BC648" s="624"/>
      <c r="BD648" s="624"/>
      <c r="BE648" s="624"/>
    </row>
    <row r="649" ht="16.5" customHeight="1">
      <c r="A649" s="711"/>
      <c r="B649" s="711"/>
      <c r="C649" s="711"/>
      <c r="D649" s="711"/>
      <c r="E649" s="711"/>
      <c r="F649" s="711"/>
      <c r="G649" s="711"/>
      <c r="H649" s="711"/>
      <c r="I649" s="711"/>
      <c r="J649" s="711"/>
      <c r="K649" s="741"/>
      <c r="L649" s="741"/>
      <c r="M649" s="788"/>
      <c r="N649" s="741"/>
      <c r="O649" s="741"/>
      <c r="P649" s="741"/>
      <c r="Q649" s="741"/>
      <c r="R649" s="788"/>
      <c r="S649" s="819"/>
      <c r="T649" s="820"/>
      <c r="U649" s="819"/>
      <c r="V649" s="820"/>
      <c r="W649" s="788"/>
      <c r="X649" s="803"/>
      <c r="Y649" s="803"/>
      <c r="Z649" s="803"/>
      <c r="AA649" s="711"/>
      <c r="AB649" s="711"/>
      <c r="AC649" s="711"/>
      <c r="AD649" s="736"/>
      <c r="AE649" s="736"/>
      <c r="AF649" s="624"/>
      <c r="AG649" s="624"/>
      <c r="AH649" s="624"/>
      <c r="AI649" s="624"/>
      <c r="AJ649" s="960">
        <f t="shared" si="6"/>
        <v>649</v>
      </c>
      <c r="AK649" s="961">
        <v>0.9461</v>
      </c>
      <c r="AL649" s="962">
        <v>36095.0</v>
      </c>
      <c r="AM649" s="963">
        <v>-0.8251312885260222</v>
      </c>
      <c r="AN649" s="964">
        <v>-0.05389999999999995</v>
      </c>
      <c r="AO649" s="962">
        <v>36095.0</v>
      </c>
      <c r="AP649" s="965">
        <v>-0.81778980479874</v>
      </c>
      <c r="AQ649" s="962">
        <v>36095.0</v>
      </c>
      <c r="AR649" s="966">
        <v>-0.8104995832586996</v>
      </c>
      <c r="AS649" s="624"/>
      <c r="AT649" s="624"/>
      <c r="AU649" s="624"/>
      <c r="AV649" s="624"/>
      <c r="AW649" s="624"/>
      <c r="AX649" s="624"/>
      <c r="AY649" s="624"/>
      <c r="AZ649" s="624"/>
      <c r="BA649" s="624"/>
      <c r="BB649" s="624"/>
      <c r="BC649" s="624"/>
      <c r="BD649" s="624"/>
      <c r="BE649" s="624"/>
    </row>
    <row r="650" ht="16.5" customHeight="1">
      <c r="A650" s="711"/>
      <c r="B650" s="711"/>
      <c r="C650" s="711"/>
      <c r="D650" s="711"/>
      <c r="E650" s="711"/>
      <c r="F650" s="711"/>
      <c r="G650" s="711"/>
      <c r="H650" s="711"/>
      <c r="I650" s="711"/>
      <c r="J650" s="711"/>
      <c r="K650" s="741"/>
      <c r="L650" s="741"/>
      <c r="M650" s="788"/>
      <c r="N650" s="741"/>
      <c r="O650" s="741"/>
      <c r="P650" s="741"/>
      <c r="Q650" s="741"/>
      <c r="R650" s="788"/>
      <c r="S650" s="819"/>
      <c r="T650" s="820"/>
      <c r="U650" s="819"/>
      <c r="V650" s="820"/>
      <c r="W650" s="788"/>
      <c r="X650" s="803"/>
      <c r="Y650" s="803"/>
      <c r="Z650" s="803"/>
      <c r="AA650" s="711"/>
      <c r="AB650" s="711"/>
      <c r="AC650" s="711"/>
      <c r="AD650" s="736"/>
      <c r="AE650" s="736"/>
      <c r="AF650" s="624"/>
      <c r="AG650" s="624"/>
      <c r="AH650" s="624"/>
      <c r="AI650" s="624"/>
      <c r="AJ650" s="960">
        <f t="shared" si="6"/>
        <v>650</v>
      </c>
      <c r="AK650" s="961">
        <v>0.9619</v>
      </c>
      <c r="AL650" s="962">
        <v>36000.0</v>
      </c>
      <c r="AM650" s="963">
        <v>-0.8243269065691256</v>
      </c>
      <c r="AN650" s="964">
        <v>-0.03810000000000002</v>
      </c>
      <c r="AO650" s="962">
        <v>36000.0</v>
      </c>
      <c r="AP650" s="965">
        <v>-0.8169714646728448</v>
      </c>
      <c r="AQ650" s="962">
        <v>36000.0</v>
      </c>
      <c r="AR650" s="966">
        <v>-0.8096681545195428</v>
      </c>
      <c r="AS650" s="624"/>
      <c r="AT650" s="624"/>
      <c r="AU650" s="624"/>
      <c r="AV650" s="624"/>
      <c r="AW650" s="624"/>
      <c r="AX650" s="624"/>
      <c r="AY650" s="624"/>
      <c r="AZ650" s="624"/>
      <c r="BA650" s="624"/>
      <c r="BB650" s="624"/>
      <c r="BC650" s="624"/>
      <c r="BD650" s="624"/>
      <c r="BE650" s="624"/>
    </row>
    <row r="651" ht="16.5" customHeight="1">
      <c r="A651" s="711"/>
      <c r="B651" s="711"/>
      <c r="C651" s="711"/>
      <c r="D651" s="711"/>
      <c r="E651" s="711"/>
      <c r="F651" s="711"/>
      <c r="G651" s="711"/>
      <c r="H651" s="711"/>
      <c r="I651" s="711"/>
      <c r="J651" s="711"/>
      <c r="K651" s="741"/>
      <c r="L651" s="741"/>
      <c r="M651" s="788"/>
      <c r="N651" s="741"/>
      <c r="O651" s="741"/>
      <c r="P651" s="741"/>
      <c r="Q651" s="741"/>
      <c r="R651" s="788"/>
      <c r="S651" s="819"/>
      <c r="T651" s="820"/>
      <c r="U651" s="819"/>
      <c r="V651" s="820"/>
      <c r="W651" s="788"/>
      <c r="X651" s="803"/>
      <c r="Y651" s="803"/>
      <c r="Z651" s="803"/>
      <c r="AA651" s="711"/>
      <c r="AB651" s="711"/>
      <c r="AC651" s="711"/>
      <c r="AD651" s="736"/>
      <c r="AE651" s="736"/>
      <c r="AF651" s="624"/>
      <c r="AG651" s="624"/>
      <c r="AH651" s="624"/>
      <c r="AI651" s="624"/>
      <c r="AJ651" s="960">
        <f t="shared" si="6"/>
        <v>651</v>
      </c>
      <c r="AK651" s="961">
        <v>0.9518</v>
      </c>
      <c r="AL651" s="962">
        <v>36000.0</v>
      </c>
      <c r="AM651" s="963">
        <v>-0.8243269065691256</v>
      </c>
      <c r="AN651" s="964">
        <v>-0.04820000000000002</v>
      </c>
      <c r="AO651" s="962">
        <v>36000.0</v>
      </c>
      <c r="AP651" s="965">
        <v>-0.8169714646728448</v>
      </c>
      <c r="AQ651" s="962">
        <v>36000.0</v>
      </c>
      <c r="AR651" s="966">
        <v>-0.8096681545195428</v>
      </c>
      <c r="AS651" s="624"/>
      <c r="AT651" s="624"/>
      <c r="AU651" s="624"/>
      <c r="AV651" s="624"/>
      <c r="AW651" s="624"/>
      <c r="AX651" s="624"/>
      <c r="AY651" s="624"/>
      <c r="AZ651" s="624"/>
      <c r="BA651" s="624"/>
      <c r="BB651" s="624"/>
      <c r="BC651" s="624"/>
      <c r="BD651" s="624"/>
      <c r="BE651" s="624"/>
    </row>
    <row r="652" ht="16.5" customHeight="1">
      <c r="A652" s="711"/>
      <c r="B652" s="711"/>
      <c r="C652" s="711"/>
      <c r="D652" s="711"/>
      <c r="E652" s="711"/>
      <c r="F652" s="711"/>
      <c r="G652" s="711"/>
      <c r="H652" s="711"/>
      <c r="I652" s="711"/>
      <c r="J652" s="711"/>
      <c r="K652" s="741"/>
      <c r="L652" s="741"/>
      <c r="M652" s="788"/>
      <c r="N652" s="741"/>
      <c r="O652" s="741"/>
      <c r="P652" s="741"/>
      <c r="Q652" s="741"/>
      <c r="R652" s="788"/>
      <c r="S652" s="819"/>
      <c r="T652" s="820"/>
      <c r="U652" s="819"/>
      <c r="V652" s="820"/>
      <c r="W652" s="788"/>
      <c r="X652" s="803"/>
      <c r="Y652" s="803"/>
      <c r="Z652" s="803"/>
      <c r="AA652" s="711"/>
      <c r="AB652" s="711"/>
      <c r="AC652" s="711"/>
      <c r="AD652" s="736"/>
      <c r="AE652" s="736"/>
      <c r="AF652" s="624"/>
      <c r="AG652" s="624"/>
      <c r="AH652" s="624"/>
      <c r="AI652" s="624"/>
      <c r="AJ652" s="960">
        <f t="shared" si="6"/>
        <v>652</v>
      </c>
      <c r="AK652" s="961">
        <v>0.9671</v>
      </c>
      <c r="AL652" s="962">
        <v>35900.0</v>
      </c>
      <c r="AM652" s="963">
        <v>-0.8234761910681427</v>
      </c>
      <c r="AN652" s="964">
        <v>-0.03290000000000004</v>
      </c>
      <c r="AO652" s="962">
        <v>35900.0</v>
      </c>
      <c r="AP652" s="965">
        <v>-0.8161060831354378</v>
      </c>
      <c r="AQ652" s="962">
        <v>35900.0</v>
      </c>
      <c r="AR652" s="966">
        <v>-0.8087890251529225</v>
      </c>
      <c r="AS652" s="624"/>
      <c r="AT652" s="624"/>
      <c r="AU652" s="624"/>
      <c r="AV652" s="624"/>
      <c r="AW652" s="624"/>
      <c r="AX652" s="624"/>
      <c r="AY652" s="624"/>
      <c r="AZ652" s="624"/>
      <c r="BA652" s="624"/>
      <c r="BB652" s="624"/>
      <c r="BC652" s="624"/>
      <c r="BD652" s="624"/>
      <c r="BE652" s="624"/>
    </row>
    <row r="653" ht="16.5" customHeight="1">
      <c r="A653" s="711"/>
      <c r="B653" s="711"/>
      <c r="C653" s="711"/>
      <c r="D653" s="711"/>
      <c r="E653" s="711"/>
      <c r="F653" s="711"/>
      <c r="G653" s="711"/>
      <c r="H653" s="711"/>
      <c r="I653" s="711"/>
      <c r="J653" s="711"/>
      <c r="K653" s="741"/>
      <c r="L653" s="741"/>
      <c r="M653" s="788"/>
      <c r="N653" s="741"/>
      <c r="O653" s="741"/>
      <c r="P653" s="741"/>
      <c r="Q653" s="741"/>
      <c r="R653" s="788"/>
      <c r="S653" s="819"/>
      <c r="T653" s="820"/>
      <c r="U653" s="819"/>
      <c r="V653" s="820"/>
      <c r="W653" s="788"/>
      <c r="X653" s="803"/>
      <c r="Y653" s="803"/>
      <c r="Z653" s="803"/>
      <c r="AA653" s="711"/>
      <c r="AB653" s="711"/>
      <c r="AC653" s="711"/>
      <c r="AD653" s="736"/>
      <c r="AE653" s="736"/>
      <c r="AF653" s="624"/>
      <c r="AG653" s="624"/>
      <c r="AH653" s="624"/>
      <c r="AI653" s="624"/>
      <c r="AJ653" s="960">
        <f t="shared" si="6"/>
        <v>653</v>
      </c>
      <c r="AK653" s="961">
        <v>0.9814</v>
      </c>
      <c r="AL653" s="962">
        <v>35888.0</v>
      </c>
      <c r="AM653" s="963">
        <v>-0.8233738287579155</v>
      </c>
      <c r="AN653" s="964">
        <v>-0.01859999999999995</v>
      </c>
      <c r="AO653" s="962">
        <v>35888.0</v>
      </c>
      <c r="AP653" s="965">
        <v>-0.8160019627738525</v>
      </c>
      <c r="AQ653" s="962">
        <v>35888.0</v>
      </c>
      <c r="AR653" s="966">
        <v>-0.8086832571230673</v>
      </c>
      <c r="AS653" s="624"/>
      <c r="AT653" s="624"/>
      <c r="AU653" s="624"/>
      <c r="AV653" s="624"/>
      <c r="AW653" s="624"/>
      <c r="AX653" s="624"/>
      <c r="AY653" s="624"/>
      <c r="AZ653" s="624"/>
      <c r="BA653" s="624"/>
      <c r="BB653" s="624"/>
      <c r="BC653" s="624"/>
      <c r="BD653" s="624"/>
      <c r="BE653" s="624"/>
    </row>
    <row r="654" ht="16.5" customHeight="1">
      <c r="A654" s="711"/>
      <c r="B654" s="711"/>
      <c r="C654" s="711"/>
      <c r="D654" s="711"/>
      <c r="E654" s="711"/>
      <c r="F654" s="711"/>
      <c r="G654" s="711"/>
      <c r="H654" s="711"/>
      <c r="I654" s="711"/>
      <c r="J654" s="711"/>
      <c r="K654" s="741"/>
      <c r="L654" s="741"/>
      <c r="M654" s="788"/>
      <c r="N654" s="741"/>
      <c r="O654" s="741"/>
      <c r="P654" s="741"/>
      <c r="Q654" s="741"/>
      <c r="R654" s="788"/>
      <c r="S654" s="819"/>
      <c r="T654" s="820"/>
      <c r="U654" s="819"/>
      <c r="V654" s="820"/>
      <c r="W654" s="788"/>
      <c r="X654" s="803"/>
      <c r="Y654" s="803"/>
      <c r="Z654" s="803"/>
      <c r="AA654" s="711"/>
      <c r="AB654" s="711"/>
      <c r="AC654" s="711"/>
      <c r="AD654" s="736"/>
      <c r="AE654" s="736"/>
      <c r="AF654" s="624"/>
      <c r="AG654" s="624"/>
      <c r="AH654" s="624"/>
      <c r="AI654" s="624"/>
      <c r="AJ654" s="960">
        <f t="shared" si="6"/>
        <v>654</v>
      </c>
      <c r="AK654" s="961">
        <v>0.9611</v>
      </c>
      <c r="AL654" s="962">
        <v>35581.0</v>
      </c>
      <c r="AM654" s="963">
        <v>-0.8207347791263291</v>
      </c>
      <c r="AN654" s="964">
        <v>-0.038900000000000046</v>
      </c>
      <c r="AO654" s="962">
        <v>35581.0</v>
      </c>
      <c r="AP654" s="965">
        <v>-0.813318076944018</v>
      </c>
      <c r="AQ654" s="962">
        <v>35581.0</v>
      </c>
      <c r="AR654" s="966">
        <v>-0.8059573734082182</v>
      </c>
      <c r="AS654" s="624"/>
      <c r="AT654" s="624"/>
      <c r="AU654" s="624"/>
      <c r="AV654" s="624"/>
      <c r="AW654" s="624"/>
      <c r="AX654" s="624"/>
      <c r="AY654" s="624"/>
      <c r="AZ654" s="624"/>
      <c r="BA654" s="624"/>
      <c r="BB654" s="624"/>
      <c r="BC654" s="624"/>
      <c r="BD654" s="624"/>
      <c r="BE654" s="624"/>
    </row>
    <row r="655" ht="16.5" customHeight="1">
      <c r="A655" s="711"/>
      <c r="B655" s="711"/>
      <c r="C655" s="711"/>
      <c r="D655" s="711"/>
      <c r="E655" s="711"/>
      <c r="F655" s="711"/>
      <c r="G655" s="711"/>
      <c r="H655" s="711"/>
      <c r="I655" s="711"/>
      <c r="J655" s="711"/>
      <c r="K655" s="741"/>
      <c r="L655" s="741"/>
      <c r="M655" s="788"/>
      <c r="N655" s="741"/>
      <c r="O655" s="741"/>
      <c r="P655" s="741"/>
      <c r="Q655" s="741"/>
      <c r="R655" s="788"/>
      <c r="S655" s="819"/>
      <c r="T655" s="820"/>
      <c r="U655" s="819"/>
      <c r="V655" s="820"/>
      <c r="W655" s="788"/>
      <c r="X655" s="803"/>
      <c r="Y655" s="803"/>
      <c r="Z655" s="803"/>
      <c r="AA655" s="711"/>
      <c r="AB655" s="711"/>
      <c r="AC655" s="711"/>
      <c r="AD655" s="736"/>
      <c r="AE655" s="736"/>
      <c r="AF655" s="624"/>
      <c r="AG655" s="624"/>
      <c r="AH655" s="624"/>
      <c r="AI655" s="624"/>
      <c r="AJ655" s="960">
        <f t="shared" si="6"/>
        <v>655</v>
      </c>
      <c r="AK655" s="961">
        <v>0.9416</v>
      </c>
      <c r="AL655" s="962">
        <v>35580.0</v>
      </c>
      <c r="AM655" s="963">
        <v>-0.8207261187615454</v>
      </c>
      <c r="AN655" s="964">
        <v>-0.05840000000000001</v>
      </c>
      <c r="AO655" s="962">
        <v>35580.0</v>
      </c>
      <c r="AP655" s="965">
        <v>-0.8133092709852444</v>
      </c>
      <c r="AQ655" s="962">
        <v>35580.0</v>
      </c>
      <c r="AR655" s="966">
        <v>-0.8059484311456518</v>
      </c>
      <c r="AS655" s="624"/>
      <c r="AT655" s="624"/>
      <c r="AU655" s="624"/>
      <c r="AV655" s="624"/>
      <c r="AW655" s="624"/>
      <c r="AX655" s="624"/>
      <c r="AY655" s="624"/>
      <c r="AZ655" s="624"/>
      <c r="BA655" s="624"/>
      <c r="BB655" s="624"/>
      <c r="BC655" s="624"/>
      <c r="BD655" s="624"/>
      <c r="BE655" s="624"/>
    </row>
    <row r="656" ht="16.5" customHeight="1">
      <c r="A656" s="711"/>
      <c r="B656" s="711"/>
      <c r="C656" s="711"/>
      <c r="D656" s="711"/>
      <c r="E656" s="711"/>
      <c r="F656" s="711"/>
      <c r="G656" s="711"/>
      <c r="H656" s="711"/>
      <c r="I656" s="711"/>
      <c r="J656" s="711"/>
      <c r="K656" s="741"/>
      <c r="L656" s="741"/>
      <c r="M656" s="788"/>
      <c r="N656" s="741"/>
      <c r="O656" s="741"/>
      <c r="P656" s="741"/>
      <c r="Q656" s="741"/>
      <c r="R656" s="788"/>
      <c r="S656" s="819"/>
      <c r="T656" s="820"/>
      <c r="U656" s="819"/>
      <c r="V656" s="820"/>
      <c r="W656" s="788"/>
      <c r="X656" s="803"/>
      <c r="Y656" s="803"/>
      <c r="Z656" s="803"/>
      <c r="AA656" s="711"/>
      <c r="AB656" s="711"/>
      <c r="AC656" s="711"/>
      <c r="AD656" s="736"/>
      <c r="AE656" s="736"/>
      <c r="AF656" s="624"/>
      <c r="AG656" s="624"/>
      <c r="AH656" s="624"/>
      <c r="AI656" s="624"/>
      <c r="AJ656" s="960">
        <f t="shared" si="6"/>
        <v>656</v>
      </c>
      <c r="AK656" s="961">
        <v>0.9599</v>
      </c>
      <c r="AL656" s="962">
        <v>35350.0</v>
      </c>
      <c r="AM656" s="963">
        <v>-0.8187230793584599</v>
      </c>
      <c r="AN656" s="964">
        <v>-0.040100000000000025</v>
      </c>
      <c r="AO656" s="962">
        <v>35350.0</v>
      </c>
      <c r="AP656" s="965">
        <v>-0.8112728259193054</v>
      </c>
      <c r="AQ656" s="962">
        <v>35350.0</v>
      </c>
      <c r="AR656" s="966">
        <v>-0.8038807248317851</v>
      </c>
      <c r="AS656" s="624"/>
      <c r="AT656" s="624"/>
      <c r="AU656" s="624"/>
      <c r="AV656" s="624"/>
      <c r="AW656" s="624"/>
      <c r="AX656" s="624"/>
      <c r="AY656" s="624"/>
      <c r="AZ656" s="624"/>
      <c r="BA656" s="624"/>
      <c r="BB656" s="624"/>
      <c r="BC656" s="624"/>
      <c r="BD656" s="624"/>
      <c r="BE656" s="624"/>
    </row>
    <row r="657" ht="16.5" customHeight="1">
      <c r="A657" s="711"/>
      <c r="B657" s="711"/>
      <c r="C657" s="711"/>
      <c r="D657" s="711"/>
      <c r="E657" s="711"/>
      <c r="F657" s="711"/>
      <c r="G657" s="711"/>
      <c r="H657" s="711"/>
      <c r="I657" s="711"/>
      <c r="J657" s="711"/>
      <c r="K657" s="741"/>
      <c r="L657" s="741"/>
      <c r="M657" s="788"/>
      <c r="N657" s="741"/>
      <c r="O657" s="741"/>
      <c r="P657" s="741"/>
      <c r="Q657" s="741"/>
      <c r="R657" s="788"/>
      <c r="S657" s="819"/>
      <c r="T657" s="820"/>
      <c r="U657" s="819"/>
      <c r="V657" s="820"/>
      <c r="W657" s="788"/>
      <c r="X657" s="803"/>
      <c r="Y657" s="803"/>
      <c r="Z657" s="803"/>
      <c r="AA657" s="711"/>
      <c r="AB657" s="711"/>
      <c r="AC657" s="711"/>
      <c r="AD657" s="736"/>
      <c r="AE657" s="736"/>
      <c r="AF657" s="624"/>
      <c r="AG657" s="624"/>
      <c r="AH657" s="624"/>
      <c r="AI657" s="624"/>
      <c r="AJ657" s="960">
        <f t="shared" si="6"/>
        <v>657</v>
      </c>
      <c r="AK657" s="961">
        <v>0.9593</v>
      </c>
      <c r="AL657" s="962">
        <v>35161.0</v>
      </c>
      <c r="AM657" s="963">
        <v>-0.8170603631469745</v>
      </c>
      <c r="AN657" s="964">
        <v>-0.04069999999999996</v>
      </c>
      <c r="AO657" s="962">
        <v>35161.0</v>
      </c>
      <c r="AP657" s="965">
        <v>-0.8095827831059139</v>
      </c>
      <c r="AQ657" s="962">
        <v>35161.0</v>
      </c>
      <c r="AR657" s="966">
        <v>-0.802165128911021</v>
      </c>
      <c r="AS657" s="624"/>
      <c r="AT657" s="624"/>
      <c r="AU657" s="624"/>
      <c r="AV657" s="624"/>
      <c r="AW657" s="624"/>
      <c r="AX657" s="624"/>
      <c r="AY657" s="624"/>
      <c r="AZ657" s="624"/>
      <c r="BA657" s="624"/>
      <c r="BB657" s="624"/>
      <c r="BC657" s="624"/>
      <c r="BD657" s="624"/>
      <c r="BE657" s="624"/>
    </row>
    <row r="658" ht="16.5" customHeight="1">
      <c r="A658" s="711"/>
      <c r="B658" s="711"/>
      <c r="C658" s="711"/>
      <c r="D658" s="711"/>
      <c r="E658" s="711"/>
      <c r="F658" s="711"/>
      <c r="G658" s="711"/>
      <c r="H658" s="711"/>
      <c r="I658" s="711"/>
      <c r="J658" s="711"/>
      <c r="K658" s="741"/>
      <c r="L658" s="741"/>
      <c r="M658" s="788"/>
      <c r="N658" s="741"/>
      <c r="O658" s="741"/>
      <c r="P658" s="741"/>
      <c r="Q658" s="741"/>
      <c r="R658" s="788"/>
      <c r="S658" s="819"/>
      <c r="T658" s="820"/>
      <c r="U658" s="819"/>
      <c r="V658" s="820"/>
      <c r="W658" s="788"/>
      <c r="X658" s="803"/>
      <c r="Y658" s="803"/>
      <c r="Z658" s="803"/>
      <c r="AA658" s="711"/>
      <c r="AB658" s="711"/>
      <c r="AC658" s="711"/>
      <c r="AD658" s="736"/>
      <c r="AE658" s="736"/>
      <c r="AF658" s="624"/>
      <c r="AG658" s="624"/>
      <c r="AH658" s="624"/>
      <c r="AI658" s="624"/>
      <c r="AJ658" s="960">
        <f t="shared" si="6"/>
        <v>658</v>
      </c>
      <c r="AK658" s="961">
        <v>0.9444</v>
      </c>
      <c r="AL658" s="962">
        <v>35030.0</v>
      </c>
      <c r="AM658" s="963">
        <v>-0.8158989581121641</v>
      </c>
      <c r="AN658" s="964">
        <v>-0.05559999999999998</v>
      </c>
      <c r="AO658" s="962">
        <v>35030.0</v>
      </c>
      <c r="AP658" s="965">
        <v>-0.8084025055599359</v>
      </c>
      <c r="AQ658" s="962">
        <v>35030.0</v>
      </c>
      <c r="AR658" s="966">
        <v>-0.8009672140450814</v>
      </c>
      <c r="AS658" s="624"/>
      <c r="AT658" s="624"/>
      <c r="AU658" s="624"/>
      <c r="AV658" s="624"/>
      <c r="AW658" s="624"/>
      <c r="AX658" s="624"/>
      <c r="AY658" s="624"/>
      <c r="AZ658" s="624"/>
      <c r="BA658" s="624"/>
      <c r="BB658" s="624"/>
      <c r="BC658" s="624"/>
      <c r="BD658" s="624"/>
      <c r="BE658" s="624"/>
    </row>
    <row r="659" ht="16.5" customHeight="1">
      <c r="A659" s="711"/>
      <c r="B659" s="711"/>
      <c r="C659" s="711"/>
      <c r="D659" s="711"/>
      <c r="E659" s="711"/>
      <c r="F659" s="711"/>
      <c r="G659" s="711"/>
      <c r="H659" s="711"/>
      <c r="I659" s="711"/>
      <c r="J659" s="711"/>
      <c r="K659" s="741"/>
      <c r="L659" s="741"/>
      <c r="M659" s="788"/>
      <c r="N659" s="741"/>
      <c r="O659" s="741"/>
      <c r="P659" s="741"/>
      <c r="Q659" s="741"/>
      <c r="R659" s="788"/>
      <c r="S659" s="819"/>
      <c r="T659" s="820"/>
      <c r="U659" s="819"/>
      <c r="V659" s="820"/>
      <c r="W659" s="788"/>
      <c r="X659" s="803"/>
      <c r="Y659" s="803"/>
      <c r="Z659" s="803"/>
      <c r="AA659" s="711"/>
      <c r="AB659" s="711"/>
      <c r="AC659" s="711"/>
      <c r="AD659" s="736"/>
      <c r="AE659" s="736"/>
      <c r="AF659" s="624"/>
      <c r="AG659" s="624"/>
      <c r="AH659" s="624"/>
      <c r="AI659" s="624"/>
      <c r="AJ659" s="960">
        <f t="shared" si="6"/>
        <v>659</v>
      </c>
      <c r="AK659" s="961">
        <v>0.9611</v>
      </c>
      <c r="AL659" s="962">
        <v>35011.0</v>
      </c>
      <c r="AM659" s="963">
        <v>-0.8157298989038233</v>
      </c>
      <c r="AN659" s="964">
        <v>-0.038900000000000046</v>
      </c>
      <c r="AO659" s="962">
        <v>35011.0</v>
      </c>
      <c r="AP659" s="965">
        <v>-0.8082307138537191</v>
      </c>
      <c r="AQ659" s="962">
        <v>35011.0</v>
      </c>
      <c r="AR659" s="966">
        <v>-0.8007928693922866</v>
      </c>
      <c r="AS659" s="624"/>
      <c r="AT659" s="624"/>
      <c r="AU659" s="624"/>
      <c r="AV659" s="624"/>
      <c r="AW659" s="624"/>
      <c r="AX659" s="624"/>
      <c r="AY659" s="624"/>
      <c r="AZ659" s="624"/>
      <c r="BA659" s="624"/>
      <c r="BB659" s="624"/>
      <c r="BC659" s="624"/>
      <c r="BD659" s="624"/>
      <c r="BE659" s="624"/>
    </row>
    <row r="660" ht="16.5" customHeight="1">
      <c r="A660" s="711"/>
      <c r="B660" s="711"/>
      <c r="C660" s="711"/>
      <c r="D660" s="711"/>
      <c r="E660" s="711"/>
      <c r="F660" s="711"/>
      <c r="G660" s="711"/>
      <c r="H660" s="711"/>
      <c r="I660" s="711"/>
      <c r="J660" s="711"/>
      <c r="K660" s="741"/>
      <c r="L660" s="741"/>
      <c r="M660" s="788"/>
      <c r="N660" s="741"/>
      <c r="O660" s="741"/>
      <c r="P660" s="741"/>
      <c r="Q660" s="741"/>
      <c r="R660" s="788"/>
      <c r="S660" s="819"/>
      <c r="T660" s="820"/>
      <c r="U660" s="819"/>
      <c r="V660" s="820"/>
      <c r="W660" s="788"/>
      <c r="X660" s="803"/>
      <c r="Y660" s="803"/>
      <c r="Z660" s="803"/>
      <c r="AA660" s="711"/>
      <c r="AB660" s="711"/>
      <c r="AC660" s="711"/>
      <c r="AD660" s="736"/>
      <c r="AE660" s="736"/>
      <c r="AF660" s="624"/>
      <c r="AG660" s="624"/>
      <c r="AH660" s="624"/>
      <c r="AI660" s="624"/>
      <c r="AJ660" s="960">
        <f t="shared" si="6"/>
        <v>660</v>
      </c>
      <c r="AK660" s="961">
        <v>0.967</v>
      </c>
      <c r="AL660" s="962">
        <v>35000.0</v>
      </c>
      <c r="AM660" s="963">
        <v>-0.8156319515717134</v>
      </c>
      <c r="AN660" s="964">
        <v>-0.03300000000000003</v>
      </c>
      <c r="AO660" s="962">
        <v>35000.0</v>
      </c>
      <c r="AP660" s="965">
        <v>-0.808131185103323</v>
      </c>
      <c r="AQ660" s="962">
        <v>35000.0</v>
      </c>
      <c r="AR660" s="966">
        <v>-0.8006918632206877</v>
      </c>
      <c r="AS660" s="624"/>
      <c r="AT660" s="624"/>
      <c r="AU660" s="624"/>
      <c r="AV660" s="624"/>
      <c r="AW660" s="624"/>
      <c r="AX660" s="624"/>
      <c r="AY660" s="624"/>
      <c r="AZ660" s="624"/>
      <c r="BA660" s="624"/>
      <c r="BB660" s="624"/>
      <c r="BC660" s="624"/>
      <c r="BD660" s="624"/>
      <c r="BE660" s="624"/>
    </row>
    <row r="661" ht="16.5" customHeight="1">
      <c r="A661" s="711"/>
      <c r="B661" s="711"/>
      <c r="C661" s="711"/>
      <c r="D661" s="711"/>
      <c r="E661" s="711"/>
      <c r="F661" s="711"/>
      <c r="G661" s="711"/>
      <c r="H661" s="711"/>
      <c r="I661" s="711"/>
      <c r="J661" s="711"/>
      <c r="K661" s="741"/>
      <c r="L661" s="741"/>
      <c r="M661" s="788"/>
      <c r="N661" s="741"/>
      <c r="O661" s="741"/>
      <c r="P661" s="741"/>
      <c r="Q661" s="741"/>
      <c r="R661" s="788"/>
      <c r="S661" s="819"/>
      <c r="T661" s="820"/>
      <c r="U661" s="819"/>
      <c r="V661" s="820"/>
      <c r="W661" s="788"/>
      <c r="X661" s="803"/>
      <c r="Y661" s="803"/>
      <c r="Z661" s="803"/>
      <c r="AA661" s="711"/>
      <c r="AB661" s="711"/>
      <c r="AC661" s="711"/>
      <c r="AD661" s="736"/>
      <c r="AE661" s="736"/>
      <c r="AF661" s="624"/>
      <c r="AG661" s="624"/>
      <c r="AH661" s="624"/>
      <c r="AI661" s="624"/>
      <c r="AJ661" s="960">
        <f t="shared" si="6"/>
        <v>661</v>
      </c>
      <c r="AK661" s="961">
        <v>0.9593</v>
      </c>
      <c r="AL661" s="962">
        <v>35000.0</v>
      </c>
      <c r="AM661" s="963">
        <v>-0.8156319515717134</v>
      </c>
      <c r="AN661" s="964">
        <v>-0.04069999999999996</v>
      </c>
      <c r="AO661" s="962">
        <v>35000.0</v>
      </c>
      <c r="AP661" s="965">
        <v>-0.808131185103323</v>
      </c>
      <c r="AQ661" s="962">
        <v>35000.0</v>
      </c>
      <c r="AR661" s="966">
        <v>-0.8006918632206877</v>
      </c>
      <c r="AS661" s="624"/>
      <c r="AT661" s="624"/>
      <c r="AU661" s="624"/>
      <c r="AV661" s="624"/>
      <c r="AW661" s="624"/>
      <c r="AX661" s="624"/>
      <c r="AY661" s="624"/>
      <c r="AZ661" s="624"/>
      <c r="BA661" s="624"/>
      <c r="BB661" s="624"/>
      <c r="BC661" s="624"/>
      <c r="BD661" s="624"/>
      <c r="BE661" s="624"/>
    </row>
    <row r="662" ht="16.5" customHeight="1">
      <c r="A662" s="711"/>
      <c r="B662" s="711"/>
      <c r="C662" s="711"/>
      <c r="D662" s="711"/>
      <c r="E662" s="711"/>
      <c r="F662" s="711"/>
      <c r="G662" s="711"/>
      <c r="H662" s="711"/>
      <c r="I662" s="711"/>
      <c r="J662" s="711"/>
      <c r="K662" s="741"/>
      <c r="L662" s="741"/>
      <c r="M662" s="788"/>
      <c r="N662" s="741"/>
      <c r="O662" s="741"/>
      <c r="P662" s="741"/>
      <c r="Q662" s="741"/>
      <c r="R662" s="788"/>
      <c r="S662" s="819"/>
      <c r="T662" s="820"/>
      <c r="U662" s="819"/>
      <c r="V662" s="820"/>
      <c r="W662" s="788"/>
      <c r="X662" s="803"/>
      <c r="Y662" s="803"/>
      <c r="Z662" s="803"/>
      <c r="AA662" s="711"/>
      <c r="AB662" s="711"/>
      <c r="AC662" s="711"/>
      <c r="AD662" s="736"/>
      <c r="AE662" s="736"/>
      <c r="AF662" s="624"/>
      <c r="AG662" s="624"/>
      <c r="AH662" s="624"/>
      <c r="AI662" s="624"/>
      <c r="AJ662" s="960">
        <f t="shared" si="6"/>
        <v>662</v>
      </c>
      <c r="AK662" s="961">
        <v>0.9568</v>
      </c>
      <c r="AL662" s="962">
        <v>34822.0</v>
      </c>
      <c r="AM662" s="963">
        <v>-0.8140397285098186</v>
      </c>
      <c r="AN662" s="964">
        <v>-0.043200000000000016</v>
      </c>
      <c r="AO662" s="962">
        <v>34822.0</v>
      </c>
      <c r="AP662" s="965">
        <v>-0.806513429072344</v>
      </c>
      <c r="AQ662" s="962">
        <v>34822.0</v>
      </c>
      <c r="AR662" s="966">
        <v>-0.7990502617859481</v>
      </c>
      <c r="AS662" s="624"/>
      <c r="AT662" s="624"/>
      <c r="AU662" s="624"/>
      <c r="AV662" s="624"/>
      <c r="AW662" s="624"/>
      <c r="AX662" s="624"/>
      <c r="AY662" s="624"/>
      <c r="AZ662" s="624"/>
      <c r="BA662" s="624"/>
      <c r="BB662" s="624"/>
      <c r="BC662" s="624"/>
      <c r="BD662" s="624"/>
      <c r="BE662" s="624"/>
    </row>
    <row r="663" ht="16.5" customHeight="1">
      <c r="A663" s="711"/>
      <c r="B663" s="711"/>
      <c r="C663" s="711"/>
      <c r="D663" s="711"/>
      <c r="E663" s="711"/>
      <c r="F663" s="711"/>
      <c r="G663" s="711"/>
      <c r="H663" s="711"/>
      <c r="I663" s="711"/>
      <c r="J663" s="711"/>
      <c r="K663" s="741"/>
      <c r="L663" s="741"/>
      <c r="M663" s="788"/>
      <c r="N663" s="741"/>
      <c r="O663" s="741"/>
      <c r="P663" s="741"/>
      <c r="Q663" s="741"/>
      <c r="R663" s="788"/>
      <c r="S663" s="819"/>
      <c r="T663" s="820"/>
      <c r="U663" s="819"/>
      <c r="V663" s="820"/>
      <c r="W663" s="788"/>
      <c r="X663" s="803"/>
      <c r="Y663" s="803"/>
      <c r="Z663" s="803"/>
      <c r="AA663" s="711"/>
      <c r="AB663" s="711"/>
      <c r="AC663" s="711"/>
      <c r="AD663" s="736"/>
      <c r="AE663" s="736"/>
      <c r="AF663" s="624"/>
      <c r="AG663" s="624"/>
      <c r="AH663" s="624"/>
      <c r="AI663" s="624"/>
      <c r="AJ663" s="960">
        <f t="shared" si="6"/>
        <v>663</v>
      </c>
      <c r="AK663" s="961">
        <v>0.9695</v>
      </c>
      <c r="AL663" s="962">
        <v>34786.0</v>
      </c>
      <c r="AM663" s="963">
        <v>-0.8137160379535462</v>
      </c>
      <c r="AN663" s="964">
        <v>-0.03049999999999997</v>
      </c>
      <c r="AO663" s="962">
        <v>34786.0</v>
      </c>
      <c r="AP663" s="965">
        <v>-0.8061845878449734</v>
      </c>
      <c r="AQ663" s="962">
        <v>34786.0</v>
      </c>
      <c r="AR663" s="966">
        <v>-0.7987166122649101</v>
      </c>
      <c r="AS663" s="624"/>
      <c r="AT663" s="624"/>
      <c r="AU663" s="624"/>
      <c r="AV663" s="624"/>
      <c r="AW663" s="624"/>
      <c r="AX663" s="624"/>
      <c r="AY663" s="624"/>
      <c r="AZ663" s="624"/>
      <c r="BA663" s="624"/>
      <c r="BB663" s="624"/>
      <c r="BC663" s="624"/>
      <c r="BD663" s="624"/>
      <c r="BE663" s="624"/>
    </row>
    <row r="664" ht="16.5" customHeight="1">
      <c r="A664" s="711"/>
      <c r="B664" s="711"/>
      <c r="C664" s="711"/>
      <c r="D664" s="711"/>
      <c r="E664" s="711"/>
      <c r="F664" s="711"/>
      <c r="G664" s="711"/>
      <c r="H664" s="711"/>
      <c r="I664" s="711"/>
      <c r="J664" s="711"/>
      <c r="K664" s="741"/>
      <c r="L664" s="741"/>
      <c r="M664" s="788"/>
      <c r="N664" s="741"/>
      <c r="O664" s="741"/>
      <c r="P664" s="741"/>
      <c r="Q664" s="741"/>
      <c r="R664" s="788"/>
      <c r="S664" s="819"/>
      <c r="T664" s="820"/>
      <c r="U664" s="819"/>
      <c r="V664" s="820"/>
      <c r="W664" s="788"/>
      <c r="X664" s="803"/>
      <c r="Y664" s="803"/>
      <c r="Z664" s="803"/>
      <c r="AA664" s="711"/>
      <c r="AB664" s="711"/>
      <c r="AC664" s="711"/>
      <c r="AD664" s="736"/>
      <c r="AE664" s="736"/>
      <c r="AF664" s="624"/>
      <c r="AG664" s="624"/>
      <c r="AH664" s="624"/>
      <c r="AI664" s="624"/>
      <c r="AJ664" s="960">
        <f t="shared" si="6"/>
        <v>664</v>
      </c>
      <c r="AK664" s="961">
        <v>0.9568</v>
      </c>
      <c r="AL664" s="962">
        <v>34533.0</v>
      </c>
      <c r="AM664" s="963">
        <v>-0.8114252633113834</v>
      </c>
      <c r="AN664" s="964">
        <v>-0.043200000000000016</v>
      </c>
      <c r="AO664" s="962">
        <v>34533.0</v>
      </c>
      <c r="AP664" s="965">
        <v>-0.8038577454208325</v>
      </c>
      <c r="AQ664" s="962">
        <v>34533.0</v>
      </c>
      <c r="AR664" s="966">
        <v>-0.7963561182855106</v>
      </c>
      <c r="AS664" s="624"/>
      <c r="AT664" s="624"/>
      <c r="AU664" s="624"/>
      <c r="AV664" s="624"/>
      <c r="AW664" s="624"/>
      <c r="AX664" s="624"/>
      <c r="AY664" s="624"/>
      <c r="AZ664" s="624"/>
      <c r="BA664" s="624"/>
      <c r="BB664" s="624"/>
      <c r="BC664" s="624"/>
      <c r="BD664" s="624"/>
      <c r="BE664" s="624"/>
    </row>
    <row r="665" ht="16.5" customHeight="1">
      <c r="A665" s="711"/>
      <c r="B665" s="711"/>
      <c r="C665" s="711"/>
      <c r="D665" s="711"/>
      <c r="E665" s="711"/>
      <c r="F665" s="711"/>
      <c r="G665" s="711"/>
      <c r="H665" s="711"/>
      <c r="I665" s="711"/>
      <c r="J665" s="711"/>
      <c r="K665" s="741"/>
      <c r="L665" s="741"/>
      <c r="M665" s="788"/>
      <c r="N665" s="741"/>
      <c r="O665" s="741"/>
      <c r="P665" s="741"/>
      <c r="Q665" s="741"/>
      <c r="R665" s="788"/>
      <c r="S665" s="819"/>
      <c r="T665" s="820"/>
      <c r="U665" s="819"/>
      <c r="V665" s="820"/>
      <c r="W665" s="788"/>
      <c r="X665" s="803"/>
      <c r="Y665" s="803"/>
      <c r="Z665" s="803"/>
      <c r="AA665" s="711"/>
      <c r="AB665" s="711"/>
      <c r="AC665" s="711"/>
      <c r="AD665" s="736"/>
      <c r="AE665" s="736"/>
      <c r="AF665" s="624"/>
      <c r="AG665" s="624"/>
      <c r="AH665" s="624"/>
      <c r="AI665" s="624"/>
      <c r="AJ665" s="960">
        <f t="shared" si="6"/>
        <v>665</v>
      </c>
      <c r="AK665" s="961">
        <v>0.9746</v>
      </c>
      <c r="AL665" s="962">
        <v>34485.0</v>
      </c>
      <c r="AM665" s="963">
        <v>-0.8109874811823223</v>
      </c>
      <c r="AN665" s="964">
        <v>-0.025399999999999978</v>
      </c>
      <c r="AO665" s="962">
        <v>34485.0</v>
      </c>
      <c r="AP665" s="965">
        <v>-0.8034131466206227</v>
      </c>
      <c r="AQ665" s="962">
        <v>34485.0</v>
      </c>
      <c r="AR665" s="966">
        <v>-0.795905163204671</v>
      </c>
      <c r="AS665" s="624"/>
      <c r="AT665" s="624"/>
      <c r="AU665" s="624"/>
      <c r="AV665" s="624"/>
      <c r="AW665" s="624"/>
      <c r="AX665" s="624"/>
      <c r="AY665" s="624"/>
      <c r="AZ665" s="624"/>
      <c r="BA665" s="624"/>
      <c r="BB665" s="624"/>
      <c r="BC665" s="624"/>
      <c r="BD665" s="624"/>
      <c r="BE665" s="624"/>
    </row>
    <row r="666" ht="16.5" customHeight="1">
      <c r="A666" s="711"/>
      <c r="B666" s="711"/>
      <c r="C666" s="711"/>
      <c r="D666" s="711"/>
      <c r="E666" s="711"/>
      <c r="F666" s="711"/>
      <c r="G666" s="711"/>
      <c r="H666" s="711"/>
      <c r="I666" s="711"/>
      <c r="J666" s="711"/>
      <c r="K666" s="741"/>
      <c r="L666" s="741"/>
      <c r="M666" s="788"/>
      <c r="N666" s="741"/>
      <c r="O666" s="741"/>
      <c r="P666" s="741"/>
      <c r="Q666" s="741"/>
      <c r="R666" s="788"/>
      <c r="S666" s="819"/>
      <c r="T666" s="820"/>
      <c r="U666" s="819"/>
      <c r="V666" s="820"/>
      <c r="W666" s="788"/>
      <c r="X666" s="803"/>
      <c r="Y666" s="803"/>
      <c r="Z666" s="803"/>
      <c r="AA666" s="711"/>
      <c r="AB666" s="711"/>
      <c r="AC666" s="711"/>
      <c r="AD666" s="736"/>
      <c r="AE666" s="736"/>
      <c r="AF666" s="624"/>
      <c r="AG666" s="624"/>
      <c r="AH666" s="624"/>
      <c r="AI666" s="624"/>
      <c r="AJ666" s="960">
        <f t="shared" si="6"/>
        <v>666</v>
      </c>
      <c r="AK666" s="961">
        <v>0.9749</v>
      </c>
      <c r="AL666" s="962">
        <v>34467.0</v>
      </c>
      <c r="AM666" s="963">
        <v>-0.8108230509892799</v>
      </c>
      <c r="AN666" s="964">
        <v>-0.02510000000000001</v>
      </c>
      <c r="AO666" s="962">
        <v>34467.0</v>
      </c>
      <c r="AP666" s="965">
        <v>-0.8032461623750391</v>
      </c>
      <c r="AQ666" s="962">
        <v>34467.0</v>
      </c>
      <c r="AR666" s="966">
        <v>-0.7957357977143024</v>
      </c>
      <c r="AS666" s="624"/>
      <c r="AT666" s="624"/>
      <c r="AU666" s="624"/>
      <c r="AV666" s="624"/>
      <c r="AW666" s="624"/>
      <c r="AX666" s="624"/>
      <c r="AY666" s="624"/>
      <c r="AZ666" s="624"/>
      <c r="BA666" s="624"/>
      <c r="BB666" s="624"/>
      <c r="BC666" s="624"/>
      <c r="BD666" s="624"/>
      <c r="BE666" s="624"/>
    </row>
    <row r="667" ht="16.5" customHeight="1">
      <c r="A667" s="711"/>
      <c r="B667" s="711"/>
      <c r="C667" s="711"/>
      <c r="D667" s="711"/>
      <c r="E667" s="711"/>
      <c r="F667" s="711"/>
      <c r="G667" s="711"/>
      <c r="H667" s="711"/>
      <c r="I667" s="711"/>
      <c r="J667" s="711"/>
      <c r="K667" s="741"/>
      <c r="L667" s="741"/>
      <c r="M667" s="788"/>
      <c r="N667" s="741"/>
      <c r="O667" s="741"/>
      <c r="P667" s="741"/>
      <c r="Q667" s="741"/>
      <c r="R667" s="788"/>
      <c r="S667" s="819"/>
      <c r="T667" s="820"/>
      <c r="U667" s="819"/>
      <c r="V667" s="820"/>
      <c r="W667" s="788"/>
      <c r="X667" s="803"/>
      <c r="Y667" s="803"/>
      <c r="Z667" s="803"/>
      <c r="AA667" s="711"/>
      <c r="AB667" s="711"/>
      <c r="AC667" s="711"/>
      <c r="AD667" s="736"/>
      <c r="AE667" s="736"/>
      <c r="AF667" s="624"/>
      <c r="AG667" s="624"/>
      <c r="AH667" s="624"/>
      <c r="AI667" s="624"/>
      <c r="AJ667" s="960">
        <f t="shared" si="6"/>
        <v>667</v>
      </c>
      <c r="AK667" s="961">
        <v>0.9441</v>
      </c>
      <c r="AL667" s="962">
        <v>34317.0</v>
      </c>
      <c r="AM667" s="963">
        <v>-0.8094472246751092</v>
      </c>
      <c r="AN667" s="964">
        <v>-0.05589999999999995</v>
      </c>
      <c r="AO667" s="962">
        <v>34317.0</v>
      </c>
      <c r="AP667" s="965">
        <v>-0.8018490995545484</v>
      </c>
      <c r="AQ667" s="962">
        <v>34317.0</v>
      </c>
      <c r="AR667" s="966">
        <v>-0.7943189418567869</v>
      </c>
      <c r="AS667" s="624"/>
      <c r="AT667" s="624"/>
      <c r="AU667" s="624"/>
      <c r="AV667" s="624"/>
      <c r="AW667" s="624"/>
      <c r="AX667" s="624"/>
      <c r="AY667" s="624"/>
      <c r="AZ667" s="624"/>
      <c r="BA667" s="624"/>
      <c r="BB667" s="624"/>
      <c r="BC667" s="624"/>
      <c r="BD667" s="624"/>
      <c r="BE667" s="624"/>
    </row>
    <row r="668" ht="16.5" customHeight="1">
      <c r="A668" s="711"/>
      <c r="B668" s="711"/>
      <c r="C668" s="711"/>
      <c r="D668" s="711"/>
      <c r="E668" s="711"/>
      <c r="F668" s="711"/>
      <c r="G668" s="711"/>
      <c r="H668" s="711"/>
      <c r="I668" s="711"/>
      <c r="J668" s="711"/>
      <c r="K668" s="741"/>
      <c r="L668" s="741"/>
      <c r="M668" s="788"/>
      <c r="N668" s="741"/>
      <c r="O668" s="741"/>
      <c r="P668" s="741"/>
      <c r="Q668" s="741"/>
      <c r="R668" s="788"/>
      <c r="S668" s="819"/>
      <c r="T668" s="820"/>
      <c r="U668" s="819"/>
      <c r="V668" s="820"/>
      <c r="W668" s="788"/>
      <c r="X668" s="803"/>
      <c r="Y668" s="803"/>
      <c r="Z668" s="803"/>
      <c r="AA668" s="711"/>
      <c r="AB668" s="711"/>
      <c r="AC668" s="711"/>
      <c r="AD668" s="736"/>
      <c r="AE668" s="736"/>
      <c r="AF668" s="624"/>
      <c r="AG668" s="624"/>
      <c r="AH668" s="624"/>
      <c r="AI668" s="624"/>
      <c r="AJ668" s="960">
        <f t="shared" si="6"/>
        <v>668</v>
      </c>
      <c r="AK668" s="961">
        <v>0.9387</v>
      </c>
      <c r="AL668" s="962">
        <v>34205.0</v>
      </c>
      <c r="AM668" s="963">
        <v>-0.8084134202462135</v>
      </c>
      <c r="AN668" s="964">
        <v>-0.06130000000000002</v>
      </c>
      <c r="AO668" s="962">
        <v>34205.0</v>
      </c>
      <c r="AP668" s="965">
        <v>-0.800799494508398</v>
      </c>
      <c r="AQ668" s="962">
        <v>34205.0</v>
      </c>
      <c r="AR668" s="966">
        <v>-0.7932546179221444</v>
      </c>
      <c r="AS668" s="624"/>
      <c r="AT668" s="624"/>
      <c r="AU668" s="624"/>
      <c r="AV668" s="624"/>
      <c r="AW668" s="624"/>
      <c r="AX668" s="624"/>
      <c r="AY668" s="624"/>
      <c r="AZ668" s="624"/>
      <c r="BA668" s="624"/>
      <c r="BB668" s="624"/>
      <c r="BC668" s="624"/>
      <c r="BD668" s="624"/>
      <c r="BE668" s="624"/>
    </row>
    <row r="669" ht="16.5" customHeight="1">
      <c r="A669" s="711"/>
      <c r="B669" s="711"/>
      <c r="C669" s="711"/>
      <c r="D669" s="711"/>
      <c r="E669" s="711"/>
      <c r="F669" s="711"/>
      <c r="G669" s="711"/>
      <c r="H669" s="711"/>
      <c r="I669" s="711"/>
      <c r="J669" s="711"/>
      <c r="K669" s="741"/>
      <c r="L669" s="741"/>
      <c r="M669" s="788"/>
      <c r="N669" s="741"/>
      <c r="O669" s="741"/>
      <c r="P669" s="741"/>
      <c r="Q669" s="741"/>
      <c r="R669" s="788"/>
      <c r="S669" s="819"/>
      <c r="T669" s="820"/>
      <c r="U669" s="819"/>
      <c r="V669" s="820"/>
      <c r="W669" s="788"/>
      <c r="X669" s="803"/>
      <c r="Y669" s="803"/>
      <c r="Z669" s="803"/>
      <c r="AA669" s="711"/>
      <c r="AB669" s="711"/>
      <c r="AC669" s="711"/>
      <c r="AD669" s="736"/>
      <c r="AE669" s="736"/>
      <c r="AF669" s="624"/>
      <c r="AG669" s="624"/>
      <c r="AH669" s="624"/>
      <c r="AI669" s="624"/>
      <c r="AJ669" s="960">
        <f t="shared" si="6"/>
        <v>669</v>
      </c>
      <c r="AK669" s="961">
        <v>0.9568</v>
      </c>
      <c r="AL669" s="962">
        <v>34041.0</v>
      </c>
      <c r="AM669" s="963">
        <v>-0.8068895074479243</v>
      </c>
      <c r="AN669" s="964">
        <v>-0.043200000000000016</v>
      </c>
      <c r="AO669" s="962">
        <v>34041.0</v>
      </c>
      <c r="AP669" s="965">
        <v>-0.7992525336526812</v>
      </c>
      <c r="AQ669" s="962">
        <v>34041.0</v>
      </c>
      <c r="AR669" s="966">
        <v>-0.7916861989812968</v>
      </c>
      <c r="AS669" s="624"/>
      <c r="AT669" s="624"/>
      <c r="AU669" s="624"/>
      <c r="AV669" s="624"/>
      <c r="AW669" s="624"/>
      <c r="AX669" s="624"/>
      <c r="AY669" s="624"/>
      <c r="AZ669" s="624"/>
      <c r="BA669" s="624"/>
      <c r="BB669" s="624"/>
      <c r="BC669" s="624"/>
      <c r="BD669" s="624"/>
      <c r="BE669" s="624"/>
    </row>
    <row r="670" ht="16.5" customHeight="1">
      <c r="A670" s="711"/>
      <c r="B670" s="711"/>
      <c r="C670" s="711"/>
      <c r="D670" s="711"/>
      <c r="E670" s="711"/>
      <c r="F670" s="711"/>
      <c r="G670" s="711"/>
      <c r="H670" s="711"/>
      <c r="I670" s="711"/>
      <c r="J670" s="711"/>
      <c r="K670" s="741"/>
      <c r="L670" s="741"/>
      <c r="M670" s="788"/>
      <c r="N670" s="741"/>
      <c r="O670" s="741"/>
      <c r="P670" s="741"/>
      <c r="Q670" s="741"/>
      <c r="R670" s="788"/>
      <c r="S670" s="819"/>
      <c r="T670" s="820"/>
      <c r="U670" s="819"/>
      <c r="V670" s="820"/>
      <c r="W670" s="788"/>
      <c r="X670" s="803"/>
      <c r="Y670" s="803"/>
      <c r="Z670" s="803"/>
      <c r="AA670" s="711"/>
      <c r="AB670" s="711"/>
      <c r="AC670" s="711"/>
      <c r="AD670" s="736"/>
      <c r="AE670" s="736"/>
      <c r="AF670" s="624"/>
      <c r="AG670" s="624"/>
      <c r="AH670" s="624"/>
      <c r="AI670" s="624"/>
      <c r="AJ670" s="960">
        <f t="shared" si="6"/>
        <v>670</v>
      </c>
      <c r="AK670" s="961">
        <v>0.9645</v>
      </c>
      <c r="AL670" s="962">
        <v>34000.0</v>
      </c>
      <c r="AM670" s="963">
        <v>-0.8065066390224959</v>
      </c>
      <c r="AN670" s="964">
        <v>-0.035499999999999976</v>
      </c>
      <c r="AO670" s="962">
        <v>34000.0</v>
      </c>
      <c r="AP670" s="965">
        <v>-0.7988639199671649</v>
      </c>
      <c r="AQ670" s="962">
        <v>34000.0</v>
      </c>
      <c r="AR670" s="966">
        <v>-0.7912922386363361</v>
      </c>
      <c r="AS670" s="624"/>
      <c r="AT670" s="624"/>
      <c r="AU670" s="624"/>
      <c r="AV670" s="624"/>
      <c r="AW670" s="624"/>
      <c r="AX670" s="624"/>
      <c r="AY670" s="624"/>
      <c r="AZ670" s="624"/>
      <c r="BA670" s="624"/>
      <c r="BB670" s="624"/>
      <c r="BC670" s="624"/>
      <c r="BD670" s="624"/>
      <c r="BE670" s="624"/>
    </row>
    <row r="671" ht="16.5" customHeight="1">
      <c r="A671" s="711"/>
      <c r="B671" s="711"/>
      <c r="C671" s="711"/>
      <c r="D671" s="711"/>
      <c r="E671" s="711"/>
      <c r="F671" s="711"/>
      <c r="G671" s="711"/>
      <c r="H671" s="711"/>
      <c r="I671" s="711"/>
      <c r="J671" s="711"/>
      <c r="K671" s="741"/>
      <c r="L671" s="741"/>
      <c r="M671" s="788"/>
      <c r="N671" s="741"/>
      <c r="O671" s="741"/>
      <c r="P671" s="741"/>
      <c r="Q671" s="741"/>
      <c r="R671" s="788"/>
      <c r="S671" s="819"/>
      <c r="T671" s="820"/>
      <c r="U671" s="819"/>
      <c r="V671" s="820"/>
      <c r="W671" s="788"/>
      <c r="X671" s="803"/>
      <c r="Y671" s="803"/>
      <c r="Z671" s="803"/>
      <c r="AA671" s="711"/>
      <c r="AB671" s="711"/>
      <c r="AC671" s="711"/>
      <c r="AD671" s="736"/>
      <c r="AE671" s="736"/>
      <c r="AF671" s="624"/>
      <c r="AG671" s="624"/>
      <c r="AH671" s="624"/>
      <c r="AI671" s="624"/>
      <c r="AJ671" s="960">
        <f t="shared" si="6"/>
        <v>671</v>
      </c>
      <c r="AK671" s="961">
        <v>0.9845</v>
      </c>
      <c r="AL671" s="962">
        <v>33886.0</v>
      </c>
      <c r="AM671" s="963">
        <v>-0.8054380837133892</v>
      </c>
      <c r="AN671" s="964">
        <v>-0.015499999999999958</v>
      </c>
      <c r="AO671" s="962">
        <v>33886.0</v>
      </c>
      <c r="AP671" s="965">
        <v>-0.7977794259160608</v>
      </c>
      <c r="AQ671" s="962">
        <v>33886.0</v>
      </c>
      <c r="AR671" s="966">
        <v>-0.7901929164568464</v>
      </c>
      <c r="AS671" s="624"/>
      <c r="AT671" s="624"/>
      <c r="AU671" s="624"/>
      <c r="AV671" s="624"/>
      <c r="AW671" s="624"/>
      <c r="AX671" s="624"/>
      <c r="AY671" s="624"/>
      <c r="AZ671" s="624"/>
      <c r="BA671" s="624"/>
      <c r="BB671" s="624"/>
      <c r="BC671" s="624"/>
      <c r="BD671" s="624"/>
      <c r="BE671" s="624"/>
    </row>
    <row r="672" ht="16.5" customHeight="1">
      <c r="A672" s="711"/>
      <c r="B672" s="711"/>
      <c r="C672" s="711"/>
      <c r="D672" s="711"/>
      <c r="E672" s="711"/>
      <c r="F672" s="711"/>
      <c r="G672" s="711"/>
      <c r="H672" s="711"/>
      <c r="I672" s="711"/>
      <c r="J672" s="711"/>
      <c r="K672" s="741"/>
      <c r="L672" s="741"/>
      <c r="M672" s="788"/>
      <c r="N672" s="741"/>
      <c r="O672" s="741"/>
      <c r="P672" s="741"/>
      <c r="Q672" s="741"/>
      <c r="R672" s="788"/>
      <c r="S672" s="819"/>
      <c r="T672" s="820"/>
      <c r="U672" s="819"/>
      <c r="V672" s="820"/>
      <c r="W672" s="788"/>
      <c r="X672" s="803"/>
      <c r="Y672" s="803"/>
      <c r="Z672" s="803"/>
      <c r="AA672" s="711"/>
      <c r="AB672" s="711"/>
      <c r="AC672" s="711"/>
      <c r="AD672" s="736"/>
      <c r="AE672" s="736"/>
      <c r="AF672" s="624"/>
      <c r="AG672" s="624"/>
      <c r="AH672" s="624"/>
      <c r="AI672" s="624"/>
      <c r="AJ672" s="960">
        <f t="shared" si="6"/>
        <v>672</v>
      </c>
      <c r="AK672" s="961">
        <v>0.9517</v>
      </c>
      <c r="AL672" s="962">
        <v>33796.0</v>
      </c>
      <c r="AM672" s="963">
        <v>-0.8045903207106607</v>
      </c>
      <c r="AN672" s="964">
        <v>-0.04830000000000001</v>
      </c>
      <c r="AO672" s="962">
        <v>33796.0</v>
      </c>
      <c r="AP672" s="965">
        <v>-0.7969191175125785</v>
      </c>
      <c r="AQ672" s="962">
        <v>33796.0</v>
      </c>
      <c r="AR672" s="966">
        <v>-0.7893209418368854</v>
      </c>
      <c r="AS672" s="624"/>
      <c r="AT672" s="624"/>
      <c r="AU672" s="624"/>
      <c r="AV672" s="624"/>
      <c r="AW672" s="624"/>
      <c r="AX672" s="624"/>
      <c r="AY672" s="624"/>
      <c r="AZ672" s="624"/>
      <c r="BA672" s="624"/>
      <c r="BB672" s="624"/>
      <c r="BC672" s="624"/>
      <c r="BD672" s="624"/>
      <c r="BE672" s="624"/>
    </row>
    <row r="673" ht="16.5" customHeight="1">
      <c r="A673" s="711"/>
      <c r="B673" s="711"/>
      <c r="C673" s="711"/>
      <c r="D673" s="711"/>
      <c r="E673" s="711"/>
      <c r="F673" s="711"/>
      <c r="G673" s="711"/>
      <c r="H673" s="711"/>
      <c r="I673" s="711"/>
      <c r="J673" s="711"/>
      <c r="K673" s="741"/>
      <c r="L673" s="741"/>
      <c r="M673" s="788"/>
      <c r="N673" s="741"/>
      <c r="O673" s="741"/>
      <c r="P673" s="741"/>
      <c r="Q673" s="741"/>
      <c r="R673" s="788"/>
      <c r="S673" s="819"/>
      <c r="T673" s="820"/>
      <c r="U673" s="819"/>
      <c r="V673" s="820"/>
      <c r="W673" s="788"/>
      <c r="X673" s="803"/>
      <c r="Y673" s="803"/>
      <c r="Z673" s="803"/>
      <c r="AA673" s="711"/>
      <c r="AB673" s="711"/>
      <c r="AC673" s="711"/>
      <c r="AD673" s="736"/>
      <c r="AE673" s="736"/>
      <c r="AF673" s="624"/>
      <c r="AG673" s="624"/>
      <c r="AH673" s="624"/>
      <c r="AI673" s="624"/>
      <c r="AJ673" s="960">
        <f t="shared" si="6"/>
        <v>673</v>
      </c>
      <c r="AK673" s="961">
        <v>0.9681</v>
      </c>
      <c r="AL673" s="962">
        <v>33796.0</v>
      </c>
      <c r="AM673" s="963">
        <v>-0.8045903207106607</v>
      </c>
      <c r="AN673" s="964">
        <v>-0.03190000000000004</v>
      </c>
      <c r="AO673" s="962">
        <v>33796.0</v>
      </c>
      <c r="AP673" s="965">
        <v>-0.7969191175125785</v>
      </c>
      <c r="AQ673" s="962">
        <v>33796.0</v>
      </c>
      <c r="AR673" s="966">
        <v>-0.7893209418368854</v>
      </c>
      <c r="AS673" s="624"/>
      <c r="AT673" s="624"/>
      <c r="AU673" s="624"/>
      <c r="AV673" s="624"/>
      <c r="AW673" s="624"/>
      <c r="AX673" s="624"/>
      <c r="AY673" s="624"/>
      <c r="AZ673" s="624"/>
      <c r="BA673" s="624"/>
      <c r="BB673" s="624"/>
      <c r="BC673" s="624"/>
      <c r="BD673" s="624"/>
      <c r="BE673" s="624"/>
    </row>
    <row r="674" ht="16.5" customHeight="1">
      <c r="A674" s="711"/>
      <c r="B674" s="711"/>
      <c r="C674" s="711"/>
      <c r="D674" s="711"/>
      <c r="E674" s="711"/>
      <c r="F674" s="711"/>
      <c r="G674" s="711"/>
      <c r="H674" s="711"/>
      <c r="I674" s="711"/>
      <c r="J674" s="711"/>
      <c r="K674" s="741"/>
      <c r="L674" s="741"/>
      <c r="M674" s="788"/>
      <c r="N674" s="741"/>
      <c r="O674" s="741"/>
      <c r="P674" s="741"/>
      <c r="Q674" s="741"/>
      <c r="R674" s="788"/>
      <c r="S674" s="819"/>
      <c r="T674" s="820"/>
      <c r="U674" s="819"/>
      <c r="V674" s="820"/>
      <c r="W674" s="788"/>
      <c r="X674" s="803"/>
      <c r="Y674" s="803"/>
      <c r="Z674" s="803"/>
      <c r="AA674" s="711"/>
      <c r="AB674" s="711"/>
      <c r="AC674" s="711"/>
      <c r="AD674" s="736"/>
      <c r="AE674" s="736"/>
      <c r="AF674" s="624"/>
      <c r="AG674" s="624"/>
      <c r="AH674" s="624"/>
      <c r="AI674" s="624"/>
      <c r="AJ674" s="960">
        <f t="shared" si="6"/>
        <v>674</v>
      </c>
      <c r="AK674" s="961">
        <v>0.9699</v>
      </c>
      <c r="AL674" s="962">
        <v>33700.0</v>
      </c>
      <c r="AM674" s="963">
        <v>-0.8036819682261267</v>
      </c>
      <c r="AN674" s="964">
        <v>-0.030100000000000016</v>
      </c>
      <c r="AO674" s="962">
        <v>33700.0</v>
      </c>
      <c r="AP674" s="965">
        <v>-0.7959974206834828</v>
      </c>
      <c r="AQ674" s="962">
        <v>33700.0</v>
      </c>
      <c r="AR674" s="966">
        <v>-0.7883868407596528</v>
      </c>
      <c r="AS674" s="624"/>
      <c r="AT674" s="624"/>
      <c r="AU674" s="624"/>
      <c r="AV674" s="624"/>
      <c r="AW674" s="624"/>
      <c r="AX674" s="624"/>
      <c r="AY674" s="624"/>
      <c r="AZ674" s="624"/>
      <c r="BA674" s="624"/>
      <c r="BB674" s="624"/>
      <c r="BC674" s="624"/>
      <c r="BD674" s="624"/>
      <c r="BE674" s="624"/>
    </row>
    <row r="675" ht="16.5" customHeight="1">
      <c r="A675" s="711"/>
      <c r="B675" s="711"/>
      <c r="C675" s="711"/>
      <c r="D675" s="711"/>
      <c r="E675" s="711"/>
      <c r="F675" s="711"/>
      <c r="G675" s="711"/>
      <c r="H675" s="711"/>
      <c r="I675" s="711"/>
      <c r="J675" s="711"/>
      <c r="K675" s="741"/>
      <c r="L675" s="741"/>
      <c r="M675" s="788"/>
      <c r="N675" s="741"/>
      <c r="O675" s="741"/>
      <c r="P675" s="741"/>
      <c r="Q675" s="741"/>
      <c r="R675" s="788"/>
      <c r="S675" s="819"/>
      <c r="T675" s="820"/>
      <c r="U675" s="819"/>
      <c r="V675" s="820"/>
      <c r="W675" s="788"/>
      <c r="X675" s="803"/>
      <c r="Y675" s="803"/>
      <c r="Z675" s="803"/>
      <c r="AA675" s="711"/>
      <c r="AB675" s="711"/>
      <c r="AC675" s="711"/>
      <c r="AD675" s="736"/>
      <c r="AE675" s="736"/>
      <c r="AF675" s="624"/>
      <c r="AG675" s="624"/>
      <c r="AH675" s="624"/>
      <c r="AI675" s="624"/>
      <c r="AJ675" s="960">
        <f t="shared" si="6"/>
        <v>675</v>
      </c>
      <c r="AK675" s="961">
        <v>0.9746</v>
      </c>
      <c r="AL675" s="962">
        <v>33598.0</v>
      </c>
      <c r="AM675" s="963">
        <v>-0.8027122167309539</v>
      </c>
      <c r="AN675" s="964">
        <v>-0.025399999999999978</v>
      </c>
      <c r="AO675" s="962">
        <v>33598.0</v>
      </c>
      <c r="AP675" s="965">
        <v>-0.7950135338399894</v>
      </c>
      <c r="AQ675" s="962">
        <v>33598.0</v>
      </c>
      <c r="AR675" s="966">
        <v>-0.7873898200008351</v>
      </c>
      <c r="AS675" s="624"/>
      <c r="AT675" s="624"/>
      <c r="AU675" s="624"/>
      <c r="AV675" s="624"/>
      <c r="AW675" s="624"/>
      <c r="AX675" s="624"/>
      <c r="AY675" s="624"/>
      <c r="AZ675" s="624"/>
      <c r="BA675" s="624"/>
      <c r="BB675" s="624"/>
      <c r="BC675" s="624"/>
      <c r="BD675" s="624"/>
      <c r="BE675" s="624"/>
    </row>
    <row r="676" ht="16.5" customHeight="1">
      <c r="A676" s="711"/>
      <c r="B676" s="711"/>
      <c r="C676" s="711"/>
      <c r="D676" s="711"/>
      <c r="E676" s="711"/>
      <c r="F676" s="711"/>
      <c r="G676" s="711"/>
      <c r="H676" s="711"/>
      <c r="I676" s="711"/>
      <c r="J676" s="711"/>
      <c r="K676" s="741"/>
      <c r="L676" s="741"/>
      <c r="M676" s="788"/>
      <c r="N676" s="741"/>
      <c r="O676" s="741"/>
      <c r="P676" s="741"/>
      <c r="Q676" s="741"/>
      <c r="R676" s="788"/>
      <c r="S676" s="819"/>
      <c r="T676" s="820"/>
      <c r="U676" s="819"/>
      <c r="V676" s="820"/>
      <c r="W676" s="788"/>
      <c r="X676" s="803"/>
      <c r="Y676" s="803"/>
      <c r="Z676" s="803"/>
      <c r="AA676" s="711"/>
      <c r="AB676" s="711"/>
      <c r="AC676" s="711"/>
      <c r="AD676" s="736"/>
      <c r="AE676" s="736"/>
      <c r="AF676" s="624"/>
      <c r="AG676" s="624"/>
      <c r="AH676" s="624"/>
      <c r="AI676" s="624"/>
      <c r="AJ676" s="960">
        <f t="shared" si="6"/>
        <v>676</v>
      </c>
      <c r="AK676" s="961">
        <v>0.9568</v>
      </c>
      <c r="AL676" s="962">
        <v>33439.0</v>
      </c>
      <c r="AM676" s="963">
        <v>-0.8011909828755284</v>
      </c>
      <c r="AN676" s="964">
        <v>-0.043200000000000016</v>
      </c>
      <c r="AO676" s="962">
        <v>33439.0</v>
      </c>
      <c r="AP676" s="965">
        <v>-0.7934703556592525</v>
      </c>
      <c r="AQ676" s="962">
        <v>33439.0</v>
      </c>
      <c r="AR676" s="966">
        <v>-0.7858262638008512</v>
      </c>
      <c r="AS676" s="624"/>
      <c r="AT676" s="624"/>
      <c r="AU676" s="624"/>
      <c r="AV676" s="624"/>
      <c r="AW676" s="624"/>
      <c r="AX676" s="624"/>
      <c r="AY676" s="624"/>
      <c r="AZ676" s="624"/>
      <c r="BA676" s="624"/>
      <c r="BB676" s="624"/>
      <c r="BC676" s="624"/>
      <c r="BD676" s="624"/>
      <c r="BE676" s="624"/>
    </row>
    <row r="677" ht="16.5" customHeight="1">
      <c r="A677" s="711"/>
      <c r="B677" s="711"/>
      <c r="C677" s="711"/>
      <c r="D677" s="711"/>
      <c r="E677" s="711"/>
      <c r="F677" s="711"/>
      <c r="G677" s="711"/>
      <c r="H677" s="711"/>
      <c r="I677" s="711"/>
      <c r="J677" s="711"/>
      <c r="K677" s="741"/>
      <c r="L677" s="741"/>
      <c r="M677" s="788"/>
      <c r="N677" s="741"/>
      <c r="O677" s="741"/>
      <c r="P677" s="741"/>
      <c r="Q677" s="741"/>
      <c r="R677" s="788"/>
      <c r="S677" s="819"/>
      <c r="T677" s="820"/>
      <c r="U677" s="819"/>
      <c r="V677" s="820"/>
      <c r="W677" s="788"/>
      <c r="X677" s="803"/>
      <c r="Y677" s="803"/>
      <c r="Z677" s="803"/>
      <c r="AA677" s="711"/>
      <c r="AB677" s="711"/>
      <c r="AC677" s="711"/>
      <c r="AD677" s="736"/>
      <c r="AE677" s="736"/>
      <c r="AF677" s="624"/>
      <c r="AG677" s="624"/>
      <c r="AH677" s="624"/>
      <c r="AI677" s="624"/>
      <c r="AJ677" s="960">
        <f t="shared" si="6"/>
        <v>677</v>
      </c>
      <c r="AK677" s="961">
        <v>0.985</v>
      </c>
      <c r="AL677" s="962">
        <v>33366.0</v>
      </c>
      <c r="AM677" s="963">
        <v>-0.80048863123218</v>
      </c>
      <c r="AN677" s="964">
        <v>-0.015000000000000013</v>
      </c>
      <c r="AO677" s="962">
        <v>33366.0</v>
      </c>
      <c r="AP677" s="965">
        <v>-0.7927579664460209</v>
      </c>
      <c r="AQ677" s="962">
        <v>33366.0</v>
      </c>
      <c r="AR677" s="966">
        <v>-0.7851045582605148</v>
      </c>
      <c r="AS677" s="624"/>
      <c r="AT677" s="624"/>
      <c r="AU677" s="624"/>
      <c r="AV677" s="624"/>
      <c r="AW677" s="624"/>
      <c r="AX677" s="624"/>
      <c r="AY677" s="624"/>
      <c r="AZ677" s="624"/>
      <c r="BA677" s="624"/>
      <c r="BB677" s="624"/>
      <c r="BC677" s="624"/>
      <c r="BD677" s="624"/>
      <c r="BE677" s="624"/>
    </row>
    <row r="678" ht="16.5" customHeight="1">
      <c r="A678" s="711"/>
      <c r="B678" s="711"/>
      <c r="C678" s="711"/>
      <c r="D678" s="711"/>
      <c r="E678" s="711"/>
      <c r="F678" s="711"/>
      <c r="G678" s="711"/>
      <c r="H678" s="711"/>
      <c r="I678" s="711"/>
      <c r="J678" s="711"/>
      <c r="K678" s="741"/>
      <c r="L678" s="741"/>
      <c r="M678" s="788"/>
      <c r="N678" s="741"/>
      <c r="O678" s="741"/>
      <c r="P678" s="741"/>
      <c r="Q678" s="741"/>
      <c r="R678" s="788"/>
      <c r="S678" s="819"/>
      <c r="T678" s="820"/>
      <c r="U678" s="819"/>
      <c r="V678" s="820"/>
      <c r="W678" s="788"/>
      <c r="X678" s="803"/>
      <c r="Y678" s="803"/>
      <c r="Z678" s="803"/>
      <c r="AA678" s="711"/>
      <c r="AB678" s="711"/>
      <c r="AC678" s="711"/>
      <c r="AD678" s="736"/>
      <c r="AE678" s="736"/>
      <c r="AF678" s="624"/>
      <c r="AG678" s="624"/>
      <c r="AH678" s="624"/>
      <c r="AI678" s="624"/>
      <c r="AJ678" s="960">
        <f t="shared" si="6"/>
        <v>678</v>
      </c>
      <c r="AK678" s="961">
        <v>0.9721</v>
      </c>
      <c r="AL678" s="962">
        <v>33240.0</v>
      </c>
      <c r="AM678" s="963">
        <v>-0.7992705106424141</v>
      </c>
      <c r="AN678" s="964">
        <v>-0.027900000000000036</v>
      </c>
      <c r="AO678" s="962">
        <v>33240.0</v>
      </c>
      <c r="AP678" s="965">
        <v>-0.7915225773589898</v>
      </c>
      <c r="AQ678" s="962">
        <v>33240.0</v>
      </c>
      <c r="AR678" s="966">
        <v>-0.7838531486675213</v>
      </c>
      <c r="AS678" s="624"/>
      <c r="AT678" s="624"/>
      <c r="AU678" s="624"/>
      <c r="AV678" s="624"/>
      <c r="AW678" s="624"/>
      <c r="AX678" s="624"/>
      <c r="AY678" s="624"/>
      <c r="AZ678" s="624"/>
      <c r="BA678" s="624"/>
      <c r="BB678" s="624"/>
      <c r="BC678" s="624"/>
      <c r="BD678" s="624"/>
      <c r="BE678" s="624"/>
    </row>
    <row r="679" ht="16.5" customHeight="1">
      <c r="A679" s="711"/>
      <c r="B679" s="711"/>
      <c r="C679" s="711"/>
      <c r="D679" s="711"/>
      <c r="E679" s="711"/>
      <c r="F679" s="711"/>
      <c r="G679" s="711"/>
      <c r="H679" s="711"/>
      <c r="I679" s="711"/>
      <c r="J679" s="711"/>
      <c r="K679" s="741"/>
      <c r="L679" s="741"/>
      <c r="M679" s="788"/>
      <c r="N679" s="741"/>
      <c r="O679" s="741"/>
      <c r="P679" s="741"/>
      <c r="Q679" s="741"/>
      <c r="R679" s="788"/>
      <c r="S679" s="819"/>
      <c r="T679" s="820"/>
      <c r="U679" s="819"/>
      <c r="V679" s="820"/>
      <c r="W679" s="788"/>
      <c r="X679" s="803"/>
      <c r="Y679" s="803"/>
      <c r="Z679" s="803"/>
      <c r="AA679" s="711"/>
      <c r="AB679" s="711"/>
      <c r="AC679" s="711"/>
      <c r="AD679" s="736"/>
      <c r="AE679" s="736"/>
      <c r="AF679" s="624"/>
      <c r="AG679" s="624"/>
      <c r="AH679" s="624"/>
      <c r="AI679" s="624"/>
      <c r="AJ679" s="960">
        <f t="shared" si="6"/>
        <v>679</v>
      </c>
      <c r="AK679" s="961">
        <v>0.9742</v>
      </c>
      <c r="AL679" s="962">
        <v>33232.0</v>
      </c>
      <c r="AM679" s="963">
        <v>-0.7991929190355882</v>
      </c>
      <c r="AN679" s="964">
        <v>-0.025800000000000045</v>
      </c>
      <c r="AO679" s="962">
        <v>33232.0</v>
      </c>
      <c r="AP679" s="965">
        <v>-0.7914438917880645</v>
      </c>
      <c r="AQ679" s="962">
        <v>33232.0</v>
      </c>
      <c r="AR679" s="966">
        <v>-0.7837734485020036</v>
      </c>
      <c r="AS679" s="624"/>
      <c r="AT679" s="624"/>
      <c r="AU679" s="624"/>
      <c r="AV679" s="624"/>
      <c r="AW679" s="624"/>
      <c r="AX679" s="624"/>
      <c r="AY679" s="624"/>
      <c r="AZ679" s="624"/>
      <c r="BA679" s="624"/>
      <c r="BB679" s="624"/>
      <c r="BC679" s="624"/>
      <c r="BD679" s="624"/>
      <c r="BE679" s="624"/>
    </row>
    <row r="680" ht="16.5" customHeight="1">
      <c r="A680" s="711"/>
      <c r="B680" s="711"/>
      <c r="C680" s="711"/>
      <c r="D680" s="711"/>
      <c r="E680" s="711"/>
      <c r="F680" s="711"/>
      <c r="G680" s="711"/>
      <c r="H680" s="711"/>
      <c r="I680" s="711"/>
      <c r="J680" s="711"/>
      <c r="K680" s="741"/>
      <c r="L680" s="741"/>
      <c r="M680" s="788"/>
      <c r="N680" s="741"/>
      <c r="O680" s="741"/>
      <c r="P680" s="741"/>
      <c r="Q680" s="741"/>
      <c r="R680" s="788"/>
      <c r="S680" s="819"/>
      <c r="T680" s="820"/>
      <c r="U680" s="819"/>
      <c r="V680" s="820"/>
      <c r="W680" s="788"/>
      <c r="X680" s="803"/>
      <c r="Y680" s="803"/>
      <c r="Z680" s="803"/>
      <c r="AA680" s="711"/>
      <c r="AB680" s="711"/>
      <c r="AC680" s="711"/>
      <c r="AD680" s="736"/>
      <c r="AE680" s="736"/>
      <c r="AF680" s="624"/>
      <c r="AG680" s="624"/>
      <c r="AH680" s="624"/>
      <c r="AI680" s="624"/>
      <c r="AJ680" s="960">
        <f t="shared" si="6"/>
        <v>680</v>
      </c>
      <c r="AK680" s="961">
        <v>0.9544</v>
      </c>
      <c r="AL680" s="962">
        <v>33150.0</v>
      </c>
      <c r="AM680" s="963">
        <v>-0.7983958737253759</v>
      </c>
      <c r="AN680" s="964">
        <v>-0.045599999999999974</v>
      </c>
      <c r="AO680" s="962">
        <v>33150.0</v>
      </c>
      <c r="AP680" s="965">
        <v>-0.7906356504009052</v>
      </c>
      <c r="AQ680" s="962">
        <v>33150.0</v>
      </c>
      <c r="AR680" s="966">
        <v>-0.7829548254776484</v>
      </c>
      <c r="AS680" s="624"/>
      <c r="AT680" s="624"/>
      <c r="AU680" s="624"/>
      <c r="AV680" s="624"/>
      <c r="AW680" s="624"/>
      <c r="AX680" s="624"/>
      <c r="AY680" s="624"/>
      <c r="AZ680" s="624"/>
      <c r="BA680" s="624"/>
      <c r="BB680" s="624"/>
      <c r="BC680" s="624"/>
      <c r="BD680" s="624"/>
      <c r="BE680" s="624"/>
    </row>
    <row r="681" ht="16.5" customHeight="1">
      <c r="A681" s="711"/>
      <c r="B681" s="711"/>
      <c r="C681" s="711"/>
      <c r="D681" s="711"/>
      <c r="E681" s="711"/>
      <c r="F681" s="711"/>
      <c r="G681" s="711"/>
      <c r="H681" s="711"/>
      <c r="I681" s="711"/>
      <c r="J681" s="711"/>
      <c r="K681" s="741"/>
      <c r="L681" s="741"/>
      <c r="M681" s="788"/>
      <c r="N681" s="741"/>
      <c r="O681" s="741"/>
      <c r="P681" s="741"/>
      <c r="Q681" s="741"/>
      <c r="R681" s="788"/>
      <c r="S681" s="819"/>
      <c r="T681" s="820"/>
      <c r="U681" s="819"/>
      <c r="V681" s="820"/>
      <c r="W681" s="788"/>
      <c r="X681" s="803"/>
      <c r="Y681" s="803"/>
      <c r="Z681" s="803"/>
      <c r="AA681" s="711"/>
      <c r="AB681" s="711"/>
      <c r="AC681" s="711"/>
      <c r="AD681" s="736"/>
      <c r="AE681" s="736"/>
      <c r="AF681" s="624"/>
      <c r="AG681" s="624"/>
      <c r="AH681" s="624"/>
      <c r="AI681" s="624"/>
      <c r="AJ681" s="960">
        <f t="shared" si="6"/>
        <v>681</v>
      </c>
      <c r="AK681" s="961">
        <v>0.9465</v>
      </c>
      <c r="AL681" s="962">
        <v>33001.0</v>
      </c>
      <c r="AM681" s="963">
        <v>-0.7969394782611098</v>
      </c>
      <c r="AN681" s="964">
        <v>-0.05349999999999999</v>
      </c>
      <c r="AO681" s="962">
        <v>33001.0</v>
      </c>
      <c r="AP681" s="965">
        <v>-0.7891589914235946</v>
      </c>
      <c r="AQ681" s="962">
        <v>33001.0</v>
      </c>
      <c r="AR681" s="966">
        <v>-0.7814593870597208</v>
      </c>
      <c r="AS681" s="624"/>
      <c r="AT681" s="624"/>
      <c r="AU681" s="624"/>
      <c r="AV681" s="624"/>
      <c r="AW681" s="624"/>
      <c r="AX681" s="624"/>
      <c r="AY681" s="624"/>
      <c r="AZ681" s="624"/>
      <c r="BA681" s="624"/>
      <c r="BB681" s="624"/>
      <c r="BC681" s="624"/>
      <c r="BD681" s="624"/>
      <c r="BE681" s="624"/>
    </row>
    <row r="682" ht="16.5" customHeight="1">
      <c r="A682" s="711"/>
      <c r="B682" s="711"/>
      <c r="C682" s="711"/>
      <c r="D682" s="711"/>
      <c r="E682" s="711"/>
      <c r="F682" s="711"/>
      <c r="G682" s="711"/>
      <c r="H682" s="711"/>
      <c r="I682" s="711"/>
      <c r="J682" s="711"/>
      <c r="K682" s="741"/>
      <c r="L682" s="741"/>
      <c r="M682" s="788"/>
      <c r="N682" s="741"/>
      <c r="O682" s="741"/>
      <c r="P682" s="741"/>
      <c r="Q682" s="741"/>
      <c r="R682" s="788"/>
      <c r="S682" s="819"/>
      <c r="T682" s="820"/>
      <c r="U682" s="819"/>
      <c r="V682" s="820"/>
      <c r="W682" s="788"/>
      <c r="X682" s="803"/>
      <c r="Y682" s="803"/>
      <c r="Z682" s="803"/>
      <c r="AA682" s="711"/>
      <c r="AB682" s="711"/>
      <c r="AC682" s="711"/>
      <c r="AD682" s="736"/>
      <c r="AE682" s="736"/>
      <c r="AF682" s="624"/>
      <c r="AG682" s="624"/>
      <c r="AH682" s="624"/>
      <c r="AI682" s="624"/>
      <c r="AJ682" s="960">
        <f t="shared" si="6"/>
        <v>682</v>
      </c>
      <c r="AK682" s="961">
        <v>0.9624</v>
      </c>
      <c r="AL682" s="962">
        <v>33000.0</v>
      </c>
      <c r="AM682" s="963">
        <v>-0.7969296683371165</v>
      </c>
      <c r="AN682" s="964">
        <v>-0.03759999999999997</v>
      </c>
      <c r="AO682" s="962">
        <v>33000.0</v>
      </c>
      <c r="AP682" s="965">
        <v>-0.789149045858438</v>
      </c>
      <c r="AQ682" s="962">
        <v>33000.0</v>
      </c>
      <c r="AR682" s="966">
        <v>-0.7814493158316786</v>
      </c>
      <c r="AS682" s="624"/>
      <c r="AT682" s="624"/>
      <c r="AU682" s="624"/>
      <c r="AV682" s="624"/>
      <c r="AW682" s="624"/>
      <c r="AX682" s="624"/>
      <c r="AY682" s="624"/>
      <c r="AZ682" s="624"/>
      <c r="BA682" s="624"/>
      <c r="BB682" s="624"/>
      <c r="BC682" s="624"/>
      <c r="BD682" s="624"/>
      <c r="BE682" s="624"/>
    </row>
    <row r="683" ht="16.5" customHeight="1">
      <c r="A683" s="711"/>
      <c r="B683" s="711"/>
      <c r="C683" s="711"/>
      <c r="D683" s="711"/>
      <c r="E683" s="711"/>
      <c r="F683" s="711"/>
      <c r="G683" s="711"/>
      <c r="H683" s="711"/>
      <c r="I683" s="711"/>
      <c r="J683" s="711"/>
      <c r="K683" s="741"/>
      <c r="L683" s="741"/>
      <c r="M683" s="788"/>
      <c r="N683" s="741"/>
      <c r="O683" s="741"/>
      <c r="P683" s="741"/>
      <c r="Q683" s="741"/>
      <c r="R683" s="788"/>
      <c r="S683" s="819"/>
      <c r="T683" s="820"/>
      <c r="U683" s="819"/>
      <c r="V683" s="820"/>
      <c r="W683" s="788"/>
      <c r="X683" s="803"/>
      <c r="Y683" s="803"/>
      <c r="Z683" s="803"/>
      <c r="AA683" s="711"/>
      <c r="AB683" s="711"/>
      <c r="AC683" s="711"/>
      <c r="AD683" s="736"/>
      <c r="AE683" s="736"/>
      <c r="AF683" s="624"/>
      <c r="AG683" s="624"/>
      <c r="AH683" s="624"/>
      <c r="AI683" s="624"/>
      <c r="AJ683" s="960">
        <f t="shared" si="6"/>
        <v>683</v>
      </c>
      <c r="AK683" s="961">
        <v>0.9518</v>
      </c>
      <c r="AL683" s="962">
        <v>33000.0</v>
      </c>
      <c r="AM683" s="963">
        <v>-0.7969296683371165</v>
      </c>
      <c r="AN683" s="964">
        <v>-0.04820000000000002</v>
      </c>
      <c r="AO683" s="962">
        <v>33000.0</v>
      </c>
      <c r="AP683" s="965">
        <v>-0.789149045858438</v>
      </c>
      <c r="AQ683" s="962">
        <v>33000.0</v>
      </c>
      <c r="AR683" s="966">
        <v>-0.7814493158316786</v>
      </c>
      <c r="AS683" s="624"/>
      <c r="AT683" s="624"/>
      <c r="AU683" s="624"/>
      <c r="AV683" s="624"/>
      <c r="AW683" s="624"/>
      <c r="AX683" s="624"/>
      <c r="AY683" s="624"/>
      <c r="AZ683" s="624"/>
      <c r="BA683" s="624"/>
      <c r="BB683" s="624"/>
      <c r="BC683" s="624"/>
      <c r="BD683" s="624"/>
      <c r="BE683" s="624"/>
    </row>
    <row r="684" ht="16.5" customHeight="1">
      <c r="A684" s="711"/>
      <c r="B684" s="711"/>
      <c r="C684" s="711"/>
      <c r="D684" s="711"/>
      <c r="E684" s="711"/>
      <c r="F684" s="711"/>
      <c r="G684" s="711"/>
      <c r="H684" s="711"/>
      <c r="I684" s="711"/>
      <c r="J684" s="711"/>
      <c r="K684" s="741"/>
      <c r="L684" s="741"/>
      <c r="M684" s="788"/>
      <c r="N684" s="741"/>
      <c r="O684" s="741"/>
      <c r="P684" s="741"/>
      <c r="Q684" s="741"/>
      <c r="R684" s="788"/>
      <c r="S684" s="819"/>
      <c r="T684" s="820"/>
      <c r="U684" s="819"/>
      <c r="V684" s="820"/>
      <c r="W684" s="788"/>
      <c r="X684" s="803"/>
      <c r="Y684" s="803"/>
      <c r="Z684" s="803"/>
      <c r="AA684" s="711"/>
      <c r="AB684" s="711"/>
      <c r="AC684" s="711"/>
      <c r="AD684" s="736"/>
      <c r="AE684" s="736"/>
      <c r="AF684" s="624"/>
      <c r="AG684" s="624"/>
      <c r="AH684" s="624"/>
      <c r="AI684" s="624"/>
      <c r="AJ684" s="960">
        <f t="shared" si="6"/>
        <v>684</v>
      </c>
      <c r="AK684" s="961">
        <v>0.9682</v>
      </c>
      <c r="AL684" s="962">
        <v>33000.0</v>
      </c>
      <c r="AM684" s="963">
        <v>-0.7969296683371165</v>
      </c>
      <c r="AN684" s="964">
        <v>-0.03180000000000005</v>
      </c>
      <c r="AO684" s="962">
        <v>33000.0</v>
      </c>
      <c r="AP684" s="965">
        <v>-0.789149045858438</v>
      </c>
      <c r="AQ684" s="962">
        <v>33000.0</v>
      </c>
      <c r="AR684" s="966">
        <v>-0.7814493158316786</v>
      </c>
      <c r="AS684" s="624"/>
      <c r="AT684" s="624"/>
      <c r="AU684" s="624"/>
      <c r="AV684" s="624"/>
      <c r="AW684" s="624"/>
      <c r="AX684" s="624"/>
      <c r="AY684" s="624"/>
      <c r="AZ684" s="624"/>
      <c r="BA684" s="624"/>
      <c r="BB684" s="624"/>
      <c r="BC684" s="624"/>
      <c r="BD684" s="624"/>
      <c r="BE684" s="624"/>
    </row>
    <row r="685" ht="16.5" customHeight="1">
      <c r="A685" s="711"/>
      <c r="B685" s="711"/>
      <c r="C685" s="711"/>
      <c r="D685" s="711"/>
      <c r="E685" s="711"/>
      <c r="F685" s="711"/>
      <c r="G685" s="711"/>
      <c r="H685" s="711"/>
      <c r="I685" s="711"/>
      <c r="J685" s="711"/>
      <c r="K685" s="741"/>
      <c r="L685" s="741"/>
      <c r="M685" s="788"/>
      <c r="N685" s="741"/>
      <c r="O685" s="741"/>
      <c r="P685" s="741"/>
      <c r="Q685" s="741"/>
      <c r="R685" s="788"/>
      <c r="S685" s="819"/>
      <c r="T685" s="820"/>
      <c r="U685" s="819"/>
      <c r="V685" s="820"/>
      <c r="W685" s="788"/>
      <c r="X685" s="803"/>
      <c r="Y685" s="803"/>
      <c r="Z685" s="803"/>
      <c r="AA685" s="711"/>
      <c r="AB685" s="711"/>
      <c r="AC685" s="711"/>
      <c r="AD685" s="736"/>
      <c r="AE685" s="736"/>
      <c r="AF685" s="624"/>
      <c r="AG685" s="624"/>
      <c r="AH685" s="624"/>
      <c r="AI685" s="624"/>
      <c r="AJ685" s="960">
        <f t="shared" si="6"/>
        <v>685</v>
      </c>
      <c r="AK685" s="961">
        <v>0.9856</v>
      </c>
      <c r="AL685" s="962">
        <v>32992.0</v>
      </c>
      <c r="AM685" s="963">
        <v>-0.7968511718820972</v>
      </c>
      <c r="AN685" s="964">
        <v>-0.014399999999999968</v>
      </c>
      <c r="AO685" s="962">
        <v>32992.0</v>
      </c>
      <c r="AP685" s="965">
        <v>-0.7890694644462324</v>
      </c>
      <c r="AQ685" s="962">
        <v>32992.0</v>
      </c>
      <c r="AR685" s="966">
        <v>-0.7813687292971312</v>
      </c>
      <c r="AS685" s="624"/>
      <c r="AT685" s="624"/>
      <c r="AU685" s="624"/>
      <c r="AV685" s="624"/>
      <c r="AW685" s="624"/>
      <c r="AX685" s="624"/>
      <c r="AY685" s="624"/>
      <c r="AZ685" s="624"/>
      <c r="BA685" s="624"/>
      <c r="BB685" s="624"/>
      <c r="BC685" s="624"/>
      <c r="BD685" s="624"/>
      <c r="BE685" s="624"/>
    </row>
    <row r="686" ht="16.5" customHeight="1">
      <c r="A686" s="711"/>
      <c r="B686" s="711"/>
      <c r="C686" s="711"/>
      <c r="D686" s="711"/>
      <c r="E686" s="711"/>
      <c r="F686" s="711"/>
      <c r="G686" s="711"/>
      <c r="H686" s="711"/>
      <c r="I686" s="711"/>
      <c r="J686" s="711"/>
      <c r="K686" s="741"/>
      <c r="L686" s="741"/>
      <c r="M686" s="788"/>
      <c r="N686" s="741"/>
      <c r="O686" s="741"/>
      <c r="P686" s="741"/>
      <c r="Q686" s="741"/>
      <c r="R686" s="788"/>
      <c r="S686" s="819"/>
      <c r="T686" s="820"/>
      <c r="U686" s="819"/>
      <c r="V686" s="820"/>
      <c r="W686" s="788"/>
      <c r="X686" s="803"/>
      <c r="Y686" s="803"/>
      <c r="Z686" s="803"/>
      <c r="AA686" s="711"/>
      <c r="AB686" s="711"/>
      <c r="AC686" s="711"/>
      <c r="AD686" s="736"/>
      <c r="AE686" s="736"/>
      <c r="AF686" s="624"/>
      <c r="AG686" s="624"/>
      <c r="AH686" s="624"/>
      <c r="AI686" s="624"/>
      <c r="AJ686" s="960">
        <f t="shared" si="6"/>
        <v>686</v>
      </c>
      <c r="AK686" s="961">
        <v>1.0014</v>
      </c>
      <c r="AL686" s="962">
        <v>32992.0</v>
      </c>
      <c r="AM686" s="963">
        <v>-0.7968511718820972</v>
      </c>
      <c r="AN686" s="964">
        <v>0.0014000000000000679</v>
      </c>
      <c r="AO686" s="962">
        <v>32992.0</v>
      </c>
      <c r="AP686" s="965">
        <v>-0.7890694644462324</v>
      </c>
      <c r="AQ686" s="962">
        <v>32992.0</v>
      </c>
      <c r="AR686" s="966">
        <v>-0.7813687292971312</v>
      </c>
      <c r="AS686" s="624"/>
      <c r="AT686" s="624"/>
      <c r="AU686" s="624"/>
      <c r="AV686" s="624"/>
      <c r="AW686" s="624"/>
      <c r="AX686" s="624"/>
      <c r="AY686" s="624"/>
      <c r="AZ686" s="624"/>
      <c r="BA686" s="624"/>
      <c r="BB686" s="624"/>
      <c r="BC686" s="624"/>
      <c r="BD686" s="624"/>
      <c r="BE686" s="624"/>
    </row>
    <row r="687" ht="16.5" customHeight="1">
      <c r="A687" s="711"/>
      <c r="B687" s="711"/>
      <c r="C687" s="711"/>
      <c r="D687" s="711"/>
      <c r="E687" s="711"/>
      <c r="F687" s="711"/>
      <c r="G687" s="711"/>
      <c r="H687" s="711"/>
      <c r="I687" s="711"/>
      <c r="J687" s="711"/>
      <c r="K687" s="741"/>
      <c r="L687" s="741"/>
      <c r="M687" s="788"/>
      <c r="N687" s="741"/>
      <c r="O687" s="741"/>
      <c r="P687" s="741"/>
      <c r="Q687" s="741"/>
      <c r="R687" s="788"/>
      <c r="S687" s="819"/>
      <c r="T687" s="820"/>
      <c r="U687" s="819"/>
      <c r="V687" s="820"/>
      <c r="W687" s="788"/>
      <c r="X687" s="803"/>
      <c r="Y687" s="803"/>
      <c r="Z687" s="803"/>
      <c r="AA687" s="711"/>
      <c r="AB687" s="711"/>
      <c r="AC687" s="711"/>
      <c r="AD687" s="736"/>
      <c r="AE687" s="736"/>
      <c r="AF687" s="624"/>
      <c r="AG687" s="624"/>
      <c r="AH687" s="624"/>
      <c r="AI687" s="624"/>
      <c r="AJ687" s="960">
        <f t="shared" si="6"/>
        <v>687</v>
      </c>
      <c r="AK687" s="961">
        <v>0.9387</v>
      </c>
      <c r="AL687" s="962">
        <v>32910.0</v>
      </c>
      <c r="AM687" s="963">
        <v>-0.796044831687574</v>
      </c>
      <c r="AN687" s="964">
        <v>-0.06130000000000002</v>
      </c>
      <c r="AO687" s="962">
        <v>32910.0</v>
      </c>
      <c r="AP687" s="965">
        <v>-0.7882520211686805</v>
      </c>
      <c r="AQ687" s="962">
        <v>32910.0</v>
      </c>
      <c r="AR687" s="966">
        <v>-0.7805410021248599</v>
      </c>
      <c r="AS687" s="624"/>
      <c r="AT687" s="624"/>
      <c r="AU687" s="624"/>
      <c r="AV687" s="624"/>
      <c r="AW687" s="624"/>
      <c r="AX687" s="624"/>
      <c r="AY687" s="624"/>
      <c r="AZ687" s="624"/>
      <c r="BA687" s="624"/>
      <c r="BB687" s="624"/>
      <c r="BC687" s="624"/>
      <c r="BD687" s="624"/>
      <c r="BE687" s="624"/>
    </row>
    <row r="688" ht="16.5" customHeight="1">
      <c r="A688" s="711"/>
      <c r="B688" s="711"/>
      <c r="C688" s="711"/>
      <c r="D688" s="711"/>
      <c r="E688" s="711"/>
      <c r="F688" s="711"/>
      <c r="G688" s="711"/>
      <c r="H688" s="711"/>
      <c r="I688" s="711"/>
      <c r="J688" s="711"/>
      <c r="K688" s="741"/>
      <c r="L688" s="741"/>
      <c r="M688" s="788"/>
      <c r="N688" s="741"/>
      <c r="O688" s="741"/>
      <c r="P688" s="741"/>
      <c r="Q688" s="741"/>
      <c r="R688" s="788"/>
      <c r="S688" s="819"/>
      <c r="T688" s="820"/>
      <c r="U688" s="819"/>
      <c r="V688" s="820"/>
      <c r="W688" s="788"/>
      <c r="X688" s="803"/>
      <c r="Y688" s="803"/>
      <c r="Z688" s="803"/>
      <c r="AA688" s="711"/>
      <c r="AB688" s="711"/>
      <c r="AC688" s="711"/>
      <c r="AD688" s="736"/>
      <c r="AE688" s="736"/>
      <c r="AF688" s="624"/>
      <c r="AG688" s="624"/>
      <c r="AH688" s="624"/>
      <c r="AI688" s="624"/>
      <c r="AJ688" s="960">
        <f t="shared" si="6"/>
        <v>688</v>
      </c>
      <c r="AK688" s="961">
        <v>0.9572</v>
      </c>
      <c r="AL688" s="962">
        <v>32788.0</v>
      </c>
      <c r="AM688" s="963">
        <v>-0.794839227816505</v>
      </c>
      <c r="AN688" s="964">
        <v>-0.04279999999999995</v>
      </c>
      <c r="AO688" s="962">
        <v>32788.0</v>
      </c>
      <c r="AP688" s="965">
        <v>-0.7870299585394591</v>
      </c>
      <c r="AQ688" s="962">
        <v>32788.0</v>
      </c>
      <c r="AR688" s="966">
        <v>-0.7793037024798226</v>
      </c>
      <c r="AS688" s="624"/>
      <c r="AT688" s="624"/>
      <c r="AU688" s="624"/>
      <c r="AV688" s="624"/>
      <c r="AW688" s="624"/>
      <c r="AX688" s="624"/>
      <c r="AY688" s="624"/>
      <c r="AZ688" s="624"/>
      <c r="BA688" s="624"/>
      <c r="BB688" s="624"/>
      <c r="BC688" s="624"/>
      <c r="BD688" s="624"/>
      <c r="BE688" s="624"/>
    </row>
    <row r="689" ht="16.5" customHeight="1">
      <c r="A689" s="711"/>
      <c r="B689" s="711"/>
      <c r="C689" s="711"/>
      <c r="D689" s="711"/>
      <c r="E689" s="711"/>
      <c r="F689" s="711"/>
      <c r="G689" s="711"/>
      <c r="H689" s="711"/>
      <c r="I689" s="711"/>
      <c r="J689" s="711"/>
      <c r="K689" s="741"/>
      <c r="L689" s="741"/>
      <c r="M689" s="788"/>
      <c r="N689" s="741"/>
      <c r="O689" s="741"/>
      <c r="P689" s="741"/>
      <c r="Q689" s="741"/>
      <c r="R689" s="788"/>
      <c r="S689" s="819"/>
      <c r="T689" s="820"/>
      <c r="U689" s="819"/>
      <c r="V689" s="820"/>
      <c r="W689" s="788"/>
      <c r="X689" s="803"/>
      <c r="Y689" s="803"/>
      <c r="Z689" s="803"/>
      <c r="AA689" s="711"/>
      <c r="AB689" s="711"/>
      <c r="AC689" s="711"/>
      <c r="AD689" s="736"/>
      <c r="AE689" s="736"/>
      <c r="AF689" s="624"/>
      <c r="AG689" s="624"/>
      <c r="AH689" s="624"/>
      <c r="AI689" s="624"/>
      <c r="AJ689" s="960">
        <f t="shared" si="6"/>
        <v>689</v>
      </c>
      <c r="AK689" s="961">
        <v>0.9637</v>
      </c>
      <c r="AL689" s="962">
        <v>32600.0</v>
      </c>
      <c r="AM689" s="963">
        <v>-0.7929674448969102</v>
      </c>
      <c r="AN689" s="964">
        <v>-0.0363</v>
      </c>
      <c r="AO689" s="962">
        <v>32600.0</v>
      </c>
      <c r="AP689" s="965">
        <v>-0.7851329574855872</v>
      </c>
      <c r="AQ689" s="962">
        <v>32600.0</v>
      </c>
      <c r="AR689" s="966">
        <v>-0.7773833727895305</v>
      </c>
      <c r="AS689" s="624"/>
      <c r="AT689" s="624"/>
      <c r="AU689" s="624"/>
      <c r="AV689" s="624"/>
      <c r="AW689" s="624"/>
      <c r="AX689" s="624"/>
      <c r="AY689" s="624"/>
      <c r="AZ689" s="624"/>
      <c r="BA689" s="624"/>
      <c r="BB689" s="624"/>
      <c r="BC689" s="624"/>
      <c r="BD689" s="624"/>
      <c r="BE689" s="624"/>
    </row>
    <row r="690" ht="16.5" customHeight="1">
      <c r="A690" s="711"/>
      <c r="B690" s="711"/>
      <c r="C690" s="711"/>
      <c r="D690" s="711"/>
      <c r="E690" s="711"/>
      <c r="F690" s="711"/>
      <c r="G690" s="711"/>
      <c r="H690" s="711"/>
      <c r="I690" s="711"/>
      <c r="J690" s="711"/>
      <c r="K690" s="741"/>
      <c r="L690" s="741"/>
      <c r="M690" s="788"/>
      <c r="N690" s="741"/>
      <c r="O690" s="741"/>
      <c r="P690" s="741"/>
      <c r="Q690" s="741"/>
      <c r="R690" s="788"/>
      <c r="S690" s="819"/>
      <c r="T690" s="820"/>
      <c r="U690" s="819"/>
      <c r="V690" s="820"/>
      <c r="W690" s="788"/>
      <c r="X690" s="803"/>
      <c r="Y690" s="803"/>
      <c r="Z690" s="803"/>
      <c r="AA690" s="711"/>
      <c r="AB690" s="711"/>
      <c r="AC690" s="711"/>
      <c r="AD690" s="736"/>
      <c r="AE690" s="736"/>
      <c r="AF690" s="624"/>
      <c r="AG690" s="624"/>
      <c r="AH690" s="624"/>
      <c r="AI690" s="624"/>
      <c r="AJ690" s="960">
        <f t="shared" si="6"/>
        <v>690</v>
      </c>
      <c r="AK690" s="961">
        <v>0.9788</v>
      </c>
      <c r="AL690" s="962">
        <v>32573.0</v>
      </c>
      <c r="AM690" s="963">
        <v>-0.7926972262424857</v>
      </c>
      <c r="AN690" s="964">
        <v>-0.021199999999999997</v>
      </c>
      <c r="AO690" s="962">
        <v>32573.0</v>
      </c>
      <c r="AP690" s="965">
        <v>-0.7848591317303553</v>
      </c>
      <c r="AQ690" s="962">
        <v>32573.0</v>
      </c>
      <c r="AR690" s="966">
        <v>-0.7771062119678784</v>
      </c>
      <c r="AS690" s="624"/>
      <c r="AT690" s="624"/>
      <c r="AU690" s="624"/>
      <c r="AV690" s="624"/>
      <c r="AW690" s="624"/>
      <c r="AX690" s="624"/>
      <c r="AY690" s="624"/>
      <c r="AZ690" s="624"/>
      <c r="BA690" s="624"/>
      <c r="BB690" s="624"/>
      <c r="BC690" s="624"/>
      <c r="BD690" s="624"/>
      <c r="BE690" s="624"/>
    </row>
    <row r="691" ht="16.5" customHeight="1">
      <c r="A691" s="711"/>
      <c r="B691" s="711"/>
      <c r="C691" s="711"/>
      <c r="D691" s="711"/>
      <c r="E691" s="711"/>
      <c r="F691" s="711"/>
      <c r="G691" s="711"/>
      <c r="H691" s="711"/>
      <c r="I691" s="711"/>
      <c r="J691" s="711"/>
      <c r="K691" s="741"/>
      <c r="L691" s="741"/>
      <c r="M691" s="788"/>
      <c r="N691" s="741"/>
      <c r="O691" s="741"/>
      <c r="P691" s="741"/>
      <c r="Q691" s="741"/>
      <c r="R691" s="788"/>
      <c r="S691" s="819"/>
      <c r="T691" s="820"/>
      <c r="U691" s="819"/>
      <c r="V691" s="820"/>
      <c r="W691" s="788"/>
      <c r="X691" s="803"/>
      <c r="Y691" s="803"/>
      <c r="Z691" s="803"/>
      <c r="AA691" s="711"/>
      <c r="AB691" s="711"/>
      <c r="AC691" s="711"/>
      <c r="AD691" s="736"/>
      <c r="AE691" s="736"/>
      <c r="AF691" s="624"/>
      <c r="AG691" s="624"/>
      <c r="AH691" s="624"/>
      <c r="AI691" s="624"/>
      <c r="AJ691" s="960">
        <f t="shared" si="6"/>
        <v>691</v>
      </c>
      <c r="AK691" s="961">
        <v>0.9518</v>
      </c>
      <c r="AL691" s="962">
        <v>32546.0</v>
      </c>
      <c r="AM691" s="963">
        <v>-0.7924266548989822</v>
      </c>
      <c r="AN691" s="964">
        <v>-0.04820000000000002</v>
      </c>
      <c r="AO691" s="962">
        <v>32546.0</v>
      </c>
      <c r="AP691" s="965">
        <v>-0.784584957012605</v>
      </c>
      <c r="AQ691" s="962">
        <v>32546.0</v>
      </c>
      <c r="AR691" s="966">
        <v>-0.7768287060771178</v>
      </c>
      <c r="AS691" s="624"/>
      <c r="AT691" s="624"/>
      <c r="AU691" s="624"/>
      <c r="AV691" s="624"/>
      <c r="AW691" s="624"/>
      <c r="AX691" s="624"/>
      <c r="AY691" s="624"/>
      <c r="AZ691" s="624"/>
      <c r="BA691" s="624"/>
      <c r="BB691" s="624"/>
      <c r="BC691" s="624"/>
      <c r="BD691" s="624"/>
      <c r="BE691" s="624"/>
    </row>
    <row r="692" ht="16.5" customHeight="1">
      <c r="A692" s="711"/>
      <c r="B692" s="711"/>
      <c r="C692" s="711"/>
      <c r="D692" s="711"/>
      <c r="E692" s="711"/>
      <c r="F692" s="711"/>
      <c r="G692" s="711"/>
      <c r="H692" s="711"/>
      <c r="I692" s="711"/>
      <c r="J692" s="711"/>
      <c r="K692" s="741"/>
      <c r="L692" s="741"/>
      <c r="M692" s="788"/>
      <c r="N692" s="741"/>
      <c r="O692" s="741"/>
      <c r="P692" s="741"/>
      <c r="Q692" s="741"/>
      <c r="R692" s="788"/>
      <c r="S692" s="819"/>
      <c r="T692" s="820"/>
      <c r="U692" s="819"/>
      <c r="V692" s="820"/>
      <c r="W692" s="788"/>
      <c r="X692" s="803"/>
      <c r="Y692" s="803"/>
      <c r="Z692" s="803"/>
      <c r="AA692" s="711"/>
      <c r="AB692" s="711"/>
      <c r="AC692" s="711"/>
      <c r="AD692" s="736"/>
      <c r="AE692" s="736"/>
      <c r="AF692" s="624"/>
      <c r="AG692" s="624"/>
      <c r="AH692" s="624"/>
      <c r="AI692" s="624"/>
      <c r="AJ692" s="960">
        <f t="shared" si="6"/>
        <v>692</v>
      </c>
      <c r="AK692" s="961">
        <v>0.9338</v>
      </c>
      <c r="AL692" s="962">
        <v>32540.0</v>
      </c>
      <c r="AM692" s="963">
        <v>-0.7923664799914166</v>
      </c>
      <c r="AN692" s="964">
        <v>-0.06620000000000004</v>
      </c>
      <c r="AO692" s="962">
        <v>32540.0</v>
      </c>
      <c r="AP692" s="965">
        <v>-0.7845239818628529</v>
      </c>
      <c r="AQ692" s="962">
        <v>32540.0</v>
      </c>
      <c r="AR692" s="966">
        <v>-0.7767669911969499</v>
      </c>
      <c r="AS692" s="624"/>
      <c r="AT692" s="624"/>
      <c r="AU692" s="624"/>
      <c r="AV692" s="624"/>
      <c r="AW692" s="624"/>
      <c r="AX692" s="624"/>
      <c r="AY692" s="624"/>
      <c r="AZ692" s="624"/>
      <c r="BA692" s="624"/>
      <c r="BB692" s="624"/>
      <c r="BC692" s="624"/>
      <c r="BD692" s="624"/>
      <c r="BE692" s="624"/>
    </row>
    <row r="693" ht="16.5" customHeight="1">
      <c r="A693" s="711"/>
      <c r="B693" s="711"/>
      <c r="C693" s="711"/>
      <c r="D693" s="711"/>
      <c r="E693" s="711"/>
      <c r="F693" s="711"/>
      <c r="G693" s="711"/>
      <c r="H693" s="711"/>
      <c r="I693" s="711"/>
      <c r="J693" s="711"/>
      <c r="K693" s="741"/>
      <c r="L693" s="741"/>
      <c r="M693" s="788"/>
      <c r="N693" s="741"/>
      <c r="O693" s="741"/>
      <c r="P693" s="741"/>
      <c r="Q693" s="741"/>
      <c r="R693" s="788"/>
      <c r="S693" s="819"/>
      <c r="T693" s="820"/>
      <c r="U693" s="819"/>
      <c r="V693" s="820"/>
      <c r="W693" s="788"/>
      <c r="X693" s="803"/>
      <c r="Y693" s="803"/>
      <c r="Z693" s="803"/>
      <c r="AA693" s="711"/>
      <c r="AB693" s="711"/>
      <c r="AC693" s="711"/>
      <c r="AD693" s="736"/>
      <c r="AE693" s="736"/>
      <c r="AF693" s="624"/>
      <c r="AG693" s="624"/>
      <c r="AH693" s="624"/>
      <c r="AI693" s="624"/>
      <c r="AJ693" s="960">
        <f t="shared" si="6"/>
        <v>693</v>
      </c>
      <c r="AK693" s="961">
        <v>0.9918</v>
      </c>
      <c r="AL693" s="962">
        <v>32500.0</v>
      </c>
      <c r="AM693" s="963">
        <v>-0.7919648678921193</v>
      </c>
      <c r="AN693" s="964">
        <v>-0.008199999999999985</v>
      </c>
      <c r="AO693" s="962">
        <v>32500.0</v>
      </c>
      <c r="AP693" s="965">
        <v>-0.7841170395509501</v>
      </c>
      <c r="AQ693" s="962">
        <v>32500.0</v>
      </c>
      <c r="AR693" s="966">
        <v>-0.776355122293747</v>
      </c>
      <c r="AS693" s="624"/>
      <c r="AT693" s="624"/>
      <c r="AU693" s="624"/>
      <c r="AV693" s="624"/>
      <c r="AW693" s="624"/>
      <c r="AX693" s="624"/>
      <c r="AY693" s="624"/>
      <c r="AZ693" s="624"/>
      <c r="BA693" s="624"/>
      <c r="BB693" s="624"/>
      <c r="BC693" s="624"/>
      <c r="BD693" s="624"/>
      <c r="BE693" s="624"/>
    </row>
    <row r="694" ht="16.5" customHeight="1">
      <c r="A694" s="711"/>
      <c r="B694" s="711"/>
      <c r="C694" s="711"/>
      <c r="D694" s="711"/>
      <c r="E694" s="711"/>
      <c r="F694" s="711"/>
      <c r="G694" s="711"/>
      <c r="H694" s="711"/>
      <c r="I694" s="711"/>
      <c r="J694" s="711"/>
      <c r="K694" s="741"/>
      <c r="L694" s="741"/>
      <c r="M694" s="788"/>
      <c r="N694" s="741"/>
      <c r="O694" s="741"/>
      <c r="P694" s="741"/>
      <c r="Q694" s="741"/>
      <c r="R694" s="788"/>
      <c r="S694" s="819"/>
      <c r="T694" s="820"/>
      <c r="U694" s="819"/>
      <c r="V694" s="820"/>
      <c r="W694" s="788"/>
      <c r="X694" s="803"/>
      <c r="Y694" s="803"/>
      <c r="Z694" s="803"/>
      <c r="AA694" s="711"/>
      <c r="AB694" s="711"/>
      <c r="AC694" s="711"/>
      <c r="AD694" s="736"/>
      <c r="AE694" s="736"/>
      <c r="AF694" s="624"/>
      <c r="AG694" s="624"/>
      <c r="AH694" s="624"/>
      <c r="AI694" s="624"/>
      <c r="AJ694" s="960">
        <f t="shared" si="6"/>
        <v>694</v>
      </c>
      <c r="AK694" s="961">
        <v>0.9766</v>
      </c>
      <c r="AL694" s="962">
        <v>32373.0</v>
      </c>
      <c r="AM694" s="963">
        <v>-0.7906845936863407</v>
      </c>
      <c r="AN694" s="964">
        <v>-0.023399999999999976</v>
      </c>
      <c r="AO694" s="962">
        <v>32373.0</v>
      </c>
      <c r="AP694" s="965">
        <v>-0.7828198969900704</v>
      </c>
      <c r="AQ694" s="962">
        <v>32373.0</v>
      </c>
      <c r="AR694" s="966">
        <v>-0.775042395274159</v>
      </c>
      <c r="AS694" s="624"/>
      <c r="AT694" s="624"/>
      <c r="AU694" s="624"/>
      <c r="AV694" s="624"/>
      <c r="AW694" s="624"/>
      <c r="AX694" s="624"/>
      <c r="AY694" s="624"/>
      <c r="AZ694" s="624"/>
      <c r="BA694" s="624"/>
      <c r="BB694" s="624"/>
      <c r="BC694" s="624"/>
      <c r="BD694" s="624"/>
      <c r="BE694" s="624"/>
    </row>
    <row r="695" ht="16.5" customHeight="1">
      <c r="A695" s="711"/>
      <c r="B695" s="711"/>
      <c r="C695" s="711"/>
      <c r="D695" s="711"/>
      <c r="E695" s="711"/>
      <c r="F695" s="711"/>
      <c r="G695" s="711"/>
      <c r="H695" s="711"/>
      <c r="I695" s="711"/>
      <c r="J695" s="711"/>
      <c r="K695" s="741"/>
      <c r="L695" s="741"/>
      <c r="M695" s="788"/>
      <c r="N695" s="741"/>
      <c r="O695" s="741"/>
      <c r="P695" s="741"/>
      <c r="Q695" s="741"/>
      <c r="R695" s="788"/>
      <c r="S695" s="819"/>
      <c r="T695" s="820"/>
      <c r="U695" s="819"/>
      <c r="V695" s="820"/>
      <c r="W695" s="788"/>
      <c r="X695" s="803"/>
      <c r="Y695" s="803"/>
      <c r="Z695" s="803"/>
      <c r="AA695" s="711"/>
      <c r="AB695" s="711"/>
      <c r="AC695" s="711"/>
      <c r="AD695" s="736"/>
      <c r="AE695" s="736"/>
      <c r="AF695" s="624"/>
      <c r="AG695" s="624"/>
      <c r="AH695" s="624"/>
      <c r="AI695" s="624"/>
      <c r="AJ695" s="960">
        <f t="shared" si="6"/>
        <v>695</v>
      </c>
      <c r="AK695" s="961">
        <v>0.9255</v>
      </c>
      <c r="AL695" s="962">
        <v>32161.0</v>
      </c>
      <c r="AM695" s="963">
        <v>-0.7885298653054724</v>
      </c>
      <c r="AN695" s="964">
        <v>-0.07450000000000001</v>
      </c>
      <c r="AO695" s="962">
        <v>32161.0</v>
      </c>
      <c r="AP695" s="965">
        <v>-0.7806372006674637</v>
      </c>
      <c r="AQ695" s="962">
        <v>32161.0</v>
      </c>
      <c r="AR695" s="966">
        <v>-0.7728338822139593</v>
      </c>
      <c r="AS695" s="624"/>
      <c r="AT695" s="624"/>
      <c r="AU695" s="624"/>
      <c r="AV695" s="624"/>
      <c r="AW695" s="624"/>
      <c r="AX695" s="624"/>
      <c r="AY695" s="624"/>
      <c r="AZ695" s="624"/>
      <c r="BA695" s="624"/>
      <c r="BB695" s="624"/>
      <c r="BC695" s="624"/>
      <c r="BD695" s="624"/>
      <c r="BE695" s="624"/>
    </row>
    <row r="696" ht="16.5" customHeight="1">
      <c r="A696" s="711"/>
      <c r="B696" s="711"/>
      <c r="C696" s="711"/>
      <c r="D696" s="711"/>
      <c r="E696" s="711"/>
      <c r="F696" s="711"/>
      <c r="G696" s="711"/>
      <c r="H696" s="711"/>
      <c r="I696" s="711"/>
      <c r="J696" s="711"/>
      <c r="K696" s="741"/>
      <c r="L696" s="741"/>
      <c r="M696" s="788"/>
      <c r="N696" s="741"/>
      <c r="O696" s="741"/>
      <c r="P696" s="741"/>
      <c r="Q696" s="741"/>
      <c r="R696" s="788"/>
      <c r="S696" s="819"/>
      <c r="T696" s="820"/>
      <c r="U696" s="819"/>
      <c r="V696" s="820"/>
      <c r="W696" s="788"/>
      <c r="X696" s="803"/>
      <c r="Y696" s="803"/>
      <c r="Z696" s="803"/>
      <c r="AA696" s="711"/>
      <c r="AB696" s="711"/>
      <c r="AC696" s="711"/>
      <c r="AD696" s="736"/>
      <c r="AE696" s="736"/>
      <c r="AF696" s="624"/>
      <c r="AG696" s="624"/>
      <c r="AH696" s="624"/>
      <c r="AI696" s="624"/>
      <c r="AJ696" s="960">
        <f t="shared" si="6"/>
        <v>696</v>
      </c>
      <c r="AK696" s="961">
        <v>0.9774</v>
      </c>
      <c r="AL696" s="962">
        <v>32143.0</v>
      </c>
      <c r="AM696" s="963">
        <v>-0.7883458982577443</v>
      </c>
      <c r="AN696" s="964">
        <v>-0.022599999999999953</v>
      </c>
      <c r="AO696" s="962">
        <v>32143.0</v>
      </c>
      <c r="AP696" s="965">
        <v>-0.7804508701426807</v>
      </c>
      <c r="AQ696" s="962">
        <v>32143.0</v>
      </c>
      <c r="AR696" s="966">
        <v>-0.772645371316094</v>
      </c>
      <c r="AS696" s="624"/>
      <c r="AT696" s="624"/>
      <c r="AU696" s="624"/>
      <c r="AV696" s="624"/>
      <c r="AW696" s="624"/>
      <c r="AX696" s="624"/>
      <c r="AY696" s="624"/>
      <c r="AZ696" s="624"/>
      <c r="BA696" s="624"/>
      <c r="BB696" s="624"/>
      <c r="BC696" s="624"/>
      <c r="BD696" s="624"/>
      <c r="BE696" s="624"/>
    </row>
    <row r="697" ht="16.5" customHeight="1">
      <c r="A697" s="711"/>
      <c r="B697" s="711"/>
      <c r="C697" s="711"/>
      <c r="D697" s="711"/>
      <c r="E697" s="711"/>
      <c r="F697" s="711"/>
      <c r="G697" s="711"/>
      <c r="H697" s="711"/>
      <c r="I697" s="711"/>
      <c r="J697" s="711"/>
      <c r="K697" s="741"/>
      <c r="L697" s="741"/>
      <c r="M697" s="788"/>
      <c r="N697" s="741"/>
      <c r="O697" s="741"/>
      <c r="P697" s="741"/>
      <c r="Q697" s="741"/>
      <c r="R697" s="788"/>
      <c r="S697" s="819"/>
      <c r="T697" s="820"/>
      <c r="U697" s="819"/>
      <c r="V697" s="820"/>
      <c r="W697" s="788"/>
      <c r="X697" s="803"/>
      <c r="Y697" s="803"/>
      <c r="Z697" s="803"/>
      <c r="AA697" s="711"/>
      <c r="AB697" s="711"/>
      <c r="AC697" s="711"/>
      <c r="AD697" s="736"/>
      <c r="AE697" s="736"/>
      <c r="AF697" s="624"/>
      <c r="AG697" s="624"/>
      <c r="AH697" s="624"/>
      <c r="AI697" s="624"/>
      <c r="AJ697" s="960">
        <f t="shared" si="6"/>
        <v>697</v>
      </c>
      <c r="AK697" s="961">
        <v>0.9363</v>
      </c>
      <c r="AL697" s="962">
        <v>32110.0</v>
      </c>
      <c r="AM697" s="963">
        <v>-0.788008209574637</v>
      </c>
      <c r="AN697" s="964">
        <v>-0.06369999999999998</v>
      </c>
      <c r="AO697" s="962">
        <v>32110.0</v>
      </c>
      <c r="AP697" s="965">
        <v>-0.7801088530151411</v>
      </c>
      <c r="AQ697" s="962">
        <v>32110.0</v>
      </c>
      <c r="AR697" s="966">
        <v>-0.7722993616174962</v>
      </c>
      <c r="AS697" s="624"/>
      <c r="AT697" s="624"/>
      <c r="AU697" s="624"/>
      <c r="AV697" s="624"/>
      <c r="AW697" s="624"/>
      <c r="AX697" s="624"/>
      <c r="AY697" s="624"/>
      <c r="AZ697" s="624"/>
      <c r="BA697" s="624"/>
      <c r="BB697" s="624"/>
      <c r="BC697" s="624"/>
      <c r="BD697" s="624"/>
      <c r="BE697" s="624"/>
    </row>
    <row r="698" ht="16.5" customHeight="1">
      <c r="A698" s="711"/>
      <c r="B698" s="711"/>
      <c r="C698" s="711"/>
      <c r="D698" s="711"/>
      <c r="E698" s="711"/>
      <c r="F698" s="711"/>
      <c r="G698" s="711"/>
      <c r="H698" s="711"/>
      <c r="I698" s="711"/>
      <c r="J698" s="711"/>
      <c r="K698" s="741"/>
      <c r="L698" s="741"/>
      <c r="M698" s="788"/>
      <c r="N698" s="741"/>
      <c r="O698" s="741"/>
      <c r="P698" s="741"/>
      <c r="Q698" s="741"/>
      <c r="R698" s="788"/>
      <c r="S698" s="819"/>
      <c r="T698" s="820"/>
      <c r="U698" s="819"/>
      <c r="V698" s="820"/>
      <c r="W698" s="788"/>
      <c r="X698" s="803"/>
      <c r="Y698" s="803"/>
      <c r="Z698" s="803"/>
      <c r="AA698" s="711"/>
      <c r="AB698" s="711"/>
      <c r="AC698" s="711"/>
      <c r="AD698" s="736"/>
      <c r="AE698" s="736"/>
      <c r="AF698" s="624"/>
      <c r="AG698" s="624"/>
      <c r="AH698" s="624"/>
      <c r="AI698" s="624"/>
      <c r="AJ698" s="960">
        <f t="shared" si="6"/>
        <v>698</v>
      </c>
      <c r="AK698" s="961">
        <v>0.962</v>
      </c>
      <c r="AL698" s="962">
        <v>32080.0</v>
      </c>
      <c r="AM698" s="963">
        <v>-0.7877007523544879</v>
      </c>
      <c r="AN698" s="964">
        <v>-0.038000000000000034</v>
      </c>
      <c r="AO698" s="962">
        <v>32080.0</v>
      </c>
      <c r="AP698" s="965">
        <v>-0.7797974660286913</v>
      </c>
      <c r="AQ698" s="962">
        <v>32080.0</v>
      </c>
      <c r="AR698" s="966">
        <v>-0.7719843504087008</v>
      </c>
      <c r="AS698" s="624"/>
      <c r="AT698" s="624"/>
      <c r="AU698" s="624"/>
      <c r="AV698" s="624"/>
      <c r="AW698" s="624"/>
      <c r="AX698" s="624"/>
      <c r="AY698" s="624"/>
      <c r="AZ698" s="624"/>
      <c r="BA698" s="624"/>
      <c r="BB698" s="624"/>
      <c r="BC698" s="624"/>
      <c r="BD698" s="624"/>
      <c r="BE698" s="624"/>
    </row>
    <row r="699" ht="16.5" customHeight="1">
      <c r="A699" s="711"/>
      <c r="B699" s="711"/>
      <c r="C699" s="711"/>
      <c r="D699" s="711"/>
      <c r="E699" s="711"/>
      <c r="F699" s="711"/>
      <c r="G699" s="711"/>
      <c r="H699" s="711"/>
      <c r="I699" s="711"/>
      <c r="J699" s="711"/>
      <c r="K699" s="741"/>
      <c r="L699" s="741"/>
      <c r="M699" s="788"/>
      <c r="N699" s="741"/>
      <c r="O699" s="741"/>
      <c r="P699" s="741"/>
      <c r="Q699" s="741"/>
      <c r="R699" s="788"/>
      <c r="S699" s="819"/>
      <c r="T699" s="820"/>
      <c r="U699" s="819"/>
      <c r="V699" s="820"/>
      <c r="W699" s="788"/>
      <c r="X699" s="803"/>
      <c r="Y699" s="803"/>
      <c r="Z699" s="803"/>
      <c r="AA699" s="711"/>
      <c r="AB699" s="711"/>
      <c r="AC699" s="711"/>
      <c r="AD699" s="736"/>
      <c r="AE699" s="736"/>
      <c r="AF699" s="624"/>
      <c r="AG699" s="624"/>
      <c r="AH699" s="624"/>
      <c r="AI699" s="624"/>
      <c r="AJ699" s="960">
        <f t="shared" si="6"/>
        <v>699</v>
      </c>
      <c r="AK699" s="961">
        <v>0.9652</v>
      </c>
      <c r="AL699" s="962">
        <v>32055.0</v>
      </c>
      <c r="AM699" s="963">
        <v>-0.7874441974036421</v>
      </c>
      <c r="AN699" s="964">
        <v>-0.03480000000000005</v>
      </c>
      <c r="AO699" s="962">
        <v>32055.0</v>
      </c>
      <c r="AP699" s="965">
        <v>-0.7795376400600327</v>
      </c>
      <c r="AQ699" s="962">
        <v>32055.0</v>
      </c>
      <c r="AR699" s="966">
        <v>-0.7717215081904221</v>
      </c>
      <c r="AS699" s="624"/>
      <c r="AT699" s="624"/>
      <c r="AU699" s="624"/>
      <c r="AV699" s="624"/>
      <c r="AW699" s="624"/>
      <c r="AX699" s="624"/>
      <c r="AY699" s="624"/>
      <c r="AZ699" s="624"/>
      <c r="BA699" s="624"/>
      <c r="BB699" s="624"/>
      <c r="BC699" s="624"/>
      <c r="BD699" s="624"/>
      <c r="BE699" s="624"/>
    </row>
    <row r="700" ht="16.5" customHeight="1">
      <c r="A700" s="711"/>
      <c r="B700" s="711"/>
      <c r="C700" s="711"/>
      <c r="D700" s="711"/>
      <c r="E700" s="711"/>
      <c r="F700" s="711"/>
      <c r="G700" s="711"/>
      <c r="H700" s="711"/>
      <c r="I700" s="711"/>
      <c r="J700" s="711"/>
      <c r="K700" s="741"/>
      <c r="L700" s="741"/>
      <c r="M700" s="788"/>
      <c r="N700" s="741"/>
      <c r="O700" s="741"/>
      <c r="P700" s="741"/>
      <c r="Q700" s="741"/>
      <c r="R700" s="788"/>
      <c r="S700" s="819"/>
      <c r="T700" s="820"/>
      <c r="U700" s="819"/>
      <c r="V700" s="820"/>
      <c r="W700" s="788"/>
      <c r="X700" s="803"/>
      <c r="Y700" s="803"/>
      <c r="Z700" s="803"/>
      <c r="AA700" s="711"/>
      <c r="AB700" s="711"/>
      <c r="AC700" s="711"/>
      <c r="AD700" s="736"/>
      <c r="AE700" s="736"/>
      <c r="AF700" s="624"/>
      <c r="AG700" s="624"/>
      <c r="AH700" s="624"/>
      <c r="AI700" s="624"/>
      <c r="AJ700" s="960">
        <f t="shared" si="6"/>
        <v>700</v>
      </c>
      <c r="AK700" s="961">
        <v>0.9932</v>
      </c>
      <c r="AL700" s="962">
        <v>32054.0</v>
      </c>
      <c r="AM700" s="963">
        <v>-0.7874339287593486</v>
      </c>
      <c r="AN700" s="964">
        <v>-0.006800000000000028</v>
      </c>
      <c r="AO700" s="962">
        <v>32054.0</v>
      </c>
      <c r="AP700" s="965">
        <v>-0.7795272406468438</v>
      </c>
      <c r="AQ700" s="962">
        <v>32054.0</v>
      </c>
      <c r="AR700" s="966">
        <v>-0.7717109882018616</v>
      </c>
      <c r="AS700" s="624"/>
      <c r="AT700" s="624"/>
      <c r="AU700" s="624"/>
      <c r="AV700" s="624"/>
      <c r="AW700" s="624"/>
      <c r="AX700" s="624"/>
      <c r="AY700" s="624"/>
      <c r="AZ700" s="624"/>
      <c r="BA700" s="624"/>
      <c r="BB700" s="624"/>
      <c r="BC700" s="624"/>
      <c r="BD700" s="624"/>
      <c r="BE700" s="624"/>
    </row>
    <row r="701" ht="16.5" customHeight="1">
      <c r="A701" s="711"/>
      <c r="B701" s="711"/>
      <c r="C701" s="711"/>
      <c r="D701" s="711"/>
      <c r="E701" s="711"/>
      <c r="F701" s="711"/>
      <c r="G701" s="711"/>
      <c r="H701" s="711"/>
      <c r="I701" s="711"/>
      <c r="J701" s="711"/>
      <c r="K701" s="741"/>
      <c r="L701" s="741"/>
      <c r="M701" s="788"/>
      <c r="N701" s="741"/>
      <c r="O701" s="741"/>
      <c r="P701" s="741"/>
      <c r="Q701" s="741"/>
      <c r="R701" s="788"/>
      <c r="S701" s="819"/>
      <c r="T701" s="820"/>
      <c r="U701" s="819"/>
      <c r="V701" s="820"/>
      <c r="W701" s="788"/>
      <c r="X701" s="803"/>
      <c r="Y701" s="803"/>
      <c r="Z701" s="803"/>
      <c r="AA701" s="711"/>
      <c r="AB701" s="711"/>
      <c r="AC701" s="711"/>
      <c r="AD701" s="736"/>
      <c r="AE701" s="736"/>
      <c r="AF701" s="624"/>
      <c r="AG701" s="624"/>
      <c r="AH701" s="624"/>
      <c r="AI701" s="624"/>
      <c r="AJ701" s="960">
        <f t="shared" si="6"/>
        <v>701</v>
      </c>
      <c r="AK701" s="961">
        <v>0.9825</v>
      </c>
      <c r="AL701" s="962">
        <v>32000.0</v>
      </c>
      <c r="AM701" s="963">
        <v>-0.7868786846569488</v>
      </c>
      <c r="AN701" s="964">
        <v>-0.01749999999999996</v>
      </c>
      <c r="AO701" s="962">
        <v>32000.0</v>
      </c>
      <c r="AP701" s="965">
        <v>-0.7789649432605561</v>
      </c>
      <c r="AQ701" s="962">
        <v>32000.0</v>
      </c>
      <c r="AR701" s="966">
        <v>-0.7711421883002517</v>
      </c>
      <c r="AS701" s="624"/>
      <c r="AT701" s="624"/>
      <c r="AU701" s="624"/>
      <c r="AV701" s="624"/>
      <c r="AW701" s="624"/>
      <c r="AX701" s="624"/>
      <c r="AY701" s="624"/>
      <c r="AZ701" s="624"/>
      <c r="BA701" s="624"/>
      <c r="BB701" s="624"/>
      <c r="BC701" s="624"/>
      <c r="BD701" s="624"/>
      <c r="BE701" s="624"/>
    </row>
    <row r="702" ht="16.5" customHeight="1">
      <c r="A702" s="711"/>
      <c r="B702" s="711"/>
      <c r="C702" s="711"/>
      <c r="D702" s="711"/>
      <c r="E702" s="711"/>
      <c r="F702" s="711"/>
      <c r="G702" s="711"/>
      <c r="H702" s="711"/>
      <c r="I702" s="711"/>
      <c r="J702" s="711"/>
      <c r="K702" s="741"/>
      <c r="L702" s="741"/>
      <c r="M702" s="788"/>
      <c r="N702" s="741"/>
      <c r="O702" s="741"/>
      <c r="P702" s="741"/>
      <c r="Q702" s="741"/>
      <c r="R702" s="788"/>
      <c r="S702" s="819"/>
      <c r="T702" s="820"/>
      <c r="U702" s="819"/>
      <c r="V702" s="820"/>
      <c r="W702" s="788"/>
      <c r="X702" s="803"/>
      <c r="Y702" s="803"/>
      <c r="Z702" s="803"/>
      <c r="AA702" s="711"/>
      <c r="AB702" s="711"/>
      <c r="AC702" s="711"/>
      <c r="AD702" s="736"/>
      <c r="AE702" s="736"/>
      <c r="AF702" s="624"/>
      <c r="AG702" s="624"/>
      <c r="AH702" s="624"/>
      <c r="AI702" s="624"/>
      <c r="AJ702" s="960">
        <f t="shared" si="6"/>
        <v>702</v>
      </c>
      <c r="AK702" s="961">
        <v>0.9575</v>
      </c>
      <c r="AL702" s="962">
        <v>32000.0</v>
      </c>
      <c r="AM702" s="963">
        <v>-0.7868786846569488</v>
      </c>
      <c r="AN702" s="964">
        <v>-0.04249999999999998</v>
      </c>
      <c r="AO702" s="962">
        <v>32000.0</v>
      </c>
      <c r="AP702" s="965">
        <v>-0.7789649432605561</v>
      </c>
      <c r="AQ702" s="962">
        <v>32000.0</v>
      </c>
      <c r="AR702" s="966">
        <v>-0.7711421883002517</v>
      </c>
      <c r="AS702" s="624"/>
      <c r="AT702" s="624"/>
      <c r="AU702" s="624"/>
      <c r="AV702" s="624"/>
      <c r="AW702" s="624"/>
      <c r="AX702" s="624"/>
      <c r="AY702" s="624"/>
      <c r="AZ702" s="624"/>
      <c r="BA702" s="624"/>
      <c r="BB702" s="624"/>
      <c r="BC702" s="624"/>
      <c r="BD702" s="624"/>
      <c r="BE702" s="624"/>
    </row>
    <row r="703" ht="16.5" customHeight="1">
      <c r="A703" s="711"/>
      <c r="B703" s="711"/>
      <c r="C703" s="711"/>
      <c r="D703" s="711"/>
      <c r="E703" s="711"/>
      <c r="F703" s="711"/>
      <c r="G703" s="711"/>
      <c r="H703" s="711"/>
      <c r="I703" s="711"/>
      <c r="J703" s="711"/>
      <c r="K703" s="741"/>
      <c r="L703" s="741"/>
      <c r="M703" s="788"/>
      <c r="N703" s="741"/>
      <c r="O703" s="741"/>
      <c r="P703" s="741"/>
      <c r="Q703" s="741"/>
      <c r="R703" s="788"/>
      <c r="S703" s="819"/>
      <c r="T703" s="820"/>
      <c r="U703" s="819"/>
      <c r="V703" s="820"/>
      <c r="W703" s="788"/>
      <c r="X703" s="803"/>
      <c r="Y703" s="803"/>
      <c r="Z703" s="803"/>
      <c r="AA703" s="711"/>
      <c r="AB703" s="711"/>
      <c r="AC703" s="711"/>
      <c r="AD703" s="736"/>
      <c r="AE703" s="736"/>
      <c r="AF703" s="624"/>
      <c r="AG703" s="624"/>
      <c r="AH703" s="624"/>
      <c r="AI703" s="624"/>
      <c r="AJ703" s="960">
        <f t="shared" si="6"/>
        <v>703</v>
      </c>
      <c r="AK703" s="961">
        <v>0.9474</v>
      </c>
      <c r="AL703" s="962">
        <v>31960.0</v>
      </c>
      <c r="AM703" s="963">
        <v>-0.7864664578697883</v>
      </c>
      <c r="AN703" s="964">
        <v>-0.05259999999999998</v>
      </c>
      <c r="AO703" s="962">
        <v>31960.0</v>
      </c>
      <c r="AP703" s="965">
        <v>-0.7785475022952981</v>
      </c>
      <c r="AQ703" s="962">
        <v>31960.0</v>
      </c>
      <c r="AR703" s="966">
        <v>-0.7707199415348671</v>
      </c>
      <c r="AS703" s="624"/>
      <c r="AT703" s="624"/>
      <c r="AU703" s="624"/>
      <c r="AV703" s="624"/>
      <c r="AW703" s="624"/>
      <c r="AX703" s="624"/>
      <c r="AY703" s="624"/>
      <c r="AZ703" s="624"/>
      <c r="BA703" s="624"/>
      <c r="BB703" s="624"/>
      <c r="BC703" s="624"/>
      <c r="BD703" s="624"/>
      <c r="BE703" s="624"/>
    </row>
    <row r="704" ht="16.5" customHeight="1">
      <c r="A704" s="711"/>
      <c r="B704" s="711"/>
      <c r="C704" s="711"/>
      <c r="D704" s="711"/>
      <c r="E704" s="711"/>
      <c r="F704" s="711"/>
      <c r="G704" s="711"/>
      <c r="H704" s="711"/>
      <c r="I704" s="711"/>
      <c r="J704" s="711"/>
      <c r="K704" s="741"/>
      <c r="L704" s="741"/>
      <c r="M704" s="788"/>
      <c r="N704" s="741"/>
      <c r="O704" s="741"/>
      <c r="P704" s="741"/>
      <c r="Q704" s="741"/>
      <c r="R704" s="788"/>
      <c r="S704" s="819"/>
      <c r="T704" s="820"/>
      <c r="U704" s="819"/>
      <c r="V704" s="820"/>
      <c r="W704" s="788"/>
      <c r="X704" s="803"/>
      <c r="Y704" s="803"/>
      <c r="Z704" s="803"/>
      <c r="AA704" s="711"/>
      <c r="AB704" s="711"/>
      <c r="AC704" s="711"/>
      <c r="AD704" s="736"/>
      <c r="AE704" s="736"/>
      <c r="AF704" s="624"/>
      <c r="AG704" s="624"/>
      <c r="AH704" s="624"/>
      <c r="AI704" s="624"/>
      <c r="AJ704" s="960">
        <f t="shared" si="6"/>
        <v>704</v>
      </c>
      <c r="AK704" s="961">
        <v>0.9655</v>
      </c>
      <c r="AL704" s="962">
        <v>31913.0</v>
      </c>
      <c r="AM704" s="963">
        <v>-0.7859810724243005</v>
      </c>
      <c r="AN704" s="964">
        <v>-0.034499999999999975</v>
      </c>
      <c r="AO704" s="962">
        <v>31913.0</v>
      </c>
      <c r="AP704" s="965">
        <v>-0.7780560016637332</v>
      </c>
      <c r="AQ704" s="962">
        <v>31913.0</v>
      </c>
      <c r="AR704" s="966">
        <v>-0.7702228059949686</v>
      </c>
      <c r="AS704" s="624"/>
      <c r="AT704" s="624"/>
      <c r="AU704" s="624"/>
      <c r="AV704" s="624"/>
      <c r="AW704" s="624"/>
      <c r="AX704" s="624"/>
      <c r="AY704" s="624"/>
      <c r="AZ704" s="624"/>
      <c r="BA704" s="624"/>
      <c r="BB704" s="624"/>
      <c r="BC704" s="624"/>
      <c r="BD704" s="624"/>
      <c r="BE704" s="624"/>
    </row>
    <row r="705" ht="16.5" customHeight="1">
      <c r="A705" s="711"/>
      <c r="B705" s="711"/>
      <c r="C705" s="711"/>
      <c r="D705" s="711"/>
      <c r="E705" s="711"/>
      <c r="F705" s="711"/>
      <c r="G705" s="711"/>
      <c r="H705" s="711"/>
      <c r="I705" s="711"/>
      <c r="J705" s="711"/>
      <c r="K705" s="741"/>
      <c r="L705" s="741"/>
      <c r="M705" s="788"/>
      <c r="N705" s="741"/>
      <c r="O705" s="741"/>
      <c r="P705" s="741"/>
      <c r="Q705" s="741"/>
      <c r="R705" s="788"/>
      <c r="S705" s="819"/>
      <c r="T705" s="820"/>
      <c r="U705" s="819"/>
      <c r="V705" s="820"/>
      <c r="W705" s="788"/>
      <c r="X705" s="803"/>
      <c r="Y705" s="803"/>
      <c r="Z705" s="803"/>
      <c r="AA705" s="711"/>
      <c r="AB705" s="711"/>
      <c r="AC705" s="711"/>
      <c r="AD705" s="736"/>
      <c r="AE705" s="736"/>
      <c r="AF705" s="624"/>
      <c r="AG705" s="624"/>
      <c r="AH705" s="624"/>
      <c r="AI705" s="624"/>
      <c r="AJ705" s="960">
        <f t="shared" si="6"/>
        <v>705</v>
      </c>
      <c r="AK705" s="961">
        <v>0.958</v>
      </c>
      <c r="AL705" s="962">
        <v>31865.0</v>
      </c>
      <c r="AM705" s="963">
        <v>-0.7854842208130045</v>
      </c>
      <c r="AN705" s="964">
        <v>-0.04200000000000004</v>
      </c>
      <c r="AO705" s="962">
        <v>31865.0</v>
      </c>
      <c r="AP705" s="965">
        <v>-0.777552917636348</v>
      </c>
      <c r="AQ705" s="962">
        <v>31865.0</v>
      </c>
      <c r="AR705" s="966">
        <v>-0.7697139805285453</v>
      </c>
      <c r="AS705" s="624"/>
      <c r="AT705" s="624"/>
      <c r="AU705" s="624"/>
      <c r="AV705" s="624"/>
      <c r="AW705" s="624"/>
      <c r="AX705" s="624"/>
      <c r="AY705" s="624"/>
      <c r="AZ705" s="624"/>
      <c r="BA705" s="624"/>
      <c r="BB705" s="624"/>
      <c r="BC705" s="624"/>
      <c r="BD705" s="624"/>
      <c r="BE705" s="624"/>
    </row>
    <row r="706" ht="16.5" customHeight="1">
      <c r="A706" s="711"/>
      <c r="B706" s="711"/>
      <c r="C706" s="711"/>
      <c r="D706" s="711"/>
      <c r="E706" s="711"/>
      <c r="F706" s="711"/>
      <c r="G706" s="711"/>
      <c r="H706" s="711"/>
      <c r="I706" s="711"/>
      <c r="J706" s="711"/>
      <c r="K706" s="741"/>
      <c r="L706" s="741"/>
      <c r="M706" s="788"/>
      <c r="N706" s="741"/>
      <c r="O706" s="741"/>
      <c r="P706" s="741"/>
      <c r="Q706" s="741"/>
      <c r="R706" s="788"/>
      <c r="S706" s="819"/>
      <c r="T706" s="820"/>
      <c r="U706" s="819"/>
      <c r="V706" s="820"/>
      <c r="W706" s="788"/>
      <c r="X706" s="803"/>
      <c r="Y706" s="803"/>
      <c r="Z706" s="803"/>
      <c r="AA706" s="711"/>
      <c r="AB706" s="711"/>
      <c r="AC706" s="711"/>
      <c r="AD706" s="736"/>
      <c r="AE706" s="736"/>
      <c r="AF706" s="624"/>
      <c r="AG706" s="624"/>
      <c r="AH706" s="624"/>
      <c r="AI706" s="624"/>
      <c r="AJ706" s="960">
        <f t="shared" si="6"/>
        <v>706</v>
      </c>
      <c r="AK706" s="961">
        <v>0.9593</v>
      </c>
      <c r="AL706" s="962">
        <v>31712.0</v>
      </c>
      <c r="AM706" s="963">
        <v>-0.7838927952915756</v>
      </c>
      <c r="AN706" s="964">
        <v>-0.04069999999999996</v>
      </c>
      <c r="AO706" s="962">
        <v>31712.0</v>
      </c>
      <c r="AP706" s="965">
        <v>-0.7759417142209835</v>
      </c>
      <c r="AQ706" s="962">
        <v>31712.0</v>
      </c>
      <c r="AR706" s="966">
        <v>-0.7680845674131374</v>
      </c>
      <c r="AS706" s="624"/>
      <c r="AT706" s="624"/>
      <c r="AU706" s="624"/>
      <c r="AV706" s="624"/>
      <c r="AW706" s="624"/>
      <c r="AX706" s="624"/>
      <c r="AY706" s="624"/>
      <c r="AZ706" s="624"/>
      <c r="BA706" s="624"/>
      <c r="BB706" s="624"/>
      <c r="BC706" s="624"/>
      <c r="BD706" s="624"/>
      <c r="BE706" s="624"/>
    </row>
    <row r="707" ht="16.5" customHeight="1">
      <c r="A707" s="711"/>
      <c r="B707" s="711"/>
      <c r="C707" s="711"/>
      <c r="D707" s="711"/>
      <c r="E707" s="711"/>
      <c r="F707" s="711"/>
      <c r="G707" s="711"/>
      <c r="H707" s="711"/>
      <c r="I707" s="711"/>
      <c r="J707" s="711"/>
      <c r="K707" s="741"/>
      <c r="L707" s="741"/>
      <c r="M707" s="788"/>
      <c r="N707" s="741"/>
      <c r="O707" s="741"/>
      <c r="P707" s="741"/>
      <c r="Q707" s="741"/>
      <c r="R707" s="788"/>
      <c r="S707" s="819"/>
      <c r="T707" s="820"/>
      <c r="U707" s="819"/>
      <c r="V707" s="820"/>
      <c r="W707" s="788"/>
      <c r="X707" s="803"/>
      <c r="Y707" s="803"/>
      <c r="Z707" s="803"/>
      <c r="AA707" s="711"/>
      <c r="AB707" s="711"/>
      <c r="AC707" s="711"/>
      <c r="AD707" s="736"/>
      <c r="AE707" s="736"/>
      <c r="AF707" s="624"/>
      <c r="AG707" s="624"/>
      <c r="AH707" s="624"/>
      <c r="AI707" s="624"/>
      <c r="AJ707" s="960">
        <f t="shared" si="6"/>
        <v>707</v>
      </c>
      <c r="AK707" s="961">
        <v>0.9474</v>
      </c>
      <c r="AL707" s="962">
        <v>31618.0</v>
      </c>
      <c r="AM707" s="963">
        <v>-0.782909207325917</v>
      </c>
      <c r="AN707" s="964">
        <v>-0.05259999999999998</v>
      </c>
      <c r="AO707" s="962">
        <v>31618.0</v>
      </c>
      <c r="AP707" s="965">
        <v>-0.7749460424826549</v>
      </c>
      <c r="AQ707" s="962">
        <v>31618.0</v>
      </c>
      <c r="AR707" s="966">
        <v>-0.7670777777534886</v>
      </c>
      <c r="AS707" s="624"/>
      <c r="AT707" s="624"/>
      <c r="AU707" s="624"/>
      <c r="AV707" s="624"/>
      <c r="AW707" s="624"/>
      <c r="AX707" s="624"/>
      <c r="AY707" s="624"/>
      <c r="AZ707" s="624"/>
      <c r="BA707" s="624"/>
      <c r="BB707" s="624"/>
      <c r="BC707" s="624"/>
      <c r="BD707" s="624"/>
      <c r="BE707" s="624"/>
    </row>
    <row r="708" ht="16.5" customHeight="1">
      <c r="A708" s="711"/>
      <c r="B708" s="711"/>
      <c r="C708" s="711"/>
      <c r="D708" s="711"/>
      <c r="E708" s="711"/>
      <c r="F708" s="711"/>
      <c r="G708" s="711"/>
      <c r="H708" s="711"/>
      <c r="I708" s="711"/>
      <c r="J708" s="711"/>
      <c r="K708" s="741"/>
      <c r="L708" s="741"/>
      <c r="M708" s="788"/>
      <c r="N708" s="741"/>
      <c r="O708" s="741"/>
      <c r="P708" s="741"/>
      <c r="Q708" s="741"/>
      <c r="R708" s="788"/>
      <c r="S708" s="819"/>
      <c r="T708" s="820"/>
      <c r="U708" s="819"/>
      <c r="V708" s="820"/>
      <c r="W708" s="788"/>
      <c r="X708" s="803"/>
      <c r="Y708" s="803"/>
      <c r="Z708" s="803"/>
      <c r="AA708" s="711"/>
      <c r="AB708" s="711"/>
      <c r="AC708" s="711"/>
      <c r="AD708" s="736"/>
      <c r="AE708" s="736"/>
      <c r="AF708" s="624"/>
      <c r="AG708" s="624"/>
      <c r="AH708" s="624"/>
      <c r="AI708" s="624"/>
      <c r="AJ708" s="960">
        <f t="shared" si="6"/>
        <v>708</v>
      </c>
      <c r="AK708" s="961">
        <v>1.0034</v>
      </c>
      <c r="AL708" s="962">
        <v>31589.0</v>
      </c>
      <c r="AM708" s="963">
        <v>-0.7826048573243641</v>
      </c>
      <c r="AN708" s="964">
        <v>0.0034000000000000696</v>
      </c>
      <c r="AO708" s="962">
        <v>31589.0</v>
      </c>
      <c r="AP708" s="965">
        <v>-0.7746379749954777</v>
      </c>
      <c r="AQ708" s="962">
        <v>31589.0</v>
      </c>
      <c r="AR708" s="966">
        <v>-0.7667662911177571</v>
      </c>
      <c r="AS708" s="624"/>
      <c r="AT708" s="624"/>
      <c r="AU708" s="624"/>
      <c r="AV708" s="624"/>
      <c r="AW708" s="624"/>
      <c r="AX708" s="624"/>
      <c r="AY708" s="624"/>
      <c r="AZ708" s="624"/>
      <c r="BA708" s="624"/>
      <c r="BB708" s="624"/>
      <c r="BC708" s="624"/>
      <c r="BD708" s="624"/>
      <c r="BE708" s="624"/>
    </row>
    <row r="709" ht="16.5" customHeight="1">
      <c r="A709" s="711"/>
      <c r="B709" s="711"/>
      <c r="C709" s="711"/>
      <c r="D709" s="711"/>
      <c r="E709" s="711"/>
      <c r="F709" s="711"/>
      <c r="G709" s="711"/>
      <c r="H709" s="711"/>
      <c r="I709" s="711"/>
      <c r="J709" s="711"/>
      <c r="K709" s="741"/>
      <c r="L709" s="741"/>
      <c r="M709" s="788"/>
      <c r="N709" s="741"/>
      <c r="O709" s="741"/>
      <c r="P709" s="741"/>
      <c r="Q709" s="741"/>
      <c r="R709" s="788"/>
      <c r="S709" s="819"/>
      <c r="T709" s="820"/>
      <c r="U709" s="819"/>
      <c r="V709" s="820"/>
      <c r="W709" s="788"/>
      <c r="X709" s="803"/>
      <c r="Y709" s="803"/>
      <c r="Z709" s="803"/>
      <c r="AA709" s="711"/>
      <c r="AB709" s="711"/>
      <c r="AC709" s="711"/>
      <c r="AD709" s="736"/>
      <c r="AE709" s="736"/>
      <c r="AF709" s="624"/>
      <c r="AG709" s="624"/>
      <c r="AH709" s="624"/>
      <c r="AI709" s="624"/>
      <c r="AJ709" s="960">
        <f t="shared" si="6"/>
        <v>709</v>
      </c>
      <c r="AK709" s="961">
        <v>0.9543</v>
      </c>
      <c r="AL709" s="962">
        <v>31500.0</v>
      </c>
      <c r="AM709" s="963">
        <v>-0.7816681509832748</v>
      </c>
      <c r="AN709" s="964">
        <v>-0.04569999999999996</v>
      </c>
      <c r="AO709" s="962">
        <v>31500.0</v>
      </c>
      <c r="AP709" s="965">
        <v>-0.7736898910123121</v>
      </c>
      <c r="AQ709" s="962">
        <v>31500.0</v>
      </c>
      <c r="AR709" s="966">
        <v>-0.7658077461322825</v>
      </c>
      <c r="AS709" s="624"/>
      <c r="AT709" s="624"/>
      <c r="AU709" s="624"/>
      <c r="AV709" s="624"/>
      <c r="AW709" s="624"/>
      <c r="AX709" s="624"/>
      <c r="AY709" s="624"/>
      <c r="AZ709" s="624"/>
      <c r="BA709" s="624"/>
      <c r="BB709" s="624"/>
      <c r="BC709" s="624"/>
      <c r="BD709" s="624"/>
      <c r="BE709" s="624"/>
    </row>
    <row r="710" ht="16.5" customHeight="1">
      <c r="A710" s="711"/>
      <c r="B710" s="711"/>
      <c r="C710" s="711"/>
      <c r="D710" s="711"/>
      <c r="E710" s="711"/>
      <c r="F710" s="711"/>
      <c r="G710" s="711"/>
      <c r="H710" s="711"/>
      <c r="I710" s="711"/>
      <c r="J710" s="711"/>
      <c r="K710" s="741"/>
      <c r="L710" s="741"/>
      <c r="M710" s="788"/>
      <c r="N710" s="741"/>
      <c r="O710" s="741"/>
      <c r="P710" s="741"/>
      <c r="Q710" s="741"/>
      <c r="R710" s="788"/>
      <c r="S710" s="819"/>
      <c r="T710" s="820"/>
      <c r="U710" s="819"/>
      <c r="V710" s="820"/>
      <c r="W710" s="788"/>
      <c r="X710" s="803"/>
      <c r="Y710" s="803"/>
      <c r="Z710" s="803"/>
      <c r="AA710" s="711"/>
      <c r="AB710" s="711"/>
      <c r="AC710" s="711"/>
      <c r="AD710" s="736"/>
      <c r="AE710" s="736"/>
      <c r="AF710" s="624"/>
      <c r="AG710" s="624"/>
      <c r="AH710" s="624"/>
      <c r="AI710" s="624"/>
      <c r="AJ710" s="960">
        <f t="shared" si="6"/>
        <v>710</v>
      </c>
      <c r="AK710" s="961">
        <v>0.9441</v>
      </c>
      <c r="AL710" s="962">
        <v>31300.0</v>
      </c>
      <c r="AM710" s="963">
        <v>-0.779548440863581</v>
      </c>
      <c r="AN710" s="964">
        <v>-0.05589999999999995</v>
      </c>
      <c r="AO710" s="962">
        <v>31300.0</v>
      </c>
      <c r="AP710" s="965">
        <v>-0.7715447874806718</v>
      </c>
      <c r="AQ710" s="962">
        <v>31300.0</v>
      </c>
      <c r="AR710" s="966">
        <v>-0.7636393147581326</v>
      </c>
      <c r="AS710" s="624"/>
      <c r="AT710" s="624"/>
      <c r="AU710" s="624"/>
      <c r="AV710" s="624"/>
      <c r="AW710" s="624"/>
      <c r="AX710" s="624"/>
      <c r="AY710" s="624"/>
      <c r="AZ710" s="624"/>
      <c r="BA710" s="624"/>
      <c r="BB710" s="624"/>
      <c r="BC710" s="624"/>
      <c r="BD710" s="624"/>
      <c r="BE710" s="624"/>
    </row>
    <row r="711" ht="16.5" customHeight="1">
      <c r="A711" s="711"/>
      <c r="B711" s="711"/>
      <c r="C711" s="711"/>
      <c r="D711" s="711"/>
      <c r="E711" s="711"/>
      <c r="F711" s="711"/>
      <c r="G711" s="711"/>
      <c r="H711" s="711"/>
      <c r="I711" s="711"/>
      <c r="J711" s="711"/>
      <c r="K711" s="741"/>
      <c r="L711" s="741"/>
      <c r="M711" s="788"/>
      <c r="N711" s="741"/>
      <c r="O711" s="741"/>
      <c r="P711" s="741"/>
      <c r="Q711" s="741"/>
      <c r="R711" s="788"/>
      <c r="S711" s="819"/>
      <c r="T711" s="820"/>
      <c r="U711" s="819"/>
      <c r="V711" s="820"/>
      <c r="W711" s="788"/>
      <c r="X711" s="803"/>
      <c r="Y711" s="803"/>
      <c r="Z711" s="803"/>
      <c r="AA711" s="711"/>
      <c r="AB711" s="711"/>
      <c r="AC711" s="711"/>
      <c r="AD711" s="736"/>
      <c r="AE711" s="736"/>
      <c r="AF711" s="624"/>
      <c r="AG711" s="624"/>
      <c r="AH711" s="624"/>
      <c r="AI711" s="624"/>
      <c r="AJ711" s="960">
        <f t="shared" si="6"/>
        <v>711</v>
      </c>
      <c r="AK711" s="961">
        <v>0.9518</v>
      </c>
      <c r="AL711" s="962">
        <v>31293.0</v>
      </c>
      <c r="AM711" s="963">
        <v>-0.7794738794208614</v>
      </c>
      <c r="AN711" s="964">
        <v>-0.04820000000000002</v>
      </c>
      <c r="AO711" s="962">
        <v>31293.0</v>
      </c>
      <c r="AP711" s="965">
        <v>-0.7714693417007976</v>
      </c>
      <c r="AQ711" s="962">
        <v>31293.0</v>
      </c>
      <c r="AR711" s="966">
        <v>-0.7635630570768317</v>
      </c>
      <c r="AS711" s="624"/>
      <c r="AT711" s="624"/>
      <c r="AU711" s="624"/>
      <c r="AV711" s="624"/>
      <c r="AW711" s="624"/>
      <c r="AX711" s="624"/>
      <c r="AY711" s="624"/>
      <c r="AZ711" s="624"/>
      <c r="BA711" s="624"/>
      <c r="BB711" s="624"/>
      <c r="BC711" s="624"/>
      <c r="BD711" s="624"/>
      <c r="BE711" s="624"/>
    </row>
    <row r="712" ht="16.5" customHeight="1">
      <c r="A712" s="711"/>
      <c r="B712" s="711"/>
      <c r="C712" s="711"/>
      <c r="D712" s="711"/>
      <c r="E712" s="711"/>
      <c r="F712" s="711"/>
      <c r="G712" s="711"/>
      <c r="H712" s="711"/>
      <c r="I712" s="711"/>
      <c r="J712" s="711"/>
      <c r="K712" s="741"/>
      <c r="L712" s="741"/>
      <c r="M712" s="788"/>
      <c r="N712" s="741"/>
      <c r="O712" s="741"/>
      <c r="P712" s="741"/>
      <c r="Q712" s="741"/>
      <c r="R712" s="788"/>
      <c r="S712" s="819"/>
      <c r="T712" s="820"/>
      <c r="U712" s="819"/>
      <c r="V712" s="820"/>
      <c r="W712" s="788"/>
      <c r="X712" s="803"/>
      <c r="Y712" s="803"/>
      <c r="Z712" s="803"/>
      <c r="AA712" s="711"/>
      <c r="AB712" s="711"/>
      <c r="AC712" s="711"/>
      <c r="AD712" s="736"/>
      <c r="AE712" s="736"/>
      <c r="AF712" s="624"/>
      <c r="AG712" s="624"/>
      <c r="AH712" s="624"/>
      <c r="AI712" s="624"/>
      <c r="AJ712" s="960">
        <f t="shared" si="6"/>
        <v>712</v>
      </c>
      <c r="AK712" s="961">
        <v>0.9683</v>
      </c>
      <c r="AL712" s="962">
        <v>31273.0</v>
      </c>
      <c r="AM712" s="963">
        <v>-0.779260707740421</v>
      </c>
      <c r="AN712" s="964">
        <v>-0.03169999999999995</v>
      </c>
      <c r="AO712" s="962">
        <v>31273.0</v>
      </c>
      <c r="AP712" s="965">
        <v>-0.7712536450124146</v>
      </c>
      <c r="AQ712" s="962">
        <v>31273.0</v>
      </c>
      <c r="AR712" s="966">
        <v>-0.7633450423915588</v>
      </c>
      <c r="AS712" s="624"/>
      <c r="AT712" s="624"/>
      <c r="AU712" s="624"/>
      <c r="AV712" s="624"/>
      <c r="AW712" s="624"/>
      <c r="AX712" s="624"/>
      <c r="AY712" s="624"/>
      <c r="AZ712" s="624"/>
      <c r="BA712" s="624"/>
      <c r="BB712" s="624"/>
      <c r="BC712" s="624"/>
      <c r="BD712" s="624"/>
      <c r="BE712" s="624"/>
    </row>
    <row r="713" ht="16.5" customHeight="1">
      <c r="A713" s="711"/>
      <c r="B713" s="711"/>
      <c r="C713" s="711"/>
      <c r="D713" s="711"/>
      <c r="E713" s="711"/>
      <c r="F713" s="711"/>
      <c r="G713" s="711"/>
      <c r="H713" s="711"/>
      <c r="I713" s="711"/>
      <c r="J713" s="711"/>
      <c r="K713" s="741"/>
      <c r="L713" s="741"/>
      <c r="M713" s="788"/>
      <c r="N713" s="741"/>
      <c r="O713" s="741"/>
      <c r="P713" s="741"/>
      <c r="Q713" s="741"/>
      <c r="R713" s="788"/>
      <c r="S713" s="819"/>
      <c r="T713" s="820"/>
      <c r="U713" s="819"/>
      <c r="V713" s="820"/>
      <c r="W713" s="788"/>
      <c r="X713" s="803"/>
      <c r="Y713" s="803"/>
      <c r="Z713" s="803"/>
      <c r="AA713" s="711"/>
      <c r="AB713" s="711"/>
      <c r="AC713" s="711"/>
      <c r="AD713" s="736"/>
      <c r="AE713" s="736"/>
      <c r="AF713" s="624"/>
      <c r="AG713" s="624"/>
      <c r="AH713" s="624"/>
      <c r="AI713" s="624"/>
      <c r="AJ713" s="960">
        <f t="shared" si="6"/>
        <v>713</v>
      </c>
      <c r="AK713" s="961">
        <v>0.9649</v>
      </c>
      <c r="AL713" s="962">
        <v>31215.0</v>
      </c>
      <c r="AM713" s="963">
        <v>-0.7786413438701092</v>
      </c>
      <c r="AN713" s="964">
        <v>-0.03510000000000002</v>
      </c>
      <c r="AO713" s="962">
        <v>31215.0</v>
      </c>
      <c r="AP713" s="965">
        <v>-0.7706269726633227</v>
      </c>
      <c r="AQ713" s="962">
        <v>31215.0</v>
      </c>
      <c r="AR713" s="966">
        <v>-0.7627116623279293</v>
      </c>
      <c r="AS713" s="624"/>
      <c r="AT713" s="624"/>
      <c r="AU713" s="624"/>
      <c r="AV713" s="624"/>
      <c r="AW713" s="624"/>
      <c r="AX713" s="624"/>
      <c r="AY713" s="624"/>
      <c r="AZ713" s="624"/>
      <c r="BA713" s="624"/>
      <c r="BB713" s="624"/>
      <c r="BC713" s="624"/>
      <c r="BD713" s="624"/>
      <c r="BE713" s="624"/>
    </row>
    <row r="714" ht="16.5" customHeight="1">
      <c r="A714" s="711"/>
      <c r="B714" s="711"/>
      <c r="C714" s="711"/>
      <c r="D714" s="711"/>
      <c r="E714" s="711"/>
      <c r="F714" s="711"/>
      <c r="G714" s="711"/>
      <c r="H714" s="711"/>
      <c r="I714" s="711"/>
      <c r="J714" s="711"/>
      <c r="K714" s="741"/>
      <c r="L714" s="741"/>
      <c r="M714" s="788"/>
      <c r="N714" s="741"/>
      <c r="O714" s="741"/>
      <c r="P714" s="741"/>
      <c r="Q714" s="741"/>
      <c r="R714" s="788"/>
      <c r="S714" s="819"/>
      <c r="T714" s="820"/>
      <c r="U714" s="819"/>
      <c r="V714" s="820"/>
      <c r="W714" s="788"/>
      <c r="X714" s="803"/>
      <c r="Y714" s="803"/>
      <c r="Z714" s="803"/>
      <c r="AA714" s="711"/>
      <c r="AB714" s="711"/>
      <c r="AC714" s="711"/>
      <c r="AD714" s="736"/>
      <c r="AE714" s="736"/>
      <c r="AF714" s="624"/>
      <c r="AG714" s="624"/>
      <c r="AH714" s="624"/>
      <c r="AI714" s="624"/>
      <c r="AJ714" s="960">
        <f t="shared" si="6"/>
        <v>714</v>
      </c>
      <c r="AK714" s="961">
        <v>0.9585</v>
      </c>
      <c r="AL714" s="962">
        <v>31000.0</v>
      </c>
      <c r="AM714" s="963">
        <v>-0.7763302266676992</v>
      </c>
      <c r="AN714" s="964">
        <v>-0.04149999999999998</v>
      </c>
      <c r="AO714" s="962">
        <v>31000.0</v>
      </c>
      <c r="AP714" s="965">
        <v>-0.768288948434126</v>
      </c>
      <c r="AQ714" s="962">
        <v>31000.0</v>
      </c>
      <c r="AR714" s="966">
        <v>-0.7603489635582242</v>
      </c>
      <c r="AS714" s="624"/>
      <c r="AT714" s="624"/>
      <c r="AU714" s="624"/>
      <c r="AV714" s="624"/>
      <c r="AW714" s="624"/>
      <c r="AX714" s="624"/>
      <c r="AY714" s="624"/>
      <c r="AZ714" s="624"/>
      <c r="BA714" s="624"/>
      <c r="BB714" s="624"/>
      <c r="BC714" s="624"/>
      <c r="BD714" s="624"/>
      <c r="BE714" s="624"/>
    </row>
    <row r="715" ht="16.5" customHeight="1">
      <c r="A715" s="711"/>
      <c r="B715" s="711"/>
      <c r="C715" s="711"/>
      <c r="D715" s="711"/>
      <c r="E715" s="711"/>
      <c r="F715" s="711"/>
      <c r="G715" s="711"/>
      <c r="H715" s="711"/>
      <c r="I715" s="711"/>
      <c r="J715" s="711"/>
      <c r="K715" s="741"/>
      <c r="L715" s="741"/>
      <c r="M715" s="788"/>
      <c r="N715" s="741"/>
      <c r="O715" s="741"/>
      <c r="P715" s="741"/>
      <c r="Q715" s="741"/>
      <c r="R715" s="788"/>
      <c r="S715" s="819"/>
      <c r="T715" s="820"/>
      <c r="U715" s="819"/>
      <c r="V715" s="820"/>
      <c r="W715" s="788"/>
      <c r="X715" s="803"/>
      <c r="Y715" s="803"/>
      <c r="Z715" s="803"/>
      <c r="AA715" s="711"/>
      <c r="AB715" s="711"/>
      <c r="AC715" s="711"/>
      <c r="AD715" s="736"/>
      <c r="AE715" s="736"/>
      <c r="AF715" s="624"/>
      <c r="AG715" s="624"/>
      <c r="AH715" s="624"/>
      <c r="AI715" s="624"/>
      <c r="AJ715" s="960">
        <f t="shared" si="6"/>
        <v>715</v>
      </c>
      <c r="AK715" s="961">
        <v>0.9289</v>
      </c>
      <c r="AL715" s="962">
        <v>30909.0</v>
      </c>
      <c r="AM715" s="963">
        <v>-0.7753447795970343</v>
      </c>
      <c r="AN715" s="964">
        <v>-0.07110000000000005</v>
      </c>
      <c r="AO715" s="962">
        <v>30909.0</v>
      </c>
      <c r="AP715" s="965">
        <v>-0.7672922019618714</v>
      </c>
      <c r="AQ715" s="962">
        <v>30909.0</v>
      </c>
      <c r="AR715" s="966">
        <v>-0.759341865158843</v>
      </c>
      <c r="AS715" s="624"/>
      <c r="AT715" s="624"/>
      <c r="AU715" s="624"/>
      <c r="AV715" s="624"/>
      <c r="AW715" s="624"/>
      <c r="AX715" s="624"/>
      <c r="AY715" s="624"/>
      <c r="AZ715" s="624"/>
      <c r="BA715" s="624"/>
      <c r="BB715" s="624"/>
      <c r="BC715" s="624"/>
      <c r="BD715" s="624"/>
      <c r="BE715" s="624"/>
    </row>
    <row r="716" ht="16.5" customHeight="1">
      <c r="A716" s="711"/>
      <c r="B716" s="711"/>
      <c r="C716" s="711"/>
      <c r="D716" s="711"/>
      <c r="E716" s="711"/>
      <c r="F716" s="711"/>
      <c r="G716" s="711"/>
      <c r="H716" s="711"/>
      <c r="I716" s="711"/>
      <c r="J716" s="711"/>
      <c r="K716" s="741"/>
      <c r="L716" s="741"/>
      <c r="M716" s="788"/>
      <c r="N716" s="741"/>
      <c r="O716" s="741"/>
      <c r="P716" s="741"/>
      <c r="Q716" s="741"/>
      <c r="R716" s="788"/>
      <c r="S716" s="819"/>
      <c r="T716" s="820"/>
      <c r="U716" s="819"/>
      <c r="V716" s="820"/>
      <c r="W716" s="788"/>
      <c r="X716" s="803"/>
      <c r="Y716" s="803"/>
      <c r="Z716" s="803"/>
      <c r="AA716" s="711"/>
      <c r="AB716" s="711"/>
      <c r="AC716" s="711"/>
      <c r="AD716" s="736"/>
      <c r="AE716" s="736"/>
      <c r="AF716" s="624"/>
      <c r="AG716" s="624"/>
      <c r="AH716" s="624"/>
      <c r="AI716" s="624"/>
      <c r="AJ716" s="960">
        <f t="shared" si="6"/>
        <v>716</v>
      </c>
      <c r="AK716" s="961">
        <v>0.9656</v>
      </c>
      <c r="AL716" s="962">
        <v>30786.0</v>
      </c>
      <c r="AM716" s="963">
        <v>-0.774005897868035</v>
      </c>
      <c r="AN716" s="964">
        <v>-0.034399999999999986</v>
      </c>
      <c r="AO716" s="962">
        <v>30786.0</v>
      </c>
      <c r="AP716" s="965">
        <v>-0.7659381333840077</v>
      </c>
      <c r="AQ716" s="962">
        <v>30786.0</v>
      </c>
      <c r="AR716" s="966">
        <v>-0.7579738927435846</v>
      </c>
      <c r="AS716" s="624"/>
      <c r="AT716" s="624"/>
      <c r="AU716" s="624"/>
      <c r="AV716" s="624"/>
      <c r="AW716" s="624"/>
      <c r="AX716" s="624"/>
      <c r="AY716" s="624"/>
      <c r="AZ716" s="624"/>
      <c r="BA716" s="624"/>
      <c r="BB716" s="624"/>
      <c r="BC716" s="624"/>
      <c r="BD716" s="624"/>
      <c r="BE716" s="624"/>
    </row>
    <row r="717" ht="16.5" customHeight="1">
      <c r="A717" s="711"/>
      <c r="B717" s="711"/>
      <c r="C717" s="711"/>
      <c r="D717" s="711"/>
      <c r="E717" s="711"/>
      <c r="F717" s="711"/>
      <c r="G717" s="711"/>
      <c r="H717" s="711"/>
      <c r="I717" s="711"/>
      <c r="J717" s="711"/>
      <c r="K717" s="741"/>
      <c r="L717" s="741"/>
      <c r="M717" s="788"/>
      <c r="N717" s="741"/>
      <c r="O717" s="741"/>
      <c r="P717" s="741"/>
      <c r="Q717" s="741"/>
      <c r="R717" s="788"/>
      <c r="S717" s="819"/>
      <c r="T717" s="820"/>
      <c r="U717" s="819"/>
      <c r="V717" s="820"/>
      <c r="W717" s="788"/>
      <c r="X717" s="803"/>
      <c r="Y717" s="803"/>
      <c r="Z717" s="803"/>
      <c r="AA717" s="711"/>
      <c r="AB717" s="711"/>
      <c r="AC717" s="711"/>
      <c r="AD717" s="736"/>
      <c r="AE717" s="736"/>
      <c r="AF717" s="624"/>
      <c r="AG717" s="624"/>
      <c r="AH717" s="624"/>
      <c r="AI717" s="624"/>
      <c r="AJ717" s="960">
        <f t="shared" si="6"/>
        <v>717</v>
      </c>
      <c r="AK717" s="961">
        <v>0.9696</v>
      </c>
      <c r="AL717" s="962">
        <v>30650.0</v>
      </c>
      <c r="AM717" s="963">
        <v>-0.772516217421757</v>
      </c>
      <c r="AN717" s="964">
        <v>-0.030399999999999983</v>
      </c>
      <c r="AO717" s="962">
        <v>30650.0</v>
      </c>
      <c r="AP717" s="965">
        <v>-0.7644317778880219</v>
      </c>
      <c r="AQ717" s="962">
        <v>30650.0</v>
      </c>
      <c r="AR717" s="966">
        <v>-0.7564522838998206</v>
      </c>
      <c r="AS717" s="624"/>
      <c r="AT717" s="624"/>
      <c r="AU717" s="624"/>
      <c r="AV717" s="624"/>
      <c r="AW717" s="624"/>
      <c r="AX717" s="624"/>
      <c r="AY717" s="624"/>
      <c r="AZ717" s="624"/>
      <c r="BA717" s="624"/>
      <c r="BB717" s="624"/>
      <c r="BC717" s="624"/>
      <c r="BD717" s="624"/>
      <c r="BE717" s="624"/>
    </row>
    <row r="718" ht="16.5" customHeight="1">
      <c r="A718" s="711"/>
      <c r="B718" s="711"/>
      <c r="C718" s="711"/>
      <c r="D718" s="711"/>
      <c r="E718" s="711"/>
      <c r="F718" s="711"/>
      <c r="G718" s="711"/>
      <c r="H718" s="711"/>
      <c r="I718" s="711"/>
      <c r="J718" s="711"/>
      <c r="K718" s="741"/>
      <c r="L718" s="741"/>
      <c r="M718" s="788"/>
      <c r="N718" s="741"/>
      <c r="O718" s="741"/>
      <c r="P718" s="741"/>
      <c r="Q718" s="741"/>
      <c r="R718" s="788"/>
      <c r="S718" s="819"/>
      <c r="T718" s="820"/>
      <c r="U718" s="819"/>
      <c r="V718" s="820"/>
      <c r="W718" s="788"/>
      <c r="X718" s="803"/>
      <c r="Y718" s="803"/>
      <c r="Z718" s="803"/>
      <c r="AA718" s="711"/>
      <c r="AB718" s="711"/>
      <c r="AC718" s="711"/>
      <c r="AD718" s="736"/>
      <c r="AE718" s="736"/>
      <c r="AF718" s="624"/>
      <c r="AG718" s="624"/>
      <c r="AH718" s="624"/>
      <c r="AI718" s="624"/>
      <c r="AJ718" s="960">
        <f t="shared" si="6"/>
        <v>718</v>
      </c>
      <c r="AK718" s="961">
        <v>0.9314</v>
      </c>
      <c r="AL718" s="962">
        <v>30353.0</v>
      </c>
      <c r="AM718" s="963">
        <v>-0.7692287923658477</v>
      </c>
      <c r="AN718" s="964">
        <v>-0.0686</v>
      </c>
      <c r="AO718" s="962">
        <v>30353.0</v>
      </c>
      <c r="AP718" s="965">
        <v>-0.7611083752974204</v>
      </c>
      <c r="AQ718" s="962">
        <v>30353.0</v>
      </c>
      <c r="AR718" s="966">
        <v>-0.7530960193813401</v>
      </c>
      <c r="AS718" s="624"/>
      <c r="AT718" s="624"/>
      <c r="AU718" s="624"/>
      <c r="AV718" s="624"/>
      <c r="AW718" s="624"/>
      <c r="AX718" s="624"/>
      <c r="AY718" s="624"/>
      <c r="AZ718" s="624"/>
      <c r="BA718" s="624"/>
      <c r="BB718" s="624"/>
      <c r="BC718" s="624"/>
      <c r="BD718" s="624"/>
      <c r="BE718" s="624"/>
    </row>
    <row r="719" ht="16.5" customHeight="1">
      <c r="A719" s="711"/>
      <c r="B719" s="711"/>
      <c r="C719" s="711"/>
      <c r="D719" s="711"/>
      <c r="E719" s="711"/>
      <c r="F719" s="711"/>
      <c r="G719" s="711"/>
      <c r="H719" s="711"/>
      <c r="I719" s="711"/>
      <c r="J719" s="711"/>
      <c r="K719" s="741"/>
      <c r="L719" s="741"/>
      <c r="M719" s="788"/>
      <c r="N719" s="741"/>
      <c r="O719" s="741"/>
      <c r="P719" s="741"/>
      <c r="Q719" s="741"/>
      <c r="R719" s="788"/>
      <c r="S719" s="819"/>
      <c r="T719" s="820"/>
      <c r="U719" s="819"/>
      <c r="V719" s="820"/>
      <c r="W719" s="788"/>
      <c r="X719" s="803"/>
      <c r="Y719" s="803"/>
      <c r="Z719" s="803"/>
      <c r="AA719" s="711"/>
      <c r="AB719" s="711"/>
      <c r="AC719" s="711"/>
      <c r="AD719" s="736"/>
      <c r="AE719" s="736"/>
      <c r="AF719" s="624"/>
      <c r="AG719" s="624"/>
      <c r="AH719" s="624"/>
      <c r="AI719" s="624"/>
      <c r="AJ719" s="960">
        <f t="shared" si="6"/>
        <v>719</v>
      </c>
      <c r="AK719" s="961">
        <v>0.9724</v>
      </c>
      <c r="AL719" s="962">
        <v>30311.0</v>
      </c>
      <c r="AM719" s="963">
        <v>-0.7687600855912389</v>
      </c>
      <c r="AN719" s="964">
        <v>-0.027599999999999958</v>
      </c>
      <c r="AO719" s="962">
        <v>30311.0</v>
      </c>
      <c r="AP719" s="965">
        <v>-0.7606346303164213</v>
      </c>
      <c r="AQ719" s="962">
        <v>30311.0</v>
      </c>
      <c r="AR719" s="966">
        <v>-0.7526176779474361</v>
      </c>
      <c r="AS719" s="624"/>
      <c r="AT719" s="624"/>
      <c r="AU719" s="624"/>
      <c r="AV719" s="624"/>
      <c r="AW719" s="624"/>
      <c r="AX719" s="624"/>
      <c r="AY719" s="624"/>
      <c r="AZ719" s="624"/>
      <c r="BA719" s="624"/>
      <c r="BB719" s="624"/>
      <c r="BC719" s="624"/>
      <c r="BD719" s="624"/>
      <c r="BE719" s="624"/>
    </row>
    <row r="720" ht="16.5" customHeight="1">
      <c r="A720" s="711"/>
      <c r="B720" s="711"/>
      <c r="C720" s="711"/>
      <c r="D720" s="711"/>
      <c r="E720" s="711"/>
      <c r="F720" s="711"/>
      <c r="G720" s="711"/>
      <c r="H720" s="711"/>
      <c r="I720" s="711"/>
      <c r="J720" s="711"/>
      <c r="K720" s="741"/>
      <c r="L720" s="741"/>
      <c r="M720" s="788"/>
      <c r="N720" s="741"/>
      <c r="O720" s="741"/>
      <c r="P720" s="741"/>
      <c r="Q720" s="741"/>
      <c r="R720" s="788"/>
      <c r="S720" s="819"/>
      <c r="T720" s="820"/>
      <c r="U720" s="819"/>
      <c r="V720" s="820"/>
      <c r="W720" s="788"/>
      <c r="X720" s="803"/>
      <c r="Y720" s="803"/>
      <c r="Z720" s="803"/>
      <c r="AA720" s="711"/>
      <c r="AB720" s="711"/>
      <c r="AC720" s="711"/>
      <c r="AD720" s="736"/>
      <c r="AE720" s="736"/>
      <c r="AF720" s="624"/>
      <c r="AG720" s="624"/>
      <c r="AH720" s="624"/>
      <c r="AI720" s="624"/>
      <c r="AJ720" s="960">
        <f t="shared" si="6"/>
        <v>720</v>
      </c>
      <c r="AK720" s="961">
        <v>0.9771</v>
      </c>
      <c r="AL720" s="962">
        <v>30299.0</v>
      </c>
      <c r="AM720" s="963">
        <v>-0.7686259946037464</v>
      </c>
      <c r="AN720" s="964">
        <v>-0.02290000000000003</v>
      </c>
      <c r="AO720" s="962">
        <v>30299.0</v>
      </c>
      <c r="AP720" s="965">
        <v>-0.7604991021311099</v>
      </c>
      <c r="AQ720" s="962">
        <v>30299.0</v>
      </c>
      <c r="AR720" s="966">
        <v>-0.7524808388311385</v>
      </c>
      <c r="AS720" s="624"/>
      <c r="AT720" s="624"/>
      <c r="AU720" s="624"/>
      <c r="AV720" s="624"/>
      <c r="AW720" s="624"/>
      <c r="AX720" s="624"/>
      <c r="AY720" s="624"/>
      <c r="AZ720" s="624"/>
      <c r="BA720" s="624"/>
      <c r="BB720" s="624"/>
      <c r="BC720" s="624"/>
      <c r="BD720" s="624"/>
      <c r="BE720" s="624"/>
    </row>
    <row r="721" ht="16.5" customHeight="1">
      <c r="A721" s="711"/>
      <c r="B721" s="711"/>
      <c r="C721" s="711"/>
      <c r="D721" s="711"/>
      <c r="E721" s="711"/>
      <c r="F721" s="711"/>
      <c r="G721" s="711"/>
      <c r="H721" s="711"/>
      <c r="I721" s="711"/>
      <c r="J721" s="711"/>
      <c r="K721" s="741"/>
      <c r="L721" s="741"/>
      <c r="M721" s="788"/>
      <c r="N721" s="741"/>
      <c r="O721" s="741"/>
      <c r="P721" s="741"/>
      <c r="Q721" s="741"/>
      <c r="R721" s="788"/>
      <c r="S721" s="819"/>
      <c r="T721" s="820"/>
      <c r="U721" s="819"/>
      <c r="V721" s="820"/>
      <c r="W721" s="788"/>
      <c r="X721" s="803"/>
      <c r="Y721" s="803"/>
      <c r="Z721" s="803"/>
      <c r="AA721" s="711"/>
      <c r="AB721" s="711"/>
      <c r="AC721" s="711"/>
      <c r="AD721" s="736"/>
      <c r="AE721" s="736"/>
      <c r="AF721" s="624"/>
      <c r="AG721" s="624"/>
      <c r="AH721" s="624"/>
      <c r="AI721" s="624"/>
      <c r="AJ721" s="960">
        <f t="shared" si="6"/>
        <v>721</v>
      </c>
      <c r="AK721" s="961">
        <v>0.9593</v>
      </c>
      <c r="AL721" s="962">
        <v>30287.0</v>
      </c>
      <c r="AM721" s="963">
        <v>-0.768491825859812</v>
      </c>
      <c r="AN721" s="964">
        <v>-0.04069999999999996</v>
      </c>
      <c r="AO721" s="962">
        <v>30287.0</v>
      </c>
      <c r="AP721" s="965">
        <v>-0.7603634972100158</v>
      </c>
      <c r="AQ721" s="962">
        <v>30287.0</v>
      </c>
      <c r="AR721" s="966">
        <v>-0.7523439240225134</v>
      </c>
      <c r="AS721" s="624"/>
      <c r="AT721" s="624"/>
      <c r="AU721" s="624"/>
      <c r="AV721" s="624"/>
      <c r="AW721" s="624"/>
      <c r="AX721" s="624"/>
      <c r="AY721" s="624"/>
      <c r="AZ721" s="624"/>
      <c r="BA721" s="624"/>
      <c r="BB721" s="624"/>
      <c r="BC721" s="624"/>
      <c r="BD721" s="624"/>
      <c r="BE721" s="624"/>
    </row>
    <row r="722" ht="16.5" customHeight="1">
      <c r="A722" s="711"/>
      <c r="B722" s="711"/>
      <c r="C722" s="711"/>
      <c r="D722" s="711"/>
      <c r="E722" s="711"/>
      <c r="F722" s="711"/>
      <c r="G722" s="711"/>
      <c r="H722" s="711"/>
      <c r="I722" s="711"/>
      <c r="J722" s="711"/>
      <c r="K722" s="741"/>
      <c r="L722" s="741"/>
      <c r="M722" s="788"/>
      <c r="N722" s="741"/>
      <c r="O722" s="741"/>
      <c r="P722" s="741"/>
      <c r="Q722" s="741"/>
      <c r="R722" s="788"/>
      <c r="S722" s="819"/>
      <c r="T722" s="820"/>
      <c r="U722" s="819"/>
      <c r="V722" s="820"/>
      <c r="W722" s="788"/>
      <c r="X722" s="803"/>
      <c r="Y722" s="803"/>
      <c r="Z722" s="803"/>
      <c r="AA722" s="711"/>
      <c r="AB722" s="711"/>
      <c r="AC722" s="711"/>
      <c r="AD722" s="736"/>
      <c r="AE722" s="736"/>
      <c r="AF722" s="624"/>
      <c r="AG722" s="624"/>
      <c r="AH722" s="624"/>
      <c r="AI722" s="624"/>
      <c r="AJ722" s="960">
        <f t="shared" si="6"/>
        <v>722</v>
      </c>
      <c r="AK722" s="961">
        <v>0.9644</v>
      </c>
      <c r="AL722" s="962">
        <v>30100.0</v>
      </c>
      <c r="AM722" s="963">
        <v>-0.766390948330419</v>
      </c>
      <c r="AN722" s="964">
        <v>-0.035599999999999965</v>
      </c>
      <c r="AO722" s="962">
        <v>30100.0</v>
      </c>
      <c r="AP722" s="965">
        <v>-0.7582403723819182</v>
      </c>
      <c r="AQ722" s="962">
        <v>30100.0</v>
      </c>
      <c r="AR722" s="966">
        <v>-0.7502005228065945</v>
      </c>
      <c r="AS722" s="624"/>
      <c r="AT722" s="624"/>
      <c r="AU722" s="624"/>
      <c r="AV722" s="624"/>
      <c r="AW722" s="624"/>
      <c r="AX722" s="624"/>
      <c r="AY722" s="624"/>
      <c r="AZ722" s="624"/>
      <c r="BA722" s="624"/>
      <c r="BB722" s="624"/>
      <c r="BC722" s="624"/>
      <c r="BD722" s="624"/>
      <c r="BE722" s="624"/>
    </row>
    <row r="723" ht="16.5" customHeight="1">
      <c r="A723" s="711"/>
      <c r="B723" s="711"/>
      <c r="C723" s="711"/>
      <c r="D723" s="711"/>
      <c r="E723" s="711"/>
      <c r="F723" s="711"/>
      <c r="G723" s="711"/>
      <c r="H723" s="711"/>
      <c r="I723" s="711"/>
      <c r="J723" s="711"/>
      <c r="K723" s="741"/>
      <c r="L723" s="741"/>
      <c r="M723" s="788"/>
      <c r="N723" s="741"/>
      <c r="O723" s="741"/>
      <c r="P723" s="741"/>
      <c r="Q723" s="741"/>
      <c r="R723" s="788"/>
      <c r="S723" s="819"/>
      <c r="T723" s="820"/>
      <c r="U723" s="819"/>
      <c r="V723" s="820"/>
      <c r="W723" s="788"/>
      <c r="X723" s="803"/>
      <c r="Y723" s="803"/>
      <c r="Z723" s="803"/>
      <c r="AA723" s="711"/>
      <c r="AB723" s="711"/>
      <c r="AC723" s="711"/>
      <c r="AD723" s="736"/>
      <c r="AE723" s="736"/>
      <c r="AF723" s="624"/>
      <c r="AG723" s="624"/>
      <c r="AH723" s="624"/>
      <c r="AI723" s="624"/>
      <c r="AJ723" s="960">
        <f t="shared" si="6"/>
        <v>723</v>
      </c>
      <c r="AK723" s="961">
        <v>0.9265</v>
      </c>
      <c r="AL723" s="962">
        <v>30094.0</v>
      </c>
      <c r="AM723" s="963">
        <v>-0.7663232257474262</v>
      </c>
      <c r="AN723" s="964">
        <v>-0.07350000000000001</v>
      </c>
      <c r="AO723" s="962">
        <v>30094.0</v>
      </c>
      <c r="AP723" s="965">
        <v>-0.758171940162452</v>
      </c>
      <c r="AQ723" s="962">
        <v>30094.0</v>
      </c>
      <c r="AR723" s="966">
        <v>-0.7501314442771383</v>
      </c>
      <c r="AS723" s="624"/>
      <c r="AT723" s="624"/>
      <c r="AU723" s="624"/>
      <c r="AV723" s="624"/>
      <c r="AW723" s="624"/>
      <c r="AX723" s="624"/>
      <c r="AY723" s="624"/>
      <c r="AZ723" s="624"/>
      <c r="BA723" s="624"/>
      <c r="BB723" s="624"/>
      <c r="BC723" s="624"/>
      <c r="BD723" s="624"/>
      <c r="BE723" s="624"/>
    </row>
    <row r="724" ht="16.5" customHeight="1">
      <c r="A724" s="711"/>
      <c r="B724" s="711"/>
      <c r="C724" s="711"/>
      <c r="D724" s="711"/>
      <c r="E724" s="711"/>
      <c r="F724" s="711"/>
      <c r="G724" s="711"/>
      <c r="H724" s="711"/>
      <c r="I724" s="711"/>
      <c r="J724" s="711"/>
      <c r="K724" s="741"/>
      <c r="L724" s="741"/>
      <c r="M724" s="788"/>
      <c r="N724" s="741"/>
      <c r="O724" s="741"/>
      <c r="P724" s="741"/>
      <c r="Q724" s="741"/>
      <c r="R724" s="788"/>
      <c r="S724" s="819"/>
      <c r="T724" s="820"/>
      <c r="U724" s="819"/>
      <c r="V724" s="820"/>
      <c r="W724" s="788"/>
      <c r="X724" s="803"/>
      <c r="Y724" s="803"/>
      <c r="Z724" s="803"/>
      <c r="AA724" s="711"/>
      <c r="AB724" s="711"/>
      <c r="AC724" s="711"/>
      <c r="AD724" s="736"/>
      <c r="AE724" s="736"/>
      <c r="AF724" s="624"/>
      <c r="AG724" s="624"/>
      <c r="AH724" s="624"/>
      <c r="AI724" s="624"/>
      <c r="AJ724" s="960">
        <f t="shared" si="6"/>
        <v>724</v>
      </c>
      <c r="AK724" s="961">
        <v>0.9289</v>
      </c>
      <c r="AL724" s="962">
        <v>30001.0</v>
      </c>
      <c r="AM724" s="963">
        <v>-0.7652710116738488</v>
      </c>
      <c r="AN724" s="964">
        <v>-0.07110000000000005</v>
      </c>
      <c r="AO724" s="962">
        <v>30001.0</v>
      </c>
      <c r="AP724" s="965">
        <v>-0.7571087603851434</v>
      </c>
      <c r="AQ724" s="962">
        <v>30001.0</v>
      </c>
      <c r="AR724" s="966">
        <v>-0.7490582810454258</v>
      </c>
      <c r="AS724" s="624"/>
      <c r="AT724" s="624"/>
      <c r="AU724" s="624"/>
      <c r="AV724" s="624"/>
      <c r="AW724" s="624"/>
      <c r="AX724" s="624"/>
      <c r="AY724" s="624"/>
      <c r="AZ724" s="624"/>
      <c r="BA724" s="624"/>
      <c r="BB724" s="624"/>
      <c r="BC724" s="624"/>
      <c r="BD724" s="624"/>
      <c r="BE724" s="624"/>
    </row>
    <row r="725" ht="16.5" customHeight="1">
      <c r="A725" s="711"/>
      <c r="B725" s="711"/>
      <c r="C725" s="711"/>
      <c r="D725" s="711"/>
      <c r="E725" s="711"/>
      <c r="F725" s="711"/>
      <c r="G725" s="711"/>
      <c r="H725" s="711"/>
      <c r="I725" s="711"/>
      <c r="J725" s="711"/>
      <c r="K725" s="741"/>
      <c r="L725" s="741"/>
      <c r="M725" s="788"/>
      <c r="N725" s="741"/>
      <c r="O725" s="741"/>
      <c r="P725" s="741"/>
      <c r="Q725" s="741"/>
      <c r="R725" s="788"/>
      <c r="S725" s="819"/>
      <c r="T725" s="820"/>
      <c r="U725" s="819"/>
      <c r="V725" s="820"/>
      <c r="W725" s="788"/>
      <c r="X725" s="803"/>
      <c r="Y725" s="803"/>
      <c r="Z725" s="803"/>
      <c r="AA725" s="711"/>
      <c r="AB725" s="711"/>
      <c r="AC725" s="711"/>
      <c r="AD725" s="736"/>
      <c r="AE725" s="736"/>
      <c r="AF725" s="624"/>
      <c r="AG725" s="624"/>
      <c r="AH725" s="624"/>
      <c r="AI725" s="624"/>
      <c r="AJ725" s="960">
        <f t="shared" si="6"/>
        <v>725</v>
      </c>
      <c r="AK725" s="961">
        <v>0.9941</v>
      </c>
      <c r="AL725" s="962">
        <v>30001.0</v>
      </c>
      <c r="AM725" s="963">
        <v>-0.7652710116738488</v>
      </c>
      <c r="AN725" s="964">
        <v>-0.005900000000000016</v>
      </c>
      <c r="AO725" s="962">
        <v>30001.0</v>
      </c>
      <c r="AP725" s="965">
        <v>-0.7571087603851434</v>
      </c>
      <c r="AQ725" s="962">
        <v>30001.0</v>
      </c>
      <c r="AR725" s="966">
        <v>-0.7490582810454258</v>
      </c>
      <c r="AS725" s="624"/>
      <c r="AT725" s="624"/>
      <c r="AU725" s="624"/>
      <c r="AV725" s="624"/>
      <c r="AW725" s="624"/>
      <c r="AX725" s="624"/>
      <c r="AY725" s="624"/>
      <c r="AZ725" s="624"/>
      <c r="BA725" s="624"/>
      <c r="BB725" s="624"/>
      <c r="BC725" s="624"/>
      <c r="BD725" s="624"/>
      <c r="BE725" s="624"/>
    </row>
    <row r="726" ht="16.5" customHeight="1">
      <c r="A726" s="711"/>
      <c r="B726" s="711"/>
      <c r="C726" s="711"/>
      <c r="D726" s="711"/>
      <c r="E726" s="711"/>
      <c r="F726" s="711"/>
      <c r="G726" s="711"/>
      <c r="H726" s="711"/>
      <c r="I726" s="711"/>
      <c r="J726" s="711"/>
      <c r="K726" s="741"/>
      <c r="L726" s="741"/>
      <c r="M726" s="788"/>
      <c r="N726" s="741"/>
      <c r="O726" s="741"/>
      <c r="P726" s="741"/>
      <c r="Q726" s="741"/>
      <c r="R726" s="788"/>
      <c r="S726" s="819"/>
      <c r="T726" s="820"/>
      <c r="U726" s="819"/>
      <c r="V726" s="820"/>
      <c r="W726" s="788"/>
      <c r="X726" s="803"/>
      <c r="Y726" s="803"/>
      <c r="Z726" s="803"/>
      <c r="AA726" s="711"/>
      <c r="AB726" s="711"/>
      <c r="AC726" s="711"/>
      <c r="AD726" s="736"/>
      <c r="AE726" s="736"/>
      <c r="AF726" s="624"/>
      <c r="AG726" s="624"/>
      <c r="AH726" s="624"/>
      <c r="AI726" s="624"/>
      <c r="AJ726" s="960">
        <f t="shared" si="6"/>
        <v>726</v>
      </c>
      <c r="AK726" s="961">
        <v>0.9697</v>
      </c>
      <c r="AL726" s="962">
        <v>30000.0</v>
      </c>
      <c r="AM726" s="963">
        <v>-0.7652596718352884</v>
      </c>
      <c r="AN726" s="964">
        <v>-0.030299999999999994</v>
      </c>
      <c r="AO726" s="962">
        <v>30000.0</v>
      </c>
      <c r="AP726" s="965">
        <v>-0.7570973029809795</v>
      </c>
      <c r="AQ726" s="962">
        <v>30000.0</v>
      </c>
      <c r="AR726" s="966">
        <v>-0.749046716644453</v>
      </c>
      <c r="AS726" s="624"/>
      <c r="AT726" s="624"/>
      <c r="AU726" s="624"/>
      <c r="AV726" s="624"/>
      <c r="AW726" s="624"/>
      <c r="AX726" s="624"/>
      <c r="AY726" s="624"/>
      <c r="AZ726" s="624"/>
      <c r="BA726" s="624"/>
      <c r="BB726" s="624"/>
      <c r="BC726" s="624"/>
      <c r="BD726" s="624"/>
      <c r="BE726" s="624"/>
    </row>
    <row r="727" ht="16.5" customHeight="1">
      <c r="A727" s="711"/>
      <c r="B727" s="711"/>
      <c r="C727" s="711"/>
      <c r="D727" s="711"/>
      <c r="E727" s="711"/>
      <c r="F727" s="711"/>
      <c r="G727" s="711"/>
      <c r="H727" s="711"/>
      <c r="I727" s="711"/>
      <c r="J727" s="711"/>
      <c r="K727" s="741"/>
      <c r="L727" s="741"/>
      <c r="M727" s="788"/>
      <c r="N727" s="741"/>
      <c r="O727" s="741"/>
      <c r="P727" s="741"/>
      <c r="Q727" s="741"/>
      <c r="R727" s="788"/>
      <c r="S727" s="819"/>
      <c r="T727" s="820"/>
      <c r="U727" s="819"/>
      <c r="V727" s="820"/>
      <c r="W727" s="788"/>
      <c r="X727" s="803"/>
      <c r="Y727" s="803"/>
      <c r="Z727" s="803"/>
      <c r="AA727" s="711"/>
      <c r="AB727" s="711"/>
      <c r="AC727" s="711"/>
      <c r="AD727" s="736"/>
      <c r="AE727" s="736"/>
      <c r="AF727" s="624"/>
      <c r="AG727" s="624"/>
      <c r="AH727" s="624"/>
      <c r="AI727" s="624"/>
      <c r="AJ727" s="960">
        <f t="shared" si="6"/>
        <v>727</v>
      </c>
      <c r="AK727" s="961">
        <v>0.9932</v>
      </c>
      <c r="AL727" s="962">
        <v>30000.0</v>
      </c>
      <c r="AM727" s="963">
        <v>-0.7652596718352884</v>
      </c>
      <c r="AN727" s="964">
        <v>-0.006800000000000028</v>
      </c>
      <c r="AO727" s="962">
        <v>30000.0</v>
      </c>
      <c r="AP727" s="965">
        <v>-0.7570973029809795</v>
      </c>
      <c r="AQ727" s="962">
        <v>30000.0</v>
      </c>
      <c r="AR727" s="966">
        <v>-0.749046716644453</v>
      </c>
      <c r="AS727" s="624"/>
      <c r="AT727" s="624"/>
      <c r="AU727" s="624"/>
      <c r="AV727" s="624"/>
      <c r="AW727" s="624"/>
      <c r="AX727" s="624"/>
      <c r="AY727" s="624"/>
      <c r="AZ727" s="624"/>
      <c r="BA727" s="624"/>
      <c r="BB727" s="624"/>
      <c r="BC727" s="624"/>
      <c r="BD727" s="624"/>
      <c r="BE727" s="624"/>
    </row>
    <row r="728" ht="16.5" customHeight="1">
      <c r="A728" s="711"/>
      <c r="B728" s="711"/>
      <c r="C728" s="711"/>
      <c r="D728" s="711"/>
      <c r="E728" s="711"/>
      <c r="F728" s="711"/>
      <c r="G728" s="711"/>
      <c r="H728" s="711"/>
      <c r="I728" s="711"/>
      <c r="J728" s="711"/>
      <c r="K728" s="741"/>
      <c r="L728" s="741"/>
      <c r="M728" s="788"/>
      <c r="N728" s="741"/>
      <c r="O728" s="741"/>
      <c r="P728" s="741"/>
      <c r="Q728" s="741"/>
      <c r="R728" s="788"/>
      <c r="S728" s="819"/>
      <c r="T728" s="820"/>
      <c r="U728" s="819"/>
      <c r="V728" s="820"/>
      <c r="W728" s="788"/>
      <c r="X728" s="803"/>
      <c r="Y728" s="803"/>
      <c r="Z728" s="803"/>
      <c r="AA728" s="711"/>
      <c r="AB728" s="711"/>
      <c r="AC728" s="711"/>
      <c r="AD728" s="736"/>
      <c r="AE728" s="736"/>
      <c r="AF728" s="624"/>
      <c r="AG728" s="624"/>
      <c r="AH728" s="624"/>
      <c r="AI728" s="624"/>
      <c r="AJ728" s="960">
        <f t="shared" si="6"/>
        <v>728</v>
      </c>
      <c r="AK728" s="961">
        <v>0.9535</v>
      </c>
      <c r="AL728" s="962">
        <v>29890.0</v>
      </c>
      <c r="AM728" s="963">
        <v>-0.764008939204009</v>
      </c>
      <c r="AN728" s="964">
        <v>-0.046499999999999986</v>
      </c>
      <c r="AO728" s="962">
        <v>29890.0</v>
      </c>
      <c r="AP728" s="965">
        <v>-0.7558336833748923</v>
      </c>
      <c r="AQ728" s="962">
        <v>29890.0</v>
      </c>
      <c r="AR728" s="966">
        <v>-0.7477713735209695</v>
      </c>
      <c r="AS728" s="624"/>
      <c r="AT728" s="624"/>
      <c r="AU728" s="624"/>
      <c r="AV728" s="624"/>
      <c r="AW728" s="624"/>
      <c r="AX728" s="624"/>
      <c r="AY728" s="624"/>
      <c r="AZ728" s="624"/>
      <c r="BA728" s="624"/>
      <c r="BB728" s="624"/>
      <c r="BC728" s="624"/>
      <c r="BD728" s="624"/>
      <c r="BE728" s="624"/>
    </row>
    <row r="729" ht="16.5" customHeight="1">
      <c r="A729" s="711"/>
      <c r="B729" s="711"/>
      <c r="C729" s="711"/>
      <c r="D729" s="711"/>
      <c r="E729" s="711"/>
      <c r="F729" s="711"/>
      <c r="G729" s="711"/>
      <c r="H729" s="711"/>
      <c r="I729" s="711"/>
      <c r="J729" s="711"/>
      <c r="K729" s="741"/>
      <c r="L729" s="741"/>
      <c r="M729" s="788"/>
      <c r="N729" s="741"/>
      <c r="O729" s="741"/>
      <c r="P729" s="741"/>
      <c r="Q729" s="741"/>
      <c r="R729" s="788"/>
      <c r="S729" s="819"/>
      <c r="T729" s="820"/>
      <c r="U729" s="819"/>
      <c r="V729" s="820"/>
      <c r="W729" s="788"/>
      <c r="X729" s="803"/>
      <c r="Y729" s="803"/>
      <c r="Z729" s="803"/>
      <c r="AA729" s="711"/>
      <c r="AB729" s="711"/>
      <c r="AC729" s="711"/>
      <c r="AD729" s="736"/>
      <c r="AE729" s="736"/>
      <c r="AF729" s="624"/>
      <c r="AG729" s="624"/>
      <c r="AH729" s="624"/>
      <c r="AI729" s="624"/>
      <c r="AJ729" s="960">
        <f t="shared" si="6"/>
        <v>729</v>
      </c>
      <c r="AK729" s="961">
        <v>0.9682</v>
      </c>
      <c r="AL729" s="962">
        <v>29628.8</v>
      </c>
      <c r="AM729" s="963">
        <v>-0.7610122527662201</v>
      </c>
      <c r="AN729" s="964">
        <v>-0.03180000000000005</v>
      </c>
      <c r="AO729" s="962">
        <v>29628.8</v>
      </c>
      <c r="AP729" s="965">
        <v>-0.7528067613866409</v>
      </c>
      <c r="AQ729" s="962">
        <v>29628.8</v>
      </c>
      <c r="AR729" s="966">
        <v>-0.7447169854999265</v>
      </c>
      <c r="AS729" s="624"/>
      <c r="AT729" s="624"/>
      <c r="AU729" s="624"/>
      <c r="AV729" s="624"/>
      <c r="AW729" s="624"/>
      <c r="AX729" s="624"/>
      <c r="AY729" s="624"/>
      <c r="AZ729" s="624"/>
      <c r="BA729" s="624"/>
      <c r="BB729" s="624"/>
      <c r="BC729" s="624"/>
      <c r="BD729" s="624"/>
      <c r="BE729" s="624"/>
    </row>
    <row r="730" ht="16.5" customHeight="1">
      <c r="A730" s="711"/>
      <c r="B730" s="711"/>
      <c r="C730" s="711"/>
      <c r="D730" s="711"/>
      <c r="E730" s="711"/>
      <c r="F730" s="711"/>
      <c r="G730" s="711"/>
      <c r="H730" s="711"/>
      <c r="I730" s="711"/>
      <c r="J730" s="711"/>
      <c r="K730" s="741"/>
      <c r="L730" s="741"/>
      <c r="M730" s="788"/>
      <c r="N730" s="741"/>
      <c r="O730" s="741"/>
      <c r="P730" s="741"/>
      <c r="Q730" s="741"/>
      <c r="R730" s="788"/>
      <c r="S730" s="819"/>
      <c r="T730" s="820"/>
      <c r="U730" s="819"/>
      <c r="V730" s="820"/>
      <c r="W730" s="788"/>
      <c r="X730" s="803"/>
      <c r="Y730" s="803"/>
      <c r="Z730" s="803"/>
      <c r="AA730" s="711"/>
      <c r="AB730" s="711"/>
      <c r="AC730" s="711"/>
      <c r="AD730" s="736"/>
      <c r="AE730" s="736"/>
      <c r="AF730" s="624"/>
      <c r="AG730" s="624"/>
      <c r="AH730" s="624"/>
      <c r="AI730" s="624"/>
      <c r="AJ730" s="960">
        <f t="shared" si="6"/>
        <v>730</v>
      </c>
      <c r="AK730" s="961">
        <v>0.9722</v>
      </c>
      <c r="AL730" s="962">
        <v>29481.0</v>
      </c>
      <c r="AM730" s="963">
        <v>-0.7592997507207486</v>
      </c>
      <c r="AN730" s="964">
        <v>-0.027800000000000047</v>
      </c>
      <c r="AO730" s="962">
        <v>29481.0</v>
      </c>
      <c r="AP730" s="965">
        <v>-0.7510773834054327</v>
      </c>
      <c r="AQ730" s="962">
        <v>29481.0</v>
      </c>
      <c r="AR730" s="966">
        <v>-0.7429723027701431</v>
      </c>
      <c r="AS730" s="624"/>
      <c r="AT730" s="624"/>
      <c r="AU730" s="624"/>
      <c r="AV730" s="624"/>
      <c r="AW730" s="624"/>
      <c r="AX730" s="624"/>
      <c r="AY730" s="624"/>
      <c r="AZ730" s="624"/>
      <c r="BA730" s="624"/>
      <c r="BB730" s="624"/>
      <c r="BC730" s="624"/>
      <c r="BD730" s="624"/>
      <c r="BE730" s="624"/>
    </row>
    <row r="731" ht="16.5" customHeight="1">
      <c r="A731" s="711"/>
      <c r="B731" s="711"/>
      <c r="C731" s="711"/>
      <c r="D731" s="711"/>
      <c r="E731" s="711"/>
      <c r="F731" s="711"/>
      <c r="G731" s="711"/>
      <c r="H731" s="711"/>
      <c r="I731" s="711"/>
      <c r="J731" s="711"/>
      <c r="K731" s="741"/>
      <c r="L731" s="741"/>
      <c r="M731" s="788"/>
      <c r="N731" s="741"/>
      <c r="O731" s="741"/>
      <c r="P731" s="741"/>
      <c r="Q731" s="741"/>
      <c r="R731" s="788"/>
      <c r="S731" s="819"/>
      <c r="T731" s="820"/>
      <c r="U731" s="819"/>
      <c r="V731" s="820"/>
      <c r="W731" s="788"/>
      <c r="X731" s="803"/>
      <c r="Y731" s="803"/>
      <c r="Z731" s="803"/>
      <c r="AA731" s="711"/>
      <c r="AB731" s="711"/>
      <c r="AC731" s="711"/>
      <c r="AD731" s="736"/>
      <c r="AE731" s="736"/>
      <c r="AF731" s="624"/>
      <c r="AG731" s="624"/>
      <c r="AH731" s="624"/>
      <c r="AI731" s="624"/>
      <c r="AJ731" s="960">
        <f t="shared" si="6"/>
        <v>731</v>
      </c>
      <c r="AK731" s="961">
        <v>0.9877</v>
      </c>
      <c r="AL731" s="962">
        <v>29300.0</v>
      </c>
      <c r="AM731" s="963">
        <v>-0.7571858485726424</v>
      </c>
      <c r="AN731" s="964">
        <v>-0.012299999999999978</v>
      </c>
      <c r="AO731" s="962">
        <v>29300.0</v>
      </c>
      <c r="AP731" s="965">
        <v>-0.7489430496339199</v>
      </c>
      <c r="AQ731" s="962">
        <v>29300.0</v>
      </c>
      <c r="AR731" s="966">
        <v>-0.7408194652519311</v>
      </c>
      <c r="AS731" s="624"/>
      <c r="AT731" s="624"/>
      <c r="AU731" s="624"/>
      <c r="AV731" s="624"/>
      <c r="AW731" s="624"/>
      <c r="AX731" s="624"/>
      <c r="AY731" s="624"/>
      <c r="AZ731" s="624"/>
      <c r="BA731" s="624"/>
      <c r="BB731" s="624"/>
      <c r="BC731" s="624"/>
      <c r="BD731" s="624"/>
      <c r="BE731" s="624"/>
    </row>
    <row r="732" ht="16.5" customHeight="1">
      <c r="A732" s="711"/>
      <c r="B732" s="711"/>
      <c r="C732" s="711"/>
      <c r="D732" s="711"/>
      <c r="E732" s="711"/>
      <c r="F732" s="711"/>
      <c r="G732" s="711"/>
      <c r="H732" s="711"/>
      <c r="I732" s="711"/>
      <c r="J732" s="711"/>
      <c r="K732" s="741"/>
      <c r="L732" s="741"/>
      <c r="M732" s="788"/>
      <c r="N732" s="741"/>
      <c r="O732" s="741"/>
      <c r="P732" s="741"/>
      <c r="Q732" s="741"/>
      <c r="R732" s="788"/>
      <c r="S732" s="819"/>
      <c r="T732" s="820"/>
      <c r="U732" s="819"/>
      <c r="V732" s="820"/>
      <c r="W732" s="788"/>
      <c r="X732" s="803"/>
      <c r="Y732" s="803"/>
      <c r="Z732" s="803"/>
      <c r="AA732" s="711"/>
      <c r="AB732" s="711"/>
      <c r="AC732" s="711"/>
      <c r="AD732" s="736"/>
      <c r="AE732" s="736"/>
      <c r="AF732" s="624"/>
      <c r="AG732" s="624"/>
      <c r="AH732" s="624"/>
      <c r="AI732" s="624"/>
      <c r="AJ732" s="960">
        <f t="shared" si="6"/>
        <v>732</v>
      </c>
      <c r="AK732" s="961">
        <v>0.939</v>
      </c>
      <c r="AL732" s="962">
        <v>28805.0</v>
      </c>
      <c r="AM732" s="963">
        <v>-0.7513094418523124</v>
      </c>
      <c r="AN732" s="964">
        <v>-0.061000000000000054</v>
      </c>
      <c r="AO732" s="962">
        <v>28805.0</v>
      </c>
      <c r="AP732" s="965">
        <v>-0.7430121355123798</v>
      </c>
      <c r="AQ732" s="962">
        <v>28805.0</v>
      </c>
      <c r="AR732" s="966">
        <v>-0.7348393353039709</v>
      </c>
      <c r="AS732" s="624"/>
      <c r="AT732" s="624"/>
      <c r="AU732" s="624"/>
      <c r="AV732" s="624"/>
      <c r="AW732" s="624"/>
      <c r="AX732" s="624"/>
      <c r="AY732" s="624"/>
      <c r="AZ732" s="624"/>
      <c r="BA732" s="624"/>
      <c r="BB732" s="624"/>
      <c r="BC732" s="624"/>
      <c r="BD732" s="624"/>
      <c r="BE732" s="624"/>
    </row>
    <row r="733" ht="16.5" customHeight="1">
      <c r="A733" s="711"/>
      <c r="B733" s="711"/>
      <c r="C733" s="711"/>
      <c r="D733" s="711"/>
      <c r="E733" s="711"/>
      <c r="F733" s="711"/>
      <c r="G733" s="711"/>
      <c r="H733" s="711"/>
      <c r="I733" s="711"/>
      <c r="J733" s="711"/>
      <c r="K733" s="741"/>
      <c r="L733" s="741"/>
      <c r="M733" s="788"/>
      <c r="N733" s="741"/>
      <c r="O733" s="741"/>
      <c r="P733" s="741"/>
      <c r="Q733" s="741"/>
      <c r="R733" s="788"/>
      <c r="S733" s="819"/>
      <c r="T733" s="820"/>
      <c r="U733" s="819"/>
      <c r="V733" s="820"/>
      <c r="W733" s="788"/>
      <c r="X733" s="803"/>
      <c r="Y733" s="803"/>
      <c r="Z733" s="803"/>
      <c r="AA733" s="711"/>
      <c r="AB733" s="711"/>
      <c r="AC733" s="711"/>
      <c r="AD733" s="736"/>
      <c r="AE733" s="736"/>
      <c r="AF733" s="624"/>
      <c r="AG733" s="624"/>
      <c r="AH733" s="624"/>
      <c r="AI733" s="624"/>
      <c r="AJ733" s="960">
        <f t="shared" si="6"/>
        <v>733</v>
      </c>
      <c r="AK733" s="961">
        <v>0.9766</v>
      </c>
      <c r="AL733" s="962">
        <v>28654.0</v>
      </c>
      <c r="AM733" s="963">
        <v>-0.7494886894873618</v>
      </c>
      <c r="AN733" s="964">
        <v>-0.023399999999999976</v>
      </c>
      <c r="AO733" s="962">
        <v>28654.0</v>
      </c>
      <c r="AP733" s="965">
        <v>-0.7411751688198311</v>
      </c>
      <c r="AQ733" s="962">
        <v>28654.0</v>
      </c>
      <c r="AR733" s="966">
        <v>-0.7329877734993602</v>
      </c>
      <c r="AS733" s="624"/>
      <c r="AT733" s="624"/>
      <c r="AU733" s="624"/>
      <c r="AV733" s="624"/>
      <c r="AW733" s="624"/>
      <c r="AX733" s="624"/>
      <c r="AY733" s="624"/>
      <c r="AZ733" s="624"/>
      <c r="BA733" s="624"/>
      <c r="BB733" s="624"/>
      <c r="BC733" s="624"/>
      <c r="BD733" s="624"/>
      <c r="BE733" s="624"/>
    </row>
    <row r="734" ht="16.5" customHeight="1">
      <c r="A734" s="711"/>
      <c r="B734" s="711"/>
      <c r="C734" s="711"/>
      <c r="D734" s="711"/>
      <c r="E734" s="711"/>
      <c r="F734" s="711"/>
      <c r="G734" s="711"/>
      <c r="H734" s="711"/>
      <c r="I734" s="711"/>
      <c r="J734" s="711"/>
      <c r="K734" s="741"/>
      <c r="L734" s="741"/>
      <c r="M734" s="788"/>
      <c r="N734" s="741"/>
      <c r="O734" s="741"/>
      <c r="P734" s="741"/>
      <c r="Q734" s="741"/>
      <c r="R734" s="788"/>
      <c r="S734" s="819"/>
      <c r="T734" s="820"/>
      <c r="U734" s="819"/>
      <c r="V734" s="820"/>
      <c r="W734" s="788"/>
      <c r="X734" s="803"/>
      <c r="Y734" s="803"/>
      <c r="Z734" s="803"/>
      <c r="AA734" s="711"/>
      <c r="AB734" s="711"/>
      <c r="AC734" s="711"/>
      <c r="AD734" s="736"/>
      <c r="AE734" s="736"/>
      <c r="AF734" s="624"/>
      <c r="AG734" s="624"/>
      <c r="AH734" s="624"/>
      <c r="AI734" s="624"/>
      <c r="AJ734" s="960">
        <f t="shared" si="6"/>
        <v>734</v>
      </c>
      <c r="AK734" s="961">
        <v>0.996</v>
      </c>
      <c r="AL734" s="962">
        <v>28514.0</v>
      </c>
      <c r="AM734" s="963">
        <v>-0.7477886677068641</v>
      </c>
      <c r="AN734" s="964">
        <v>-0.0040000000000000036</v>
      </c>
      <c r="AO734" s="962">
        <v>28514.0</v>
      </c>
      <c r="AP734" s="965">
        <v>-0.7394602921400244</v>
      </c>
      <c r="AQ734" s="962">
        <v>28514.0</v>
      </c>
      <c r="AR734" s="966">
        <v>-0.7312595450375725</v>
      </c>
      <c r="AS734" s="624"/>
      <c r="AT734" s="624"/>
      <c r="AU734" s="624"/>
      <c r="AV734" s="624"/>
      <c r="AW734" s="624"/>
      <c r="AX734" s="624"/>
      <c r="AY734" s="624"/>
      <c r="AZ734" s="624"/>
      <c r="BA734" s="624"/>
      <c r="BB734" s="624"/>
      <c r="BC734" s="624"/>
      <c r="BD734" s="624"/>
      <c r="BE734" s="624"/>
    </row>
    <row r="735" ht="16.5" customHeight="1">
      <c r="A735" s="711"/>
      <c r="B735" s="711"/>
      <c r="C735" s="711"/>
      <c r="D735" s="711"/>
      <c r="E735" s="711"/>
      <c r="F735" s="711"/>
      <c r="G735" s="711"/>
      <c r="H735" s="711"/>
      <c r="I735" s="711"/>
      <c r="J735" s="711"/>
      <c r="K735" s="741"/>
      <c r="L735" s="741"/>
      <c r="M735" s="788"/>
      <c r="N735" s="741"/>
      <c r="O735" s="741"/>
      <c r="P735" s="741"/>
      <c r="Q735" s="741"/>
      <c r="R735" s="788"/>
      <c r="S735" s="819"/>
      <c r="T735" s="820"/>
      <c r="U735" s="819"/>
      <c r="V735" s="820"/>
      <c r="W735" s="788"/>
      <c r="X735" s="803"/>
      <c r="Y735" s="803"/>
      <c r="Z735" s="803"/>
      <c r="AA735" s="711"/>
      <c r="AB735" s="711"/>
      <c r="AC735" s="711"/>
      <c r="AD735" s="736"/>
      <c r="AE735" s="736"/>
      <c r="AF735" s="624"/>
      <c r="AG735" s="624"/>
      <c r="AH735" s="624"/>
      <c r="AI735" s="624"/>
      <c r="AJ735" s="960">
        <f t="shared" si="6"/>
        <v>735</v>
      </c>
      <c r="AK735" s="961">
        <v>0.9699</v>
      </c>
      <c r="AL735" s="962">
        <v>28500.0</v>
      </c>
      <c r="AM735" s="963">
        <v>-0.7476180322979111</v>
      </c>
      <c r="AN735" s="964">
        <v>-0.030100000000000016</v>
      </c>
      <c r="AO735" s="962">
        <v>28500.0</v>
      </c>
      <c r="AP735" s="965">
        <v>-0.7392881807930023</v>
      </c>
      <c r="AQ735" s="962">
        <v>28500.0</v>
      </c>
      <c r="AR735" s="966">
        <v>-0.7310861081575222</v>
      </c>
      <c r="AS735" s="624"/>
      <c r="AT735" s="624"/>
      <c r="AU735" s="624"/>
      <c r="AV735" s="624"/>
      <c r="AW735" s="624"/>
      <c r="AX735" s="624"/>
      <c r="AY735" s="624"/>
      <c r="AZ735" s="624"/>
      <c r="BA735" s="624"/>
      <c r="BB735" s="624"/>
      <c r="BC735" s="624"/>
      <c r="BD735" s="624"/>
      <c r="BE735" s="624"/>
    </row>
    <row r="736" ht="16.5" customHeight="1">
      <c r="A736" s="711"/>
      <c r="B736" s="711"/>
      <c r="C736" s="711"/>
      <c r="D736" s="711"/>
      <c r="E736" s="711"/>
      <c r="F736" s="711"/>
      <c r="G736" s="711"/>
      <c r="H736" s="711"/>
      <c r="I736" s="711"/>
      <c r="J736" s="711"/>
      <c r="K736" s="741"/>
      <c r="L736" s="741"/>
      <c r="M736" s="788"/>
      <c r="N736" s="741"/>
      <c r="O736" s="741"/>
      <c r="P736" s="741"/>
      <c r="Q736" s="741"/>
      <c r="R736" s="788"/>
      <c r="S736" s="819"/>
      <c r="T736" s="820"/>
      <c r="U736" s="819"/>
      <c r="V736" s="820"/>
      <c r="W736" s="788"/>
      <c r="X736" s="803"/>
      <c r="Y736" s="803"/>
      <c r="Z736" s="803"/>
      <c r="AA736" s="711"/>
      <c r="AB736" s="711"/>
      <c r="AC736" s="711"/>
      <c r="AD736" s="736"/>
      <c r="AE736" s="736"/>
      <c r="AF736" s="624"/>
      <c r="AG736" s="624"/>
      <c r="AH736" s="624"/>
      <c r="AI736" s="624"/>
      <c r="AJ736" s="960">
        <f t="shared" si="6"/>
        <v>736</v>
      </c>
      <c r="AK736" s="961">
        <v>0.967</v>
      </c>
      <c r="AL736" s="962">
        <v>28479.0</v>
      </c>
      <c r="AM736" s="963">
        <v>-0.7473618627014034</v>
      </c>
      <c r="AN736" s="964">
        <v>-0.03300000000000003</v>
      </c>
      <c r="AO736" s="962">
        <v>28479.0</v>
      </c>
      <c r="AP736" s="965">
        <v>-0.7390298005690497</v>
      </c>
      <c r="AQ736" s="962">
        <v>28479.0</v>
      </c>
      <c r="AR736" s="966">
        <v>-0.7308257429445044</v>
      </c>
      <c r="AS736" s="624"/>
      <c r="AT736" s="624"/>
      <c r="AU736" s="624"/>
      <c r="AV736" s="624"/>
      <c r="AW736" s="624"/>
      <c r="AX736" s="624"/>
      <c r="AY736" s="624"/>
      <c r="AZ736" s="624"/>
      <c r="BA736" s="624"/>
      <c r="BB736" s="624"/>
      <c r="BC736" s="624"/>
      <c r="BD736" s="624"/>
      <c r="BE736" s="624"/>
    </row>
    <row r="737" ht="16.5" customHeight="1">
      <c r="A737" s="711"/>
      <c r="B737" s="711"/>
      <c r="C737" s="711"/>
      <c r="D737" s="711"/>
      <c r="E737" s="711"/>
      <c r="F737" s="711"/>
      <c r="G737" s="711"/>
      <c r="H737" s="711"/>
      <c r="I737" s="711"/>
      <c r="J737" s="711"/>
      <c r="K737" s="741"/>
      <c r="L737" s="741"/>
      <c r="M737" s="788"/>
      <c r="N737" s="741"/>
      <c r="O737" s="741"/>
      <c r="P737" s="741"/>
      <c r="Q737" s="741"/>
      <c r="R737" s="788"/>
      <c r="S737" s="819"/>
      <c r="T737" s="820"/>
      <c r="U737" s="819"/>
      <c r="V737" s="820"/>
      <c r="W737" s="788"/>
      <c r="X737" s="803"/>
      <c r="Y737" s="803"/>
      <c r="Z737" s="803"/>
      <c r="AA737" s="711"/>
      <c r="AB737" s="711"/>
      <c r="AC737" s="711"/>
      <c r="AD737" s="736"/>
      <c r="AE737" s="736"/>
      <c r="AF737" s="624"/>
      <c r="AG737" s="624"/>
      <c r="AH737" s="624"/>
      <c r="AI737" s="624"/>
      <c r="AJ737" s="960">
        <f t="shared" si="6"/>
        <v>737</v>
      </c>
      <c r="AK737" s="961">
        <v>0.8583</v>
      </c>
      <c r="AL737" s="962">
        <v>28452.0</v>
      </c>
      <c r="AM737" s="963">
        <v>-0.7470321196931933</v>
      </c>
      <c r="AN737" s="964">
        <v>-0.14170000000000005</v>
      </c>
      <c r="AO737" s="962">
        <v>28452.0</v>
      </c>
      <c r="AP737" s="965">
        <v>-0.7386972211231002</v>
      </c>
      <c r="AQ737" s="962">
        <v>28452.0</v>
      </c>
      <c r="AR737" s="966">
        <v>-0.7304906172210219</v>
      </c>
      <c r="AS737" s="624"/>
      <c r="AT737" s="624"/>
      <c r="AU737" s="624"/>
      <c r="AV737" s="624"/>
      <c r="AW737" s="624"/>
      <c r="AX737" s="624"/>
      <c r="AY737" s="624"/>
      <c r="AZ737" s="624"/>
      <c r="BA737" s="624"/>
      <c r="BB737" s="624"/>
      <c r="BC737" s="624"/>
      <c r="BD737" s="624"/>
      <c r="BE737" s="624"/>
    </row>
    <row r="738" ht="16.5" customHeight="1">
      <c r="A738" s="711"/>
      <c r="B738" s="711"/>
      <c r="C738" s="711"/>
      <c r="D738" s="711"/>
      <c r="E738" s="711"/>
      <c r="F738" s="711"/>
      <c r="G738" s="711"/>
      <c r="H738" s="711"/>
      <c r="I738" s="711"/>
      <c r="J738" s="711"/>
      <c r="K738" s="741"/>
      <c r="L738" s="741"/>
      <c r="M738" s="788"/>
      <c r="N738" s="741"/>
      <c r="O738" s="741"/>
      <c r="P738" s="741"/>
      <c r="Q738" s="741"/>
      <c r="R738" s="788"/>
      <c r="S738" s="819"/>
      <c r="T738" s="820"/>
      <c r="U738" s="819"/>
      <c r="V738" s="820"/>
      <c r="W738" s="788"/>
      <c r="X738" s="803"/>
      <c r="Y738" s="803"/>
      <c r="Z738" s="803"/>
      <c r="AA738" s="711"/>
      <c r="AB738" s="711"/>
      <c r="AC738" s="711"/>
      <c r="AD738" s="736"/>
      <c r="AE738" s="736"/>
      <c r="AF738" s="624"/>
      <c r="AG738" s="624"/>
      <c r="AH738" s="624"/>
      <c r="AI738" s="624"/>
      <c r="AJ738" s="960">
        <f t="shared" si="6"/>
        <v>738</v>
      </c>
      <c r="AK738" s="961">
        <v>0.9289</v>
      </c>
      <c r="AL738" s="962">
        <v>28424.0</v>
      </c>
      <c r="AM738" s="963">
        <v>-0.7466897093882587</v>
      </c>
      <c r="AN738" s="964">
        <v>-0.07110000000000005</v>
      </c>
      <c r="AO738" s="962">
        <v>28424.0</v>
      </c>
      <c r="AP738" s="965">
        <v>-0.7383518762375965</v>
      </c>
      <c r="AQ738" s="962">
        <v>28424.0</v>
      </c>
      <c r="AR738" s="966">
        <v>-0.7301426387247509</v>
      </c>
      <c r="AS738" s="624"/>
      <c r="AT738" s="624"/>
      <c r="AU738" s="624"/>
      <c r="AV738" s="624"/>
      <c r="AW738" s="624"/>
      <c r="AX738" s="624"/>
      <c r="AY738" s="624"/>
      <c r="AZ738" s="624"/>
      <c r="BA738" s="624"/>
      <c r="BB738" s="624"/>
      <c r="BC738" s="624"/>
      <c r="BD738" s="624"/>
      <c r="BE738" s="624"/>
    </row>
    <row r="739" ht="16.5" customHeight="1">
      <c r="A739" s="711"/>
      <c r="B739" s="711"/>
      <c r="C739" s="711"/>
      <c r="D739" s="711"/>
      <c r="E739" s="711"/>
      <c r="F739" s="711"/>
      <c r="G739" s="711"/>
      <c r="H739" s="711"/>
      <c r="I739" s="711"/>
      <c r="J739" s="711"/>
      <c r="K739" s="741"/>
      <c r="L739" s="741"/>
      <c r="M739" s="788"/>
      <c r="N739" s="741"/>
      <c r="O739" s="741"/>
      <c r="P739" s="741"/>
      <c r="Q739" s="741"/>
      <c r="R739" s="788"/>
      <c r="S739" s="819"/>
      <c r="T739" s="820"/>
      <c r="U739" s="819"/>
      <c r="V739" s="820"/>
      <c r="W739" s="788"/>
      <c r="X739" s="803"/>
      <c r="Y739" s="803"/>
      <c r="Z739" s="803"/>
      <c r="AA739" s="711"/>
      <c r="AB739" s="711"/>
      <c r="AC739" s="711"/>
      <c r="AD739" s="736"/>
      <c r="AE739" s="736"/>
      <c r="AF739" s="624"/>
      <c r="AG739" s="624"/>
      <c r="AH739" s="624"/>
      <c r="AI739" s="624"/>
      <c r="AJ739" s="960">
        <f t="shared" si="6"/>
        <v>739</v>
      </c>
      <c r="AK739" s="961">
        <v>0.9785</v>
      </c>
      <c r="AL739" s="962">
        <v>28385.0</v>
      </c>
      <c r="AM739" s="963">
        <v>-0.7462120082490791</v>
      </c>
      <c r="AN739" s="964">
        <v>-0.021499999999999964</v>
      </c>
      <c r="AO739" s="962">
        <v>28385.0</v>
      </c>
      <c r="AP739" s="965">
        <v>-0.7378700994171106</v>
      </c>
      <c r="AQ739" s="962">
        <v>28385.0</v>
      </c>
      <c r="AR739" s="966">
        <v>-0.7296572055357418</v>
      </c>
      <c r="AS739" s="624"/>
      <c r="AT739" s="624"/>
      <c r="AU739" s="624"/>
      <c r="AV739" s="624"/>
      <c r="AW739" s="624"/>
      <c r="AX739" s="624"/>
      <c r="AY739" s="624"/>
      <c r="AZ739" s="624"/>
      <c r="BA739" s="624"/>
      <c r="BB739" s="624"/>
      <c r="BC739" s="624"/>
      <c r="BD739" s="624"/>
      <c r="BE739" s="624"/>
    </row>
    <row r="740" ht="16.5" customHeight="1">
      <c r="A740" s="711"/>
      <c r="B740" s="711"/>
      <c r="C740" s="711"/>
      <c r="D740" s="711"/>
      <c r="E740" s="711"/>
      <c r="F740" s="711"/>
      <c r="G740" s="711"/>
      <c r="H740" s="711"/>
      <c r="I740" s="711"/>
      <c r="J740" s="711"/>
      <c r="K740" s="741"/>
      <c r="L740" s="741"/>
      <c r="M740" s="788"/>
      <c r="N740" s="741"/>
      <c r="O740" s="741"/>
      <c r="P740" s="741"/>
      <c r="Q740" s="741"/>
      <c r="R740" s="788"/>
      <c r="S740" s="819"/>
      <c r="T740" s="820"/>
      <c r="U740" s="819"/>
      <c r="V740" s="820"/>
      <c r="W740" s="788"/>
      <c r="X740" s="803"/>
      <c r="Y740" s="803"/>
      <c r="Z740" s="803"/>
      <c r="AA740" s="711"/>
      <c r="AB740" s="711"/>
      <c r="AC740" s="711"/>
      <c r="AD740" s="736"/>
      <c r="AE740" s="736"/>
      <c r="AF740" s="624"/>
      <c r="AG740" s="624"/>
      <c r="AH740" s="624"/>
      <c r="AI740" s="624"/>
      <c r="AJ740" s="960">
        <f t="shared" si="6"/>
        <v>740</v>
      </c>
      <c r="AK740" s="961">
        <v>0.9403</v>
      </c>
      <c r="AL740" s="962">
        <v>28260.0</v>
      </c>
      <c r="AM740" s="963">
        <v>-0.7446748355161028</v>
      </c>
      <c r="AN740" s="964">
        <v>-0.059699999999999975</v>
      </c>
      <c r="AO740" s="962">
        <v>28260.0</v>
      </c>
      <c r="AP740" s="965">
        <v>-0.7363199566677476</v>
      </c>
      <c r="AQ740" s="962">
        <v>28260.0</v>
      </c>
      <c r="AR740" s="966">
        <v>-0.7280954375128184</v>
      </c>
      <c r="AS740" s="624"/>
      <c r="AT740" s="624"/>
      <c r="AU740" s="624"/>
      <c r="AV740" s="624"/>
      <c r="AW740" s="624"/>
      <c r="AX740" s="624"/>
      <c r="AY740" s="624"/>
      <c r="AZ740" s="624"/>
      <c r="BA740" s="624"/>
      <c r="BB740" s="624"/>
      <c r="BC740" s="624"/>
      <c r="BD740" s="624"/>
      <c r="BE740" s="624"/>
    </row>
    <row r="741" ht="16.5" customHeight="1">
      <c r="A741" s="711"/>
      <c r="B741" s="711"/>
      <c r="C741" s="711"/>
      <c r="D741" s="711"/>
      <c r="E741" s="711"/>
      <c r="F741" s="711"/>
      <c r="G741" s="711"/>
      <c r="H741" s="711"/>
      <c r="I741" s="711"/>
      <c r="J741" s="711"/>
      <c r="K741" s="741"/>
      <c r="L741" s="741"/>
      <c r="M741" s="788"/>
      <c r="N741" s="741"/>
      <c r="O741" s="741"/>
      <c r="P741" s="741"/>
      <c r="Q741" s="741"/>
      <c r="R741" s="788"/>
      <c r="S741" s="819"/>
      <c r="T741" s="820"/>
      <c r="U741" s="819"/>
      <c r="V741" s="820"/>
      <c r="W741" s="788"/>
      <c r="X741" s="803"/>
      <c r="Y741" s="803"/>
      <c r="Z741" s="803"/>
      <c r="AA741" s="711"/>
      <c r="AB741" s="711"/>
      <c r="AC741" s="711"/>
      <c r="AD741" s="736"/>
      <c r="AE741" s="736"/>
      <c r="AF741" s="624"/>
      <c r="AG741" s="624"/>
      <c r="AH741" s="624"/>
      <c r="AI741" s="624"/>
      <c r="AJ741" s="960">
        <f t="shared" si="6"/>
        <v>741</v>
      </c>
      <c r="AK741" s="961">
        <v>0.9556</v>
      </c>
      <c r="AL741" s="962">
        <v>28000.0</v>
      </c>
      <c r="AM741" s="963">
        <v>-0.7414476277129778</v>
      </c>
      <c r="AN741" s="964">
        <v>-0.044399999999999995</v>
      </c>
      <c r="AO741" s="962">
        <v>28000.0</v>
      </c>
      <c r="AP741" s="965">
        <v>-0.7330662335221094</v>
      </c>
      <c r="AQ741" s="962">
        <v>28000.0</v>
      </c>
      <c r="AR741" s="966">
        <v>-0.7248179996164896</v>
      </c>
      <c r="AS741" s="624"/>
      <c r="AT741" s="624"/>
      <c r="AU741" s="624"/>
      <c r="AV741" s="624"/>
      <c r="AW741" s="624"/>
      <c r="AX741" s="624"/>
      <c r="AY741" s="624"/>
      <c r="AZ741" s="624"/>
      <c r="BA741" s="624"/>
      <c r="BB741" s="624"/>
      <c r="BC741" s="624"/>
      <c r="BD741" s="624"/>
      <c r="BE741" s="624"/>
    </row>
    <row r="742" ht="16.5" customHeight="1">
      <c r="A742" s="711"/>
      <c r="B742" s="711"/>
      <c r="C742" s="711"/>
      <c r="D742" s="711"/>
      <c r="E742" s="711"/>
      <c r="F742" s="711"/>
      <c r="G742" s="711"/>
      <c r="H742" s="711"/>
      <c r="I742" s="711"/>
      <c r="J742" s="711"/>
      <c r="K742" s="741"/>
      <c r="L742" s="741"/>
      <c r="M742" s="788"/>
      <c r="N742" s="741"/>
      <c r="O742" s="741"/>
      <c r="P742" s="741"/>
      <c r="Q742" s="741"/>
      <c r="R742" s="788"/>
      <c r="S742" s="819"/>
      <c r="T742" s="820"/>
      <c r="U742" s="819"/>
      <c r="V742" s="820"/>
      <c r="W742" s="788"/>
      <c r="X742" s="803"/>
      <c r="Y742" s="803"/>
      <c r="Z742" s="803"/>
      <c r="AA742" s="711"/>
      <c r="AB742" s="711"/>
      <c r="AC742" s="711"/>
      <c r="AD742" s="736"/>
      <c r="AE742" s="736"/>
      <c r="AF742" s="624"/>
      <c r="AG742" s="624"/>
      <c r="AH742" s="624"/>
      <c r="AI742" s="624"/>
      <c r="AJ742" s="960">
        <f t="shared" si="6"/>
        <v>742</v>
      </c>
      <c r="AK742" s="961">
        <v>0.996</v>
      </c>
      <c r="AL742" s="962">
        <v>27991.0</v>
      </c>
      <c r="AM742" s="963">
        <v>-0.741335189196686</v>
      </c>
      <c r="AN742" s="964">
        <v>-0.0040000000000000036</v>
      </c>
      <c r="AO742" s="962">
        <v>27991.0</v>
      </c>
      <c r="AP742" s="965">
        <v>-0.7329528885261333</v>
      </c>
      <c r="AQ742" s="962">
        <v>27991.0</v>
      </c>
      <c r="AR742" s="966">
        <v>-0.7247038451619741</v>
      </c>
      <c r="AS742" s="624"/>
      <c r="AT742" s="624"/>
      <c r="AU742" s="624"/>
      <c r="AV742" s="624"/>
      <c r="AW742" s="624"/>
      <c r="AX742" s="624"/>
      <c r="AY742" s="624"/>
      <c r="AZ742" s="624"/>
      <c r="BA742" s="624"/>
      <c r="BB742" s="624"/>
      <c r="BC742" s="624"/>
      <c r="BD742" s="624"/>
      <c r="BE742" s="624"/>
    </row>
    <row r="743" ht="16.5" customHeight="1">
      <c r="A743" s="711"/>
      <c r="B743" s="711"/>
      <c r="C743" s="711"/>
      <c r="D743" s="711"/>
      <c r="E743" s="711"/>
      <c r="F743" s="711"/>
      <c r="G743" s="711"/>
      <c r="H743" s="711"/>
      <c r="I743" s="711"/>
      <c r="J743" s="711"/>
      <c r="K743" s="741"/>
      <c r="L743" s="741"/>
      <c r="M743" s="788"/>
      <c r="N743" s="741"/>
      <c r="O743" s="741"/>
      <c r="P743" s="741"/>
      <c r="Q743" s="741"/>
      <c r="R743" s="788"/>
      <c r="S743" s="819"/>
      <c r="T743" s="820"/>
      <c r="U743" s="819"/>
      <c r="V743" s="820"/>
      <c r="W743" s="788"/>
      <c r="X743" s="803"/>
      <c r="Y743" s="803"/>
      <c r="Z743" s="803"/>
      <c r="AA743" s="711"/>
      <c r="AB743" s="711"/>
      <c r="AC743" s="711"/>
      <c r="AD743" s="736"/>
      <c r="AE743" s="736"/>
      <c r="AF743" s="624"/>
      <c r="AG743" s="624"/>
      <c r="AH743" s="624"/>
      <c r="AI743" s="624"/>
      <c r="AJ743" s="960">
        <f t="shared" si="6"/>
        <v>743</v>
      </c>
      <c r="AK743" s="961">
        <v>0.9313</v>
      </c>
      <c r="AL743" s="962">
        <v>27924.0</v>
      </c>
      <c r="AM743" s="963">
        <v>-0.7404966085386508</v>
      </c>
      <c r="AN743" s="964">
        <v>-0.06869999999999998</v>
      </c>
      <c r="AO743" s="962">
        <v>27924.0</v>
      </c>
      <c r="AP743" s="965">
        <v>-0.7321075838440658</v>
      </c>
      <c r="AQ743" s="962">
        <v>27924.0</v>
      </c>
      <c r="AR743" s="966">
        <v>-0.7238525388735289</v>
      </c>
      <c r="AS743" s="624"/>
      <c r="AT743" s="624"/>
      <c r="AU743" s="624"/>
      <c r="AV743" s="624"/>
      <c r="AW743" s="624"/>
      <c r="AX743" s="624"/>
      <c r="AY743" s="624"/>
      <c r="AZ743" s="624"/>
      <c r="BA743" s="624"/>
      <c r="BB743" s="624"/>
      <c r="BC743" s="624"/>
      <c r="BD743" s="624"/>
      <c r="BE743" s="624"/>
    </row>
    <row r="744" ht="16.5" customHeight="1">
      <c r="A744" s="711"/>
      <c r="B744" s="711"/>
      <c r="C744" s="711"/>
      <c r="D744" s="711"/>
      <c r="E744" s="711"/>
      <c r="F744" s="711"/>
      <c r="G744" s="711"/>
      <c r="H744" s="711"/>
      <c r="I744" s="711"/>
      <c r="J744" s="711"/>
      <c r="K744" s="741"/>
      <c r="L744" s="741"/>
      <c r="M744" s="788"/>
      <c r="N744" s="741"/>
      <c r="O744" s="741"/>
      <c r="P744" s="741"/>
      <c r="Q744" s="741"/>
      <c r="R744" s="788"/>
      <c r="S744" s="819"/>
      <c r="T744" s="820"/>
      <c r="U744" s="819"/>
      <c r="V744" s="820"/>
      <c r="W744" s="788"/>
      <c r="X744" s="803"/>
      <c r="Y744" s="803"/>
      <c r="Z744" s="803"/>
      <c r="AA744" s="711"/>
      <c r="AB744" s="711"/>
      <c r="AC744" s="711"/>
      <c r="AD744" s="736"/>
      <c r="AE744" s="736"/>
      <c r="AF744" s="624"/>
      <c r="AG744" s="624"/>
      <c r="AH744" s="624"/>
      <c r="AI744" s="624"/>
      <c r="AJ744" s="960">
        <f t="shared" si="6"/>
        <v>744</v>
      </c>
      <c r="AK744" s="961">
        <v>0.967</v>
      </c>
      <c r="AL744" s="962">
        <v>27906.0</v>
      </c>
      <c r="AM744" s="963">
        <v>-0.7402708552762738</v>
      </c>
      <c r="AN744" s="964">
        <v>-0.03300000000000003</v>
      </c>
      <c r="AO744" s="962">
        <v>27906.0</v>
      </c>
      <c r="AP744" s="965">
        <v>-0.7318800314302581</v>
      </c>
      <c r="AQ744" s="962">
        <v>27906.0</v>
      </c>
      <c r="AR744" s="966">
        <v>-0.7236233814342614</v>
      </c>
      <c r="AS744" s="624"/>
      <c r="AT744" s="624"/>
      <c r="AU744" s="624"/>
      <c r="AV744" s="624"/>
      <c r="AW744" s="624"/>
      <c r="AX744" s="624"/>
      <c r="AY744" s="624"/>
      <c r="AZ744" s="624"/>
      <c r="BA744" s="624"/>
      <c r="BB744" s="624"/>
      <c r="BC744" s="624"/>
      <c r="BD744" s="624"/>
      <c r="BE744" s="624"/>
    </row>
    <row r="745" ht="16.5" customHeight="1">
      <c r="A745" s="711"/>
      <c r="B745" s="711"/>
      <c r="C745" s="711"/>
      <c r="D745" s="711"/>
      <c r="E745" s="711"/>
      <c r="F745" s="711"/>
      <c r="G745" s="711"/>
      <c r="H745" s="711"/>
      <c r="I745" s="711"/>
      <c r="J745" s="711"/>
      <c r="K745" s="741"/>
      <c r="L745" s="741"/>
      <c r="M745" s="788"/>
      <c r="N745" s="741"/>
      <c r="O745" s="741"/>
      <c r="P745" s="741"/>
      <c r="Q745" s="741"/>
      <c r="R745" s="788"/>
      <c r="S745" s="819"/>
      <c r="T745" s="820"/>
      <c r="U745" s="819"/>
      <c r="V745" s="820"/>
      <c r="W745" s="788"/>
      <c r="X745" s="803"/>
      <c r="Y745" s="803"/>
      <c r="Z745" s="803"/>
      <c r="AA745" s="711"/>
      <c r="AB745" s="711"/>
      <c r="AC745" s="711"/>
      <c r="AD745" s="736"/>
      <c r="AE745" s="736"/>
      <c r="AF745" s="624"/>
      <c r="AG745" s="624"/>
      <c r="AH745" s="624"/>
      <c r="AI745" s="624"/>
      <c r="AJ745" s="960">
        <f t="shared" si="6"/>
        <v>745</v>
      </c>
      <c r="AK745" s="961">
        <v>0.967</v>
      </c>
      <c r="AL745" s="962">
        <v>27876.0</v>
      </c>
      <c r="AM745" s="963">
        <v>-0.7398941633267023</v>
      </c>
      <c r="AN745" s="964">
        <v>-0.03300000000000003</v>
      </c>
      <c r="AO745" s="962">
        <v>27876.0</v>
      </c>
      <c r="AP745" s="965">
        <v>-0.7315003477996765</v>
      </c>
      <c r="AQ745" s="962">
        <v>27876.0</v>
      </c>
      <c r="AR745" s="966">
        <v>-0.723241029705625</v>
      </c>
      <c r="AS745" s="624"/>
      <c r="AT745" s="624"/>
      <c r="AU745" s="624"/>
      <c r="AV745" s="624"/>
      <c r="AW745" s="624"/>
      <c r="AX745" s="624"/>
      <c r="AY745" s="624"/>
      <c r="AZ745" s="624"/>
      <c r="BA745" s="624"/>
      <c r="BB745" s="624"/>
      <c r="BC745" s="624"/>
      <c r="BD745" s="624"/>
      <c r="BE745" s="624"/>
    </row>
    <row r="746" ht="16.5" customHeight="1">
      <c r="A746" s="711"/>
      <c r="B746" s="711"/>
      <c r="C746" s="711"/>
      <c r="D746" s="711"/>
      <c r="E746" s="711"/>
      <c r="F746" s="711"/>
      <c r="G746" s="711"/>
      <c r="H746" s="711"/>
      <c r="I746" s="711"/>
      <c r="J746" s="711"/>
      <c r="K746" s="741"/>
      <c r="L746" s="741"/>
      <c r="M746" s="788"/>
      <c r="N746" s="741"/>
      <c r="O746" s="741"/>
      <c r="P746" s="741"/>
      <c r="Q746" s="741"/>
      <c r="R746" s="788"/>
      <c r="S746" s="819"/>
      <c r="T746" s="820"/>
      <c r="U746" s="819"/>
      <c r="V746" s="820"/>
      <c r="W746" s="788"/>
      <c r="X746" s="803"/>
      <c r="Y746" s="803"/>
      <c r="Z746" s="803"/>
      <c r="AA746" s="711"/>
      <c r="AB746" s="711"/>
      <c r="AC746" s="711"/>
      <c r="AD746" s="736"/>
      <c r="AE746" s="736"/>
      <c r="AF746" s="624"/>
      <c r="AG746" s="624"/>
      <c r="AH746" s="624"/>
      <c r="AI746" s="624"/>
      <c r="AJ746" s="960">
        <f t="shared" si="6"/>
        <v>746</v>
      </c>
      <c r="AK746" s="961">
        <v>0.942</v>
      </c>
      <c r="AL746" s="962">
        <v>27700.0</v>
      </c>
      <c r="AM746" s="963">
        <v>-0.7376732070732122</v>
      </c>
      <c r="AN746" s="964">
        <v>-0.05800000000000005</v>
      </c>
      <c r="AO746" s="962">
        <v>27700.0</v>
      </c>
      <c r="AP746" s="965">
        <v>-0.729262015749373</v>
      </c>
      <c r="AQ746" s="962">
        <v>27700.0</v>
      </c>
      <c r="AR746" s="966">
        <v>-0.7209872211423599</v>
      </c>
      <c r="AS746" s="624"/>
      <c r="AT746" s="624"/>
      <c r="AU746" s="624"/>
      <c r="AV746" s="624"/>
      <c r="AW746" s="624"/>
      <c r="AX746" s="624"/>
      <c r="AY746" s="624"/>
      <c r="AZ746" s="624"/>
      <c r="BA746" s="624"/>
      <c r="BB746" s="624"/>
      <c r="BC746" s="624"/>
      <c r="BD746" s="624"/>
      <c r="BE746" s="624"/>
    </row>
    <row r="747" ht="16.5" customHeight="1">
      <c r="A747" s="711"/>
      <c r="B747" s="711"/>
      <c r="C747" s="711"/>
      <c r="D747" s="711"/>
      <c r="E747" s="711"/>
      <c r="F747" s="711"/>
      <c r="G747" s="711"/>
      <c r="H747" s="711"/>
      <c r="I747" s="711"/>
      <c r="J747" s="711"/>
      <c r="K747" s="741"/>
      <c r="L747" s="741"/>
      <c r="M747" s="788"/>
      <c r="N747" s="741"/>
      <c r="O747" s="741"/>
      <c r="P747" s="741"/>
      <c r="Q747" s="741"/>
      <c r="R747" s="788"/>
      <c r="S747" s="819"/>
      <c r="T747" s="820"/>
      <c r="U747" s="819"/>
      <c r="V747" s="820"/>
      <c r="W747" s="788"/>
      <c r="X747" s="803"/>
      <c r="Y747" s="803"/>
      <c r="Z747" s="803"/>
      <c r="AA747" s="711"/>
      <c r="AB747" s="711"/>
      <c r="AC747" s="711"/>
      <c r="AD747" s="736"/>
      <c r="AE747" s="736"/>
      <c r="AF747" s="624"/>
      <c r="AG747" s="624"/>
      <c r="AH747" s="624"/>
      <c r="AI747" s="624"/>
      <c r="AJ747" s="960">
        <f t="shared" si="6"/>
        <v>747</v>
      </c>
      <c r="AK747" s="961">
        <v>0.921</v>
      </c>
      <c r="AL747" s="962">
        <v>27681.0</v>
      </c>
      <c r="AM747" s="963">
        <v>-0.7374323134884502</v>
      </c>
      <c r="AN747" s="964">
        <v>-0.07899999999999996</v>
      </c>
      <c r="AO747" s="962">
        <v>27681.0</v>
      </c>
      <c r="AP747" s="965">
        <v>-0.7290192644525046</v>
      </c>
      <c r="AQ747" s="962">
        <v>27681.0</v>
      </c>
      <c r="AR747" s="966">
        <v>-0.7207428172577344</v>
      </c>
      <c r="AS747" s="624"/>
      <c r="AT747" s="624"/>
      <c r="AU747" s="624"/>
      <c r="AV747" s="624"/>
      <c r="AW747" s="624"/>
      <c r="AX747" s="624"/>
      <c r="AY747" s="624"/>
      <c r="AZ747" s="624"/>
      <c r="BA747" s="624"/>
      <c r="BB747" s="624"/>
      <c r="BC747" s="624"/>
      <c r="BD747" s="624"/>
      <c r="BE747" s="624"/>
    </row>
    <row r="748" ht="16.5" customHeight="1">
      <c r="A748" s="711"/>
      <c r="B748" s="711"/>
      <c r="C748" s="711"/>
      <c r="D748" s="711"/>
      <c r="E748" s="711"/>
      <c r="F748" s="711"/>
      <c r="G748" s="711"/>
      <c r="H748" s="711"/>
      <c r="I748" s="711"/>
      <c r="J748" s="711"/>
      <c r="K748" s="741"/>
      <c r="L748" s="741"/>
      <c r="M748" s="788"/>
      <c r="N748" s="741"/>
      <c r="O748" s="741"/>
      <c r="P748" s="741"/>
      <c r="Q748" s="741"/>
      <c r="R748" s="788"/>
      <c r="S748" s="819"/>
      <c r="T748" s="820"/>
      <c r="U748" s="819"/>
      <c r="V748" s="820"/>
      <c r="W748" s="788"/>
      <c r="X748" s="803"/>
      <c r="Y748" s="803"/>
      <c r="Z748" s="803"/>
      <c r="AA748" s="711"/>
      <c r="AB748" s="711"/>
      <c r="AC748" s="711"/>
      <c r="AD748" s="736"/>
      <c r="AE748" s="736"/>
      <c r="AF748" s="624"/>
      <c r="AG748" s="624"/>
      <c r="AH748" s="624"/>
      <c r="AI748" s="624"/>
      <c r="AJ748" s="960">
        <f t="shared" si="6"/>
        <v>748</v>
      </c>
      <c r="AK748" s="961">
        <v>0.9918</v>
      </c>
      <c r="AL748" s="962">
        <v>27624.0</v>
      </c>
      <c r="AM748" s="963">
        <v>-0.736708304652065</v>
      </c>
      <c r="AN748" s="964">
        <v>-0.008199999999999985</v>
      </c>
      <c r="AO748" s="962">
        <v>27624.0</v>
      </c>
      <c r="AP748" s="965">
        <v>-0.7282897038352207</v>
      </c>
      <c r="AQ748" s="962">
        <v>27624.0</v>
      </c>
      <c r="AR748" s="966">
        <v>-0.7200083203261873</v>
      </c>
      <c r="AS748" s="624"/>
      <c r="AT748" s="624"/>
      <c r="AU748" s="624"/>
      <c r="AV748" s="624"/>
      <c r="AW748" s="624"/>
      <c r="AX748" s="624"/>
      <c r="AY748" s="624"/>
      <c r="AZ748" s="624"/>
      <c r="BA748" s="624"/>
      <c r="BB748" s="624"/>
      <c r="BC748" s="624"/>
      <c r="BD748" s="624"/>
      <c r="BE748" s="624"/>
    </row>
    <row r="749" ht="16.5" customHeight="1">
      <c r="A749" s="711"/>
      <c r="B749" s="711"/>
      <c r="C749" s="711"/>
      <c r="D749" s="711"/>
      <c r="E749" s="711"/>
      <c r="F749" s="711"/>
      <c r="G749" s="711"/>
      <c r="H749" s="711"/>
      <c r="I749" s="711"/>
      <c r="J749" s="711"/>
      <c r="K749" s="741"/>
      <c r="L749" s="741"/>
      <c r="M749" s="788"/>
      <c r="N749" s="741"/>
      <c r="O749" s="741"/>
      <c r="P749" s="741"/>
      <c r="Q749" s="741"/>
      <c r="R749" s="788"/>
      <c r="S749" s="819"/>
      <c r="T749" s="820"/>
      <c r="U749" s="819"/>
      <c r="V749" s="820"/>
      <c r="W749" s="788"/>
      <c r="X749" s="803"/>
      <c r="Y749" s="803"/>
      <c r="Z749" s="803"/>
      <c r="AA749" s="711"/>
      <c r="AB749" s="711"/>
      <c r="AC749" s="711"/>
      <c r="AD749" s="736"/>
      <c r="AE749" s="736"/>
      <c r="AF749" s="624"/>
      <c r="AG749" s="624"/>
      <c r="AH749" s="624"/>
      <c r="AI749" s="624"/>
      <c r="AJ749" s="960">
        <f t="shared" si="6"/>
        <v>749</v>
      </c>
      <c r="AK749" s="961">
        <v>0.9771</v>
      </c>
      <c r="AL749" s="962">
        <v>27594.0</v>
      </c>
      <c r="AM749" s="963">
        <v>-0.7363264458424498</v>
      </c>
      <c r="AN749" s="964">
        <v>-0.02290000000000003</v>
      </c>
      <c r="AO749" s="962">
        <v>27594.0</v>
      </c>
      <c r="AP749" s="965">
        <v>-0.7279049359558847</v>
      </c>
      <c r="AQ749" s="962">
        <v>27594.0</v>
      </c>
      <c r="AR749" s="966">
        <v>-0.7196209673609377</v>
      </c>
      <c r="AS749" s="624"/>
      <c r="AT749" s="624"/>
      <c r="AU749" s="624"/>
      <c r="AV749" s="624"/>
      <c r="AW749" s="624"/>
      <c r="AX749" s="624"/>
      <c r="AY749" s="624"/>
      <c r="AZ749" s="624"/>
      <c r="BA749" s="624"/>
      <c r="BB749" s="624"/>
      <c r="BC749" s="624"/>
      <c r="BD749" s="624"/>
      <c r="BE749" s="624"/>
    </row>
    <row r="750" ht="16.5" customHeight="1">
      <c r="A750" s="711"/>
      <c r="B750" s="711"/>
      <c r="C750" s="711"/>
      <c r="D750" s="711"/>
      <c r="E750" s="711"/>
      <c r="F750" s="711"/>
      <c r="G750" s="711"/>
      <c r="H750" s="711"/>
      <c r="I750" s="711"/>
      <c r="J750" s="711"/>
      <c r="K750" s="741"/>
      <c r="L750" s="741"/>
      <c r="M750" s="788"/>
      <c r="N750" s="741"/>
      <c r="O750" s="741"/>
      <c r="P750" s="741"/>
      <c r="Q750" s="741"/>
      <c r="R750" s="788"/>
      <c r="S750" s="819"/>
      <c r="T750" s="820"/>
      <c r="U750" s="819"/>
      <c r="V750" s="820"/>
      <c r="W750" s="788"/>
      <c r="X750" s="803"/>
      <c r="Y750" s="803"/>
      <c r="Z750" s="803"/>
      <c r="AA750" s="711"/>
      <c r="AB750" s="711"/>
      <c r="AC750" s="711"/>
      <c r="AD750" s="736"/>
      <c r="AE750" s="736"/>
      <c r="AF750" s="624"/>
      <c r="AG750" s="624"/>
      <c r="AH750" s="624"/>
      <c r="AI750" s="624"/>
      <c r="AJ750" s="960">
        <f t="shared" si="6"/>
        <v>750</v>
      </c>
      <c r="AK750" s="961">
        <v>0.9283</v>
      </c>
      <c r="AL750" s="962">
        <v>27426.0</v>
      </c>
      <c r="AM750" s="963">
        <v>-0.7341777791291992</v>
      </c>
      <c r="AN750" s="964">
        <v>-0.07169999999999999</v>
      </c>
      <c r="AO750" s="962">
        <v>27426.0</v>
      </c>
      <c r="AP750" s="965">
        <v>-0.7257401447742983</v>
      </c>
      <c r="AQ750" s="962">
        <v>27426.0</v>
      </c>
      <c r="AR750" s="966">
        <v>-0.7174418666347535</v>
      </c>
      <c r="AS750" s="624"/>
      <c r="AT750" s="624"/>
      <c r="AU750" s="624"/>
      <c r="AV750" s="624"/>
      <c r="AW750" s="624"/>
      <c r="AX750" s="624"/>
      <c r="AY750" s="624"/>
      <c r="AZ750" s="624"/>
      <c r="BA750" s="624"/>
      <c r="BB750" s="624"/>
      <c r="BC750" s="624"/>
      <c r="BD750" s="624"/>
      <c r="BE750" s="624"/>
    </row>
    <row r="751" ht="16.5" customHeight="1">
      <c r="A751" s="711"/>
      <c r="B751" s="711"/>
      <c r="C751" s="711"/>
      <c r="D751" s="711"/>
      <c r="E751" s="711"/>
      <c r="F751" s="711"/>
      <c r="G751" s="711"/>
      <c r="H751" s="711"/>
      <c r="I751" s="711"/>
      <c r="J751" s="711"/>
      <c r="K751" s="741"/>
      <c r="L751" s="741"/>
      <c r="M751" s="788"/>
      <c r="N751" s="741"/>
      <c r="O751" s="741"/>
      <c r="P751" s="741"/>
      <c r="Q751" s="741"/>
      <c r="R751" s="788"/>
      <c r="S751" s="819"/>
      <c r="T751" s="820"/>
      <c r="U751" s="819"/>
      <c r="V751" s="820"/>
      <c r="W751" s="788"/>
      <c r="X751" s="803"/>
      <c r="Y751" s="803"/>
      <c r="Z751" s="803"/>
      <c r="AA751" s="711"/>
      <c r="AB751" s="711"/>
      <c r="AC751" s="711"/>
      <c r="AD751" s="736"/>
      <c r="AE751" s="736"/>
      <c r="AF751" s="624"/>
      <c r="AG751" s="624"/>
      <c r="AH751" s="624"/>
      <c r="AI751" s="624"/>
      <c r="AJ751" s="960">
        <f t="shared" si="6"/>
        <v>751</v>
      </c>
      <c r="AK751" s="961">
        <v>0.9905</v>
      </c>
      <c r="AL751" s="962">
        <v>27355.0</v>
      </c>
      <c r="AM751" s="963">
        <v>-0.7332644563221162</v>
      </c>
      <c r="AN751" s="964">
        <v>-0.009499999999999953</v>
      </c>
      <c r="AO751" s="962">
        <v>27355.0</v>
      </c>
      <c r="AP751" s="965">
        <v>-0.7248200932025638</v>
      </c>
      <c r="AQ751" s="962">
        <v>27355.0</v>
      </c>
      <c r="AR751" s="966">
        <v>-0.7165158535930242</v>
      </c>
      <c r="AS751" s="624"/>
      <c r="AT751" s="624"/>
      <c r="AU751" s="624"/>
      <c r="AV751" s="624"/>
      <c r="AW751" s="624"/>
      <c r="AX751" s="624"/>
      <c r="AY751" s="624"/>
      <c r="AZ751" s="624"/>
      <c r="BA751" s="624"/>
      <c r="BB751" s="624"/>
      <c r="BC751" s="624"/>
      <c r="BD751" s="624"/>
      <c r="BE751" s="624"/>
    </row>
    <row r="752" ht="16.5" customHeight="1">
      <c r="A752" s="711"/>
      <c r="B752" s="711"/>
      <c r="C752" s="711"/>
      <c r="D752" s="711"/>
      <c r="E752" s="711"/>
      <c r="F752" s="711"/>
      <c r="G752" s="711"/>
      <c r="H752" s="711"/>
      <c r="I752" s="711"/>
      <c r="J752" s="711"/>
      <c r="K752" s="741"/>
      <c r="L752" s="741"/>
      <c r="M752" s="788"/>
      <c r="N752" s="741"/>
      <c r="O752" s="741"/>
      <c r="P752" s="741"/>
      <c r="Q752" s="741"/>
      <c r="R752" s="788"/>
      <c r="S752" s="819"/>
      <c r="T752" s="820"/>
      <c r="U752" s="819"/>
      <c r="V752" s="820"/>
      <c r="W752" s="788"/>
      <c r="X752" s="803"/>
      <c r="Y752" s="803"/>
      <c r="Z752" s="803"/>
      <c r="AA752" s="711"/>
      <c r="AB752" s="711"/>
      <c r="AC752" s="711"/>
      <c r="AD752" s="736"/>
      <c r="AE752" s="736"/>
      <c r="AF752" s="624"/>
      <c r="AG752" s="624"/>
      <c r="AH752" s="624"/>
      <c r="AI752" s="624"/>
      <c r="AJ752" s="960">
        <f t="shared" si="6"/>
        <v>752</v>
      </c>
      <c r="AK752" s="961">
        <v>0.924</v>
      </c>
      <c r="AL752" s="962">
        <v>27279.0</v>
      </c>
      <c r="AM752" s="963">
        <v>-0.732283337432089</v>
      </c>
      <c r="AN752" s="964">
        <v>-0.07599999999999996</v>
      </c>
      <c r="AO752" s="962">
        <v>27279.0</v>
      </c>
      <c r="AP752" s="965">
        <v>-0.7238318288382004</v>
      </c>
      <c r="AQ752" s="962">
        <v>27279.0</v>
      </c>
      <c r="AR752" s="966">
        <v>-0.7155212652324983</v>
      </c>
      <c r="AS752" s="624"/>
      <c r="AT752" s="624"/>
      <c r="AU752" s="624"/>
      <c r="AV752" s="624"/>
      <c r="AW752" s="624"/>
      <c r="AX752" s="624"/>
      <c r="AY752" s="624"/>
      <c r="AZ752" s="624"/>
      <c r="BA752" s="624"/>
      <c r="BB752" s="624"/>
      <c r="BC752" s="624"/>
      <c r="BD752" s="624"/>
      <c r="BE752" s="624"/>
    </row>
    <row r="753" ht="16.5" customHeight="1">
      <c r="A753" s="711"/>
      <c r="B753" s="711"/>
      <c r="C753" s="711"/>
      <c r="D753" s="711"/>
      <c r="E753" s="711"/>
      <c r="F753" s="711"/>
      <c r="G753" s="711"/>
      <c r="H753" s="711"/>
      <c r="I753" s="711"/>
      <c r="J753" s="711"/>
      <c r="K753" s="741"/>
      <c r="L753" s="741"/>
      <c r="M753" s="788"/>
      <c r="N753" s="741"/>
      <c r="O753" s="741"/>
      <c r="P753" s="741"/>
      <c r="Q753" s="741"/>
      <c r="R753" s="788"/>
      <c r="S753" s="819"/>
      <c r="T753" s="820"/>
      <c r="U753" s="819"/>
      <c r="V753" s="820"/>
      <c r="W753" s="788"/>
      <c r="X753" s="803"/>
      <c r="Y753" s="803"/>
      <c r="Z753" s="803"/>
      <c r="AA753" s="711"/>
      <c r="AB753" s="711"/>
      <c r="AC753" s="711"/>
      <c r="AD753" s="736"/>
      <c r="AE753" s="736"/>
      <c r="AF753" s="624"/>
      <c r="AG753" s="624"/>
      <c r="AH753" s="624"/>
      <c r="AI753" s="624"/>
      <c r="AJ753" s="960">
        <f t="shared" si="6"/>
        <v>753</v>
      </c>
      <c r="AK753" s="961">
        <v>0.9516</v>
      </c>
      <c r="AL753" s="962">
        <v>27120.0</v>
      </c>
      <c r="AM753" s="963">
        <v>-0.7302190451377988</v>
      </c>
      <c r="AN753" s="964">
        <v>-0.0484</v>
      </c>
      <c r="AO753" s="962">
        <v>27120.0</v>
      </c>
      <c r="AP753" s="965">
        <v>-0.7217527808701348</v>
      </c>
      <c r="AQ753" s="962">
        <v>27120.0</v>
      </c>
      <c r="AR753" s="966">
        <v>-0.713429180603667</v>
      </c>
      <c r="AS753" s="624"/>
      <c r="AT753" s="624"/>
      <c r="AU753" s="624"/>
      <c r="AV753" s="624"/>
      <c r="AW753" s="624"/>
      <c r="AX753" s="624"/>
      <c r="AY753" s="624"/>
      <c r="AZ753" s="624"/>
      <c r="BA753" s="624"/>
      <c r="BB753" s="624"/>
      <c r="BC753" s="624"/>
      <c r="BD753" s="624"/>
      <c r="BE753" s="624"/>
    </row>
    <row r="754" ht="16.5" customHeight="1">
      <c r="A754" s="711"/>
      <c r="B754" s="711"/>
      <c r="C754" s="711"/>
      <c r="D754" s="711"/>
      <c r="E754" s="711"/>
      <c r="F754" s="711"/>
      <c r="G754" s="711"/>
      <c r="H754" s="711"/>
      <c r="I754" s="711"/>
      <c r="J754" s="711"/>
      <c r="K754" s="741"/>
      <c r="L754" s="741"/>
      <c r="M754" s="788"/>
      <c r="N754" s="741"/>
      <c r="O754" s="741"/>
      <c r="P754" s="741"/>
      <c r="Q754" s="741"/>
      <c r="R754" s="788"/>
      <c r="S754" s="819"/>
      <c r="T754" s="820"/>
      <c r="U754" s="819"/>
      <c r="V754" s="820"/>
      <c r="W754" s="788"/>
      <c r="X754" s="803"/>
      <c r="Y754" s="803"/>
      <c r="Z754" s="803"/>
      <c r="AA754" s="711"/>
      <c r="AB754" s="711"/>
      <c r="AC754" s="711"/>
      <c r="AD754" s="736"/>
      <c r="AE754" s="736"/>
      <c r="AF754" s="624"/>
      <c r="AG754" s="624"/>
      <c r="AH754" s="624"/>
      <c r="AI754" s="624"/>
      <c r="AJ754" s="960">
        <f t="shared" si="6"/>
        <v>754</v>
      </c>
      <c r="AK754" s="961">
        <v>0.9771</v>
      </c>
      <c r="AL754" s="962">
        <v>27100.0</v>
      </c>
      <c r="AM754" s="963">
        <v>-0.7299582612481275</v>
      </c>
      <c r="AN754" s="964">
        <v>-0.02290000000000003</v>
      </c>
      <c r="AO754" s="962">
        <v>27100.0</v>
      </c>
      <c r="AP754" s="965">
        <v>-0.721490159635134</v>
      </c>
      <c r="AQ754" s="962">
        <v>27100.0</v>
      </c>
      <c r="AR754" s="966">
        <v>-0.7131649382808443</v>
      </c>
      <c r="AS754" s="624"/>
      <c r="AT754" s="624"/>
      <c r="AU754" s="624"/>
      <c r="AV754" s="624"/>
      <c r="AW754" s="624"/>
      <c r="AX754" s="624"/>
      <c r="AY754" s="624"/>
      <c r="AZ754" s="624"/>
      <c r="BA754" s="624"/>
      <c r="BB754" s="624"/>
      <c r="BC754" s="624"/>
      <c r="BD754" s="624"/>
      <c r="BE754" s="624"/>
    </row>
    <row r="755" ht="16.5" customHeight="1">
      <c r="A755" s="711"/>
      <c r="B755" s="711"/>
      <c r="C755" s="711"/>
      <c r="D755" s="711"/>
      <c r="E755" s="711"/>
      <c r="F755" s="711"/>
      <c r="G755" s="711"/>
      <c r="H755" s="711"/>
      <c r="I755" s="711"/>
      <c r="J755" s="711"/>
      <c r="K755" s="741"/>
      <c r="L755" s="741"/>
      <c r="M755" s="788"/>
      <c r="N755" s="741"/>
      <c r="O755" s="741"/>
      <c r="P755" s="741"/>
      <c r="Q755" s="741"/>
      <c r="R755" s="788"/>
      <c r="S755" s="819"/>
      <c r="T755" s="820"/>
      <c r="U755" s="819"/>
      <c r="V755" s="820"/>
      <c r="W755" s="788"/>
      <c r="X755" s="803"/>
      <c r="Y755" s="803"/>
      <c r="Z755" s="803"/>
      <c r="AA755" s="711"/>
      <c r="AB755" s="711"/>
      <c r="AC755" s="711"/>
      <c r="AD755" s="736"/>
      <c r="AE755" s="736"/>
      <c r="AF755" s="624"/>
      <c r="AG755" s="624"/>
      <c r="AH755" s="624"/>
      <c r="AI755" s="624"/>
      <c r="AJ755" s="960">
        <f t="shared" si="6"/>
        <v>755</v>
      </c>
      <c r="AK755" s="961">
        <v>0.9881</v>
      </c>
      <c r="AL755" s="962">
        <v>27037.0</v>
      </c>
      <c r="AM755" s="963">
        <v>-0.7291351431510533</v>
      </c>
      <c r="AN755" s="964">
        <v>-0.011900000000000022</v>
      </c>
      <c r="AO755" s="962">
        <v>27037.0</v>
      </c>
      <c r="AP755" s="965">
        <v>-0.7206612814901865</v>
      </c>
      <c r="AQ755" s="962">
        <v>27037.0</v>
      </c>
      <c r="AR755" s="966">
        <v>-0.712330981330562</v>
      </c>
      <c r="AS755" s="624"/>
      <c r="AT755" s="624"/>
      <c r="AU755" s="624"/>
      <c r="AV755" s="624"/>
      <c r="AW755" s="624"/>
      <c r="AX755" s="624"/>
      <c r="AY755" s="624"/>
      <c r="AZ755" s="624"/>
      <c r="BA755" s="624"/>
      <c r="BB755" s="624"/>
      <c r="BC755" s="624"/>
      <c r="BD755" s="624"/>
      <c r="BE755" s="624"/>
    </row>
    <row r="756" ht="16.5" customHeight="1">
      <c r="A756" s="711"/>
      <c r="B756" s="711"/>
      <c r="C756" s="711"/>
      <c r="D756" s="711"/>
      <c r="E756" s="711"/>
      <c r="F756" s="711"/>
      <c r="G756" s="711"/>
      <c r="H756" s="711"/>
      <c r="I756" s="711"/>
      <c r="J756" s="711"/>
      <c r="K756" s="741"/>
      <c r="L756" s="741"/>
      <c r="M756" s="788"/>
      <c r="N756" s="741"/>
      <c r="O756" s="741"/>
      <c r="P756" s="741"/>
      <c r="Q756" s="741"/>
      <c r="R756" s="788"/>
      <c r="S756" s="819"/>
      <c r="T756" s="820"/>
      <c r="U756" s="819"/>
      <c r="V756" s="820"/>
      <c r="W756" s="788"/>
      <c r="X756" s="803"/>
      <c r="Y756" s="803"/>
      <c r="Z756" s="803"/>
      <c r="AA756" s="711"/>
      <c r="AB756" s="711"/>
      <c r="AC756" s="711"/>
      <c r="AD756" s="736"/>
      <c r="AE756" s="736"/>
      <c r="AF756" s="624"/>
      <c r="AG756" s="624"/>
      <c r="AH756" s="624"/>
      <c r="AI756" s="624"/>
      <c r="AJ756" s="960">
        <f t="shared" si="6"/>
        <v>756</v>
      </c>
      <c r="AK756" s="961">
        <v>0.9991</v>
      </c>
      <c r="AL756" s="962">
        <v>27015.0</v>
      </c>
      <c r="AM756" s="963">
        <v>-0.728847114426153</v>
      </c>
      <c r="AN756" s="964">
        <v>-9.000000000000119E-4</v>
      </c>
      <c r="AO756" s="962">
        <v>27015.0</v>
      </c>
      <c r="AP756" s="965">
        <v>-0.7203712512265862</v>
      </c>
      <c r="AQ756" s="962">
        <v>27015.0</v>
      </c>
      <c r="AR756" s="966">
        <v>-0.7120391874318863</v>
      </c>
      <c r="AS756" s="624"/>
      <c r="AT756" s="624"/>
      <c r="AU756" s="624"/>
      <c r="AV756" s="624"/>
      <c r="AW756" s="624"/>
      <c r="AX756" s="624"/>
      <c r="AY756" s="624"/>
      <c r="AZ756" s="624"/>
      <c r="BA756" s="624"/>
      <c r="BB756" s="624"/>
      <c r="BC756" s="624"/>
      <c r="BD756" s="624"/>
      <c r="BE756" s="624"/>
    </row>
    <row r="757" ht="16.5" customHeight="1">
      <c r="A757" s="711"/>
      <c r="B757" s="711"/>
      <c r="C757" s="711"/>
      <c r="D757" s="711"/>
      <c r="E757" s="711"/>
      <c r="F757" s="711"/>
      <c r="G757" s="711"/>
      <c r="H757" s="711"/>
      <c r="I757" s="711"/>
      <c r="J757" s="711"/>
      <c r="K757" s="741"/>
      <c r="L757" s="741"/>
      <c r="M757" s="788"/>
      <c r="N757" s="741"/>
      <c r="O757" s="741"/>
      <c r="P757" s="741"/>
      <c r="Q757" s="741"/>
      <c r="R757" s="788"/>
      <c r="S757" s="819"/>
      <c r="T757" s="820"/>
      <c r="U757" s="819"/>
      <c r="V757" s="820"/>
      <c r="W757" s="788"/>
      <c r="X757" s="803"/>
      <c r="Y757" s="803"/>
      <c r="Z757" s="803"/>
      <c r="AA757" s="711"/>
      <c r="AB757" s="711"/>
      <c r="AC757" s="711"/>
      <c r="AD757" s="736"/>
      <c r="AE757" s="736"/>
      <c r="AF757" s="624"/>
      <c r="AG757" s="624"/>
      <c r="AH757" s="624"/>
      <c r="AI757" s="624"/>
      <c r="AJ757" s="960">
        <f t="shared" si="6"/>
        <v>757</v>
      </c>
      <c r="AK757" s="961">
        <v>0.9621</v>
      </c>
      <c r="AL757" s="962">
        <v>27000.0</v>
      </c>
      <c r="AM757" s="963">
        <v>-0.7286505556195534</v>
      </c>
      <c r="AN757" s="964">
        <v>-0.037900000000000045</v>
      </c>
      <c r="AO757" s="962">
        <v>27000.0</v>
      </c>
      <c r="AP757" s="965">
        <v>-0.7201733306859914</v>
      </c>
      <c r="AQ757" s="962">
        <v>27000.0</v>
      </c>
      <c r="AR757" s="966">
        <v>-0.7118400673665886</v>
      </c>
      <c r="AS757" s="624"/>
      <c r="AT757" s="624"/>
      <c r="AU757" s="624"/>
      <c r="AV757" s="624"/>
      <c r="AW757" s="624"/>
      <c r="AX757" s="624"/>
      <c r="AY757" s="624"/>
      <c r="AZ757" s="624"/>
      <c r="BA757" s="624"/>
      <c r="BB757" s="624"/>
      <c r="BC757" s="624"/>
      <c r="BD757" s="624"/>
      <c r="BE757" s="624"/>
    </row>
    <row r="758" ht="16.5" customHeight="1">
      <c r="A758" s="711"/>
      <c r="B758" s="711"/>
      <c r="C758" s="711"/>
      <c r="D758" s="711"/>
      <c r="E758" s="711"/>
      <c r="F758" s="711"/>
      <c r="G758" s="711"/>
      <c r="H758" s="711"/>
      <c r="I758" s="711"/>
      <c r="J758" s="711"/>
      <c r="K758" s="741"/>
      <c r="L758" s="741"/>
      <c r="M758" s="788"/>
      <c r="N758" s="741"/>
      <c r="O758" s="741"/>
      <c r="P758" s="741"/>
      <c r="Q758" s="741"/>
      <c r="R758" s="788"/>
      <c r="S758" s="819"/>
      <c r="T758" s="820"/>
      <c r="U758" s="819"/>
      <c r="V758" s="820"/>
      <c r="W758" s="788"/>
      <c r="X758" s="803"/>
      <c r="Y758" s="803"/>
      <c r="Z758" s="803"/>
      <c r="AA758" s="711"/>
      <c r="AB758" s="711"/>
      <c r="AC758" s="711"/>
      <c r="AD758" s="736"/>
      <c r="AE758" s="736"/>
      <c r="AF758" s="624"/>
      <c r="AG758" s="624"/>
      <c r="AH758" s="624"/>
      <c r="AI758" s="624"/>
      <c r="AJ758" s="960">
        <f t="shared" si="6"/>
        <v>758</v>
      </c>
      <c r="AK758" s="961">
        <v>0.9671</v>
      </c>
      <c r="AL758" s="962">
        <v>27000.0</v>
      </c>
      <c r="AM758" s="963">
        <v>-0.7286505556195534</v>
      </c>
      <c r="AN758" s="964">
        <v>-0.03290000000000004</v>
      </c>
      <c r="AO758" s="962">
        <v>27000.0</v>
      </c>
      <c r="AP758" s="965">
        <v>-0.7201733306859914</v>
      </c>
      <c r="AQ758" s="962">
        <v>27000.0</v>
      </c>
      <c r="AR758" s="966">
        <v>-0.7118400673665886</v>
      </c>
      <c r="AS758" s="624"/>
      <c r="AT758" s="624"/>
      <c r="AU758" s="624"/>
      <c r="AV758" s="624"/>
      <c r="AW758" s="624"/>
      <c r="AX758" s="624"/>
      <c r="AY758" s="624"/>
      <c r="AZ758" s="624"/>
      <c r="BA758" s="624"/>
      <c r="BB758" s="624"/>
      <c r="BC758" s="624"/>
      <c r="BD758" s="624"/>
      <c r="BE758" s="624"/>
    </row>
    <row r="759" ht="16.5" customHeight="1">
      <c r="A759" s="711"/>
      <c r="B759" s="711"/>
      <c r="C759" s="711"/>
      <c r="D759" s="711"/>
      <c r="E759" s="711"/>
      <c r="F759" s="711"/>
      <c r="G759" s="711"/>
      <c r="H759" s="711"/>
      <c r="I759" s="711"/>
      <c r="J759" s="711"/>
      <c r="K759" s="741"/>
      <c r="L759" s="741"/>
      <c r="M759" s="788"/>
      <c r="N759" s="741"/>
      <c r="O759" s="741"/>
      <c r="P759" s="741"/>
      <c r="Q759" s="741"/>
      <c r="R759" s="788"/>
      <c r="S759" s="819"/>
      <c r="T759" s="820"/>
      <c r="U759" s="819"/>
      <c r="V759" s="820"/>
      <c r="W759" s="788"/>
      <c r="X759" s="803"/>
      <c r="Y759" s="803"/>
      <c r="Z759" s="803"/>
      <c r="AA759" s="711"/>
      <c r="AB759" s="711"/>
      <c r="AC759" s="711"/>
      <c r="AD759" s="736"/>
      <c r="AE759" s="736"/>
      <c r="AF759" s="624"/>
      <c r="AG759" s="624"/>
      <c r="AH759" s="624"/>
      <c r="AI759" s="624"/>
      <c r="AJ759" s="960">
        <f t="shared" si="6"/>
        <v>759</v>
      </c>
      <c r="AK759" s="961">
        <v>0.9467</v>
      </c>
      <c r="AL759" s="962">
        <v>27000.0</v>
      </c>
      <c r="AM759" s="963">
        <v>-0.7286505556195534</v>
      </c>
      <c r="AN759" s="964">
        <v>-0.053300000000000014</v>
      </c>
      <c r="AO759" s="962">
        <v>27000.0</v>
      </c>
      <c r="AP759" s="965">
        <v>-0.7201733306859914</v>
      </c>
      <c r="AQ759" s="962">
        <v>27000.0</v>
      </c>
      <c r="AR759" s="966">
        <v>-0.7118400673665886</v>
      </c>
      <c r="AS759" s="624"/>
      <c r="AT759" s="624"/>
      <c r="AU759" s="624"/>
      <c r="AV759" s="624"/>
      <c r="AW759" s="624"/>
      <c r="AX759" s="624"/>
      <c r="AY759" s="624"/>
      <c r="AZ759" s="624"/>
      <c r="BA759" s="624"/>
      <c r="BB759" s="624"/>
      <c r="BC759" s="624"/>
      <c r="BD759" s="624"/>
      <c r="BE759" s="624"/>
    </row>
    <row r="760" ht="16.5" customHeight="1">
      <c r="A760" s="711"/>
      <c r="B760" s="711"/>
      <c r="C760" s="711"/>
      <c r="D760" s="711"/>
      <c r="E760" s="711"/>
      <c r="F760" s="711"/>
      <c r="G760" s="711"/>
      <c r="H760" s="711"/>
      <c r="I760" s="711"/>
      <c r="J760" s="711"/>
      <c r="K760" s="741"/>
      <c r="L760" s="741"/>
      <c r="M760" s="788"/>
      <c r="N760" s="741"/>
      <c r="O760" s="741"/>
      <c r="P760" s="741"/>
      <c r="Q760" s="741"/>
      <c r="R760" s="788"/>
      <c r="S760" s="819"/>
      <c r="T760" s="820"/>
      <c r="U760" s="819"/>
      <c r="V760" s="820"/>
      <c r="W760" s="788"/>
      <c r="X760" s="803"/>
      <c r="Y760" s="803"/>
      <c r="Z760" s="803"/>
      <c r="AA760" s="711"/>
      <c r="AB760" s="711"/>
      <c r="AC760" s="711"/>
      <c r="AD760" s="736"/>
      <c r="AE760" s="736"/>
      <c r="AF760" s="624"/>
      <c r="AG760" s="624"/>
      <c r="AH760" s="624"/>
      <c r="AI760" s="624"/>
      <c r="AJ760" s="960">
        <f t="shared" si="6"/>
        <v>760</v>
      </c>
      <c r="AK760" s="961">
        <v>0.9695</v>
      </c>
      <c r="AL760" s="962">
        <v>27000.0</v>
      </c>
      <c r="AM760" s="963">
        <v>-0.7286505556195534</v>
      </c>
      <c r="AN760" s="964">
        <v>-0.03049999999999997</v>
      </c>
      <c r="AO760" s="962">
        <v>27000.0</v>
      </c>
      <c r="AP760" s="965">
        <v>-0.7201733306859914</v>
      </c>
      <c r="AQ760" s="962">
        <v>27000.0</v>
      </c>
      <c r="AR760" s="966">
        <v>-0.7118400673665886</v>
      </c>
      <c r="AS760" s="624"/>
      <c r="AT760" s="624"/>
      <c r="AU760" s="624"/>
      <c r="AV760" s="624"/>
      <c r="AW760" s="624"/>
      <c r="AX760" s="624"/>
      <c r="AY760" s="624"/>
      <c r="AZ760" s="624"/>
      <c r="BA760" s="624"/>
      <c r="BB760" s="624"/>
      <c r="BC760" s="624"/>
      <c r="BD760" s="624"/>
      <c r="BE760" s="624"/>
    </row>
    <row r="761" ht="16.5" customHeight="1">
      <c r="A761" s="711"/>
      <c r="B761" s="711"/>
      <c r="C761" s="711"/>
      <c r="D761" s="711"/>
      <c r="E761" s="711"/>
      <c r="F761" s="711"/>
      <c r="G761" s="711"/>
      <c r="H761" s="711"/>
      <c r="I761" s="711"/>
      <c r="J761" s="711"/>
      <c r="K761" s="741"/>
      <c r="L761" s="741"/>
      <c r="M761" s="788"/>
      <c r="N761" s="741"/>
      <c r="O761" s="741"/>
      <c r="P761" s="741"/>
      <c r="Q761" s="741"/>
      <c r="R761" s="788"/>
      <c r="S761" s="819"/>
      <c r="T761" s="820"/>
      <c r="U761" s="819"/>
      <c r="V761" s="820"/>
      <c r="W761" s="788"/>
      <c r="X761" s="803"/>
      <c r="Y761" s="803"/>
      <c r="Z761" s="803"/>
      <c r="AA761" s="711"/>
      <c r="AB761" s="711"/>
      <c r="AC761" s="711"/>
      <c r="AD761" s="736"/>
      <c r="AE761" s="736"/>
      <c r="AF761" s="624"/>
      <c r="AG761" s="624"/>
      <c r="AH761" s="624"/>
      <c r="AI761" s="624"/>
      <c r="AJ761" s="960">
        <f t="shared" si="6"/>
        <v>761</v>
      </c>
      <c r="AK761" s="961">
        <v>0.9585</v>
      </c>
      <c r="AL761" s="962">
        <v>27000.0</v>
      </c>
      <c r="AM761" s="963">
        <v>-0.7286505556195534</v>
      </c>
      <c r="AN761" s="964">
        <v>-0.04149999999999998</v>
      </c>
      <c r="AO761" s="962">
        <v>27000.0</v>
      </c>
      <c r="AP761" s="965">
        <v>-0.7201733306859914</v>
      </c>
      <c r="AQ761" s="962">
        <v>27000.0</v>
      </c>
      <c r="AR761" s="966">
        <v>-0.7118400673665886</v>
      </c>
      <c r="AS761" s="624"/>
      <c r="AT761" s="624"/>
      <c r="AU761" s="624"/>
      <c r="AV761" s="624"/>
      <c r="AW761" s="624"/>
      <c r="AX761" s="624"/>
      <c r="AY761" s="624"/>
      <c r="AZ761" s="624"/>
      <c r="BA761" s="624"/>
      <c r="BB761" s="624"/>
      <c r="BC761" s="624"/>
      <c r="BD761" s="624"/>
      <c r="BE761" s="624"/>
    </row>
    <row r="762" ht="16.5" customHeight="1">
      <c r="A762" s="711"/>
      <c r="B762" s="711"/>
      <c r="C762" s="711"/>
      <c r="D762" s="711"/>
      <c r="E762" s="711"/>
      <c r="F762" s="711"/>
      <c r="G762" s="711"/>
      <c r="H762" s="711"/>
      <c r="I762" s="711"/>
      <c r="J762" s="711"/>
      <c r="K762" s="741"/>
      <c r="L762" s="741"/>
      <c r="M762" s="788"/>
      <c r="N762" s="741"/>
      <c r="O762" s="741"/>
      <c r="P762" s="741"/>
      <c r="Q762" s="741"/>
      <c r="R762" s="788"/>
      <c r="S762" s="819"/>
      <c r="T762" s="820"/>
      <c r="U762" s="819"/>
      <c r="V762" s="820"/>
      <c r="W762" s="788"/>
      <c r="X762" s="803"/>
      <c r="Y762" s="803"/>
      <c r="Z762" s="803"/>
      <c r="AA762" s="711"/>
      <c r="AB762" s="711"/>
      <c r="AC762" s="711"/>
      <c r="AD762" s="736"/>
      <c r="AE762" s="736"/>
      <c r="AF762" s="624"/>
      <c r="AG762" s="624"/>
      <c r="AH762" s="624"/>
      <c r="AI762" s="624"/>
      <c r="AJ762" s="960">
        <f t="shared" si="6"/>
        <v>762</v>
      </c>
      <c r="AK762" s="961">
        <v>0.9919</v>
      </c>
      <c r="AL762" s="962">
        <v>27000.0</v>
      </c>
      <c r="AM762" s="963">
        <v>-0.7286505556195534</v>
      </c>
      <c r="AN762" s="964">
        <v>-0.008099999999999996</v>
      </c>
      <c r="AO762" s="962">
        <v>27000.0</v>
      </c>
      <c r="AP762" s="965">
        <v>-0.7201733306859914</v>
      </c>
      <c r="AQ762" s="962">
        <v>27000.0</v>
      </c>
      <c r="AR762" s="966">
        <v>-0.7118400673665886</v>
      </c>
      <c r="AS762" s="624"/>
      <c r="AT762" s="624"/>
      <c r="AU762" s="624"/>
      <c r="AV762" s="624"/>
      <c r="AW762" s="624"/>
      <c r="AX762" s="624"/>
      <c r="AY762" s="624"/>
      <c r="AZ762" s="624"/>
      <c r="BA762" s="624"/>
      <c r="BB762" s="624"/>
      <c r="BC762" s="624"/>
      <c r="BD762" s="624"/>
      <c r="BE762" s="624"/>
    </row>
    <row r="763" ht="16.5" customHeight="1">
      <c r="A763" s="711"/>
      <c r="B763" s="711"/>
      <c r="C763" s="711"/>
      <c r="D763" s="711"/>
      <c r="E763" s="711"/>
      <c r="F763" s="711"/>
      <c r="G763" s="711"/>
      <c r="H763" s="711"/>
      <c r="I763" s="711"/>
      <c r="J763" s="711"/>
      <c r="K763" s="741"/>
      <c r="L763" s="741"/>
      <c r="M763" s="788"/>
      <c r="N763" s="741"/>
      <c r="O763" s="741"/>
      <c r="P763" s="741"/>
      <c r="Q763" s="741"/>
      <c r="R763" s="788"/>
      <c r="S763" s="819"/>
      <c r="T763" s="820"/>
      <c r="U763" s="819"/>
      <c r="V763" s="820"/>
      <c r="W763" s="788"/>
      <c r="X763" s="803"/>
      <c r="Y763" s="803"/>
      <c r="Z763" s="803"/>
      <c r="AA763" s="711"/>
      <c r="AB763" s="711"/>
      <c r="AC763" s="711"/>
      <c r="AD763" s="736"/>
      <c r="AE763" s="736"/>
      <c r="AF763" s="624"/>
      <c r="AG763" s="624"/>
      <c r="AH763" s="624"/>
      <c r="AI763" s="624"/>
      <c r="AJ763" s="960">
        <f t="shared" si="6"/>
        <v>763</v>
      </c>
      <c r="AK763" s="961">
        <v>0.9771</v>
      </c>
      <c r="AL763" s="962">
        <v>26867.0</v>
      </c>
      <c r="AM763" s="963">
        <v>-0.7269014897049664</v>
      </c>
      <c r="AN763" s="964">
        <v>-0.02290000000000003</v>
      </c>
      <c r="AO763" s="962">
        <v>26867.0</v>
      </c>
      <c r="AP763" s="965">
        <v>-0.7184122960930384</v>
      </c>
      <c r="AQ763" s="962">
        <v>26867.0</v>
      </c>
      <c r="AR763" s="966">
        <v>-0.7100685024003224</v>
      </c>
      <c r="AS763" s="624"/>
      <c r="AT763" s="624"/>
      <c r="AU763" s="624"/>
      <c r="AV763" s="624"/>
      <c r="AW763" s="624"/>
      <c r="AX763" s="624"/>
      <c r="AY763" s="624"/>
      <c r="AZ763" s="624"/>
      <c r="BA763" s="624"/>
      <c r="BB763" s="624"/>
      <c r="BC763" s="624"/>
      <c r="BD763" s="624"/>
      <c r="BE763" s="624"/>
    </row>
    <row r="764" ht="16.5" customHeight="1">
      <c r="A764" s="711"/>
      <c r="B764" s="711"/>
      <c r="C764" s="711"/>
      <c r="D764" s="711"/>
      <c r="E764" s="711"/>
      <c r="F764" s="711"/>
      <c r="G764" s="711"/>
      <c r="H764" s="711"/>
      <c r="I764" s="711"/>
      <c r="J764" s="711"/>
      <c r="K764" s="741"/>
      <c r="L764" s="741"/>
      <c r="M764" s="788"/>
      <c r="N764" s="741"/>
      <c r="O764" s="741"/>
      <c r="P764" s="741"/>
      <c r="Q764" s="741"/>
      <c r="R764" s="788"/>
      <c r="S764" s="819"/>
      <c r="T764" s="820"/>
      <c r="U764" s="819"/>
      <c r="V764" s="820"/>
      <c r="W764" s="788"/>
      <c r="X764" s="803"/>
      <c r="Y764" s="803"/>
      <c r="Z764" s="803"/>
      <c r="AA764" s="711"/>
      <c r="AB764" s="711"/>
      <c r="AC764" s="711"/>
      <c r="AD764" s="736"/>
      <c r="AE764" s="736"/>
      <c r="AF764" s="624"/>
      <c r="AG764" s="624"/>
      <c r="AH764" s="624"/>
      <c r="AI764" s="624"/>
      <c r="AJ764" s="960">
        <f t="shared" si="6"/>
        <v>764</v>
      </c>
      <c r="AK764" s="961">
        <v>0.9593</v>
      </c>
      <c r="AL764" s="962">
        <v>26726.0</v>
      </c>
      <c r="AM764" s="963">
        <v>-0.7250349034785823</v>
      </c>
      <c r="AN764" s="964">
        <v>-0.04069999999999996</v>
      </c>
      <c r="AO764" s="962">
        <v>26726.0</v>
      </c>
      <c r="AP764" s="965">
        <v>-0.7165332303600743</v>
      </c>
      <c r="AQ764" s="962">
        <v>26726.0</v>
      </c>
      <c r="AR764" s="966">
        <v>-0.7081784819716248</v>
      </c>
      <c r="AS764" s="624"/>
      <c r="AT764" s="624"/>
      <c r="AU764" s="624"/>
      <c r="AV764" s="624"/>
      <c r="AW764" s="624"/>
      <c r="AX764" s="624"/>
      <c r="AY764" s="624"/>
      <c r="AZ764" s="624"/>
      <c r="BA764" s="624"/>
      <c r="BB764" s="624"/>
      <c r="BC764" s="624"/>
      <c r="BD764" s="624"/>
      <c r="BE764" s="624"/>
    </row>
    <row r="765" ht="16.5" customHeight="1">
      <c r="A765" s="711"/>
      <c r="B765" s="711"/>
      <c r="C765" s="711"/>
      <c r="D765" s="711"/>
      <c r="E765" s="711"/>
      <c r="F765" s="711"/>
      <c r="G765" s="711"/>
      <c r="H765" s="711"/>
      <c r="I765" s="711"/>
      <c r="J765" s="711"/>
      <c r="K765" s="741"/>
      <c r="L765" s="741"/>
      <c r="M765" s="788"/>
      <c r="N765" s="741"/>
      <c r="O765" s="741"/>
      <c r="P765" s="741"/>
      <c r="Q765" s="741"/>
      <c r="R765" s="788"/>
      <c r="S765" s="819"/>
      <c r="T765" s="820"/>
      <c r="U765" s="819"/>
      <c r="V765" s="820"/>
      <c r="W765" s="788"/>
      <c r="X765" s="803"/>
      <c r="Y765" s="803"/>
      <c r="Z765" s="803"/>
      <c r="AA765" s="711"/>
      <c r="AB765" s="711"/>
      <c r="AC765" s="711"/>
      <c r="AD765" s="736"/>
      <c r="AE765" s="736"/>
      <c r="AF765" s="624"/>
      <c r="AG765" s="624"/>
      <c r="AH765" s="624"/>
      <c r="AI765" s="624"/>
      <c r="AJ765" s="960">
        <f t="shared" si="6"/>
        <v>765</v>
      </c>
      <c r="AK765" s="961">
        <v>0.9634</v>
      </c>
      <c r="AL765" s="962">
        <v>26700.0</v>
      </c>
      <c r="AM765" s="963">
        <v>-0.7246893197028257</v>
      </c>
      <c r="AN765" s="964">
        <v>-0.036599999999999966</v>
      </c>
      <c r="AO765" s="962">
        <v>26700.0</v>
      </c>
      <c r="AP765" s="965">
        <v>-0.716185369167537</v>
      </c>
      <c r="AQ765" s="962">
        <v>26700.0</v>
      </c>
      <c r="AR765" s="966">
        <v>-0.7078286245196717</v>
      </c>
      <c r="AS765" s="624"/>
      <c r="AT765" s="624"/>
      <c r="AU765" s="624"/>
      <c r="AV765" s="624"/>
      <c r="AW765" s="624"/>
      <c r="AX765" s="624"/>
      <c r="AY765" s="624"/>
      <c r="AZ765" s="624"/>
      <c r="BA765" s="624"/>
      <c r="BB765" s="624"/>
      <c r="BC765" s="624"/>
      <c r="BD765" s="624"/>
      <c r="BE765" s="624"/>
    </row>
    <row r="766" ht="16.5" customHeight="1">
      <c r="A766" s="711"/>
      <c r="B766" s="711"/>
      <c r="C766" s="711"/>
      <c r="D766" s="711"/>
      <c r="E766" s="711"/>
      <c r="F766" s="711"/>
      <c r="G766" s="711"/>
      <c r="H766" s="711"/>
      <c r="I766" s="711"/>
      <c r="J766" s="711"/>
      <c r="K766" s="741"/>
      <c r="L766" s="741"/>
      <c r="M766" s="788"/>
      <c r="N766" s="741"/>
      <c r="O766" s="741"/>
      <c r="P766" s="741"/>
      <c r="Q766" s="741"/>
      <c r="R766" s="788"/>
      <c r="S766" s="819"/>
      <c r="T766" s="820"/>
      <c r="U766" s="819"/>
      <c r="V766" s="820"/>
      <c r="W766" s="788"/>
      <c r="X766" s="803"/>
      <c r="Y766" s="803"/>
      <c r="Z766" s="803"/>
      <c r="AA766" s="711"/>
      <c r="AB766" s="711"/>
      <c r="AC766" s="711"/>
      <c r="AD766" s="736"/>
      <c r="AE766" s="736"/>
      <c r="AF766" s="624"/>
      <c r="AG766" s="624"/>
      <c r="AH766" s="624"/>
      <c r="AI766" s="624"/>
      <c r="AJ766" s="960">
        <f t="shared" si="6"/>
        <v>766</v>
      </c>
      <c r="AK766" s="961">
        <v>1.0127</v>
      </c>
      <c r="AL766" s="962">
        <v>26663.0</v>
      </c>
      <c r="AM766" s="963">
        <v>-0.7241967784240757</v>
      </c>
      <c r="AN766" s="964">
        <v>0.012699999999999934</v>
      </c>
      <c r="AO766" s="962">
        <v>26663.0</v>
      </c>
      <c r="AP766" s="965">
        <v>-0.7156895998087605</v>
      </c>
      <c r="AQ766" s="962">
        <v>26663.0</v>
      </c>
      <c r="AR766" s="966">
        <v>-0.707330027177629</v>
      </c>
      <c r="AS766" s="624"/>
      <c r="AT766" s="624"/>
      <c r="AU766" s="624"/>
      <c r="AV766" s="624"/>
      <c r="AW766" s="624"/>
      <c r="AX766" s="624"/>
      <c r="AY766" s="624"/>
      <c r="AZ766" s="624"/>
      <c r="BA766" s="624"/>
      <c r="BB766" s="624"/>
      <c r="BC766" s="624"/>
      <c r="BD766" s="624"/>
      <c r="BE766" s="624"/>
    </row>
    <row r="767" ht="16.5" customHeight="1">
      <c r="A767" s="711"/>
      <c r="B767" s="711"/>
      <c r="C767" s="711"/>
      <c r="D767" s="711"/>
      <c r="E767" s="711"/>
      <c r="F767" s="711"/>
      <c r="G767" s="711"/>
      <c r="H767" s="711"/>
      <c r="I767" s="711"/>
      <c r="J767" s="711"/>
      <c r="K767" s="741"/>
      <c r="L767" s="741"/>
      <c r="M767" s="788"/>
      <c r="N767" s="741"/>
      <c r="O767" s="741"/>
      <c r="P767" s="741"/>
      <c r="Q767" s="741"/>
      <c r="R767" s="788"/>
      <c r="S767" s="819"/>
      <c r="T767" s="820"/>
      <c r="U767" s="819"/>
      <c r="V767" s="820"/>
      <c r="W767" s="788"/>
      <c r="X767" s="803"/>
      <c r="Y767" s="803"/>
      <c r="Z767" s="803"/>
      <c r="AA767" s="711"/>
      <c r="AB767" s="711"/>
      <c r="AC767" s="711"/>
      <c r="AD767" s="736"/>
      <c r="AE767" s="736"/>
      <c r="AF767" s="624"/>
      <c r="AG767" s="624"/>
      <c r="AH767" s="624"/>
      <c r="AI767" s="624"/>
      <c r="AJ767" s="960">
        <f t="shared" si="6"/>
        <v>767</v>
      </c>
      <c r="AK767" s="961">
        <v>0.9518</v>
      </c>
      <c r="AL767" s="962">
        <v>26550.0</v>
      </c>
      <c r="AM767" s="963">
        <v>-0.7226870690031191</v>
      </c>
      <c r="AN767" s="964">
        <v>-0.04820000000000002</v>
      </c>
      <c r="AO767" s="962">
        <v>26550.0</v>
      </c>
      <c r="AP767" s="965">
        <v>-0.7141701257881263</v>
      </c>
      <c r="AQ767" s="962">
        <v>26550.0</v>
      </c>
      <c r="AR767" s="966">
        <v>-0.7058020103596014</v>
      </c>
      <c r="AS767" s="624"/>
      <c r="AT767" s="624"/>
      <c r="AU767" s="624"/>
      <c r="AV767" s="624"/>
      <c r="AW767" s="624"/>
      <c r="AX767" s="624"/>
      <c r="AY767" s="624"/>
      <c r="AZ767" s="624"/>
      <c r="BA767" s="624"/>
      <c r="BB767" s="624"/>
      <c r="BC767" s="624"/>
      <c r="BD767" s="624"/>
      <c r="BE767" s="624"/>
    </row>
    <row r="768" ht="16.5" customHeight="1">
      <c r="A768" s="711"/>
      <c r="B768" s="711"/>
      <c r="C768" s="711"/>
      <c r="D768" s="711"/>
      <c r="E768" s="711"/>
      <c r="F768" s="711"/>
      <c r="G768" s="711"/>
      <c r="H768" s="711"/>
      <c r="I768" s="711"/>
      <c r="J768" s="711"/>
      <c r="K768" s="741"/>
      <c r="L768" s="741"/>
      <c r="M768" s="788"/>
      <c r="N768" s="741"/>
      <c r="O768" s="741"/>
      <c r="P768" s="741"/>
      <c r="Q768" s="741"/>
      <c r="R768" s="788"/>
      <c r="S768" s="819"/>
      <c r="T768" s="820"/>
      <c r="U768" s="819"/>
      <c r="V768" s="820"/>
      <c r="W768" s="788"/>
      <c r="X768" s="803"/>
      <c r="Y768" s="803"/>
      <c r="Z768" s="803"/>
      <c r="AA768" s="711"/>
      <c r="AB768" s="711"/>
      <c r="AC768" s="711"/>
      <c r="AD768" s="736"/>
      <c r="AE768" s="736"/>
      <c r="AF768" s="624"/>
      <c r="AG768" s="624"/>
      <c r="AH768" s="624"/>
      <c r="AI768" s="624"/>
      <c r="AJ768" s="960">
        <f t="shared" si="6"/>
        <v>768</v>
      </c>
      <c r="AK768" s="961">
        <v>0.9747</v>
      </c>
      <c r="AL768" s="962">
        <v>26496.0</v>
      </c>
      <c r="AM768" s="963">
        <v>-0.7219626995468058</v>
      </c>
      <c r="AN768" s="964">
        <v>-0.02529999999999999</v>
      </c>
      <c r="AO768" s="962">
        <v>26496.0</v>
      </c>
      <c r="AP768" s="965">
        <v>-0.7134411405308827</v>
      </c>
      <c r="AQ768" s="962">
        <v>26496.0</v>
      </c>
      <c r="AR768" s="966">
        <v>-0.7050689930923961</v>
      </c>
      <c r="AS768" s="624"/>
      <c r="AT768" s="624"/>
      <c r="AU768" s="624"/>
      <c r="AV768" s="624"/>
      <c r="AW768" s="624"/>
      <c r="AX768" s="624"/>
      <c r="AY768" s="624"/>
      <c r="AZ768" s="624"/>
      <c r="BA768" s="624"/>
      <c r="BB768" s="624"/>
      <c r="BC768" s="624"/>
      <c r="BD768" s="624"/>
      <c r="BE768" s="624"/>
    </row>
    <row r="769" ht="16.5" customHeight="1">
      <c r="A769" s="711"/>
      <c r="B769" s="711"/>
      <c r="C769" s="711"/>
      <c r="D769" s="711"/>
      <c r="E769" s="711"/>
      <c r="F769" s="711"/>
      <c r="G769" s="711"/>
      <c r="H769" s="711"/>
      <c r="I769" s="711"/>
      <c r="J769" s="711"/>
      <c r="K769" s="741"/>
      <c r="L769" s="741"/>
      <c r="M769" s="788"/>
      <c r="N769" s="741"/>
      <c r="O769" s="741"/>
      <c r="P769" s="741"/>
      <c r="Q769" s="741"/>
      <c r="R769" s="788"/>
      <c r="S769" s="819"/>
      <c r="T769" s="820"/>
      <c r="U769" s="819"/>
      <c r="V769" s="820"/>
      <c r="W769" s="788"/>
      <c r="X769" s="803"/>
      <c r="Y769" s="803"/>
      <c r="Z769" s="803"/>
      <c r="AA769" s="711"/>
      <c r="AB769" s="711"/>
      <c r="AC769" s="711"/>
      <c r="AD769" s="736"/>
      <c r="AE769" s="736"/>
      <c r="AF769" s="624"/>
      <c r="AG769" s="624"/>
      <c r="AH769" s="624"/>
      <c r="AI769" s="624"/>
      <c r="AJ769" s="960">
        <f t="shared" si="6"/>
        <v>769</v>
      </c>
      <c r="AK769" s="961">
        <v>0.9589</v>
      </c>
      <c r="AL769" s="962">
        <v>26389.0</v>
      </c>
      <c r="AM769" s="963">
        <v>-0.7205217810020079</v>
      </c>
      <c r="AN769" s="964">
        <v>-0.041100000000000025</v>
      </c>
      <c r="AO769" s="962">
        <v>26389.0</v>
      </c>
      <c r="AP769" s="965">
        <v>-0.7119911732687354</v>
      </c>
      <c r="AQ769" s="962">
        <v>26389.0</v>
      </c>
      <c r="AR769" s="966">
        <v>-0.7036111336859576</v>
      </c>
      <c r="AS769" s="624"/>
      <c r="AT769" s="624"/>
      <c r="AU769" s="624"/>
      <c r="AV769" s="624"/>
      <c r="AW769" s="624"/>
      <c r="AX769" s="624"/>
      <c r="AY769" s="624"/>
      <c r="AZ769" s="624"/>
      <c r="BA769" s="624"/>
      <c r="BB769" s="624"/>
      <c r="BC769" s="624"/>
      <c r="BD769" s="624"/>
      <c r="BE769" s="624"/>
    </row>
    <row r="770" ht="16.5" customHeight="1">
      <c r="A770" s="711"/>
      <c r="B770" s="711"/>
      <c r="C770" s="711"/>
      <c r="D770" s="711"/>
      <c r="E770" s="711"/>
      <c r="F770" s="711"/>
      <c r="G770" s="711"/>
      <c r="H770" s="711"/>
      <c r="I770" s="711"/>
      <c r="J770" s="711"/>
      <c r="K770" s="741"/>
      <c r="L770" s="741"/>
      <c r="M770" s="788"/>
      <c r="N770" s="741"/>
      <c r="O770" s="741"/>
      <c r="P770" s="741"/>
      <c r="Q770" s="741"/>
      <c r="R770" s="788"/>
      <c r="S770" s="819"/>
      <c r="T770" s="820"/>
      <c r="U770" s="819"/>
      <c r="V770" s="820"/>
      <c r="W770" s="788"/>
      <c r="X770" s="803"/>
      <c r="Y770" s="803"/>
      <c r="Z770" s="803"/>
      <c r="AA770" s="711"/>
      <c r="AB770" s="711"/>
      <c r="AC770" s="711"/>
      <c r="AD770" s="736"/>
      <c r="AE770" s="736"/>
      <c r="AF770" s="624"/>
      <c r="AG770" s="624"/>
      <c r="AH770" s="624"/>
      <c r="AI770" s="624"/>
      <c r="AJ770" s="960">
        <f t="shared" si="6"/>
        <v>770</v>
      </c>
      <c r="AK770" s="961">
        <v>0.9208</v>
      </c>
      <c r="AL770" s="962">
        <v>26279.0</v>
      </c>
      <c r="AM770" s="963">
        <v>-0.7190326779962927</v>
      </c>
      <c r="AN770" s="964">
        <v>-0.07920000000000005</v>
      </c>
      <c r="AO770" s="962">
        <v>26279.0</v>
      </c>
      <c r="AP770" s="965">
        <v>-0.7104929041895933</v>
      </c>
      <c r="AQ770" s="962">
        <v>26279.0</v>
      </c>
      <c r="AR770" s="966">
        <v>-0.7021048871946729</v>
      </c>
      <c r="AS770" s="624"/>
      <c r="AT770" s="624"/>
      <c r="AU770" s="624"/>
      <c r="AV770" s="624"/>
      <c r="AW770" s="624"/>
      <c r="AX770" s="624"/>
      <c r="AY770" s="624"/>
      <c r="AZ770" s="624"/>
      <c r="BA770" s="624"/>
      <c r="BB770" s="624"/>
      <c r="BC770" s="624"/>
      <c r="BD770" s="624"/>
      <c r="BE770" s="624"/>
    </row>
    <row r="771" ht="16.5" customHeight="1">
      <c r="A771" s="711"/>
      <c r="B771" s="711"/>
      <c r="C771" s="711"/>
      <c r="D771" s="711"/>
      <c r="E771" s="711"/>
      <c r="F771" s="711"/>
      <c r="G771" s="711"/>
      <c r="H771" s="711"/>
      <c r="I771" s="711"/>
      <c r="J771" s="711"/>
      <c r="K771" s="741"/>
      <c r="L771" s="741"/>
      <c r="M771" s="788"/>
      <c r="N771" s="741"/>
      <c r="O771" s="741"/>
      <c r="P771" s="741"/>
      <c r="Q771" s="741"/>
      <c r="R771" s="788"/>
      <c r="S771" s="819"/>
      <c r="T771" s="820"/>
      <c r="U771" s="819"/>
      <c r="V771" s="820"/>
      <c r="W771" s="788"/>
      <c r="X771" s="803"/>
      <c r="Y771" s="803"/>
      <c r="Z771" s="803"/>
      <c r="AA771" s="711"/>
      <c r="AB771" s="711"/>
      <c r="AC771" s="711"/>
      <c r="AD771" s="736"/>
      <c r="AE771" s="736"/>
      <c r="AF771" s="624"/>
      <c r="AG771" s="624"/>
      <c r="AH771" s="624"/>
      <c r="AI771" s="624"/>
      <c r="AJ771" s="960">
        <f t="shared" si="6"/>
        <v>771</v>
      </c>
      <c r="AK771" s="961">
        <v>0.967</v>
      </c>
      <c r="AL771" s="962">
        <v>26110.0</v>
      </c>
      <c r="AM771" s="963">
        <v>-0.7167294007248999</v>
      </c>
      <c r="AN771" s="964">
        <v>-0.03300000000000003</v>
      </c>
      <c r="AO771" s="962">
        <v>26110.0</v>
      </c>
      <c r="AP771" s="965">
        <v>-0.7081758177337962</v>
      </c>
      <c r="AQ771" s="962">
        <v>26110.0</v>
      </c>
      <c r="AR771" s="966">
        <v>-0.699775816915984</v>
      </c>
      <c r="AS771" s="624"/>
      <c r="AT771" s="624"/>
      <c r="AU771" s="624"/>
      <c r="AV771" s="624"/>
      <c r="AW771" s="624"/>
      <c r="AX771" s="624"/>
      <c r="AY771" s="624"/>
      <c r="AZ771" s="624"/>
      <c r="BA771" s="624"/>
      <c r="BB771" s="624"/>
      <c r="BC771" s="624"/>
      <c r="BD771" s="624"/>
      <c r="BE771" s="624"/>
    </row>
    <row r="772" ht="16.5" customHeight="1">
      <c r="A772" s="711"/>
      <c r="B772" s="711"/>
      <c r="C772" s="711"/>
      <c r="D772" s="711"/>
      <c r="E772" s="711"/>
      <c r="F772" s="711"/>
      <c r="G772" s="711"/>
      <c r="H772" s="711"/>
      <c r="I772" s="711"/>
      <c r="J772" s="711"/>
      <c r="K772" s="741"/>
      <c r="L772" s="741"/>
      <c r="M772" s="788"/>
      <c r="N772" s="741"/>
      <c r="O772" s="741"/>
      <c r="P772" s="741"/>
      <c r="Q772" s="741"/>
      <c r="R772" s="788"/>
      <c r="S772" s="819"/>
      <c r="T772" s="820"/>
      <c r="U772" s="819"/>
      <c r="V772" s="820"/>
      <c r="W772" s="788"/>
      <c r="X772" s="803"/>
      <c r="Y772" s="803"/>
      <c r="Z772" s="803"/>
      <c r="AA772" s="711"/>
      <c r="AB772" s="711"/>
      <c r="AC772" s="711"/>
      <c r="AD772" s="736"/>
      <c r="AE772" s="736"/>
      <c r="AF772" s="624"/>
      <c r="AG772" s="624"/>
      <c r="AH772" s="624"/>
      <c r="AI772" s="624"/>
      <c r="AJ772" s="960">
        <f t="shared" si="6"/>
        <v>772</v>
      </c>
      <c r="AK772" s="961">
        <v>0.839</v>
      </c>
      <c r="AL772" s="962">
        <v>26099.0</v>
      </c>
      <c r="AM772" s="963">
        <v>-0.7165788304517027</v>
      </c>
      <c r="AN772" s="964">
        <v>-0.16100000000000003</v>
      </c>
      <c r="AO772" s="962">
        <v>26099.0</v>
      </c>
      <c r="AP772" s="965">
        <v>-0.708024360236196</v>
      </c>
      <c r="AQ772" s="962">
        <v>26099.0</v>
      </c>
      <c r="AR772" s="966">
        <v>-0.6996235909627153</v>
      </c>
      <c r="AS772" s="624"/>
      <c r="AT772" s="624"/>
      <c r="AU772" s="624"/>
      <c r="AV772" s="624"/>
      <c r="AW772" s="624"/>
      <c r="AX772" s="624"/>
      <c r="AY772" s="624"/>
      <c r="AZ772" s="624"/>
      <c r="BA772" s="624"/>
      <c r="BB772" s="624"/>
      <c r="BC772" s="624"/>
      <c r="BD772" s="624"/>
      <c r="BE772" s="624"/>
    </row>
    <row r="773" ht="16.5" customHeight="1">
      <c r="A773" s="711"/>
      <c r="B773" s="711"/>
      <c r="C773" s="711"/>
      <c r="D773" s="711"/>
      <c r="E773" s="711"/>
      <c r="F773" s="711"/>
      <c r="G773" s="711"/>
      <c r="H773" s="711"/>
      <c r="I773" s="711"/>
      <c r="J773" s="711"/>
      <c r="K773" s="741"/>
      <c r="L773" s="741"/>
      <c r="M773" s="788"/>
      <c r="N773" s="741"/>
      <c r="O773" s="741"/>
      <c r="P773" s="741"/>
      <c r="Q773" s="741"/>
      <c r="R773" s="788"/>
      <c r="S773" s="819"/>
      <c r="T773" s="820"/>
      <c r="U773" s="819"/>
      <c r="V773" s="820"/>
      <c r="W773" s="788"/>
      <c r="X773" s="803"/>
      <c r="Y773" s="803"/>
      <c r="Z773" s="803"/>
      <c r="AA773" s="711"/>
      <c r="AB773" s="711"/>
      <c r="AC773" s="711"/>
      <c r="AD773" s="736"/>
      <c r="AE773" s="736"/>
      <c r="AF773" s="624"/>
      <c r="AG773" s="624"/>
      <c r="AH773" s="624"/>
      <c r="AI773" s="624"/>
      <c r="AJ773" s="960">
        <f t="shared" si="6"/>
        <v>773</v>
      </c>
      <c r="AK773" s="961">
        <v>0.9302</v>
      </c>
      <c r="AL773" s="962">
        <v>26085.0</v>
      </c>
      <c r="AM773" s="963">
        <v>-0.7163870798006431</v>
      </c>
      <c r="AN773" s="964">
        <v>-0.06979999999999997</v>
      </c>
      <c r="AO773" s="962">
        <v>26085.0</v>
      </c>
      <c r="AP773" s="965">
        <v>-0.7078314824554148</v>
      </c>
      <c r="AQ773" s="962">
        <v>26085.0</v>
      </c>
      <c r="AR773" s="966">
        <v>-0.6994297372043319</v>
      </c>
      <c r="AS773" s="624"/>
      <c r="AT773" s="624"/>
      <c r="AU773" s="624"/>
      <c r="AV773" s="624"/>
      <c r="AW773" s="624"/>
      <c r="AX773" s="624"/>
      <c r="AY773" s="624"/>
      <c r="AZ773" s="624"/>
      <c r="BA773" s="624"/>
      <c r="BB773" s="624"/>
      <c r="BC773" s="624"/>
      <c r="BD773" s="624"/>
      <c r="BE773" s="624"/>
    </row>
    <row r="774" ht="16.5" customHeight="1">
      <c r="A774" s="711"/>
      <c r="B774" s="711"/>
      <c r="C774" s="711"/>
      <c r="D774" s="711"/>
      <c r="E774" s="711"/>
      <c r="F774" s="711"/>
      <c r="G774" s="711"/>
      <c r="H774" s="711"/>
      <c r="I774" s="711"/>
      <c r="J774" s="711"/>
      <c r="K774" s="741"/>
      <c r="L774" s="741"/>
      <c r="M774" s="788"/>
      <c r="N774" s="741"/>
      <c r="O774" s="741"/>
      <c r="P774" s="741"/>
      <c r="Q774" s="741"/>
      <c r="R774" s="788"/>
      <c r="S774" s="819"/>
      <c r="T774" s="820"/>
      <c r="U774" s="819"/>
      <c r="V774" s="820"/>
      <c r="W774" s="788"/>
      <c r="X774" s="803"/>
      <c r="Y774" s="803"/>
      <c r="Z774" s="803"/>
      <c r="AA774" s="711"/>
      <c r="AB774" s="711"/>
      <c r="AC774" s="711"/>
      <c r="AD774" s="736"/>
      <c r="AE774" s="736"/>
      <c r="AF774" s="624"/>
      <c r="AG774" s="624"/>
      <c r="AH774" s="624"/>
      <c r="AI774" s="624"/>
      <c r="AJ774" s="960">
        <f t="shared" si="6"/>
        <v>774</v>
      </c>
      <c r="AK774" s="961">
        <v>0.9191</v>
      </c>
      <c r="AL774" s="962">
        <v>26081.0</v>
      </c>
      <c r="AM774" s="963">
        <v>-0.7163322700761641</v>
      </c>
      <c r="AN774" s="964">
        <v>-0.08089999999999997</v>
      </c>
      <c r="AO774" s="962">
        <v>26081.0</v>
      </c>
      <c r="AP774" s="965">
        <v>-0.7077763511191233</v>
      </c>
      <c r="AQ774" s="962">
        <v>26081.0</v>
      </c>
      <c r="AR774" s="966">
        <v>-0.6993743274408617</v>
      </c>
      <c r="AS774" s="624"/>
      <c r="AT774" s="624"/>
      <c r="AU774" s="624"/>
      <c r="AV774" s="624"/>
      <c r="AW774" s="624"/>
      <c r="AX774" s="624"/>
      <c r="AY774" s="624"/>
      <c r="AZ774" s="624"/>
      <c r="BA774" s="624"/>
      <c r="BB774" s="624"/>
      <c r="BC774" s="624"/>
      <c r="BD774" s="624"/>
      <c r="BE774" s="624"/>
    </row>
    <row r="775" ht="16.5" customHeight="1">
      <c r="A775" s="711"/>
      <c r="B775" s="711"/>
      <c r="C775" s="711"/>
      <c r="D775" s="711"/>
      <c r="E775" s="711"/>
      <c r="F775" s="711"/>
      <c r="G775" s="711"/>
      <c r="H775" s="711"/>
      <c r="I775" s="711"/>
      <c r="J775" s="711"/>
      <c r="K775" s="741"/>
      <c r="L775" s="741"/>
      <c r="M775" s="788"/>
      <c r="N775" s="741"/>
      <c r="O775" s="741"/>
      <c r="P775" s="741"/>
      <c r="Q775" s="741"/>
      <c r="R775" s="788"/>
      <c r="S775" s="819"/>
      <c r="T775" s="820"/>
      <c r="U775" s="819"/>
      <c r="V775" s="820"/>
      <c r="W775" s="788"/>
      <c r="X775" s="803"/>
      <c r="Y775" s="803"/>
      <c r="Z775" s="803"/>
      <c r="AA775" s="711"/>
      <c r="AB775" s="711"/>
      <c r="AC775" s="711"/>
      <c r="AD775" s="736"/>
      <c r="AE775" s="736"/>
      <c r="AF775" s="624"/>
      <c r="AG775" s="624"/>
      <c r="AH775" s="624"/>
      <c r="AI775" s="624"/>
      <c r="AJ775" s="960">
        <f t="shared" si="6"/>
        <v>775</v>
      </c>
      <c r="AK775" s="961">
        <v>0.9798</v>
      </c>
      <c r="AL775" s="962">
        <v>26000.0</v>
      </c>
      <c r="AM775" s="963">
        <v>-0.7152200913328348</v>
      </c>
      <c r="AN775" s="964">
        <v>-0.020199999999999996</v>
      </c>
      <c r="AO775" s="962">
        <v>26000.0</v>
      </c>
      <c r="AP775" s="965">
        <v>-0.7066577005503831</v>
      </c>
      <c r="AQ775" s="962">
        <v>26000.0</v>
      </c>
      <c r="AR775" s="966">
        <v>-0.6982500793672262</v>
      </c>
      <c r="AS775" s="624"/>
      <c r="AT775" s="624"/>
      <c r="AU775" s="624"/>
      <c r="AV775" s="624"/>
      <c r="AW775" s="624"/>
      <c r="AX775" s="624"/>
      <c r="AY775" s="624"/>
      <c r="AZ775" s="624"/>
      <c r="BA775" s="624"/>
      <c r="BB775" s="624"/>
      <c r="BC775" s="624"/>
      <c r="BD775" s="624"/>
      <c r="BE775" s="624"/>
    </row>
    <row r="776" ht="16.5" customHeight="1">
      <c r="A776" s="711"/>
      <c r="B776" s="711"/>
      <c r="C776" s="711"/>
      <c r="D776" s="711"/>
      <c r="E776" s="711"/>
      <c r="F776" s="711"/>
      <c r="G776" s="711"/>
      <c r="H776" s="711"/>
      <c r="I776" s="711"/>
      <c r="J776" s="711"/>
      <c r="K776" s="741"/>
      <c r="L776" s="741"/>
      <c r="M776" s="788"/>
      <c r="N776" s="741"/>
      <c r="O776" s="741"/>
      <c r="P776" s="741"/>
      <c r="Q776" s="741"/>
      <c r="R776" s="788"/>
      <c r="S776" s="819"/>
      <c r="T776" s="820"/>
      <c r="U776" s="819"/>
      <c r="V776" s="820"/>
      <c r="W776" s="788"/>
      <c r="X776" s="803"/>
      <c r="Y776" s="803"/>
      <c r="Z776" s="803"/>
      <c r="AA776" s="711"/>
      <c r="AB776" s="711"/>
      <c r="AC776" s="711"/>
      <c r="AD776" s="736"/>
      <c r="AE776" s="736"/>
      <c r="AF776" s="624"/>
      <c r="AG776" s="624"/>
      <c r="AH776" s="624"/>
      <c r="AI776" s="624"/>
      <c r="AJ776" s="960">
        <f t="shared" si="6"/>
        <v>776</v>
      </c>
      <c r="AK776" s="961">
        <v>0.9593</v>
      </c>
      <c r="AL776" s="962">
        <v>26000.0</v>
      </c>
      <c r="AM776" s="963">
        <v>-0.7152200913328348</v>
      </c>
      <c r="AN776" s="964">
        <v>-0.04069999999999996</v>
      </c>
      <c r="AO776" s="962">
        <v>26000.0</v>
      </c>
      <c r="AP776" s="965">
        <v>-0.7066577005503831</v>
      </c>
      <c r="AQ776" s="962">
        <v>26000.0</v>
      </c>
      <c r="AR776" s="966">
        <v>-0.6982500793672262</v>
      </c>
      <c r="AS776" s="624"/>
      <c r="AT776" s="624"/>
      <c r="AU776" s="624"/>
      <c r="AV776" s="624"/>
      <c r="AW776" s="624"/>
      <c r="AX776" s="624"/>
      <c r="AY776" s="624"/>
      <c r="AZ776" s="624"/>
      <c r="BA776" s="624"/>
      <c r="BB776" s="624"/>
      <c r="BC776" s="624"/>
      <c r="BD776" s="624"/>
      <c r="BE776" s="624"/>
    </row>
    <row r="777" ht="16.5" customHeight="1">
      <c r="A777" s="711"/>
      <c r="B777" s="711"/>
      <c r="C777" s="711"/>
      <c r="D777" s="711"/>
      <c r="E777" s="711"/>
      <c r="F777" s="711"/>
      <c r="G777" s="711"/>
      <c r="H777" s="711"/>
      <c r="I777" s="711"/>
      <c r="J777" s="711"/>
      <c r="K777" s="741"/>
      <c r="L777" s="741"/>
      <c r="M777" s="788"/>
      <c r="N777" s="741"/>
      <c r="O777" s="741"/>
      <c r="P777" s="741"/>
      <c r="Q777" s="741"/>
      <c r="R777" s="788"/>
      <c r="S777" s="819"/>
      <c r="T777" s="820"/>
      <c r="U777" s="819"/>
      <c r="V777" s="820"/>
      <c r="W777" s="788"/>
      <c r="X777" s="803"/>
      <c r="Y777" s="803"/>
      <c r="Z777" s="803"/>
      <c r="AA777" s="711"/>
      <c r="AB777" s="711"/>
      <c r="AC777" s="711"/>
      <c r="AD777" s="736"/>
      <c r="AE777" s="736"/>
      <c r="AF777" s="624"/>
      <c r="AG777" s="624"/>
      <c r="AH777" s="624"/>
      <c r="AI777" s="624"/>
      <c r="AJ777" s="960">
        <f t="shared" si="6"/>
        <v>777</v>
      </c>
      <c r="AK777" s="961">
        <v>0.9746</v>
      </c>
      <c r="AL777" s="962">
        <v>25775.0</v>
      </c>
      <c r="AM777" s="963">
        <v>-0.7121077734143193</v>
      </c>
      <c r="AN777" s="964">
        <v>-0.025399999999999978</v>
      </c>
      <c r="AO777" s="962">
        <v>25775.0</v>
      </c>
      <c r="AP777" s="965">
        <v>-0.7035278181775024</v>
      </c>
      <c r="AQ777" s="962">
        <v>25775.0</v>
      </c>
      <c r="AR777" s="966">
        <v>-0.6951050592994815</v>
      </c>
      <c r="AS777" s="624"/>
      <c r="AT777" s="624"/>
      <c r="AU777" s="624"/>
      <c r="AV777" s="624"/>
      <c r="AW777" s="624"/>
      <c r="AX777" s="624"/>
      <c r="AY777" s="624"/>
      <c r="AZ777" s="624"/>
      <c r="BA777" s="624"/>
      <c r="BB777" s="624"/>
      <c r="BC777" s="624"/>
      <c r="BD777" s="624"/>
      <c r="BE777" s="624"/>
    </row>
    <row r="778" ht="16.5" customHeight="1">
      <c r="A778" s="711"/>
      <c r="B778" s="711"/>
      <c r="C778" s="711"/>
      <c r="D778" s="711"/>
      <c r="E778" s="711"/>
      <c r="F778" s="711"/>
      <c r="G778" s="711"/>
      <c r="H778" s="711"/>
      <c r="I778" s="711"/>
      <c r="J778" s="711"/>
      <c r="K778" s="741"/>
      <c r="L778" s="741"/>
      <c r="M778" s="788"/>
      <c r="N778" s="741"/>
      <c r="O778" s="741"/>
      <c r="P778" s="741"/>
      <c r="Q778" s="741"/>
      <c r="R778" s="788"/>
      <c r="S778" s="819"/>
      <c r="T778" s="820"/>
      <c r="U778" s="819"/>
      <c r="V778" s="820"/>
      <c r="W778" s="788"/>
      <c r="X778" s="803"/>
      <c r="Y778" s="803"/>
      <c r="Z778" s="803"/>
      <c r="AA778" s="711"/>
      <c r="AB778" s="711"/>
      <c r="AC778" s="711"/>
      <c r="AD778" s="736"/>
      <c r="AE778" s="736"/>
      <c r="AF778" s="624"/>
      <c r="AG778" s="624"/>
      <c r="AH778" s="624"/>
      <c r="AI778" s="624"/>
      <c r="AJ778" s="960">
        <f t="shared" si="6"/>
        <v>778</v>
      </c>
      <c r="AK778" s="961">
        <v>0.985</v>
      </c>
      <c r="AL778" s="962">
        <v>25714.0</v>
      </c>
      <c r="AM778" s="963">
        <v>-0.7112581441008674</v>
      </c>
      <c r="AN778" s="964">
        <v>-0.015000000000000013</v>
      </c>
      <c r="AO778" s="962">
        <v>25714.0</v>
      </c>
      <c r="AP778" s="965">
        <v>-0.7026735329749275</v>
      </c>
      <c r="AQ778" s="962">
        <v>25714.0</v>
      </c>
      <c r="AR778" s="966">
        <v>-0.6942467755772802</v>
      </c>
      <c r="AS778" s="624"/>
      <c r="AT778" s="624"/>
      <c r="AU778" s="624"/>
      <c r="AV778" s="624"/>
      <c r="AW778" s="624"/>
      <c r="AX778" s="624"/>
      <c r="AY778" s="624"/>
      <c r="AZ778" s="624"/>
      <c r="BA778" s="624"/>
      <c r="BB778" s="624"/>
      <c r="BC778" s="624"/>
      <c r="BD778" s="624"/>
      <c r="BE778" s="624"/>
    </row>
    <row r="779" ht="16.5" customHeight="1">
      <c r="A779" s="711"/>
      <c r="B779" s="711"/>
      <c r="C779" s="711"/>
      <c r="D779" s="711"/>
      <c r="E779" s="711"/>
      <c r="F779" s="711"/>
      <c r="G779" s="711"/>
      <c r="H779" s="711"/>
      <c r="I779" s="711"/>
      <c r="J779" s="711"/>
      <c r="K779" s="741"/>
      <c r="L779" s="741"/>
      <c r="M779" s="788"/>
      <c r="N779" s="741"/>
      <c r="O779" s="741"/>
      <c r="P779" s="741"/>
      <c r="Q779" s="741"/>
      <c r="R779" s="788"/>
      <c r="S779" s="819"/>
      <c r="T779" s="820"/>
      <c r="U779" s="819"/>
      <c r="V779" s="820"/>
      <c r="W779" s="788"/>
      <c r="X779" s="803"/>
      <c r="Y779" s="803"/>
      <c r="Z779" s="803"/>
      <c r="AA779" s="711"/>
      <c r="AB779" s="711"/>
      <c r="AC779" s="711"/>
      <c r="AD779" s="736"/>
      <c r="AE779" s="736"/>
      <c r="AF779" s="624"/>
      <c r="AG779" s="624"/>
      <c r="AH779" s="624"/>
      <c r="AI779" s="624"/>
      <c r="AJ779" s="960">
        <f t="shared" si="6"/>
        <v>779</v>
      </c>
      <c r="AK779" s="961">
        <v>0.9679</v>
      </c>
      <c r="AL779" s="962">
        <v>25581.0</v>
      </c>
      <c r="AM779" s="963">
        <v>-0.7093969700733295</v>
      </c>
      <c r="AN779" s="964">
        <v>-0.03210000000000002</v>
      </c>
      <c r="AO779" s="962">
        <v>25581.0</v>
      </c>
      <c r="AP779" s="965">
        <v>-0.7008023668165506</v>
      </c>
      <c r="AQ779" s="962">
        <v>25581.0</v>
      </c>
      <c r="AR779" s="966">
        <v>-0.6923670496356473</v>
      </c>
      <c r="AS779" s="624"/>
      <c r="AT779" s="624"/>
      <c r="AU779" s="624"/>
      <c r="AV779" s="624"/>
      <c r="AW779" s="624"/>
      <c r="AX779" s="624"/>
      <c r="AY779" s="624"/>
      <c r="AZ779" s="624"/>
      <c r="BA779" s="624"/>
      <c r="BB779" s="624"/>
      <c r="BC779" s="624"/>
      <c r="BD779" s="624"/>
      <c r="BE779" s="624"/>
    </row>
    <row r="780" ht="16.5" customHeight="1">
      <c r="A780" s="711"/>
      <c r="B780" s="711"/>
      <c r="C780" s="711"/>
      <c r="D780" s="711"/>
      <c r="E780" s="711"/>
      <c r="F780" s="711"/>
      <c r="G780" s="711"/>
      <c r="H780" s="711"/>
      <c r="I780" s="711"/>
      <c r="J780" s="711"/>
      <c r="K780" s="741"/>
      <c r="L780" s="741"/>
      <c r="M780" s="788"/>
      <c r="N780" s="741"/>
      <c r="O780" s="741"/>
      <c r="P780" s="741"/>
      <c r="Q780" s="741"/>
      <c r="R780" s="788"/>
      <c r="S780" s="819"/>
      <c r="T780" s="820"/>
      <c r="U780" s="819"/>
      <c r="V780" s="820"/>
      <c r="W780" s="788"/>
      <c r="X780" s="803"/>
      <c r="Y780" s="803"/>
      <c r="Z780" s="803"/>
      <c r="AA780" s="711"/>
      <c r="AB780" s="711"/>
      <c r="AC780" s="711"/>
      <c r="AD780" s="736"/>
      <c r="AE780" s="736"/>
      <c r="AF780" s="624"/>
      <c r="AG780" s="624"/>
      <c r="AH780" s="624"/>
      <c r="AI780" s="624"/>
      <c r="AJ780" s="960">
        <f t="shared" si="6"/>
        <v>780</v>
      </c>
      <c r="AK780" s="961">
        <v>0.967</v>
      </c>
      <c r="AL780" s="962">
        <v>25412.0</v>
      </c>
      <c r="AM780" s="963">
        <v>-0.7070147024521178</v>
      </c>
      <c r="AN780" s="964">
        <v>-0.03300000000000003</v>
      </c>
      <c r="AO780" s="962">
        <v>25412.0</v>
      </c>
      <c r="AP780" s="965">
        <v>-0.6984077215954541</v>
      </c>
      <c r="AQ780" s="962">
        <v>25412.0</v>
      </c>
      <c r="AR780" s="966">
        <v>-0.6899618448147573</v>
      </c>
      <c r="AS780" s="624"/>
      <c r="AT780" s="624"/>
      <c r="AU780" s="624"/>
      <c r="AV780" s="624"/>
      <c r="AW780" s="624"/>
      <c r="AX780" s="624"/>
      <c r="AY780" s="624"/>
      <c r="AZ780" s="624"/>
      <c r="BA780" s="624"/>
      <c r="BB780" s="624"/>
      <c r="BC780" s="624"/>
      <c r="BD780" s="624"/>
      <c r="BE780" s="624"/>
    </row>
    <row r="781" ht="16.5" customHeight="1">
      <c r="A781" s="711"/>
      <c r="B781" s="711"/>
      <c r="C781" s="711"/>
      <c r="D781" s="711"/>
      <c r="E781" s="711"/>
      <c r="F781" s="711"/>
      <c r="G781" s="711"/>
      <c r="H781" s="711"/>
      <c r="I781" s="711"/>
      <c r="J781" s="711"/>
      <c r="K781" s="741"/>
      <c r="L781" s="741"/>
      <c r="M781" s="788"/>
      <c r="N781" s="741"/>
      <c r="O781" s="741"/>
      <c r="P781" s="741"/>
      <c r="Q781" s="741"/>
      <c r="R781" s="788"/>
      <c r="S781" s="819"/>
      <c r="T781" s="820"/>
      <c r="U781" s="819"/>
      <c r="V781" s="820"/>
      <c r="W781" s="788"/>
      <c r="X781" s="803"/>
      <c r="Y781" s="803"/>
      <c r="Z781" s="803"/>
      <c r="AA781" s="711"/>
      <c r="AB781" s="711"/>
      <c r="AC781" s="711"/>
      <c r="AD781" s="736"/>
      <c r="AE781" s="736"/>
      <c r="AF781" s="624"/>
      <c r="AG781" s="624"/>
      <c r="AH781" s="624"/>
      <c r="AI781" s="624"/>
      <c r="AJ781" s="960">
        <f t="shared" si="6"/>
        <v>781</v>
      </c>
      <c r="AK781" s="961">
        <v>0.9825</v>
      </c>
      <c r="AL781" s="962">
        <v>25375.0</v>
      </c>
      <c r="AM781" s="963">
        <v>-0.7064905406108359</v>
      </c>
      <c r="AN781" s="964">
        <v>-0.01749999999999996</v>
      </c>
      <c r="AO781" s="962">
        <v>25375.0</v>
      </c>
      <c r="AP781" s="965">
        <v>-0.6978808981190252</v>
      </c>
      <c r="AQ781" s="962">
        <v>25375.0</v>
      </c>
      <c r="AR781" s="966">
        <v>-0.689432757391826</v>
      </c>
      <c r="AS781" s="624"/>
      <c r="AT781" s="624"/>
      <c r="AU781" s="624"/>
      <c r="AV781" s="624"/>
      <c r="AW781" s="624"/>
      <c r="AX781" s="624"/>
      <c r="AY781" s="624"/>
      <c r="AZ781" s="624"/>
      <c r="BA781" s="624"/>
      <c r="BB781" s="624"/>
      <c r="BC781" s="624"/>
      <c r="BD781" s="624"/>
      <c r="BE781" s="624"/>
    </row>
    <row r="782" ht="16.5" customHeight="1">
      <c r="A782" s="711"/>
      <c r="B782" s="711"/>
      <c r="C782" s="711"/>
      <c r="D782" s="711"/>
      <c r="E782" s="711"/>
      <c r="F782" s="711"/>
      <c r="G782" s="711"/>
      <c r="H782" s="711"/>
      <c r="I782" s="711"/>
      <c r="J782" s="711"/>
      <c r="K782" s="741"/>
      <c r="L782" s="741"/>
      <c r="M782" s="788"/>
      <c r="N782" s="741"/>
      <c r="O782" s="741"/>
      <c r="P782" s="741"/>
      <c r="Q782" s="741"/>
      <c r="R782" s="788"/>
      <c r="S782" s="819"/>
      <c r="T782" s="820"/>
      <c r="U782" s="819"/>
      <c r="V782" s="820"/>
      <c r="W782" s="788"/>
      <c r="X782" s="803"/>
      <c r="Y782" s="803"/>
      <c r="Z782" s="803"/>
      <c r="AA782" s="711"/>
      <c r="AB782" s="711"/>
      <c r="AC782" s="711"/>
      <c r="AD782" s="736"/>
      <c r="AE782" s="736"/>
      <c r="AF782" s="624"/>
      <c r="AG782" s="624"/>
      <c r="AH782" s="624"/>
      <c r="AI782" s="624"/>
      <c r="AJ782" s="960">
        <f t="shared" si="6"/>
        <v>782</v>
      </c>
      <c r="AK782" s="961">
        <v>0.967</v>
      </c>
      <c r="AL782" s="962">
        <v>25069.0</v>
      </c>
      <c r="AM782" s="963">
        <v>-0.7021194768605026</v>
      </c>
      <c r="AN782" s="964">
        <v>-0.03300000000000003</v>
      </c>
      <c r="AO782" s="962">
        <v>25069.0</v>
      </c>
      <c r="AP782" s="965">
        <v>-0.6934884987990186</v>
      </c>
      <c r="AQ782" s="962">
        <v>25069.0</v>
      </c>
      <c r="AR782" s="966">
        <v>-0.6850223062705483</v>
      </c>
      <c r="AS782" s="624"/>
      <c r="AT782" s="624"/>
      <c r="AU782" s="624"/>
      <c r="AV782" s="624"/>
      <c r="AW782" s="624"/>
      <c r="AX782" s="624"/>
      <c r="AY782" s="624"/>
      <c r="AZ782" s="624"/>
      <c r="BA782" s="624"/>
      <c r="BB782" s="624"/>
      <c r="BC782" s="624"/>
      <c r="BD782" s="624"/>
      <c r="BE782" s="624"/>
    </row>
    <row r="783" ht="16.5" customHeight="1">
      <c r="A783" s="711"/>
      <c r="B783" s="711"/>
      <c r="C783" s="711"/>
      <c r="D783" s="711"/>
      <c r="E783" s="711"/>
      <c r="F783" s="711"/>
      <c r="G783" s="711"/>
      <c r="H783" s="711"/>
      <c r="I783" s="711"/>
      <c r="J783" s="711"/>
      <c r="K783" s="741"/>
      <c r="L783" s="741"/>
      <c r="M783" s="788"/>
      <c r="N783" s="741"/>
      <c r="O783" s="741"/>
      <c r="P783" s="741"/>
      <c r="Q783" s="741"/>
      <c r="R783" s="788"/>
      <c r="S783" s="819"/>
      <c r="T783" s="820"/>
      <c r="U783" s="819"/>
      <c r="V783" s="820"/>
      <c r="W783" s="788"/>
      <c r="X783" s="803"/>
      <c r="Y783" s="803"/>
      <c r="Z783" s="803"/>
      <c r="AA783" s="711"/>
      <c r="AB783" s="711"/>
      <c r="AC783" s="711"/>
      <c r="AD783" s="736"/>
      <c r="AE783" s="736"/>
      <c r="AF783" s="624"/>
      <c r="AG783" s="624"/>
      <c r="AH783" s="624"/>
      <c r="AI783" s="624"/>
      <c r="AJ783" s="960">
        <f t="shared" si="6"/>
        <v>783</v>
      </c>
      <c r="AK783" s="961">
        <v>0.9874</v>
      </c>
      <c r="AL783" s="962">
        <v>25050.0</v>
      </c>
      <c r="AM783" s="963">
        <v>-0.7018459344356163</v>
      </c>
      <c r="AN783" s="964">
        <v>-0.012599999999999945</v>
      </c>
      <c r="AO783" s="962">
        <v>25050.0</v>
      </c>
      <c r="AP783" s="965">
        <v>-0.6932136719599713</v>
      </c>
      <c r="AQ783" s="962">
        <v>25050.0</v>
      </c>
      <c r="AR783" s="966">
        <v>-0.6847463985783161</v>
      </c>
      <c r="AS783" s="624"/>
      <c r="AT783" s="624"/>
      <c r="AU783" s="624"/>
      <c r="AV783" s="624"/>
      <c r="AW783" s="624"/>
      <c r="AX783" s="624"/>
      <c r="AY783" s="624"/>
      <c r="AZ783" s="624"/>
      <c r="BA783" s="624"/>
      <c r="BB783" s="624"/>
      <c r="BC783" s="624"/>
      <c r="BD783" s="624"/>
      <c r="BE783" s="624"/>
    </row>
    <row r="784" ht="16.5" customHeight="1">
      <c r="A784" s="711"/>
      <c r="B784" s="711"/>
      <c r="C784" s="711"/>
      <c r="D784" s="711"/>
      <c r="E784" s="711"/>
      <c r="F784" s="711"/>
      <c r="G784" s="711"/>
      <c r="H784" s="711"/>
      <c r="I784" s="711"/>
      <c r="J784" s="711"/>
      <c r="K784" s="741"/>
      <c r="L784" s="741"/>
      <c r="M784" s="788"/>
      <c r="N784" s="741"/>
      <c r="O784" s="741"/>
      <c r="P784" s="741"/>
      <c r="Q784" s="741"/>
      <c r="R784" s="788"/>
      <c r="S784" s="819"/>
      <c r="T784" s="820"/>
      <c r="U784" s="819"/>
      <c r="V784" s="820"/>
      <c r="W784" s="788"/>
      <c r="X784" s="803"/>
      <c r="Y784" s="803"/>
      <c r="Z784" s="803"/>
      <c r="AA784" s="711"/>
      <c r="AB784" s="711"/>
      <c r="AC784" s="711"/>
      <c r="AD784" s="736"/>
      <c r="AE784" s="736"/>
      <c r="AF784" s="624"/>
      <c r="AG784" s="624"/>
      <c r="AH784" s="624"/>
      <c r="AI784" s="624"/>
      <c r="AJ784" s="960">
        <f t="shared" si="6"/>
        <v>784</v>
      </c>
      <c r="AK784" s="961">
        <v>0.971</v>
      </c>
      <c r="AL784" s="962">
        <v>25000.0</v>
      </c>
      <c r="AM784" s="963">
        <v>-0.7011248850512738</v>
      </c>
      <c r="AN784" s="964">
        <v>-0.029000000000000026</v>
      </c>
      <c r="AO784" s="962">
        <v>25000.0</v>
      </c>
      <c r="AP784" s="965">
        <v>-0.692489265382251</v>
      </c>
      <c r="AQ784" s="962">
        <v>25000.0</v>
      </c>
      <c r="AR784" s="966">
        <v>-0.6840191702927683</v>
      </c>
      <c r="AS784" s="624"/>
      <c r="AT784" s="624"/>
      <c r="AU784" s="624"/>
      <c r="AV784" s="624"/>
      <c r="AW784" s="624"/>
      <c r="AX784" s="624"/>
      <c r="AY784" s="624"/>
      <c r="AZ784" s="624"/>
      <c r="BA784" s="624"/>
      <c r="BB784" s="624"/>
      <c r="BC784" s="624"/>
      <c r="BD784" s="624"/>
      <c r="BE784" s="624"/>
    </row>
    <row r="785" ht="16.5" customHeight="1">
      <c r="A785" s="711"/>
      <c r="B785" s="711"/>
      <c r="C785" s="711"/>
      <c r="D785" s="711"/>
      <c r="E785" s="711"/>
      <c r="F785" s="711"/>
      <c r="G785" s="711"/>
      <c r="H785" s="711"/>
      <c r="I785" s="711"/>
      <c r="J785" s="711"/>
      <c r="K785" s="741"/>
      <c r="L785" s="741"/>
      <c r="M785" s="788"/>
      <c r="N785" s="741"/>
      <c r="O785" s="741"/>
      <c r="P785" s="741"/>
      <c r="Q785" s="741"/>
      <c r="R785" s="788"/>
      <c r="S785" s="819"/>
      <c r="T785" s="820"/>
      <c r="U785" s="819"/>
      <c r="V785" s="820"/>
      <c r="W785" s="788"/>
      <c r="X785" s="803"/>
      <c r="Y785" s="803"/>
      <c r="Z785" s="803"/>
      <c r="AA785" s="711"/>
      <c r="AB785" s="711"/>
      <c r="AC785" s="711"/>
      <c r="AD785" s="736"/>
      <c r="AE785" s="736"/>
      <c r="AF785" s="624"/>
      <c r="AG785" s="624"/>
      <c r="AH785" s="624"/>
      <c r="AI785" s="624"/>
      <c r="AJ785" s="960">
        <f t="shared" si="6"/>
        <v>785</v>
      </c>
      <c r="AK785" s="961">
        <v>0.9456</v>
      </c>
      <c r="AL785" s="962">
        <v>25000.0</v>
      </c>
      <c r="AM785" s="963">
        <v>-0.7011248850512738</v>
      </c>
      <c r="AN785" s="964">
        <v>-0.054400000000000004</v>
      </c>
      <c r="AO785" s="962">
        <v>25000.0</v>
      </c>
      <c r="AP785" s="965">
        <v>-0.692489265382251</v>
      </c>
      <c r="AQ785" s="962">
        <v>25000.0</v>
      </c>
      <c r="AR785" s="966">
        <v>-0.6840191702927683</v>
      </c>
      <c r="AS785" s="624"/>
      <c r="AT785" s="624"/>
      <c r="AU785" s="624"/>
      <c r="AV785" s="624"/>
      <c r="AW785" s="624"/>
      <c r="AX785" s="624"/>
      <c r="AY785" s="624"/>
      <c r="AZ785" s="624"/>
      <c r="BA785" s="624"/>
      <c r="BB785" s="624"/>
      <c r="BC785" s="624"/>
      <c r="BD785" s="624"/>
      <c r="BE785" s="624"/>
    </row>
    <row r="786" ht="16.5" customHeight="1">
      <c r="A786" s="711"/>
      <c r="B786" s="711"/>
      <c r="C786" s="711"/>
      <c r="D786" s="711"/>
      <c r="E786" s="711"/>
      <c r="F786" s="711"/>
      <c r="G786" s="711"/>
      <c r="H786" s="711"/>
      <c r="I786" s="711"/>
      <c r="J786" s="711"/>
      <c r="K786" s="741"/>
      <c r="L786" s="741"/>
      <c r="M786" s="788"/>
      <c r="N786" s="741"/>
      <c r="O786" s="741"/>
      <c r="P786" s="741"/>
      <c r="Q786" s="741"/>
      <c r="R786" s="788"/>
      <c r="S786" s="819"/>
      <c r="T786" s="820"/>
      <c r="U786" s="819"/>
      <c r="V786" s="820"/>
      <c r="W786" s="788"/>
      <c r="X786" s="803"/>
      <c r="Y786" s="803"/>
      <c r="Z786" s="803"/>
      <c r="AA786" s="711"/>
      <c r="AB786" s="711"/>
      <c r="AC786" s="711"/>
      <c r="AD786" s="736"/>
      <c r="AE786" s="736"/>
      <c r="AF786" s="624"/>
      <c r="AG786" s="624"/>
      <c r="AH786" s="624"/>
      <c r="AI786" s="624"/>
      <c r="AJ786" s="960">
        <f t="shared" si="6"/>
        <v>786</v>
      </c>
      <c r="AK786" s="961">
        <v>0.9827</v>
      </c>
      <c r="AL786" s="962">
        <v>24980.0</v>
      </c>
      <c r="AM786" s="963">
        <v>-0.7008359772777724</v>
      </c>
      <c r="AN786" s="964">
        <v>-0.017299999999999982</v>
      </c>
      <c r="AO786" s="962">
        <v>24980.0</v>
      </c>
      <c r="AP786" s="965">
        <v>-0.6921990240308589</v>
      </c>
      <c r="AQ786" s="962">
        <v>24980.0</v>
      </c>
      <c r="AR786" s="966">
        <v>-0.6837278094745763</v>
      </c>
      <c r="AS786" s="624"/>
      <c r="AT786" s="624"/>
      <c r="AU786" s="624"/>
      <c r="AV786" s="624"/>
      <c r="AW786" s="624"/>
      <c r="AX786" s="624"/>
      <c r="AY786" s="624"/>
      <c r="AZ786" s="624"/>
      <c r="BA786" s="624"/>
      <c r="BB786" s="624"/>
      <c r="BC786" s="624"/>
      <c r="BD786" s="624"/>
      <c r="BE786" s="624"/>
    </row>
    <row r="787" ht="16.5" customHeight="1">
      <c r="A787" s="711"/>
      <c r="B787" s="711"/>
      <c r="C787" s="711"/>
      <c r="D787" s="711"/>
      <c r="E787" s="711"/>
      <c r="F787" s="711"/>
      <c r="G787" s="711"/>
      <c r="H787" s="711"/>
      <c r="I787" s="711"/>
      <c r="J787" s="711"/>
      <c r="K787" s="741"/>
      <c r="L787" s="741"/>
      <c r="M787" s="788"/>
      <c r="N787" s="741"/>
      <c r="O787" s="741"/>
      <c r="P787" s="741"/>
      <c r="Q787" s="741"/>
      <c r="R787" s="788"/>
      <c r="S787" s="819"/>
      <c r="T787" s="820"/>
      <c r="U787" s="819"/>
      <c r="V787" s="820"/>
      <c r="W787" s="788"/>
      <c r="X787" s="803"/>
      <c r="Y787" s="803"/>
      <c r="Z787" s="803"/>
      <c r="AA787" s="711"/>
      <c r="AB787" s="711"/>
      <c r="AC787" s="711"/>
      <c r="AD787" s="736"/>
      <c r="AE787" s="736"/>
      <c r="AF787" s="624"/>
      <c r="AG787" s="624"/>
      <c r="AH787" s="624"/>
      <c r="AI787" s="624"/>
      <c r="AJ787" s="960">
        <f t="shared" si="6"/>
        <v>787</v>
      </c>
      <c r="AK787" s="961">
        <v>0.9216</v>
      </c>
      <c r="AL787" s="962">
        <v>24956.0</v>
      </c>
      <c r="AM787" s="963">
        <v>-0.7004889192856725</v>
      </c>
      <c r="AN787" s="964">
        <v>-0.07840000000000003</v>
      </c>
      <c r="AO787" s="962">
        <v>24956.0</v>
      </c>
      <c r="AP787" s="965">
        <v>-0.6918503727832724</v>
      </c>
      <c r="AQ787" s="962">
        <v>24956.0</v>
      </c>
      <c r="AR787" s="966">
        <v>-0.6833778218409335</v>
      </c>
      <c r="AS787" s="624"/>
      <c r="AT787" s="624"/>
      <c r="AU787" s="624"/>
      <c r="AV787" s="624"/>
      <c r="AW787" s="624"/>
      <c r="AX787" s="624"/>
      <c r="AY787" s="624"/>
      <c r="AZ787" s="624"/>
      <c r="BA787" s="624"/>
      <c r="BB787" s="624"/>
      <c r="BC787" s="624"/>
      <c r="BD787" s="624"/>
      <c r="BE787" s="624"/>
    </row>
    <row r="788" ht="16.5" customHeight="1">
      <c r="A788" s="711"/>
      <c r="B788" s="711"/>
      <c r="C788" s="711"/>
      <c r="D788" s="711"/>
      <c r="E788" s="711"/>
      <c r="F788" s="711"/>
      <c r="G788" s="711"/>
      <c r="H788" s="711"/>
      <c r="I788" s="711"/>
      <c r="J788" s="711"/>
      <c r="K788" s="741"/>
      <c r="L788" s="741"/>
      <c r="M788" s="788"/>
      <c r="N788" s="741"/>
      <c r="O788" s="741"/>
      <c r="P788" s="741"/>
      <c r="Q788" s="741"/>
      <c r="R788" s="788"/>
      <c r="S788" s="819"/>
      <c r="T788" s="820"/>
      <c r="U788" s="819"/>
      <c r="V788" s="820"/>
      <c r="W788" s="788"/>
      <c r="X788" s="803"/>
      <c r="Y788" s="803"/>
      <c r="Z788" s="803"/>
      <c r="AA788" s="711"/>
      <c r="AB788" s="711"/>
      <c r="AC788" s="711"/>
      <c r="AD788" s="736"/>
      <c r="AE788" s="736"/>
      <c r="AF788" s="624"/>
      <c r="AG788" s="624"/>
      <c r="AH788" s="624"/>
      <c r="AI788" s="624"/>
      <c r="AJ788" s="960">
        <f t="shared" si="6"/>
        <v>788</v>
      </c>
      <c r="AK788" s="961">
        <v>1.005</v>
      </c>
      <c r="AL788" s="962">
        <v>24950.0</v>
      </c>
      <c r="AM788" s="963">
        <v>-0.7004020918965967</v>
      </c>
      <c r="AN788" s="964">
        <v>0.004999999999999893</v>
      </c>
      <c r="AO788" s="962">
        <v>24950.0</v>
      </c>
      <c r="AP788" s="965">
        <v>-0.6917631482821186</v>
      </c>
      <c r="AQ788" s="962">
        <v>24950.0</v>
      </c>
      <c r="AR788" s="966">
        <v>-0.6832902644340639</v>
      </c>
      <c r="AS788" s="624"/>
      <c r="AT788" s="624"/>
      <c r="AU788" s="624"/>
      <c r="AV788" s="624"/>
      <c r="AW788" s="624"/>
      <c r="AX788" s="624"/>
      <c r="AY788" s="624"/>
      <c r="AZ788" s="624"/>
      <c r="BA788" s="624"/>
      <c r="BB788" s="624"/>
      <c r="BC788" s="624"/>
      <c r="BD788" s="624"/>
      <c r="BE788" s="624"/>
    </row>
    <row r="789" ht="16.5" customHeight="1">
      <c r="A789" s="711"/>
      <c r="B789" s="711"/>
      <c r="C789" s="711"/>
      <c r="D789" s="711"/>
      <c r="E789" s="711"/>
      <c r="F789" s="711"/>
      <c r="G789" s="711"/>
      <c r="H789" s="711"/>
      <c r="I789" s="711"/>
      <c r="J789" s="711"/>
      <c r="K789" s="741"/>
      <c r="L789" s="741"/>
      <c r="M789" s="788"/>
      <c r="N789" s="741"/>
      <c r="O789" s="741"/>
      <c r="P789" s="741"/>
      <c r="Q789" s="741"/>
      <c r="R789" s="788"/>
      <c r="S789" s="819"/>
      <c r="T789" s="820"/>
      <c r="U789" s="819"/>
      <c r="V789" s="820"/>
      <c r="W789" s="788"/>
      <c r="X789" s="803"/>
      <c r="Y789" s="803"/>
      <c r="Z789" s="803"/>
      <c r="AA789" s="711"/>
      <c r="AB789" s="711"/>
      <c r="AC789" s="711"/>
      <c r="AD789" s="736"/>
      <c r="AE789" s="736"/>
      <c r="AF789" s="624"/>
      <c r="AG789" s="624"/>
      <c r="AH789" s="624"/>
      <c r="AI789" s="624"/>
      <c r="AJ789" s="960">
        <f t="shared" si="6"/>
        <v>789</v>
      </c>
      <c r="AK789" s="961">
        <v>0.9216</v>
      </c>
      <c r="AL789" s="962">
        <v>24758.0</v>
      </c>
      <c r="AM789" s="963">
        <v>-0.6976102852553543</v>
      </c>
      <c r="AN789" s="964">
        <v>-0.07840000000000003</v>
      </c>
      <c r="AO789" s="962">
        <v>24758.0</v>
      </c>
      <c r="AP789" s="965">
        <v>-0.6889588898866734</v>
      </c>
      <c r="AQ789" s="962">
        <v>24758.0</v>
      </c>
      <c r="AR789" s="966">
        <v>-0.6804756064648452</v>
      </c>
      <c r="AS789" s="624"/>
      <c r="AT789" s="624"/>
      <c r="AU789" s="624"/>
      <c r="AV789" s="624"/>
      <c r="AW789" s="624"/>
      <c r="AX789" s="624"/>
      <c r="AY789" s="624"/>
      <c r="AZ789" s="624"/>
      <c r="BA789" s="624"/>
      <c r="BB789" s="624"/>
      <c r="BC789" s="624"/>
      <c r="BD789" s="624"/>
      <c r="BE789" s="624"/>
    </row>
    <row r="790" ht="16.5" customHeight="1">
      <c r="A790" s="711"/>
      <c r="B790" s="711"/>
      <c r="C790" s="711"/>
      <c r="D790" s="711"/>
      <c r="E790" s="711"/>
      <c r="F790" s="711"/>
      <c r="G790" s="711"/>
      <c r="H790" s="711"/>
      <c r="I790" s="711"/>
      <c r="J790" s="711"/>
      <c r="K790" s="741"/>
      <c r="L790" s="741"/>
      <c r="M790" s="788"/>
      <c r="N790" s="741"/>
      <c r="O790" s="741"/>
      <c r="P790" s="741"/>
      <c r="Q790" s="741"/>
      <c r="R790" s="788"/>
      <c r="S790" s="819"/>
      <c r="T790" s="820"/>
      <c r="U790" s="819"/>
      <c r="V790" s="820"/>
      <c r="W790" s="788"/>
      <c r="X790" s="803"/>
      <c r="Y790" s="803"/>
      <c r="Z790" s="803"/>
      <c r="AA790" s="711"/>
      <c r="AB790" s="711"/>
      <c r="AC790" s="711"/>
      <c r="AD790" s="736"/>
      <c r="AE790" s="736"/>
      <c r="AF790" s="624"/>
      <c r="AG790" s="624"/>
      <c r="AH790" s="624"/>
      <c r="AI790" s="624"/>
      <c r="AJ790" s="960">
        <f t="shared" si="6"/>
        <v>790</v>
      </c>
      <c r="AK790" s="961">
        <v>0.9695</v>
      </c>
      <c r="AL790" s="962">
        <v>24639.0</v>
      </c>
      <c r="AM790" s="963">
        <v>-0.6958669032313505</v>
      </c>
      <c r="AN790" s="964">
        <v>-0.03049999999999997</v>
      </c>
      <c r="AO790" s="962">
        <v>24639.0</v>
      </c>
      <c r="AP790" s="965">
        <v>-0.6872080422414516</v>
      </c>
      <c r="AQ790" s="962">
        <v>24639.0</v>
      </c>
      <c r="AR790" s="966">
        <v>-0.678718562622066</v>
      </c>
      <c r="AS790" s="624"/>
      <c r="AT790" s="624"/>
      <c r="AU790" s="624"/>
      <c r="AV790" s="624"/>
      <c r="AW790" s="624"/>
      <c r="AX790" s="624"/>
      <c r="AY790" s="624"/>
      <c r="AZ790" s="624"/>
      <c r="BA790" s="624"/>
      <c r="BB790" s="624"/>
      <c r="BC790" s="624"/>
      <c r="BD790" s="624"/>
      <c r="BE790" s="624"/>
    </row>
    <row r="791" ht="16.5" customHeight="1">
      <c r="A791" s="711"/>
      <c r="B791" s="711"/>
      <c r="C791" s="711"/>
      <c r="D791" s="711"/>
      <c r="E791" s="711"/>
      <c r="F791" s="711"/>
      <c r="G791" s="711"/>
      <c r="H791" s="711"/>
      <c r="I791" s="711"/>
      <c r="J791" s="711"/>
      <c r="K791" s="741"/>
      <c r="L791" s="741"/>
      <c r="M791" s="788"/>
      <c r="N791" s="741"/>
      <c r="O791" s="741"/>
      <c r="P791" s="741"/>
      <c r="Q791" s="741"/>
      <c r="R791" s="788"/>
      <c r="S791" s="819"/>
      <c r="T791" s="820"/>
      <c r="U791" s="819"/>
      <c r="V791" s="820"/>
      <c r="W791" s="788"/>
      <c r="X791" s="803"/>
      <c r="Y791" s="803"/>
      <c r="Z791" s="803"/>
      <c r="AA791" s="711"/>
      <c r="AB791" s="711"/>
      <c r="AC791" s="711"/>
      <c r="AD791" s="736"/>
      <c r="AE791" s="736"/>
      <c r="AF791" s="624"/>
      <c r="AG791" s="624"/>
      <c r="AH791" s="624"/>
      <c r="AI791" s="624"/>
      <c r="AJ791" s="960">
        <f t="shared" si="6"/>
        <v>791</v>
      </c>
      <c r="AK791" s="961">
        <v>0.9216</v>
      </c>
      <c r="AL791" s="962">
        <v>24606.0</v>
      </c>
      <c r="AM791" s="963">
        <v>-0.6953816666869523</v>
      </c>
      <c r="AN791" s="964">
        <v>-0.07840000000000003</v>
      </c>
      <c r="AO791" s="962">
        <v>24606.0</v>
      </c>
      <c r="AP791" s="965">
        <v>-0.6867207699531053</v>
      </c>
      <c r="AQ791" s="962">
        <v>24606.0</v>
      </c>
      <c r="AR791" s="966">
        <v>-0.6782296062548447</v>
      </c>
      <c r="AS791" s="624"/>
      <c r="AT791" s="624"/>
      <c r="AU791" s="624"/>
      <c r="AV791" s="624"/>
      <c r="AW791" s="624"/>
      <c r="AX791" s="624"/>
      <c r="AY791" s="624"/>
      <c r="AZ791" s="624"/>
      <c r="BA791" s="624"/>
      <c r="BB791" s="624"/>
      <c r="BC791" s="624"/>
      <c r="BD791" s="624"/>
      <c r="BE791" s="624"/>
    </row>
    <row r="792" ht="16.5" customHeight="1">
      <c r="A792" s="711"/>
      <c r="B792" s="711"/>
      <c r="C792" s="711"/>
      <c r="D792" s="711"/>
      <c r="E792" s="711"/>
      <c r="F792" s="711"/>
      <c r="G792" s="711"/>
      <c r="H792" s="711"/>
      <c r="I792" s="711"/>
      <c r="J792" s="711"/>
      <c r="K792" s="741"/>
      <c r="L792" s="741"/>
      <c r="M792" s="788"/>
      <c r="N792" s="741"/>
      <c r="O792" s="741"/>
      <c r="P792" s="741"/>
      <c r="Q792" s="741"/>
      <c r="R792" s="788"/>
      <c r="S792" s="819"/>
      <c r="T792" s="820"/>
      <c r="U792" s="819"/>
      <c r="V792" s="820"/>
      <c r="W792" s="788"/>
      <c r="X792" s="803"/>
      <c r="Y792" s="803"/>
      <c r="Z792" s="803"/>
      <c r="AA792" s="711"/>
      <c r="AB792" s="711"/>
      <c r="AC792" s="711"/>
      <c r="AD792" s="736"/>
      <c r="AE792" s="736"/>
      <c r="AF792" s="624"/>
      <c r="AG792" s="624"/>
      <c r="AH792" s="624"/>
      <c r="AI792" s="624"/>
      <c r="AJ792" s="960">
        <f t="shared" si="6"/>
        <v>792</v>
      </c>
      <c r="AK792" s="961">
        <v>0.9114</v>
      </c>
      <c r="AL792" s="962">
        <v>24526.0</v>
      </c>
      <c r="AM792" s="963">
        <v>-0.6942021199166641</v>
      </c>
      <c r="AN792" s="964">
        <v>-0.08860000000000001</v>
      </c>
      <c r="AO792" s="962">
        <v>24526.0</v>
      </c>
      <c r="AP792" s="965">
        <v>-0.685536350831789</v>
      </c>
      <c r="AQ792" s="962">
        <v>24526.0</v>
      </c>
      <c r="AR792" s="966">
        <v>-0.6770411666292373</v>
      </c>
      <c r="AS792" s="624"/>
      <c r="AT792" s="624"/>
      <c r="AU792" s="624"/>
      <c r="AV792" s="624"/>
      <c r="AW792" s="624"/>
      <c r="AX792" s="624"/>
      <c r="AY792" s="624"/>
      <c r="AZ792" s="624"/>
      <c r="BA792" s="624"/>
      <c r="BB792" s="624"/>
      <c r="BC792" s="624"/>
      <c r="BD792" s="624"/>
      <c r="BE792" s="624"/>
    </row>
    <row r="793" ht="16.5" customHeight="1">
      <c r="A793" s="711"/>
      <c r="B793" s="711"/>
      <c r="C793" s="711"/>
      <c r="D793" s="711"/>
      <c r="E793" s="711"/>
      <c r="F793" s="711"/>
      <c r="G793" s="711"/>
      <c r="H793" s="711"/>
      <c r="I793" s="711"/>
      <c r="J793" s="711"/>
      <c r="K793" s="741"/>
      <c r="L793" s="741"/>
      <c r="M793" s="788"/>
      <c r="N793" s="741"/>
      <c r="O793" s="741"/>
      <c r="P793" s="741"/>
      <c r="Q793" s="741"/>
      <c r="R793" s="788"/>
      <c r="S793" s="819"/>
      <c r="T793" s="820"/>
      <c r="U793" s="819"/>
      <c r="V793" s="820"/>
      <c r="W793" s="788"/>
      <c r="X793" s="803"/>
      <c r="Y793" s="803"/>
      <c r="Z793" s="803"/>
      <c r="AA793" s="711"/>
      <c r="AB793" s="711"/>
      <c r="AC793" s="711"/>
      <c r="AD793" s="736"/>
      <c r="AE793" s="736"/>
      <c r="AF793" s="624"/>
      <c r="AG793" s="624"/>
      <c r="AH793" s="624"/>
      <c r="AI793" s="624"/>
      <c r="AJ793" s="960">
        <f t="shared" si="6"/>
        <v>793</v>
      </c>
      <c r="AK793" s="961">
        <v>0.9558</v>
      </c>
      <c r="AL793" s="962">
        <v>24331.0</v>
      </c>
      <c r="AM793" s="963">
        <v>-0.691307804005689</v>
      </c>
      <c r="AN793" s="964">
        <v>-0.04420000000000002</v>
      </c>
      <c r="AO793" s="962">
        <v>24331.0</v>
      </c>
      <c r="AP793" s="965">
        <v>-0.6826305350631336</v>
      </c>
      <c r="AQ793" s="962">
        <v>24331.0</v>
      </c>
      <c r="AR793" s="966">
        <v>-0.6741259231709136</v>
      </c>
      <c r="AS793" s="624"/>
      <c r="AT793" s="624"/>
      <c r="AU793" s="624"/>
      <c r="AV793" s="624"/>
      <c r="AW793" s="624"/>
      <c r="AX793" s="624"/>
      <c r="AY793" s="624"/>
      <c r="AZ793" s="624"/>
      <c r="BA793" s="624"/>
      <c r="BB793" s="624"/>
      <c r="BC793" s="624"/>
      <c r="BD793" s="624"/>
      <c r="BE793" s="624"/>
    </row>
    <row r="794" ht="16.5" customHeight="1">
      <c r="A794" s="711"/>
      <c r="B794" s="711"/>
      <c r="C794" s="711"/>
      <c r="D794" s="711"/>
      <c r="E794" s="711"/>
      <c r="F794" s="711"/>
      <c r="G794" s="711"/>
      <c r="H794" s="711"/>
      <c r="I794" s="711"/>
      <c r="J794" s="711"/>
      <c r="K794" s="741"/>
      <c r="L794" s="741"/>
      <c r="M794" s="788"/>
      <c r="N794" s="741"/>
      <c r="O794" s="741"/>
      <c r="P794" s="741"/>
      <c r="Q794" s="741"/>
      <c r="R794" s="788"/>
      <c r="S794" s="819"/>
      <c r="T794" s="820"/>
      <c r="U794" s="819"/>
      <c r="V794" s="820"/>
      <c r="W794" s="788"/>
      <c r="X794" s="803"/>
      <c r="Y794" s="803"/>
      <c r="Z794" s="803"/>
      <c r="AA794" s="711"/>
      <c r="AB794" s="711"/>
      <c r="AC794" s="711"/>
      <c r="AD794" s="736"/>
      <c r="AE794" s="736"/>
      <c r="AF794" s="624"/>
      <c r="AG794" s="624"/>
      <c r="AH794" s="624"/>
      <c r="AI794" s="624"/>
      <c r="AJ794" s="960">
        <f t="shared" si="6"/>
        <v>794</v>
      </c>
      <c r="AK794" s="961">
        <v>0.9699</v>
      </c>
      <c r="AL794" s="962">
        <v>24325.0</v>
      </c>
      <c r="AM794" s="963">
        <v>-0.691218315038061</v>
      </c>
      <c r="AN794" s="964">
        <v>-0.030100000000000016</v>
      </c>
      <c r="AO794" s="962">
        <v>24325.0</v>
      </c>
      <c r="AP794" s="965">
        <v>-0.682540700804658</v>
      </c>
      <c r="AQ794" s="962">
        <v>24325.0</v>
      </c>
      <c r="AR794" s="966">
        <v>-0.6740358072816884</v>
      </c>
      <c r="AS794" s="624"/>
      <c r="AT794" s="624"/>
      <c r="AU794" s="624"/>
      <c r="AV794" s="624"/>
      <c r="AW794" s="624"/>
      <c r="AX794" s="624"/>
      <c r="AY794" s="624"/>
      <c r="AZ794" s="624"/>
      <c r="BA794" s="624"/>
      <c r="BB794" s="624"/>
      <c r="BC794" s="624"/>
      <c r="BD794" s="624"/>
      <c r="BE794" s="624"/>
    </row>
    <row r="795" ht="16.5" customHeight="1">
      <c r="A795" s="711"/>
      <c r="B795" s="711"/>
      <c r="C795" s="711"/>
      <c r="D795" s="711"/>
      <c r="E795" s="711"/>
      <c r="F795" s="711"/>
      <c r="G795" s="711"/>
      <c r="H795" s="711"/>
      <c r="I795" s="711"/>
      <c r="J795" s="711"/>
      <c r="K795" s="741"/>
      <c r="L795" s="741"/>
      <c r="M795" s="788"/>
      <c r="N795" s="741"/>
      <c r="O795" s="741"/>
      <c r="P795" s="741"/>
      <c r="Q795" s="741"/>
      <c r="R795" s="788"/>
      <c r="S795" s="819"/>
      <c r="T795" s="820"/>
      <c r="U795" s="819"/>
      <c r="V795" s="820"/>
      <c r="W795" s="788"/>
      <c r="X795" s="803"/>
      <c r="Y795" s="803"/>
      <c r="Z795" s="803"/>
      <c r="AA795" s="711"/>
      <c r="AB795" s="711"/>
      <c r="AC795" s="711"/>
      <c r="AD795" s="736"/>
      <c r="AE795" s="736"/>
      <c r="AF795" s="624"/>
      <c r="AG795" s="624"/>
      <c r="AH795" s="624"/>
      <c r="AI795" s="624"/>
      <c r="AJ795" s="960">
        <f t="shared" si="6"/>
        <v>795</v>
      </c>
      <c r="AK795" s="961">
        <v>0.9397</v>
      </c>
      <c r="AL795" s="962">
        <v>24300.0</v>
      </c>
      <c r="AM795" s="963">
        <v>-0.6908451650109836</v>
      </c>
      <c r="AN795" s="964">
        <v>-0.06030000000000002</v>
      </c>
      <c r="AO795" s="962">
        <v>24300.0</v>
      </c>
      <c r="AP795" s="965">
        <v>-0.6821661176042038</v>
      </c>
      <c r="AQ795" s="962">
        <v>24300.0</v>
      </c>
      <c r="AR795" s="966">
        <v>-0.6736600560924736</v>
      </c>
      <c r="AS795" s="624"/>
      <c r="AT795" s="624"/>
      <c r="AU795" s="624"/>
      <c r="AV795" s="624"/>
      <c r="AW795" s="624"/>
      <c r="AX795" s="624"/>
      <c r="AY795" s="624"/>
      <c r="AZ795" s="624"/>
      <c r="BA795" s="624"/>
      <c r="BB795" s="624"/>
      <c r="BC795" s="624"/>
      <c r="BD795" s="624"/>
      <c r="BE795" s="624"/>
    </row>
    <row r="796" ht="16.5" customHeight="1">
      <c r="A796" s="711"/>
      <c r="B796" s="711"/>
      <c r="C796" s="711"/>
      <c r="D796" s="711"/>
      <c r="E796" s="711"/>
      <c r="F796" s="711"/>
      <c r="G796" s="711"/>
      <c r="H796" s="711"/>
      <c r="I796" s="711"/>
      <c r="J796" s="711"/>
      <c r="K796" s="741"/>
      <c r="L796" s="741"/>
      <c r="M796" s="788"/>
      <c r="N796" s="741"/>
      <c r="O796" s="741"/>
      <c r="P796" s="741"/>
      <c r="Q796" s="741"/>
      <c r="R796" s="788"/>
      <c r="S796" s="819"/>
      <c r="T796" s="820"/>
      <c r="U796" s="819"/>
      <c r="V796" s="820"/>
      <c r="W796" s="788"/>
      <c r="X796" s="803"/>
      <c r="Y796" s="803"/>
      <c r="Z796" s="803"/>
      <c r="AA796" s="711"/>
      <c r="AB796" s="711"/>
      <c r="AC796" s="711"/>
      <c r="AD796" s="736"/>
      <c r="AE796" s="736"/>
      <c r="AF796" s="624"/>
      <c r="AG796" s="624"/>
      <c r="AH796" s="624"/>
      <c r="AI796" s="624"/>
      <c r="AJ796" s="960">
        <f t="shared" si="6"/>
        <v>796</v>
      </c>
      <c r="AK796" s="961">
        <v>0.9568</v>
      </c>
      <c r="AL796" s="962">
        <v>24281.0</v>
      </c>
      <c r="AM796" s="963">
        <v>-0.6905612694331964</v>
      </c>
      <c r="AN796" s="964">
        <v>-0.043200000000000016</v>
      </c>
      <c r="AO796" s="962">
        <v>24281.0</v>
      </c>
      <c r="AP796" s="965">
        <v>-0.6818811387994976</v>
      </c>
      <c r="AQ796" s="962">
        <v>24281.0</v>
      </c>
      <c r="AR796" s="966">
        <v>-0.6733741955296491</v>
      </c>
      <c r="AS796" s="624"/>
      <c r="AT796" s="624"/>
      <c r="AU796" s="624"/>
      <c r="AV796" s="624"/>
      <c r="AW796" s="624"/>
      <c r="AX796" s="624"/>
      <c r="AY796" s="624"/>
      <c r="AZ796" s="624"/>
      <c r="BA796" s="624"/>
      <c r="BB796" s="624"/>
      <c r="BC796" s="624"/>
      <c r="BD796" s="624"/>
      <c r="BE796" s="624"/>
    </row>
    <row r="797" ht="16.5" customHeight="1">
      <c r="A797" s="711"/>
      <c r="B797" s="711"/>
      <c r="C797" s="711"/>
      <c r="D797" s="711"/>
      <c r="E797" s="711"/>
      <c r="F797" s="711"/>
      <c r="G797" s="711"/>
      <c r="H797" s="711"/>
      <c r="I797" s="711"/>
      <c r="J797" s="711"/>
      <c r="K797" s="741"/>
      <c r="L797" s="741"/>
      <c r="M797" s="788"/>
      <c r="N797" s="741"/>
      <c r="O797" s="741"/>
      <c r="P797" s="741"/>
      <c r="Q797" s="741"/>
      <c r="R797" s="788"/>
      <c r="S797" s="819"/>
      <c r="T797" s="820"/>
      <c r="U797" s="819"/>
      <c r="V797" s="820"/>
      <c r="W797" s="788"/>
      <c r="X797" s="803"/>
      <c r="Y797" s="803"/>
      <c r="Z797" s="803"/>
      <c r="AA797" s="711"/>
      <c r="AB797" s="711"/>
      <c r="AC797" s="711"/>
      <c r="AD797" s="736"/>
      <c r="AE797" s="736"/>
      <c r="AF797" s="624"/>
      <c r="AG797" s="624"/>
      <c r="AH797" s="624"/>
      <c r="AI797" s="624"/>
      <c r="AJ797" s="960">
        <f t="shared" si="6"/>
        <v>797</v>
      </c>
      <c r="AK797" s="961">
        <v>0.9721</v>
      </c>
      <c r="AL797" s="962">
        <v>24183.0</v>
      </c>
      <c r="AM797" s="963">
        <v>-0.6890928205048021</v>
      </c>
      <c r="AN797" s="964">
        <v>-0.027900000000000036</v>
      </c>
      <c r="AO797" s="962">
        <v>24183.0</v>
      </c>
      <c r="AP797" s="965">
        <v>-0.6804071851919329</v>
      </c>
      <c r="AQ797" s="962">
        <v>24183.0</v>
      </c>
      <c r="AR797" s="966">
        <v>-0.6718957753961017</v>
      </c>
      <c r="AS797" s="624"/>
      <c r="AT797" s="624"/>
      <c r="AU797" s="624"/>
      <c r="AV797" s="624"/>
      <c r="AW797" s="624"/>
      <c r="AX797" s="624"/>
      <c r="AY797" s="624"/>
      <c r="AZ797" s="624"/>
      <c r="BA797" s="624"/>
      <c r="BB797" s="624"/>
      <c r="BC797" s="624"/>
      <c r="BD797" s="624"/>
      <c r="BE797" s="624"/>
    </row>
    <row r="798" ht="16.5" customHeight="1">
      <c r="A798" s="711"/>
      <c r="B798" s="711"/>
      <c r="C798" s="711"/>
      <c r="D798" s="711"/>
      <c r="E798" s="711"/>
      <c r="F798" s="711"/>
      <c r="G798" s="711"/>
      <c r="H798" s="711"/>
      <c r="I798" s="711"/>
      <c r="J798" s="711"/>
      <c r="K798" s="741"/>
      <c r="L798" s="741"/>
      <c r="M798" s="788"/>
      <c r="N798" s="741"/>
      <c r="O798" s="741"/>
      <c r="P798" s="741"/>
      <c r="Q798" s="741"/>
      <c r="R798" s="788"/>
      <c r="S798" s="819"/>
      <c r="T798" s="820"/>
      <c r="U798" s="819"/>
      <c r="V798" s="820"/>
      <c r="W798" s="788"/>
      <c r="X798" s="803"/>
      <c r="Y798" s="803"/>
      <c r="Z798" s="803"/>
      <c r="AA798" s="711"/>
      <c r="AB798" s="711"/>
      <c r="AC798" s="711"/>
      <c r="AD798" s="736"/>
      <c r="AE798" s="736"/>
      <c r="AF798" s="624"/>
      <c r="AG798" s="624"/>
      <c r="AH798" s="624"/>
      <c r="AI798" s="624"/>
      <c r="AJ798" s="960">
        <f t="shared" si="6"/>
        <v>798</v>
      </c>
      <c r="AK798" s="961">
        <v>0.9905</v>
      </c>
      <c r="AL798" s="962">
        <v>24140.0</v>
      </c>
      <c r="AM798" s="963">
        <v>-0.6884463034022146</v>
      </c>
      <c r="AN798" s="964">
        <v>-0.009499999999999953</v>
      </c>
      <c r="AO798" s="962">
        <v>24140.0</v>
      </c>
      <c r="AP798" s="965">
        <v>-0.6797582966341703</v>
      </c>
      <c r="AQ798" s="962">
        <v>24140.0</v>
      </c>
      <c r="AR798" s="966">
        <v>-0.6712449703571528</v>
      </c>
      <c r="AS798" s="624"/>
      <c r="AT798" s="624"/>
      <c r="AU798" s="624"/>
      <c r="AV798" s="624"/>
      <c r="AW798" s="624"/>
      <c r="AX798" s="624"/>
      <c r="AY798" s="624"/>
      <c r="AZ798" s="624"/>
      <c r="BA798" s="624"/>
      <c r="BB798" s="624"/>
      <c r="BC798" s="624"/>
      <c r="BD798" s="624"/>
      <c r="BE798" s="624"/>
    </row>
    <row r="799" ht="16.5" customHeight="1">
      <c r="A799" s="711"/>
      <c r="B799" s="711"/>
      <c r="C799" s="711"/>
      <c r="D799" s="711"/>
      <c r="E799" s="711"/>
      <c r="F799" s="711"/>
      <c r="G799" s="711"/>
      <c r="H799" s="711"/>
      <c r="I799" s="711"/>
      <c r="J799" s="711"/>
      <c r="K799" s="741"/>
      <c r="L799" s="741"/>
      <c r="M799" s="788"/>
      <c r="N799" s="741"/>
      <c r="O799" s="741"/>
      <c r="P799" s="741"/>
      <c r="Q799" s="741"/>
      <c r="R799" s="788"/>
      <c r="S799" s="819"/>
      <c r="T799" s="820"/>
      <c r="U799" s="819"/>
      <c r="V799" s="820"/>
      <c r="W799" s="788"/>
      <c r="X799" s="803"/>
      <c r="Y799" s="803"/>
      <c r="Z799" s="803"/>
      <c r="AA799" s="711"/>
      <c r="AB799" s="711"/>
      <c r="AC799" s="711"/>
      <c r="AD799" s="736"/>
      <c r="AE799" s="736"/>
      <c r="AF799" s="624"/>
      <c r="AG799" s="624"/>
      <c r="AH799" s="624"/>
      <c r="AI799" s="624"/>
      <c r="AJ799" s="960">
        <f t="shared" si="6"/>
        <v>799</v>
      </c>
      <c r="AK799" s="961">
        <v>0.996</v>
      </c>
      <c r="AL799" s="962">
        <v>24088.0</v>
      </c>
      <c r="AM799" s="963">
        <v>-0.6876626725764072</v>
      </c>
      <c r="AN799" s="964">
        <v>-0.0040000000000000036</v>
      </c>
      <c r="AO799" s="962">
        <v>24088.0</v>
      </c>
      <c r="AP799" s="965">
        <v>-0.6789718339811162</v>
      </c>
      <c r="AQ799" s="962">
        <v>24088.0</v>
      </c>
      <c r="AR799" s="966">
        <v>-0.6704562256237818</v>
      </c>
      <c r="AS799" s="624"/>
      <c r="AT799" s="624"/>
      <c r="AU799" s="624"/>
      <c r="AV799" s="624"/>
      <c r="AW799" s="624"/>
      <c r="AX799" s="624"/>
      <c r="AY799" s="624"/>
      <c r="AZ799" s="624"/>
      <c r="BA799" s="624"/>
      <c r="BB799" s="624"/>
      <c r="BC799" s="624"/>
      <c r="BD799" s="624"/>
      <c r="BE799" s="624"/>
    </row>
    <row r="800" ht="16.5" customHeight="1">
      <c r="A800" s="711"/>
      <c r="B800" s="711"/>
      <c r="C800" s="711"/>
      <c r="D800" s="711"/>
      <c r="E800" s="711"/>
      <c r="F800" s="711"/>
      <c r="G800" s="711"/>
      <c r="H800" s="711"/>
      <c r="I800" s="711"/>
      <c r="J800" s="711"/>
      <c r="K800" s="741"/>
      <c r="L800" s="741"/>
      <c r="M800" s="788"/>
      <c r="N800" s="741"/>
      <c r="O800" s="741"/>
      <c r="P800" s="741"/>
      <c r="Q800" s="741"/>
      <c r="R800" s="788"/>
      <c r="S800" s="819"/>
      <c r="T800" s="820"/>
      <c r="U800" s="819"/>
      <c r="V800" s="820"/>
      <c r="W800" s="788"/>
      <c r="X800" s="803"/>
      <c r="Y800" s="803"/>
      <c r="Z800" s="803"/>
      <c r="AA800" s="711"/>
      <c r="AB800" s="711"/>
      <c r="AC800" s="711"/>
      <c r="AD800" s="736"/>
      <c r="AE800" s="736"/>
      <c r="AF800" s="624"/>
      <c r="AG800" s="624"/>
      <c r="AH800" s="624"/>
      <c r="AI800" s="624"/>
      <c r="AJ800" s="960">
        <f t="shared" si="6"/>
        <v>800</v>
      </c>
      <c r="AK800" s="961">
        <v>0.9573</v>
      </c>
      <c r="AL800" s="962">
        <v>24027.0</v>
      </c>
      <c r="AM800" s="963">
        <v>-0.6867409007307015</v>
      </c>
      <c r="AN800" s="964">
        <v>-0.04269999999999996</v>
      </c>
      <c r="AO800" s="962">
        <v>24027.0</v>
      </c>
      <c r="AP800" s="965">
        <v>-0.6780467906595007</v>
      </c>
      <c r="AQ800" s="962">
        <v>24027.0</v>
      </c>
      <c r="AR800" s="966">
        <v>-0.6695285550738868</v>
      </c>
      <c r="AS800" s="624"/>
      <c r="AT800" s="624"/>
      <c r="AU800" s="624"/>
      <c r="AV800" s="624"/>
      <c r="AW800" s="624"/>
      <c r="AX800" s="624"/>
      <c r="AY800" s="624"/>
      <c r="AZ800" s="624"/>
      <c r="BA800" s="624"/>
      <c r="BB800" s="624"/>
      <c r="BC800" s="624"/>
      <c r="BD800" s="624"/>
      <c r="BE800" s="624"/>
    </row>
    <row r="801" ht="16.5" customHeight="1">
      <c r="A801" s="711"/>
      <c r="B801" s="711"/>
      <c r="C801" s="711"/>
      <c r="D801" s="711"/>
      <c r="E801" s="711"/>
      <c r="F801" s="711"/>
      <c r="G801" s="711"/>
      <c r="H801" s="711"/>
      <c r="I801" s="711"/>
      <c r="J801" s="711"/>
      <c r="K801" s="741"/>
      <c r="L801" s="741"/>
      <c r="M801" s="788"/>
      <c r="N801" s="741"/>
      <c r="O801" s="741"/>
      <c r="P801" s="741"/>
      <c r="Q801" s="741"/>
      <c r="R801" s="788"/>
      <c r="S801" s="819"/>
      <c r="T801" s="820"/>
      <c r="U801" s="819"/>
      <c r="V801" s="820"/>
      <c r="W801" s="788"/>
      <c r="X801" s="803"/>
      <c r="Y801" s="803"/>
      <c r="Z801" s="803"/>
      <c r="AA801" s="711"/>
      <c r="AB801" s="711"/>
      <c r="AC801" s="711"/>
      <c r="AD801" s="736"/>
      <c r="AE801" s="736"/>
      <c r="AF801" s="624"/>
      <c r="AG801" s="624"/>
      <c r="AH801" s="624"/>
      <c r="AI801" s="624"/>
      <c r="AJ801" s="960">
        <f t="shared" si="6"/>
        <v>801</v>
      </c>
      <c r="AK801" s="961">
        <v>0.9647</v>
      </c>
      <c r="AL801" s="962">
        <v>24000.0</v>
      </c>
      <c r="AM801" s="963">
        <v>-0.6863320353121753</v>
      </c>
      <c r="AN801" s="964">
        <v>-0.0353</v>
      </c>
      <c r="AO801" s="962">
        <v>24000.0</v>
      </c>
      <c r="AP801" s="965">
        <v>-0.6776364946938404</v>
      </c>
      <c r="AQ801" s="962">
        <v>24000.0</v>
      </c>
      <c r="AR801" s="966">
        <v>-0.6691171134922042</v>
      </c>
      <c r="AS801" s="624"/>
      <c r="AT801" s="624"/>
      <c r="AU801" s="624"/>
      <c r="AV801" s="624"/>
      <c r="AW801" s="624"/>
      <c r="AX801" s="624"/>
      <c r="AY801" s="624"/>
      <c r="AZ801" s="624"/>
      <c r="BA801" s="624"/>
      <c r="BB801" s="624"/>
      <c r="BC801" s="624"/>
      <c r="BD801" s="624"/>
      <c r="BE801" s="624"/>
    </row>
    <row r="802" ht="16.5" customHeight="1">
      <c r="A802" s="711"/>
      <c r="B802" s="711"/>
      <c r="C802" s="711"/>
      <c r="D802" s="711"/>
      <c r="E802" s="711"/>
      <c r="F802" s="711"/>
      <c r="G802" s="711"/>
      <c r="H802" s="711"/>
      <c r="I802" s="711"/>
      <c r="J802" s="711"/>
      <c r="K802" s="741"/>
      <c r="L802" s="741"/>
      <c r="M802" s="788"/>
      <c r="N802" s="741"/>
      <c r="O802" s="741"/>
      <c r="P802" s="741"/>
      <c r="Q802" s="741"/>
      <c r="R802" s="788"/>
      <c r="S802" s="819"/>
      <c r="T802" s="820"/>
      <c r="U802" s="819"/>
      <c r="V802" s="820"/>
      <c r="W802" s="788"/>
      <c r="X802" s="803"/>
      <c r="Y802" s="803"/>
      <c r="Z802" s="803"/>
      <c r="AA802" s="711"/>
      <c r="AB802" s="711"/>
      <c r="AC802" s="711"/>
      <c r="AD802" s="736"/>
      <c r="AE802" s="736"/>
      <c r="AF802" s="624"/>
      <c r="AG802" s="624"/>
      <c r="AH802" s="624"/>
      <c r="AI802" s="624"/>
      <c r="AJ802" s="960">
        <f t="shared" si="6"/>
        <v>802</v>
      </c>
      <c r="AK802" s="961">
        <v>0.9508</v>
      </c>
      <c r="AL802" s="962">
        <v>24000.0</v>
      </c>
      <c r="AM802" s="963">
        <v>-0.6863320353121753</v>
      </c>
      <c r="AN802" s="964">
        <v>-0.04920000000000002</v>
      </c>
      <c r="AO802" s="962">
        <v>24000.0</v>
      </c>
      <c r="AP802" s="965">
        <v>-0.6776364946938404</v>
      </c>
      <c r="AQ802" s="962">
        <v>24000.0</v>
      </c>
      <c r="AR802" s="966">
        <v>-0.6691171134922042</v>
      </c>
      <c r="AS802" s="624"/>
      <c r="AT802" s="624"/>
      <c r="AU802" s="624"/>
      <c r="AV802" s="624"/>
      <c r="AW802" s="624"/>
      <c r="AX802" s="624"/>
      <c r="AY802" s="624"/>
      <c r="AZ802" s="624"/>
      <c r="BA802" s="624"/>
      <c r="BB802" s="624"/>
      <c r="BC802" s="624"/>
      <c r="BD802" s="624"/>
      <c r="BE802" s="624"/>
    </row>
    <row r="803" ht="16.5" customHeight="1">
      <c r="A803" s="711"/>
      <c r="B803" s="711"/>
      <c r="C803" s="711"/>
      <c r="D803" s="711"/>
      <c r="E803" s="711"/>
      <c r="F803" s="711"/>
      <c r="G803" s="711"/>
      <c r="H803" s="711"/>
      <c r="I803" s="711"/>
      <c r="J803" s="711"/>
      <c r="K803" s="741"/>
      <c r="L803" s="741"/>
      <c r="M803" s="788"/>
      <c r="N803" s="741"/>
      <c r="O803" s="741"/>
      <c r="P803" s="741"/>
      <c r="Q803" s="741"/>
      <c r="R803" s="788"/>
      <c r="S803" s="819"/>
      <c r="T803" s="820"/>
      <c r="U803" s="819"/>
      <c r="V803" s="820"/>
      <c r="W803" s="788"/>
      <c r="X803" s="803"/>
      <c r="Y803" s="803"/>
      <c r="Z803" s="803"/>
      <c r="AA803" s="711"/>
      <c r="AB803" s="711"/>
      <c r="AC803" s="711"/>
      <c r="AD803" s="736"/>
      <c r="AE803" s="736"/>
      <c r="AF803" s="624"/>
      <c r="AG803" s="624"/>
      <c r="AH803" s="624"/>
      <c r="AI803" s="624"/>
      <c r="AJ803" s="960">
        <f t="shared" si="6"/>
        <v>803</v>
      </c>
      <c r="AK803" s="961">
        <v>1.0082</v>
      </c>
      <c r="AL803" s="962">
        <v>23990.0</v>
      </c>
      <c r="AM803" s="963">
        <v>-0.686180468287007</v>
      </c>
      <c r="AN803" s="964">
        <v>0.008199999999999985</v>
      </c>
      <c r="AO803" s="962">
        <v>23990.0</v>
      </c>
      <c r="AP803" s="965">
        <v>-0.6774844005681844</v>
      </c>
      <c r="AQ803" s="962">
        <v>23990.0</v>
      </c>
      <c r="AR803" s="966">
        <v>-0.6689645977601687</v>
      </c>
      <c r="AS803" s="624"/>
      <c r="AT803" s="624"/>
      <c r="AU803" s="624"/>
      <c r="AV803" s="624"/>
      <c r="AW803" s="624"/>
      <c r="AX803" s="624"/>
      <c r="AY803" s="624"/>
      <c r="AZ803" s="624"/>
      <c r="BA803" s="624"/>
      <c r="BB803" s="624"/>
      <c r="BC803" s="624"/>
      <c r="BD803" s="624"/>
      <c r="BE803" s="624"/>
    </row>
    <row r="804" ht="16.5" customHeight="1">
      <c r="A804" s="711"/>
      <c r="B804" s="711"/>
      <c r="C804" s="711"/>
      <c r="D804" s="711"/>
      <c r="E804" s="711"/>
      <c r="F804" s="711"/>
      <c r="G804" s="711"/>
      <c r="H804" s="711"/>
      <c r="I804" s="711"/>
      <c r="J804" s="711"/>
      <c r="K804" s="741"/>
      <c r="L804" s="741"/>
      <c r="M804" s="788"/>
      <c r="N804" s="741"/>
      <c r="O804" s="741"/>
      <c r="P804" s="741"/>
      <c r="Q804" s="741"/>
      <c r="R804" s="788"/>
      <c r="S804" s="819"/>
      <c r="T804" s="820"/>
      <c r="U804" s="819"/>
      <c r="V804" s="820"/>
      <c r="W804" s="788"/>
      <c r="X804" s="803"/>
      <c r="Y804" s="803"/>
      <c r="Z804" s="803"/>
      <c r="AA804" s="711"/>
      <c r="AB804" s="711"/>
      <c r="AC804" s="711"/>
      <c r="AD804" s="736"/>
      <c r="AE804" s="736"/>
      <c r="AF804" s="624"/>
      <c r="AG804" s="624"/>
      <c r="AH804" s="624"/>
      <c r="AI804" s="624"/>
      <c r="AJ804" s="960">
        <f t="shared" si="6"/>
        <v>804</v>
      </c>
      <c r="AK804" s="961">
        <v>0.9797</v>
      </c>
      <c r="AL804" s="962">
        <v>23945.0</v>
      </c>
      <c r="AM804" s="963">
        <v>-0.6854975098365419</v>
      </c>
      <c r="AN804" s="964">
        <v>-0.020299999999999985</v>
      </c>
      <c r="AO804" s="962">
        <v>23945.0</v>
      </c>
      <c r="AP804" s="965">
        <v>-0.6767990884907715</v>
      </c>
      <c r="AQ804" s="962">
        <v>23945.0</v>
      </c>
      <c r="AR804" s="966">
        <v>-0.6682774065362337</v>
      </c>
      <c r="AS804" s="624"/>
      <c r="AT804" s="624"/>
      <c r="AU804" s="624"/>
      <c r="AV804" s="624"/>
      <c r="AW804" s="624"/>
      <c r="AX804" s="624"/>
      <c r="AY804" s="624"/>
      <c r="AZ804" s="624"/>
      <c r="BA804" s="624"/>
      <c r="BB804" s="624"/>
      <c r="BC804" s="624"/>
      <c r="BD804" s="624"/>
      <c r="BE804" s="624"/>
    </row>
    <row r="805" ht="16.5" customHeight="1">
      <c r="A805" s="711"/>
      <c r="B805" s="711"/>
      <c r="C805" s="711"/>
      <c r="D805" s="711"/>
      <c r="E805" s="711"/>
      <c r="F805" s="711"/>
      <c r="G805" s="711"/>
      <c r="H805" s="711"/>
      <c r="I805" s="711"/>
      <c r="J805" s="711"/>
      <c r="K805" s="741"/>
      <c r="L805" s="741"/>
      <c r="M805" s="788"/>
      <c r="N805" s="741"/>
      <c r="O805" s="741"/>
      <c r="P805" s="741"/>
      <c r="Q805" s="741"/>
      <c r="R805" s="788"/>
      <c r="S805" s="819"/>
      <c r="T805" s="820"/>
      <c r="U805" s="819"/>
      <c r="V805" s="820"/>
      <c r="W805" s="788"/>
      <c r="X805" s="803"/>
      <c r="Y805" s="803"/>
      <c r="Z805" s="803"/>
      <c r="AA805" s="711"/>
      <c r="AB805" s="711"/>
      <c r="AC805" s="711"/>
      <c r="AD805" s="736"/>
      <c r="AE805" s="736"/>
      <c r="AF805" s="624"/>
      <c r="AG805" s="624"/>
      <c r="AH805" s="624"/>
      <c r="AI805" s="624"/>
      <c r="AJ805" s="960">
        <f t="shared" si="6"/>
        <v>805</v>
      </c>
      <c r="AK805" s="961">
        <v>1.0043</v>
      </c>
      <c r="AL805" s="962">
        <v>23635.0</v>
      </c>
      <c r="AM805" s="963">
        <v>-0.6807521247753634</v>
      </c>
      <c r="AN805" s="964">
        <v>0.0042999999999999705</v>
      </c>
      <c r="AO805" s="962">
        <v>23635.0</v>
      </c>
      <c r="AP805" s="965">
        <v>-0.6720383147115133</v>
      </c>
      <c r="AQ805" s="962">
        <v>23635.0</v>
      </c>
      <c r="AR805" s="966">
        <v>-0.6635045013354698</v>
      </c>
      <c r="AS805" s="624"/>
      <c r="AT805" s="624"/>
      <c r="AU805" s="624"/>
      <c r="AV805" s="624"/>
      <c r="AW805" s="624"/>
      <c r="AX805" s="624"/>
      <c r="AY805" s="624"/>
      <c r="AZ805" s="624"/>
      <c r="BA805" s="624"/>
      <c r="BB805" s="624"/>
      <c r="BC805" s="624"/>
      <c r="BD805" s="624"/>
      <c r="BE805" s="624"/>
    </row>
    <row r="806" ht="16.5" customHeight="1">
      <c r="A806" s="711"/>
      <c r="B806" s="711"/>
      <c r="C806" s="711"/>
      <c r="D806" s="711"/>
      <c r="E806" s="711"/>
      <c r="F806" s="711"/>
      <c r="G806" s="711"/>
      <c r="H806" s="711"/>
      <c r="I806" s="711"/>
      <c r="J806" s="711"/>
      <c r="K806" s="741"/>
      <c r="L806" s="741"/>
      <c r="M806" s="788"/>
      <c r="N806" s="741"/>
      <c r="O806" s="741"/>
      <c r="P806" s="741"/>
      <c r="Q806" s="741"/>
      <c r="R806" s="788"/>
      <c r="S806" s="819"/>
      <c r="T806" s="820"/>
      <c r="U806" s="819"/>
      <c r="V806" s="820"/>
      <c r="W806" s="788"/>
      <c r="X806" s="803"/>
      <c r="Y806" s="803"/>
      <c r="Z806" s="803"/>
      <c r="AA806" s="711"/>
      <c r="AB806" s="711"/>
      <c r="AC806" s="711"/>
      <c r="AD806" s="736"/>
      <c r="AE806" s="736"/>
      <c r="AF806" s="624"/>
      <c r="AG806" s="624"/>
      <c r="AH806" s="624"/>
      <c r="AI806" s="624"/>
      <c r="AJ806" s="960">
        <f t="shared" si="6"/>
        <v>806</v>
      </c>
      <c r="AK806" s="961">
        <v>0.9758</v>
      </c>
      <c r="AL806" s="962">
        <v>23373.0</v>
      </c>
      <c r="AM806" s="963">
        <v>-0.6766857229287184</v>
      </c>
      <c r="AN806" s="964">
        <v>-0.0242</v>
      </c>
      <c r="AO806" s="962">
        <v>23373.0</v>
      </c>
      <c r="AP806" s="965">
        <v>-0.6679600546553394</v>
      </c>
      <c r="AQ806" s="962">
        <v>23373.0</v>
      </c>
      <c r="AR806" s="966">
        <v>-0.6594171192974227</v>
      </c>
      <c r="AS806" s="624"/>
      <c r="AT806" s="624"/>
      <c r="AU806" s="624"/>
      <c r="AV806" s="624"/>
      <c r="AW806" s="624"/>
      <c r="AX806" s="624"/>
      <c r="AY806" s="624"/>
      <c r="AZ806" s="624"/>
      <c r="BA806" s="624"/>
      <c r="BB806" s="624"/>
      <c r="BC806" s="624"/>
      <c r="BD806" s="624"/>
      <c r="BE806" s="624"/>
    </row>
    <row r="807" ht="16.5" customHeight="1">
      <c r="A807" s="711"/>
      <c r="B807" s="711"/>
      <c r="C807" s="711"/>
      <c r="D807" s="711"/>
      <c r="E807" s="711"/>
      <c r="F807" s="711"/>
      <c r="G807" s="711"/>
      <c r="H807" s="711"/>
      <c r="I807" s="711"/>
      <c r="J807" s="711"/>
      <c r="K807" s="741"/>
      <c r="L807" s="741"/>
      <c r="M807" s="788"/>
      <c r="N807" s="741"/>
      <c r="O807" s="741"/>
      <c r="P807" s="741"/>
      <c r="Q807" s="741"/>
      <c r="R807" s="788"/>
      <c r="S807" s="819"/>
      <c r="T807" s="820"/>
      <c r="U807" s="819"/>
      <c r="V807" s="820"/>
      <c r="W807" s="788"/>
      <c r="X807" s="803"/>
      <c r="Y807" s="803"/>
      <c r="Z807" s="803"/>
      <c r="AA807" s="711"/>
      <c r="AB807" s="711"/>
      <c r="AC807" s="711"/>
      <c r="AD807" s="736"/>
      <c r="AE807" s="736"/>
      <c r="AF807" s="624"/>
      <c r="AG807" s="624"/>
      <c r="AH807" s="624"/>
      <c r="AI807" s="624"/>
      <c r="AJ807" s="960">
        <f t="shared" si="6"/>
        <v>807</v>
      </c>
      <c r="AK807" s="961">
        <v>0.9665</v>
      </c>
      <c r="AL807" s="962">
        <v>23357.0</v>
      </c>
      <c r="AM807" s="963">
        <v>-0.6764357215670573</v>
      </c>
      <c r="AN807" s="964">
        <v>-0.033499999999999974</v>
      </c>
      <c r="AO807" s="962">
        <v>23357.0</v>
      </c>
      <c r="AP807" s="965">
        <v>-0.667709363881781</v>
      </c>
      <c r="AQ807" s="962">
        <v>23357.0</v>
      </c>
      <c r="AR807" s="966">
        <v>-0.6591659056774581</v>
      </c>
      <c r="AS807" s="624"/>
      <c r="AT807" s="624"/>
      <c r="AU807" s="624"/>
      <c r="AV807" s="624"/>
      <c r="AW807" s="624"/>
      <c r="AX807" s="624"/>
      <c r="AY807" s="624"/>
      <c r="AZ807" s="624"/>
      <c r="BA807" s="624"/>
      <c r="BB807" s="624"/>
      <c r="BC807" s="624"/>
      <c r="BD807" s="624"/>
      <c r="BE807" s="624"/>
    </row>
    <row r="808" ht="16.5" customHeight="1">
      <c r="A808" s="711"/>
      <c r="B808" s="711"/>
      <c r="C808" s="711"/>
      <c r="D808" s="711"/>
      <c r="E808" s="711"/>
      <c r="F808" s="711"/>
      <c r="G808" s="711"/>
      <c r="H808" s="711"/>
      <c r="I808" s="711"/>
      <c r="J808" s="711"/>
      <c r="K808" s="741"/>
      <c r="L808" s="741"/>
      <c r="M808" s="788"/>
      <c r="N808" s="741"/>
      <c r="O808" s="741"/>
      <c r="P808" s="741"/>
      <c r="Q808" s="741"/>
      <c r="R808" s="788"/>
      <c r="S808" s="819"/>
      <c r="T808" s="820"/>
      <c r="U808" s="819"/>
      <c r="V808" s="820"/>
      <c r="W808" s="788"/>
      <c r="X808" s="803"/>
      <c r="Y808" s="803"/>
      <c r="Z808" s="803"/>
      <c r="AA808" s="711"/>
      <c r="AB808" s="711"/>
      <c r="AC808" s="711"/>
      <c r="AD808" s="736"/>
      <c r="AE808" s="736"/>
      <c r="AF808" s="624"/>
      <c r="AG808" s="624"/>
      <c r="AH808" s="624"/>
      <c r="AI808" s="624"/>
      <c r="AJ808" s="960">
        <f t="shared" si="6"/>
        <v>808</v>
      </c>
      <c r="AK808" s="961">
        <v>0.9864</v>
      </c>
      <c r="AL808" s="962">
        <v>23290.0</v>
      </c>
      <c r="AM808" s="963">
        <v>-0.6753867395092263</v>
      </c>
      <c r="AN808" s="964">
        <v>-0.013599999999999945</v>
      </c>
      <c r="AO808" s="962">
        <v>23290.0</v>
      </c>
      <c r="AP808" s="965">
        <v>-0.6666575388724498</v>
      </c>
      <c r="AQ808" s="962">
        <v>23290.0</v>
      </c>
      <c r="AR808" s="966">
        <v>-0.6581119345168946</v>
      </c>
      <c r="AS808" s="624"/>
      <c r="AT808" s="624"/>
      <c r="AU808" s="624"/>
      <c r="AV808" s="624"/>
      <c r="AW808" s="624"/>
      <c r="AX808" s="624"/>
      <c r="AY808" s="624"/>
      <c r="AZ808" s="624"/>
      <c r="BA808" s="624"/>
      <c r="BB808" s="624"/>
      <c r="BC808" s="624"/>
      <c r="BD808" s="624"/>
      <c r="BE808" s="624"/>
    </row>
    <row r="809" ht="16.5" customHeight="1">
      <c r="A809" s="711"/>
      <c r="B809" s="711"/>
      <c r="C809" s="711"/>
      <c r="D809" s="711"/>
      <c r="E809" s="711"/>
      <c r="F809" s="711"/>
      <c r="G809" s="711"/>
      <c r="H809" s="711"/>
      <c r="I809" s="711"/>
      <c r="J809" s="711"/>
      <c r="K809" s="741"/>
      <c r="L809" s="741"/>
      <c r="M809" s="788"/>
      <c r="N809" s="741"/>
      <c r="O809" s="741"/>
      <c r="P809" s="741"/>
      <c r="Q809" s="741"/>
      <c r="R809" s="788"/>
      <c r="S809" s="819"/>
      <c r="T809" s="820"/>
      <c r="U809" s="819"/>
      <c r="V809" s="820"/>
      <c r="W809" s="788"/>
      <c r="X809" s="803"/>
      <c r="Y809" s="803"/>
      <c r="Z809" s="803"/>
      <c r="AA809" s="711"/>
      <c r="AB809" s="711"/>
      <c r="AC809" s="711"/>
      <c r="AD809" s="736"/>
      <c r="AE809" s="736"/>
      <c r="AF809" s="624"/>
      <c r="AG809" s="624"/>
      <c r="AH809" s="624"/>
      <c r="AI809" s="624"/>
      <c r="AJ809" s="960">
        <f t="shared" si="6"/>
        <v>809</v>
      </c>
      <c r="AK809" s="961">
        <v>0.9885</v>
      </c>
      <c r="AL809" s="962">
        <v>23160.0</v>
      </c>
      <c r="AM809" s="963">
        <v>-0.6733416905764367</v>
      </c>
      <c r="AN809" s="964">
        <v>-0.011499999999999955</v>
      </c>
      <c r="AO809" s="962">
        <v>23160.0</v>
      </c>
      <c r="AP809" s="965">
        <v>-0.6646071776829776</v>
      </c>
      <c r="AQ809" s="962">
        <v>23160.0</v>
      </c>
      <c r="AR809" s="966">
        <v>-0.6560576098029176</v>
      </c>
      <c r="AS809" s="624"/>
      <c r="AT809" s="624"/>
      <c r="AU809" s="624"/>
      <c r="AV809" s="624"/>
      <c r="AW809" s="624"/>
      <c r="AX809" s="624"/>
      <c r="AY809" s="624"/>
      <c r="AZ809" s="624"/>
      <c r="BA809" s="624"/>
      <c r="BB809" s="624"/>
      <c r="BC809" s="624"/>
      <c r="BD809" s="624"/>
      <c r="BE809" s="624"/>
    </row>
    <row r="810" ht="16.5" customHeight="1">
      <c r="A810" s="711"/>
      <c r="B810" s="711"/>
      <c r="C810" s="711"/>
      <c r="D810" s="711"/>
      <c r="E810" s="711"/>
      <c r="F810" s="711"/>
      <c r="G810" s="711"/>
      <c r="H810" s="711"/>
      <c r="I810" s="711"/>
      <c r="J810" s="711"/>
      <c r="K810" s="741"/>
      <c r="L810" s="741"/>
      <c r="M810" s="788"/>
      <c r="N810" s="741"/>
      <c r="O810" s="741"/>
      <c r="P810" s="741"/>
      <c r="Q810" s="741"/>
      <c r="R810" s="788"/>
      <c r="S810" s="819"/>
      <c r="T810" s="820"/>
      <c r="U810" s="819"/>
      <c r="V810" s="820"/>
      <c r="W810" s="788"/>
      <c r="X810" s="803"/>
      <c r="Y810" s="803"/>
      <c r="Z810" s="803"/>
      <c r="AA810" s="711"/>
      <c r="AB810" s="711"/>
      <c r="AC810" s="711"/>
      <c r="AD810" s="736"/>
      <c r="AE810" s="736"/>
      <c r="AF810" s="624"/>
      <c r="AG810" s="624"/>
      <c r="AH810" s="624"/>
      <c r="AI810" s="624"/>
      <c r="AJ810" s="960">
        <f t="shared" si="6"/>
        <v>810</v>
      </c>
      <c r="AK810" s="961">
        <v>0.9746</v>
      </c>
      <c r="AL810" s="962">
        <v>23056.0</v>
      </c>
      <c r="AM810" s="963">
        <v>-0.6716963790431735</v>
      </c>
      <c r="AN810" s="964">
        <v>-0.025399999999999978</v>
      </c>
      <c r="AO810" s="962">
        <v>23056.0</v>
      </c>
      <c r="AP810" s="965">
        <v>-0.66295781209772</v>
      </c>
      <c r="AQ810" s="962">
        <v>23056.0</v>
      </c>
      <c r="AR810" s="966">
        <v>-0.6544052659398076</v>
      </c>
      <c r="AS810" s="624"/>
      <c r="AT810" s="624"/>
      <c r="AU810" s="624"/>
      <c r="AV810" s="624"/>
      <c r="AW810" s="624"/>
      <c r="AX810" s="624"/>
      <c r="AY810" s="624"/>
      <c r="AZ810" s="624"/>
      <c r="BA810" s="624"/>
      <c r="BB810" s="624"/>
      <c r="BC810" s="624"/>
      <c r="BD810" s="624"/>
      <c r="BE810" s="624"/>
    </row>
    <row r="811" ht="16.5" customHeight="1">
      <c r="A811" s="711"/>
      <c r="B811" s="711"/>
      <c r="C811" s="711"/>
      <c r="D811" s="711"/>
      <c r="E811" s="711"/>
      <c r="F811" s="711"/>
      <c r="G811" s="711"/>
      <c r="H811" s="711"/>
      <c r="I811" s="711"/>
      <c r="J811" s="711"/>
      <c r="K811" s="741"/>
      <c r="L811" s="741"/>
      <c r="M811" s="788"/>
      <c r="N811" s="741"/>
      <c r="O811" s="741"/>
      <c r="P811" s="741"/>
      <c r="Q811" s="741"/>
      <c r="R811" s="788"/>
      <c r="S811" s="819"/>
      <c r="T811" s="820"/>
      <c r="U811" s="819"/>
      <c r="V811" s="820"/>
      <c r="W811" s="788"/>
      <c r="X811" s="803"/>
      <c r="Y811" s="803"/>
      <c r="Z811" s="803"/>
      <c r="AA811" s="711"/>
      <c r="AB811" s="711"/>
      <c r="AC811" s="711"/>
      <c r="AD811" s="736"/>
      <c r="AE811" s="736"/>
      <c r="AF811" s="624"/>
      <c r="AG811" s="624"/>
      <c r="AH811" s="624"/>
      <c r="AI811" s="624"/>
      <c r="AJ811" s="960">
        <f t="shared" si="6"/>
        <v>811</v>
      </c>
      <c r="AK811" s="961">
        <v>0.9749</v>
      </c>
      <c r="AL811" s="962">
        <v>23000.0</v>
      </c>
      <c r="AM811" s="963">
        <v>-0.6708070121920944</v>
      </c>
      <c r="AN811" s="964">
        <v>-0.02510000000000001</v>
      </c>
      <c r="AO811" s="962">
        <v>23000.0</v>
      </c>
      <c r="AP811" s="965">
        <v>-0.6620663350746117</v>
      </c>
      <c r="AQ811" s="962">
        <v>23000.0</v>
      </c>
      <c r="AR811" s="966">
        <v>-0.6535122567873135</v>
      </c>
      <c r="AS811" s="624"/>
      <c r="AT811" s="624"/>
      <c r="AU811" s="624"/>
      <c r="AV811" s="624"/>
      <c r="AW811" s="624"/>
      <c r="AX811" s="624"/>
      <c r="AY811" s="624"/>
      <c r="AZ811" s="624"/>
      <c r="BA811" s="624"/>
      <c r="BB811" s="624"/>
      <c r="BC811" s="624"/>
      <c r="BD811" s="624"/>
      <c r="BE811" s="624"/>
    </row>
    <row r="812" ht="16.5" customHeight="1">
      <c r="A812" s="711"/>
      <c r="B812" s="711"/>
      <c r="C812" s="711"/>
      <c r="D812" s="711"/>
      <c r="E812" s="711"/>
      <c r="F812" s="711"/>
      <c r="G812" s="711"/>
      <c r="H812" s="711"/>
      <c r="I812" s="711"/>
      <c r="J812" s="711"/>
      <c r="K812" s="741"/>
      <c r="L812" s="741"/>
      <c r="M812" s="788"/>
      <c r="N812" s="741"/>
      <c r="O812" s="741"/>
      <c r="P812" s="741"/>
      <c r="Q812" s="741"/>
      <c r="R812" s="788"/>
      <c r="S812" s="819"/>
      <c r="T812" s="820"/>
      <c r="U812" s="819"/>
      <c r="V812" s="820"/>
      <c r="W812" s="788"/>
      <c r="X812" s="803"/>
      <c r="Y812" s="803"/>
      <c r="Z812" s="803"/>
      <c r="AA812" s="711"/>
      <c r="AB812" s="711"/>
      <c r="AC812" s="711"/>
      <c r="AD812" s="736"/>
      <c r="AE812" s="736"/>
      <c r="AF812" s="624"/>
      <c r="AG812" s="624"/>
      <c r="AH812" s="624"/>
      <c r="AI812" s="624"/>
      <c r="AJ812" s="960">
        <f t="shared" si="6"/>
        <v>812</v>
      </c>
      <c r="AK812" s="961">
        <v>0.9722</v>
      </c>
      <c r="AL812" s="962">
        <v>22850.0</v>
      </c>
      <c r="AM812" s="963">
        <v>-0.6684128918860264</v>
      </c>
      <c r="AN812" s="964">
        <v>-0.027800000000000047</v>
      </c>
      <c r="AO812" s="962">
        <v>22850.0</v>
      </c>
      <c r="AP812" s="965">
        <v>-0.6596668161388775</v>
      </c>
      <c r="AQ812" s="962">
        <v>22850.0</v>
      </c>
      <c r="AR812" s="966">
        <v>-0.6511088832003863</v>
      </c>
      <c r="AS812" s="624"/>
      <c r="AT812" s="624"/>
      <c r="AU812" s="624"/>
      <c r="AV812" s="624"/>
      <c r="AW812" s="624"/>
      <c r="AX812" s="624"/>
      <c r="AY812" s="624"/>
      <c r="AZ812" s="624"/>
      <c r="BA812" s="624"/>
      <c r="BB812" s="624"/>
      <c r="BC812" s="624"/>
      <c r="BD812" s="624"/>
      <c r="BE812" s="624"/>
    </row>
    <row r="813" ht="16.5" customHeight="1">
      <c r="A813" s="711"/>
      <c r="B813" s="711"/>
      <c r="C813" s="711"/>
      <c r="D813" s="711"/>
      <c r="E813" s="711"/>
      <c r="F813" s="711"/>
      <c r="G813" s="711"/>
      <c r="H813" s="711"/>
      <c r="I813" s="711"/>
      <c r="J813" s="711"/>
      <c r="K813" s="741"/>
      <c r="L813" s="741"/>
      <c r="M813" s="788"/>
      <c r="N813" s="741"/>
      <c r="O813" s="741"/>
      <c r="P813" s="741"/>
      <c r="Q813" s="741"/>
      <c r="R813" s="788"/>
      <c r="S813" s="819"/>
      <c r="T813" s="820"/>
      <c r="U813" s="819"/>
      <c r="V813" s="820"/>
      <c r="W813" s="788"/>
      <c r="X813" s="803"/>
      <c r="Y813" s="803"/>
      <c r="Z813" s="803"/>
      <c r="AA813" s="711"/>
      <c r="AB813" s="711"/>
      <c r="AC813" s="711"/>
      <c r="AD813" s="736"/>
      <c r="AE813" s="736"/>
      <c r="AF813" s="624"/>
      <c r="AG813" s="624"/>
      <c r="AH813" s="624"/>
      <c r="AI813" s="624"/>
      <c r="AJ813" s="960">
        <f t="shared" si="6"/>
        <v>813</v>
      </c>
      <c r="AK813" s="961">
        <v>1.0034</v>
      </c>
      <c r="AL813" s="962">
        <v>22611.0</v>
      </c>
      <c r="AM813" s="963">
        <v>-0.6645622355190401</v>
      </c>
      <c r="AN813" s="964">
        <v>0.0034000000000000696</v>
      </c>
      <c r="AO813" s="962">
        <v>22611.0</v>
      </c>
      <c r="AP813" s="965">
        <v>-0.6558083324885517</v>
      </c>
      <c r="AQ813" s="962">
        <v>22611.0</v>
      </c>
      <c r="AR813" s="966">
        <v>-0.6472450186307706</v>
      </c>
      <c r="AS813" s="624"/>
      <c r="AT813" s="624"/>
      <c r="AU813" s="624"/>
      <c r="AV813" s="624"/>
      <c r="AW813" s="624"/>
      <c r="AX813" s="624"/>
      <c r="AY813" s="624"/>
      <c r="AZ813" s="624"/>
      <c r="BA813" s="624"/>
      <c r="BB813" s="624"/>
      <c r="BC813" s="624"/>
      <c r="BD813" s="624"/>
      <c r="BE813" s="624"/>
    </row>
    <row r="814" ht="16.5" customHeight="1">
      <c r="A814" s="711"/>
      <c r="B814" s="711"/>
      <c r="C814" s="711"/>
      <c r="D814" s="711"/>
      <c r="E814" s="711"/>
      <c r="F814" s="711"/>
      <c r="G814" s="711"/>
      <c r="H814" s="711"/>
      <c r="I814" s="711"/>
      <c r="J814" s="711"/>
      <c r="K814" s="741"/>
      <c r="L814" s="741"/>
      <c r="M814" s="788"/>
      <c r="N814" s="741"/>
      <c r="O814" s="741"/>
      <c r="P814" s="741"/>
      <c r="Q814" s="741"/>
      <c r="R814" s="788"/>
      <c r="S814" s="819"/>
      <c r="T814" s="820"/>
      <c r="U814" s="819"/>
      <c r="V814" s="820"/>
      <c r="W814" s="788"/>
      <c r="X814" s="803"/>
      <c r="Y814" s="803"/>
      <c r="Z814" s="803"/>
      <c r="AA814" s="711"/>
      <c r="AB814" s="711"/>
      <c r="AC814" s="711"/>
      <c r="AD814" s="736"/>
      <c r="AE814" s="736"/>
      <c r="AF814" s="624"/>
      <c r="AG814" s="624"/>
      <c r="AH814" s="624"/>
      <c r="AI814" s="624"/>
      <c r="AJ814" s="960">
        <f t="shared" si="6"/>
        <v>814</v>
      </c>
      <c r="AK814" s="961">
        <v>0.9696</v>
      </c>
      <c r="AL814" s="962">
        <v>22507.0</v>
      </c>
      <c r="AM814" s="963">
        <v>-0.6628727036544857</v>
      </c>
      <c r="AN814" s="964">
        <v>-0.030399999999999983</v>
      </c>
      <c r="AO814" s="962">
        <v>22507.0</v>
      </c>
      <c r="AP814" s="965">
        <v>-0.654115696709396</v>
      </c>
      <c r="AQ814" s="962">
        <v>22507.0</v>
      </c>
      <c r="AR814" s="966">
        <v>-0.6455503379363875</v>
      </c>
      <c r="AS814" s="624"/>
      <c r="AT814" s="624"/>
      <c r="AU814" s="624"/>
      <c r="AV814" s="624"/>
      <c r="AW814" s="624"/>
      <c r="AX814" s="624"/>
      <c r="AY814" s="624"/>
      <c r="AZ814" s="624"/>
      <c r="BA814" s="624"/>
      <c r="BB814" s="624"/>
      <c r="BC814" s="624"/>
      <c r="BD814" s="624"/>
      <c r="BE814" s="624"/>
    </row>
    <row r="815" ht="16.5" customHeight="1">
      <c r="A815" s="711"/>
      <c r="B815" s="711"/>
      <c r="C815" s="711"/>
      <c r="D815" s="711"/>
      <c r="E815" s="711"/>
      <c r="F815" s="711"/>
      <c r="G815" s="711"/>
      <c r="H815" s="711"/>
      <c r="I815" s="711"/>
      <c r="J815" s="711"/>
      <c r="K815" s="741"/>
      <c r="L815" s="741"/>
      <c r="M815" s="788"/>
      <c r="N815" s="741"/>
      <c r="O815" s="741"/>
      <c r="P815" s="741"/>
      <c r="Q815" s="741"/>
      <c r="R815" s="788"/>
      <c r="S815" s="819"/>
      <c r="T815" s="820"/>
      <c r="U815" s="819"/>
      <c r="V815" s="820"/>
      <c r="W815" s="788"/>
      <c r="X815" s="803"/>
      <c r="Y815" s="803"/>
      <c r="Z815" s="803"/>
      <c r="AA815" s="711"/>
      <c r="AB815" s="711"/>
      <c r="AC815" s="711"/>
      <c r="AD815" s="736"/>
      <c r="AE815" s="736"/>
      <c r="AF815" s="624"/>
      <c r="AG815" s="624"/>
      <c r="AH815" s="624"/>
      <c r="AI815" s="624"/>
      <c r="AJ815" s="960">
        <f t="shared" si="6"/>
        <v>815</v>
      </c>
      <c r="AK815" s="961">
        <v>1.0016</v>
      </c>
      <c r="AL815" s="962">
        <v>22442.0</v>
      </c>
      <c r="AM815" s="963">
        <v>-0.6618124275577939</v>
      </c>
      <c r="AN815" s="964">
        <v>0.0016000000000000458</v>
      </c>
      <c r="AO815" s="962">
        <v>22442.0</v>
      </c>
      <c r="AP815" s="965">
        <v>-0.6530535749626385</v>
      </c>
      <c r="AQ815" s="962">
        <v>22442.0</v>
      </c>
      <c r="AR815" s="966">
        <v>-0.6444870306428864</v>
      </c>
      <c r="AS815" s="624"/>
      <c r="AT815" s="624"/>
      <c r="AU815" s="624"/>
      <c r="AV815" s="624"/>
      <c r="AW815" s="624"/>
      <c r="AX815" s="624"/>
      <c r="AY815" s="624"/>
      <c r="AZ815" s="624"/>
      <c r="BA815" s="624"/>
      <c r="BB815" s="624"/>
      <c r="BC815" s="624"/>
      <c r="BD815" s="624"/>
      <c r="BE815" s="624"/>
    </row>
    <row r="816" ht="16.5" customHeight="1">
      <c r="A816" s="711"/>
      <c r="B816" s="711"/>
      <c r="C816" s="711"/>
      <c r="D816" s="711"/>
      <c r="E816" s="711"/>
      <c r="F816" s="711"/>
      <c r="G816" s="711"/>
      <c r="H816" s="711"/>
      <c r="I816" s="711"/>
      <c r="J816" s="711"/>
      <c r="K816" s="741"/>
      <c r="L816" s="741"/>
      <c r="M816" s="788"/>
      <c r="N816" s="741"/>
      <c r="O816" s="741"/>
      <c r="P816" s="741"/>
      <c r="Q816" s="741"/>
      <c r="R816" s="788"/>
      <c r="S816" s="819"/>
      <c r="T816" s="820"/>
      <c r="U816" s="819"/>
      <c r="V816" s="820"/>
      <c r="W816" s="788"/>
      <c r="X816" s="803"/>
      <c r="Y816" s="803"/>
      <c r="Z816" s="803"/>
      <c r="AA816" s="711"/>
      <c r="AB816" s="711"/>
      <c r="AC816" s="711"/>
      <c r="AD816" s="736"/>
      <c r="AE816" s="736"/>
      <c r="AF816" s="624"/>
      <c r="AG816" s="624"/>
      <c r="AH816" s="624"/>
      <c r="AI816" s="624"/>
      <c r="AJ816" s="960">
        <f t="shared" si="6"/>
        <v>816</v>
      </c>
      <c r="AK816" s="961">
        <v>0.9835</v>
      </c>
      <c r="AL816" s="962">
        <v>22185.0</v>
      </c>
      <c r="AM816" s="963">
        <v>-0.6575875007064702</v>
      </c>
      <c r="AN816" s="964">
        <v>-0.01649999999999996</v>
      </c>
      <c r="AO816" s="962">
        <v>22185.0</v>
      </c>
      <c r="AP816" s="965">
        <v>-0.6488220711481753</v>
      </c>
      <c r="AQ816" s="962">
        <v>22185.0</v>
      </c>
      <c r="AR816" s="966">
        <v>-0.6402515459144096</v>
      </c>
      <c r="AS816" s="624"/>
      <c r="AT816" s="624"/>
      <c r="AU816" s="624"/>
      <c r="AV816" s="624"/>
      <c r="AW816" s="624"/>
      <c r="AX816" s="624"/>
      <c r="AY816" s="624"/>
      <c r="AZ816" s="624"/>
      <c r="BA816" s="624"/>
      <c r="BB816" s="624"/>
      <c r="BC816" s="624"/>
      <c r="BD816" s="624"/>
      <c r="BE816" s="624"/>
    </row>
    <row r="817" ht="16.5" customHeight="1">
      <c r="A817" s="711"/>
      <c r="B817" s="711"/>
      <c r="C817" s="711"/>
      <c r="D817" s="711"/>
      <c r="E817" s="711"/>
      <c r="F817" s="711"/>
      <c r="G817" s="711"/>
      <c r="H817" s="711"/>
      <c r="I817" s="711"/>
      <c r="J817" s="711"/>
      <c r="K817" s="741"/>
      <c r="L817" s="741"/>
      <c r="M817" s="788"/>
      <c r="N817" s="741"/>
      <c r="O817" s="741"/>
      <c r="P817" s="741"/>
      <c r="Q817" s="741"/>
      <c r="R817" s="788"/>
      <c r="S817" s="819"/>
      <c r="T817" s="820"/>
      <c r="U817" s="819"/>
      <c r="V817" s="820"/>
      <c r="W817" s="788"/>
      <c r="X817" s="803"/>
      <c r="Y817" s="803"/>
      <c r="Z817" s="803"/>
      <c r="AA817" s="711"/>
      <c r="AB817" s="711"/>
      <c r="AC817" s="711"/>
      <c r="AD817" s="736"/>
      <c r="AE817" s="736"/>
      <c r="AF817" s="624"/>
      <c r="AG817" s="624"/>
      <c r="AH817" s="624"/>
      <c r="AI817" s="624"/>
      <c r="AJ817" s="960">
        <f t="shared" si="6"/>
        <v>817</v>
      </c>
      <c r="AK817" s="961">
        <v>0.9863</v>
      </c>
      <c r="AL817" s="962">
        <v>22103.0</v>
      </c>
      <c r="AM817" s="963">
        <v>-0.6562283938691553</v>
      </c>
      <c r="AN817" s="964">
        <v>-0.013700000000000045</v>
      </c>
      <c r="AO817" s="962">
        <v>22103.0</v>
      </c>
      <c r="AP817" s="965">
        <v>-0.6474611110747044</v>
      </c>
      <c r="AQ817" s="962">
        <v>22103.0</v>
      </c>
      <c r="AR817" s="966">
        <v>-0.6388895560688036</v>
      </c>
      <c r="AS817" s="624"/>
      <c r="AT817" s="624"/>
      <c r="AU817" s="624"/>
      <c r="AV817" s="624"/>
      <c r="AW817" s="624"/>
      <c r="AX817" s="624"/>
      <c r="AY817" s="624"/>
      <c r="AZ817" s="624"/>
      <c r="BA817" s="624"/>
      <c r="BB817" s="624"/>
      <c r="BC817" s="624"/>
      <c r="BD817" s="624"/>
      <c r="BE817" s="624"/>
    </row>
    <row r="818" ht="16.5" customHeight="1">
      <c r="A818" s="711"/>
      <c r="B818" s="711"/>
      <c r="C818" s="711"/>
      <c r="D818" s="711"/>
      <c r="E818" s="711"/>
      <c r="F818" s="711"/>
      <c r="G818" s="711"/>
      <c r="H818" s="711"/>
      <c r="I818" s="711"/>
      <c r="J818" s="711"/>
      <c r="K818" s="741"/>
      <c r="L818" s="741"/>
      <c r="M818" s="788"/>
      <c r="N818" s="741"/>
      <c r="O818" s="741"/>
      <c r="P818" s="741"/>
      <c r="Q818" s="741"/>
      <c r="R818" s="788"/>
      <c r="S818" s="819"/>
      <c r="T818" s="820"/>
      <c r="U818" s="819"/>
      <c r="V818" s="820"/>
      <c r="W818" s="788"/>
      <c r="X818" s="803"/>
      <c r="Y818" s="803"/>
      <c r="Z818" s="803"/>
      <c r="AA818" s="711"/>
      <c r="AB818" s="711"/>
      <c r="AC818" s="711"/>
      <c r="AD818" s="736"/>
      <c r="AE818" s="736"/>
      <c r="AF818" s="624"/>
      <c r="AG818" s="624"/>
      <c r="AH818" s="624"/>
      <c r="AI818" s="624"/>
      <c r="AJ818" s="960">
        <f t="shared" si="6"/>
        <v>818</v>
      </c>
      <c r="AK818" s="961">
        <v>0.9801</v>
      </c>
      <c r="AL818" s="962">
        <v>22066.0</v>
      </c>
      <c r="AM818" s="963">
        <v>-0.6556133733901139</v>
      </c>
      <c r="AN818" s="964">
        <v>-0.01990000000000003</v>
      </c>
      <c r="AO818" s="962">
        <v>22066.0</v>
      </c>
      <c r="AP818" s="965">
        <v>-0.6468452937068907</v>
      </c>
      <c r="AQ818" s="962">
        <v>22066.0</v>
      </c>
      <c r="AR818" s="966">
        <v>-0.6382733125807756</v>
      </c>
      <c r="AS818" s="624"/>
      <c r="AT818" s="624"/>
      <c r="AU818" s="624"/>
      <c r="AV818" s="624"/>
      <c r="AW818" s="624"/>
      <c r="AX818" s="624"/>
      <c r="AY818" s="624"/>
      <c r="AZ818" s="624"/>
      <c r="BA818" s="624"/>
      <c r="BB818" s="624"/>
      <c r="BC818" s="624"/>
      <c r="BD818" s="624"/>
      <c r="BE818" s="624"/>
    </row>
    <row r="819" ht="16.5" customHeight="1">
      <c r="A819" s="711"/>
      <c r="B819" s="711"/>
      <c r="C819" s="711"/>
      <c r="D819" s="711"/>
      <c r="E819" s="711"/>
      <c r="F819" s="711"/>
      <c r="G819" s="711"/>
      <c r="H819" s="711"/>
      <c r="I819" s="711"/>
      <c r="J819" s="711"/>
      <c r="K819" s="741"/>
      <c r="L819" s="741"/>
      <c r="M819" s="788"/>
      <c r="N819" s="741"/>
      <c r="O819" s="741"/>
      <c r="P819" s="741"/>
      <c r="Q819" s="741"/>
      <c r="R819" s="788"/>
      <c r="S819" s="819"/>
      <c r="T819" s="820"/>
      <c r="U819" s="819"/>
      <c r="V819" s="820"/>
      <c r="W819" s="788"/>
      <c r="X819" s="803"/>
      <c r="Y819" s="803"/>
      <c r="Z819" s="803"/>
      <c r="AA819" s="711"/>
      <c r="AB819" s="711"/>
      <c r="AC819" s="711"/>
      <c r="AD819" s="736"/>
      <c r="AE819" s="736"/>
      <c r="AF819" s="624"/>
      <c r="AG819" s="624"/>
      <c r="AH819" s="624"/>
      <c r="AI819" s="624"/>
      <c r="AJ819" s="960">
        <f t="shared" si="6"/>
        <v>819</v>
      </c>
      <c r="AK819" s="961">
        <v>0.9978</v>
      </c>
      <c r="AL819" s="962">
        <v>22014.0</v>
      </c>
      <c r="AM819" s="963">
        <v>-0.6547471600228698</v>
      </c>
      <c r="AN819" s="964">
        <v>-0.0021999999999999797</v>
      </c>
      <c r="AO819" s="962">
        <v>22014.0</v>
      </c>
      <c r="AP819" s="965">
        <v>-0.6459780019571572</v>
      </c>
      <c r="AQ819" s="962">
        <v>22014.0</v>
      </c>
      <c r="AR819" s="966">
        <v>-0.6374054626807097</v>
      </c>
      <c r="AS819" s="624"/>
      <c r="AT819" s="624"/>
      <c r="AU819" s="624"/>
      <c r="AV819" s="624"/>
      <c r="AW819" s="624"/>
      <c r="AX819" s="624"/>
      <c r="AY819" s="624"/>
      <c r="AZ819" s="624"/>
      <c r="BA819" s="624"/>
      <c r="BB819" s="624"/>
      <c r="BC819" s="624"/>
      <c r="BD819" s="624"/>
      <c r="BE819" s="624"/>
    </row>
    <row r="820" ht="16.5" customHeight="1">
      <c r="A820" s="711"/>
      <c r="B820" s="711"/>
      <c r="C820" s="711"/>
      <c r="D820" s="711"/>
      <c r="E820" s="711"/>
      <c r="F820" s="711"/>
      <c r="G820" s="711"/>
      <c r="H820" s="711"/>
      <c r="I820" s="711"/>
      <c r="J820" s="711"/>
      <c r="K820" s="741"/>
      <c r="L820" s="741"/>
      <c r="M820" s="788"/>
      <c r="N820" s="741"/>
      <c r="O820" s="741"/>
      <c r="P820" s="741"/>
      <c r="Q820" s="741"/>
      <c r="R820" s="788"/>
      <c r="S820" s="819"/>
      <c r="T820" s="820"/>
      <c r="U820" s="819"/>
      <c r="V820" s="820"/>
      <c r="W820" s="788"/>
      <c r="X820" s="803"/>
      <c r="Y820" s="803"/>
      <c r="Z820" s="803"/>
      <c r="AA820" s="711"/>
      <c r="AB820" s="711"/>
      <c r="AC820" s="711"/>
      <c r="AD820" s="736"/>
      <c r="AE820" s="736"/>
      <c r="AF820" s="624"/>
      <c r="AG820" s="624"/>
      <c r="AH820" s="624"/>
      <c r="AI820" s="624"/>
      <c r="AJ820" s="960">
        <f t="shared" si="6"/>
        <v>820</v>
      </c>
      <c r="AK820" s="961">
        <v>0.9721</v>
      </c>
      <c r="AL820" s="962">
        <v>22000.0</v>
      </c>
      <c r="AM820" s="963">
        <v>-0.6545135767060299</v>
      </c>
      <c r="AN820" s="964">
        <v>-0.027900000000000036</v>
      </c>
      <c r="AO820" s="962">
        <v>22000.0</v>
      </c>
      <c r="AP820" s="965">
        <v>-0.6457441366340589</v>
      </c>
      <c r="AQ820" s="962">
        <v>22000.0</v>
      </c>
      <c r="AR820" s="966">
        <v>-0.6371714552429956</v>
      </c>
      <c r="AS820" s="624"/>
      <c r="AT820" s="624"/>
      <c r="AU820" s="624"/>
      <c r="AV820" s="624"/>
      <c r="AW820" s="624"/>
      <c r="AX820" s="624"/>
      <c r="AY820" s="624"/>
      <c r="AZ820" s="624"/>
      <c r="BA820" s="624"/>
      <c r="BB820" s="624"/>
      <c r="BC820" s="624"/>
      <c r="BD820" s="624"/>
      <c r="BE820" s="624"/>
    </row>
    <row r="821" ht="16.5" customHeight="1">
      <c r="A821" s="711"/>
      <c r="B821" s="711"/>
      <c r="C821" s="711"/>
      <c r="D821" s="711"/>
      <c r="E821" s="711"/>
      <c r="F821" s="711"/>
      <c r="G821" s="711"/>
      <c r="H821" s="711"/>
      <c r="I821" s="711"/>
      <c r="J821" s="711"/>
      <c r="K821" s="741"/>
      <c r="L821" s="741"/>
      <c r="M821" s="788"/>
      <c r="N821" s="741"/>
      <c r="O821" s="741"/>
      <c r="P821" s="741"/>
      <c r="Q821" s="741"/>
      <c r="R821" s="788"/>
      <c r="S821" s="819"/>
      <c r="T821" s="820"/>
      <c r="U821" s="819"/>
      <c r="V821" s="820"/>
      <c r="W821" s="788"/>
      <c r="X821" s="803"/>
      <c r="Y821" s="803"/>
      <c r="Z821" s="803"/>
      <c r="AA821" s="711"/>
      <c r="AB821" s="711"/>
      <c r="AC821" s="711"/>
      <c r="AD821" s="736"/>
      <c r="AE821" s="736"/>
      <c r="AF821" s="624"/>
      <c r="AG821" s="624"/>
      <c r="AH821" s="624"/>
      <c r="AI821" s="624"/>
      <c r="AJ821" s="960">
        <f t="shared" si="6"/>
        <v>821</v>
      </c>
      <c r="AK821" s="961">
        <v>0.9568</v>
      </c>
      <c r="AL821" s="962">
        <v>22000.0</v>
      </c>
      <c r="AM821" s="963">
        <v>-0.6545135767060299</v>
      </c>
      <c r="AN821" s="964">
        <v>-0.043200000000000016</v>
      </c>
      <c r="AO821" s="962">
        <v>22000.0</v>
      </c>
      <c r="AP821" s="965">
        <v>-0.6457441366340589</v>
      </c>
      <c r="AQ821" s="962">
        <v>22000.0</v>
      </c>
      <c r="AR821" s="966">
        <v>-0.6371714552429956</v>
      </c>
      <c r="AS821" s="624"/>
      <c r="AT821" s="624"/>
      <c r="AU821" s="624"/>
      <c r="AV821" s="624"/>
      <c r="AW821" s="624"/>
      <c r="AX821" s="624"/>
      <c r="AY821" s="624"/>
      <c r="AZ821" s="624"/>
      <c r="BA821" s="624"/>
      <c r="BB821" s="624"/>
      <c r="BC821" s="624"/>
      <c r="BD821" s="624"/>
      <c r="BE821" s="624"/>
    </row>
    <row r="822" ht="16.5" customHeight="1">
      <c r="A822" s="711"/>
      <c r="B822" s="711"/>
      <c r="C822" s="711"/>
      <c r="D822" s="711"/>
      <c r="E822" s="711"/>
      <c r="F822" s="711"/>
      <c r="G822" s="711"/>
      <c r="H822" s="711"/>
      <c r="I822" s="711"/>
      <c r="J822" s="711"/>
      <c r="K822" s="741"/>
      <c r="L822" s="741"/>
      <c r="M822" s="788"/>
      <c r="N822" s="741"/>
      <c r="O822" s="741"/>
      <c r="P822" s="741"/>
      <c r="Q822" s="741"/>
      <c r="R822" s="788"/>
      <c r="S822" s="819"/>
      <c r="T822" s="820"/>
      <c r="U822" s="819"/>
      <c r="V822" s="820"/>
      <c r="W822" s="788"/>
      <c r="X822" s="803"/>
      <c r="Y822" s="803"/>
      <c r="Z822" s="803"/>
      <c r="AA822" s="711"/>
      <c r="AB822" s="711"/>
      <c r="AC822" s="711"/>
      <c r="AD822" s="736"/>
      <c r="AE822" s="736"/>
      <c r="AF822" s="624"/>
      <c r="AG822" s="624"/>
      <c r="AH822" s="624"/>
      <c r="AI822" s="624"/>
      <c r="AJ822" s="960">
        <f t="shared" si="6"/>
        <v>822</v>
      </c>
      <c r="AK822" s="961">
        <v>0.9695</v>
      </c>
      <c r="AL822" s="962">
        <v>21957.0</v>
      </c>
      <c r="AM822" s="963">
        <v>-0.6537951536649989</v>
      </c>
      <c r="AN822" s="964">
        <v>-0.03049999999999997</v>
      </c>
      <c r="AO822" s="962">
        <v>21957.0</v>
      </c>
      <c r="AP822" s="965">
        <v>-0.6450248695992338</v>
      </c>
      <c r="AQ822" s="962">
        <v>21957.0</v>
      </c>
      <c r="AR822" s="966">
        <v>-0.6364517734239412</v>
      </c>
      <c r="AS822" s="624"/>
      <c r="AT822" s="624"/>
      <c r="AU822" s="624"/>
      <c r="AV822" s="624"/>
      <c r="AW822" s="624"/>
      <c r="AX822" s="624"/>
      <c r="AY822" s="624"/>
      <c r="AZ822" s="624"/>
      <c r="BA822" s="624"/>
      <c r="BB822" s="624"/>
      <c r="BC822" s="624"/>
      <c r="BD822" s="624"/>
      <c r="BE822" s="624"/>
    </row>
    <row r="823" ht="16.5" customHeight="1">
      <c r="A823" s="711"/>
      <c r="B823" s="711"/>
      <c r="C823" s="711"/>
      <c r="D823" s="711"/>
      <c r="E823" s="711"/>
      <c r="F823" s="711"/>
      <c r="G823" s="711"/>
      <c r="H823" s="711"/>
      <c r="I823" s="711"/>
      <c r="J823" s="711"/>
      <c r="K823" s="741"/>
      <c r="L823" s="741"/>
      <c r="M823" s="788"/>
      <c r="N823" s="741"/>
      <c r="O823" s="741"/>
      <c r="P823" s="741"/>
      <c r="Q823" s="741"/>
      <c r="R823" s="788"/>
      <c r="S823" s="819"/>
      <c r="T823" s="820"/>
      <c r="U823" s="819"/>
      <c r="V823" s="820"/>
      <c r="W823" s="788"/>
      <c r="X823" s="803"/>
      <c r="Y823" s="803"/>
      <c r="Z823" s="803"/>
      <c r="AA823" s="711"/>
      <c r="AB823" s="711"/>
      <c r="AC823" s="711"/>
      <c r="AD823" s="736"/>
      <c r="AE823" s="736"/>
      <c r="AF823" s="624"/>
      <c r="AG823" s="624"/>
      <c r="AH823" s="624"/>
      <c r="AI823" s="624"/>
      <c r="AJ823" s="960">
        <f t="shared" si="6"/>
        <v>823</v>
      </c>
      <c r="AK823" s="961">
        <v>0.9797</v>
      </c>
      <c r="AL823" s="962">
        <v>21956.0</v>
      </c>
      <c r="AM823" s="963">
        <v>-0.6537784283892063</v>
      </c>
      <c r="AN823" s="964">
        <v>-0.020299999999999985</v>
      </c>
      <c r="AO823" s="962">
        <v>21956.0</v>
      </c>
      <c r="AP823" s="965">
        <v>-0.6450081250943948</v>
      </c>
      <c r="AQ823" s="962">
        <v>21956.0</v>
      </c>
      <c r="AR823" s="966">
        <v>-0.6364350196634163</v>
      </c>
      <c r="AS823" s="624"/>
      <c r="AT823" s="624"/>
      <c r="AU823" s="624"/>
      <c r="AV823" s="624"/>
      <c r="AW823" s="624"/>
      <c r="AX823" s="624"/>
      <c r="AY823" s="624"/>
      <c r="AZ823" s="624"/>
      <c r="BA823" s="624"/>
      <c r="BB823" s="624"/>
      <c r="BC823" s="624"/>
      <c r="BD823" s="624"/>
      <c r="BE823" s="624"/>
    </row>
    <row r="824" ht="16.5" customHeight="1">
      <c r="A824" s="711"/>
      <c r="B824" s="711"/>
      <c r="C824" s="711"/>
      <c r="D824" s="711"/>
      <c r="E824" s="711"/>
      <c r="F824" s="711"/>
      <c r="G824" s="711"/>
      <c r="H824" s="711"/>
      <c r="I824" s="711"/>
      <c r="J824" s="711"/>
      <c r="K824" s="741"/>
      <c r="L824" s="741"/>
      <c r="M824" s="788"/>
      <c r="N824" s="741"/>
      <c r="O824" s="741"/>
      <c r="P824" s="741"/>
      <c r="Q824" s="741"/>
      <c r="R824" s="788"/>
      <c r="S824" s="819"/>
      <c r="T824" s="820"/>
      <c r="U824" s="819"/>
      <c r="V824" s="820"/>
      <c r="W824" s="788"/>
      <c r="X824" s="803"/>
      <c r="Y824" s="803"/>
      <c r="Z824" s="803"/>
      <c r="AA824" s="711"/>
      <c r="AB824" s="711"/>
      <c r="AC824" s="711"/>
      <c r="AD824" s="736"/>
      <c r="AE824" s="736"/>
      <c r="AF824" s="624"/>
      <c r="AG824" s="624"/>
      <c r="AH824" s="624"/>
      <c r="AI824" s="624"/>
      <c r="AJ824" s="960">
        <f t="shared" si="6"/>
        <v>824</v>
      </c>
      <c r="AK824" s="961">
        <v>0.9191</v>
      </c>
      <c r="AL824" s="962">
        <v>21878.0</v>
      </c>
      <c r="AM824" s="963">
        <v>-0.6524713643278321</v>
      </c>
      <c r="AN824" s="964">
        <v>-0.08089999999999997</v>
      </c>
      <c r="AO824" s="962">
        <v>21878.0</v>
      </c>
      <c r="AP824" s="965">
        <v>-0.6436996172285304</v>
      </c>
      <c r="AQ824" s="962">
        <v>21878.0</v>
      </c>
      <c r="AR824" s="966">
        <v>-0.6351258447463476</v>
      </c>
      <c r="AS824" s="624"/>
      <c r="AT824" s="624"/>
      <c r="AU824" s="624"/>
      <c r="AV824" s="624"/>
      <c r="AW824" s="624"/>
      <c r="AX824" s="624"/>
      <c r="AY824" s="624"/>
      <c r="AZ824" s="624"/>
      <c r="BA824" s="624"/>
      <c r="BB824" s="624"/>
      <c r="BC824" s="624"/>
      <c r="BD824" s="624"/>
      <c r="BE824" s="624"/>
    </row>
    <row r="825" ht="16.5" customHeight="1">
      <c r="A825" s="711"/>
      <c r="B825" s="711"/>
      <c r="C825" s="711"/>
      <c r="D825" s="711"/>
      <c r="E825" s="711"/>
      <c r="F825" s="711"/>
      <c r="G825" s="711"/>
      <c r="H825" s="711"/>
      <c r="I825" s="711"/>
      <c r="J825" s="711"/>
      <c r="K825" s="741"/>
      <c r="L825" s="741"/>
      <c r="M825" s="788"/>
      <c r="N825" s="741"/>
      <c r="O825" s="741"/>
      <c r="P825" s="741"/>
      <c r="Q825" s="741"/>
      <c r="R825" s="788"/>
      <c r="S825" s="819"/>
      <c r="T825" s="820"/>
      <c r="U825" s="819"/>
      <c r="V825" s="820"/>
      <c r="W825" s="788"/>
      <c r="X825" s="803"/>
      <c r="Y825" s="803"/>
      <c r="Z825" s="803"/>
      <c r="AA825" s="711"/>
      <c r="AB825" s="711"/>
      <c r="AC825" s="711"/>
      <c r="AD825" s="736"/>
      <c r="AE825" s="736"/>
      <c r="AF825" s="624"/>
      <c r="AG825" s="624"/>
      <c r="AH825" s="624"/>
      <c r="AI825" s="624"/>
      <c r="AJ825" s="960">
        <f t="shared" si="6"/>
        <v>825</v>
      </c>
      <c r="AK825" s="961">
        <v>0.9805</v>
      </c>
      <c r="AL825" s="962">
        <v>21868.0</v>
      </c>
      <c r="AM825" s="963">
        <v>-0.6523034355387953</v>
      </c>
      <c r="AN825" s="964">
        <v>-0.019499999999999962</v>
      </c>
      <c r="AO825" s="962">
        <v>21868.0</v>
      </c>
      <c r="AP825" s="965">
        <v>-0.6435315113657498</v>
      </c>
      <c r="AQ825" s="962">
        <v>21868.0</v>
      </c>
      <c r="AR825" s="966">
        <v>-0.6349576612253542</v>
      </c>
      <c r="AS825" s="624"/>
      <c r="AT825" s="624"/>
      <c r="AU825" s="624"/>
      <c r="AV825" s="624"/>
      <c r="AW825" s="624"/>
      <c r="AX825" s="624"/>
      <c r="AY825" s="624"/>
      <c r="AZ825" s="624"/>
      <c r="BA825" s="624"/>
      <c r="BB825" s="624"/>
      <c r="BC825" s="624"/>
      <c r="BD825" s="624"/>
      <c r="BE825" s="624"/>
    </row>
    <row r="826" ht="16.5" customHeight="1">
      <c r="A826" s="711"/>
      <c r="B826" s="711"/>
      <c r="C826" s="711"/>
      <c r="D826" s="711"/>
      <c r="E826" s="711"/>
      <c r="F826" s="711"/>
      <c r="G826" s="711"/>
      <c r="H826" s="711"/>
      <c r="I826" s="711"/>
      <c r="J826" s="711"/>
      <c r="K826" s="741"/>
      <c r="L826" s="741"/>
      <c r="M826" s="788"/>
      <c r="N826" s="741"/>
      <c r="O826" s="741"/>
      <c r="P826" s="741"/>
      <c r="Q826" s="741"/>
      <c r="R826" s="788"/>
      <c r="S826" s="819"/>
      <c r="T826" s="820"/>
      <c r="U826" s="819"/>
      <c r="V826" s="820"/>
      <c r="W826" s="788"/>
      <c r="X826" s="803"/>
      <c r="Y826" s="803"/>
      <c r="Z826" s="803"/>
      <c r="AA826" s="711"/>
      <c r="AB826" s="711"/>
      <c r="AC826" s="711"/>
      <c r="AD826" s="736"/>
      <c r="AE826" s="736"/>
      <c r="AF826" s="624"/>
      <c r="AG826" s="624"/>
      <c r="AH826" s="624"/>
      <c r="AI826" s="624"/>
      <c r="AJ826" s="960">
        <f t="shared" si="6"/>
        <v>826</v>
      </c>
      <c r="AK826" s="961">
        <v>0.995</v>
      </c>
      <c r="AL826" s="962">
        <v>21845.0</v>
      </c>
      <c r="AM826" s="963">
        <v>-0.6519168913157045</v>
      </c>
      <c r="AN826" s="964">
        <v>-0.0050000000000000044</v>
      </c>
      <c r="AO826" s="962">
        <v>21845.0</v>
      </c>
      <c r="AP826" s="965">
        <v>-0.6431445668234756</v>
      </c>
      <c r="AQ826" s="962">
        <v>21845.0</v>
      </c>
      <c r="AR826" s="966">
        <v>-0.6345705448731218</v>
      </c>
      <c r="AS826" s="624"/>
      <c r="AT826" s="624"/>
      <c r="AU826" s="624"/>
      <c r="AV826" s="624"/>
      <c r="AW826" s="624"/>
      <c r="AX826" s="624"/>
      <c r="AY826" s="624"/>
      <c r="AZ826" s="624"/>
      <c r="BA826" s="624"/>
      <c r="BB826" s="624"/>
      <c r="BC826" s="624"/>
      <c r="BD826" s="624"/>
      <c r="BE826" s="624"/>
    </row>
    <row r="827" ht="16.5" customHeight="1">
      <c r="A827" s="711"/>
      <c r="B827" s="711"/>
      <c r="C827" s="711"/>
      <c r="D827" s="711"/>
      <c r="E827" s="711"/>
      <c r="F827" s="711"/>
      <c r="G827" s="711"/>
      <c r="H827" s="711"/>
      <c r="I827" s="711"/>
      <c r="J827" s="711"/>
      <c r="K827" s="741"/>
      <c r="L827" s="741"/>
      <c r="M827" s="788"/>
      <c r="N827" s="741"/>
      <c r="O827" s="741"/>
      <c r="P827" s="741"/>
      <c r="Q827" s="741"/>
      <c r="R827" s="788"/>
      <c r="S827" s="819"/>
      <c r="T827" s="820"/>
      <c r="U827" s="819"/>
      <c r="V827" s="820"/>
      <c r="W827" s="788"/>
      <c r="X827" s="803"/>
      <c r="Y827" s="803"/>
      <c r="Z827" s="803"/>
      <c r="AA827" s="711"/>
      <c r="AB827" s="711"/>
      <c r="AC827" s="711"/>
      <c r="AD827" s="736"/>
      <c r="AE827" s="736"/>
      <c r="AF827" s="624"/>
      <c r="AG827" s="624"/>
      <c r="AH827" s="624"/>
      <c r="AI827" s="624"/>
      <c r="AJ827" s="960">
        <f t="shared" si="6"/>
        <v>827</v>
      </c>
      <c r="AK827" s="961">
        <v>0.9715</v>
      </c>
      <c r="AL827" s="962">
        <v>21634.0</v>
      </c>
      <c r="AM827" s="963">
        <v>-0.6483506529145424</v>
      </c>
      <c r="AN827" s="964">
        <v>-0.02849999999999997</v>
      </c>
      <c r="AO827" s="962">
        <v>21634.0</v>
      </c>
      <c r="AP827" s="965">
        <v>-0.6395751116701137</v>
      </c>
      <c r="AQ827" s="962">
        <v>21634.0</v>
      </c>
      <c r="AR827" s="966">
        <v>-0.6309999595590783</v>
      </c>
      <c r="AS827" s="624"/>
      <c r="AT827" s="624"/>
      <c r="AU827" s="624"/>
      <c r="AV827" s="624"/>
      <c r="AW827" s="624"/>
      <c r="AX827" s="624"/>
      <c r="AY827" s="624"/>
      <c r="AZ827" s="624"/>
      <c r="BA827" s="624"/>
      <c r="BB827" s="624"/>
      <c r="BC827" s="624"/>
      <c r="BD827" s="624"/>
      <c r="BE827" s="624"/>
    </row>
    <row r="828" ht="16.5" customHeight="1">
      <c r="A828" s="711"/>
      <c r="B828" s="711"/>
      <c r="C828" s="711"/>
      <c r="D828" s="711"/>
      <c r="E828" s="711"/>
      <c r="F828" s="711"/>
      <c r="G828" s="711"/>
      <c r="H828" s="711"/>
      <c r="I828" s="711"/>
      <c r="J828" s="711"/>
      <c r="K828" s="741"/>
      <c r="L828" s="741"/>
      <c r="M828" s="788"/>
      <c r="N828" s="741"/>
      <c r="O828" s="741"/>
      <c r="P828" s="741"/>
      <c r="Q828" s="741"/>
      <c r="R828" s="788"/>
      <c r="S828" s="819"/>
      <c r="T828" s="820"/>
      <c r="U828" s="819"/>
      <c r="V828" s="820"/>
      <c r="W828" s="788"/>
      <c r="X828" s="803"/>
      <c r="Y828" s="803"/>
      <c r="Z828" s="803"/>
      <c r="AA828" s="711"/>
      <c r="AB828" s="711"/>
      <c r="AC828" s="711"/>
      <c r="AD828" s="736"/>
      <c r="AE828" s="736"/>
      <c r="AF828" s="624"/>
      <c r="AG828" s="624"/>
      <c r="AH828" s="624"/>
      <c r="AI828" s="624"/>
      <c r="AJ828" s="960">
        <f t="shared" si="6"/>
        <v>828</v>
      </c>
      <c r="AK828" s="961">
        <v>0.9167</v>
      </c>
      <c r="AL828" s="962">
        <v>21620.0</v>
      </c>
      <c r="AM828" s="963">
        <v>-0.6481127419943533</v>
      </c>
      <c r="AN828" s="964">
        <v>-0.08330000000000004</v>
      </c>
      <c r="AO828" s="962">
        <v>21620.0</v>
      </c>
      <c r="AP828" s="965">
        <v>-0.6393370166267891</v>
      </c>
      <c r="AQ828" s="962">
        <v>21620.0</v>
      </c>
      <c r="AR828" s="966">
        <v>-0.630761818205327</v>
      </c>
      <c r="AS828" s="624"/>
      <c r="AT828" s="624"/>
      <c r="AU828" s="624"/>
      <c r="AV828" s="624"/>
      <c r="AW828" s="624"/>
      <c r="AX828" s="624"/>
      <c r="AY828" s="624"/>
      <c r="AZ828" s="624"/>
      <c r="BA828" s="624"/>
      <c r="BB828" s="624"/>
      <c r="BC828" s="624"/>
      <c r="BD828" s="624"/>
      <c r="BE828" s="624"/>
    </row>
    <row r="829" ht="16.5" customHeight="1">
      <c r="A829" s="711"/>
      <c r="B829" s="711"/>
      <c r="C829" s="711"/>
      <c r="D829" s="711"/>
      <c r="E829" s="711"/>
      <c r="F829" s="711"/>
      <c r="G829" s="711"/>
      <c r="H829" s="711"/>
      <c r="I829" s="711"/>
      <c r="J829" s="711"/>
      <c r="K829" s="741"/>
      <c r="L829" s="741"/>
      <c r="M829" s="788"/>
      <c r="N829" s="741"/>
      <c r="O829" s="741"/>
      <c r="P829" s="741"/>
      <c r="Q829" s="741"/>
      <c r="R829" s="788"/>
      <c r="S829" s="819"/>
      <c r="T829" s="820"/>
      <c r="U829" s="819"/>
      <c r="V829" s="820"/>
      <c r="W829" s="788"/>
      <c r="X829" s="803"/>
      <c r="Y829" s="803"/>
      <c r="Z829" s="803"/>
      <c r="AA829" s="711"/>
      <c r="AB829" s="711"/>
      <c r="AC829" s="711"/>
      <c r="AD829" s="736"/>
      <c r="AE829" s="736"/>
      <c r="AF829" s="624"/>
      <c r="AG829" s="624"/>
      <c r="AH829" s="624"/>
      <c r="AI829" s="624"/>
      <c r="AJ829" s="960">
        <f t="shared" si="6"/>
        <v>829</v>
      </c>
      <c r="AK829" s="961">
        <v>0.9724</v>
      </c>
      <c r="AL829" s="962">
        <v>21530.0</v>
      </c>
      <c r="AM829" s="963">
        <v>-0.6465794666023217</v>
      </c>
      <c r="AN829" s="964">
        <v>-0.027599999999999958</v>
      </c>
      <c r="AO829" s="962">
        <v>21530.0</v>
      </c>
      <c r="AP829" s="965">
        <v>-0.6378026455726737</v>
      </c>
      <c r="AQ829" s="962">
        <v>21530.0</v>
      </c>
      <c r="AR829" s="966">
        <v>-0.6292272354933982</v>
      </c>
      <c r="AS829" s="624"/>
      <c r="AT829" s="624"/>
      <c r="AU829" s="624"/>
      <c r="AV829" s="624"/>
      <c r="AW829" s="624"/>
      <c r="AX829" s="624"/>
      <c r="AY829" s="624"/>
      <c r="AZ829" s="624"/>
      <c r="BA829" s="624"/>
      <c r="BB829" s="624"/>
      <c r="BC829" s="624"/>
      <c r="BD829" s="624"/>
      <c r="BE829" s="624"/>
    </row>
    <row r="830" ht="16.5" customHeight="1">
      <c r="A830" s="711"/>
      <c r="B830" s="711"/>
      <c r="C830" s="711"/>
      <c r="D830" s="711"/>
      <c r="E830" s="711"/>
      <c r="F830" s="711"/>
      <c r="G830" s="711"/>
      <c r="H830" s="711"/>
      <c r="I830" s="711"/>
      <c r="J830" s="711"/>
      <c r="K830" s="741"/>
      <c r="L830" s="741"/>
      <c r="M830" s="788"/>
      <c r="N830" s="741"/>
      <c r="O830" s="741"/>
      <c r="P830" s="741"/>
      <c r="Q830" s="741"/>
      <c r="R830" s="788"/>
      <c r="S830" s="819"/>
      <c r="T830" s="820"/>
      <c r="U830" s="819"/>
      <c r="V830" s="820"/>
      <c r="W830" s="788"/>
      <c r="X830" s="803"/>
      <c r="Y830" s="803"/>
      <c r="Z830" s="803"/>
      <c r="AA830" s="711"/>
      <c r="AB830" s="711"/>
      <c r="AC830" s="711"/>
      <c r="AD830" s="736"/>
      <c r="AE830" s="736"/>
      <c r="AF830" s="624"/>
      <c r="AG830" s="624"/>
      <c r="AH830" s="624"/>
      <c r="AI830" s="624"/>
      <c r="AJ830" s="960">
        <f t="shared" si="6"/>
        <v>830</v>
      </c>
      <c r="AK830" s="961">
        <v>0.962</v>
      </c>
      <c r="AL830" s="962">
        <v>21500.0</v>
      </c>
      <c r="AM830" s="963">
        <v>-0.6460668915892795</v>
      </c>
      <c r="AN830" s="964">
        <v>-0.038000000000000034</v>
      </c>
      <c r="AO830" s="962">
        <v>21500.0</v>
      </c>
      <c r="AP830" s="965">
        <v>-0.6372897393268255</v>
      </c>
      <c r="AQ830" s="962">
        <v>21500.0</v>
      </c>
      <c r="AR830" s="966">
        <v>-0.6287142919304582</v>
      </c>
      <c r="AS830" s="624"/>
      <c r="AT830" s="624"/>
      <c r="AU830" s="624"/>
      <c r="AV830" s="624"/>
      <c r="AW830" s="624"/>
      <c r="AX830" s="624"/>
      <c r="AY830" s="624"/>
      <c r="AZ830" s="624"/>
      <c r="BA830" s="624"/>
      <c r="BB830" s="624"/>
      <c r="BC830" s="624"/>
      <c r="BD830" s="624"/>
      <c r="BE830" s="624"/>
    </row>
    <row r="831" ht="16.5" customHeight="1">
      <c r="A831" s="711"/>
      <c r="B831" s="711"/>
      <c r="C831" s="711"/>
      <c r="D831" s="711"/>
      <c r="E831" s="711"/>
      <c r="F831" s="711"/>
      <c r="G831" s="711"/>
      <c r="H831" s="711"/>
      <c r="I831" s="711"/>
      <c r="J831" s="711"/>
      <c r="K831" s="741"/>
      <c r="L831" s="741"/>
      <c r="M831" s="788"/>
      <c r="N831" s="741"/>
      <c r="O831" s="741"/>
      <c r="P831" s="741"/>
      <c r="Q831" s="741"/>
      <c r="R831" s="788"/>
      <c r="S831" s="819"/>
      <c r="T831" s="820"/>
      <c r="U831" s="819"/>
      <c r="V831" s="820"/>
      <c r="W831" s="788"/>
      <c r="X831" s="803"/>
      <c r="Y831" s="803"/>
      <c r="Z831" s="803"/>
      <c r="AA831" s="711"/>
      <c r="AB831" s="711"/>
      <c r="AC831" s="711"/>
      <c r="AD831" s="736"/>
      <c r="AE831" s="736"/>
      <c r="AF831" s="624"/>
      <c r="AG831" s="624"/>
      <c r="AH831" s="624"/>
      <c r="AI831" s="624"/>
      <c r="AJ831" s="960">
        <f t="shared" si="6"/>
        <v>831</v>
      </c>
      <c r="AK831" s="961">
        <v>1.0027</v>
      </c>
      <c r="AL831" s="962">
        <v>21045.0</v>
      </c>
      <c r="AM831" s="963">
        <v>-0.6382010711600374</v>
      </c>
      <c r="AN831" s="964">
        <v>0.0026999999999999247</v>
      </c>
      <c r="AO831" s="962">
        <v>21045.0</v>
      </c>
      <c r="AP831" s="965">
        <v>-0.6294210176547942</v>
      </c>
      <c r="AQ831" s="962">
        <v>21045.0</v>
      </c>
      <c r="AR831" s="966">
        <v>-0.6208470783982087</v>
      </c>
      <c r="AS831" s="624"/>
      <c r="AT831" s="624"/>
      <c r="AU831" s="624"/>
      <c r="AV831" s="624"/>
      <c r="AW831" s="624"/>
      <c r="AX831" s="624"/>
      <c r="AY831" s="624"/>
      <c r="AZ831" s="624"/>
      <c r="BA831" s="624"/>
      <c r="BB831" s="624"/>
      <c r="BC831" s="624"/>
      <c r="BD831" s="624"/>
      <c r="BE831" s="624"/>
    </row>
    <row r="832" ht="16.5" customHeight="1">
      <c r="A832" s="711"/>
      <c r="B832" s="711"/>
      <c r="C832" s="711"/>
      <c r="D832" s="711"/>
      <c r="E832" s="711"/>
      <c r="F832" s="711"/>
      <c r="G832" s="711"/>
      <c r="H832" s="711"/>
      <c r="I832" s="711"/>
      <c r="J832" s="711"/>
      <c r="K832" s="741"/>
      <c r="L832" s="741"/>
      <c r="M832" s="788"/>
      <c r="N832" s="741"/>
      <c r="O832" s="741"/>
      <c r="P832" s="741"/>
      <c r="Q832" s="741"/>
      <c r="R832" s="788"/>
      <c r="S832" s="819"/>
      <c r="T832" s="820"/>
      <c r="U832" s="819"/>
      <c r="V832" s="820"/>
      <c r="W832" s="788"/>
      <c r="X832" s="803"/>
      <c r="Y832" s="803"/>
      <c r="Z832" s="803"/>
      <c r="AA832" s="711"/>
      <c r="AB832" s="711"/>
      <c r="AC832" s="711"/>
      <c r="AD832" s="736"/>
      <c r="AE832" s="736"/>
      <c r="AF832" s="624"/>
      <c r="AG832" s="624"/>
      <c r="AH832" s="624"/>
      <c r="AI832" s="624"/>
      <c r="AJ832" s="960">
        <f t="shared" si="6"/>
        <v>832</v>
      </c>
      <c r="AK832" s="961">
        <v>0.9619</v>
      </c>
      <c r="AL832" s="962">
        <v>21000.0</v>
      </c>
      <c r="AM832" s="963">
        <v>-0.6374136962172745</v>
      </c>
      <c r="AN832" s="964">
        <v>-0.03810000000000002</v>
      </c>
      <c r="AO832" s="962">
        <v>21000.0</v>
      </c>
      <c r="AP832" s="965">
        <v>-0.6286335758917168</v>
      </c>
      <c r="AQ832" s="962">
        <v>21000.0</v>
      </c>
      <c r="AR832" s="966">
        <v>-0.620060000766961</v>
      </c>
      <c r="AS832" s="624"/>
      <c r="AT832" s="624"/>
      <c r="AU832" s="624"/>
      <c r="AV832" s="624"/>
      <c r="AW832" s="624"/>
      <c r="AX832" s="624"/>
      <c r="AY832" s="624"/>
      <c r="AZ832" s="624"/>
      <c r="BA832" s="624"/>
      <c r="BB832" s="624"/>
      <c r="BC832" s="624"/>
      <c r="BD832" s="624"/>
      <c r="BE832" s="624"/>
    </row>
    <row r="833" ht="16.5" customHeight="1">
      <c r="A833" s="711"/>
      <c r="B833" s="711"/>
      <c r="C833" s="711"/>
      <c r="D833" s="711"/>
      <c r="E833" s="711"/>
      <c r="F833" s="711"/>
      <c r="G833" s="711"/>
      <c r="H833" s="711"/>
      <c r="I833" s="711"/>
      <c r="J833" s="711"/>
      <c r="K833" s="741"/>
      <c r="L833" s="741"/>
      <c r="M833" s="788"/>
      <c r="N833" s="741"/>
      <c r="O833" s="741"/>
      <c r="P833" s="741"/>
      <c r="Q833" s="741"/>
      <c r="R833" s="788"/>
      <c r="S833" s="819"/>
      <c r="T833" s="820"/>
      <c r="U833" s="819"/>
      <c r="V833" s="820"/>
      <c r="W833" s="788"/>
      <c r="X833" s="803"/>
      <c r="Y833" s="803"/>
      <c r="Z833" s="803"/>
      <c r="AA833" s="711"/>
      <c r="AB833" s="711"/>
      <c r="AC833" s="711"/>
      <c r="AD833" s="736"/>
      <c r="AE833" s="736"/>
      <c r="AF833" s="624"/>
      <c r="AG833" s="624"/>
      <c r="AH833" s="624"/>
      <c r="AI833" s="624"/>
      <c r="AJ833" s="960">
        <f t="shared" si="6"/>
        <v>833</v>
      </c>
      <c r="AK833" s="961">
        <v>0.9932</v>
      </c>
      <c r="AL833" s="962">
        <v>21000.0</v>
      </c>
      <c r="AM833" s="963">
        <v>-0.6374136962172745</v>
      </c>
      <c r="AN833" s="964">
        <v>-0.006800000000000028</v>
      </c>
      <c r="AO833" s="962">
        <v>21000.0</v>
      </c>
      <c r="AP833" s="965">
        <v>-0.6286335758917168</v>
      </c>
      <c r="AQ833" s="962">
        <v>21000.0</v>
      </c>
      <c r="AR833" s="966">
        <v>-0.620060000766961</v>
      </c>
      <c r="AS833" s="624"/>
      <c r="AT833" s="624"/>
      <c r="AU833" s="624"/>
      <c r="AV833" s="624"/>
      <c r="AW833" s="624"/>
      <c r="AX833" s="624"/>
      <c r="AY833" s="624"/>
      <c r="AZ833" s="624"/>
      <c r="BA833" s="624"/>
      <c r="BB833" s="624"/>
      <c r="BC833" s="624"/>
      <c r="BD833" s="624"/>
      <c r="BE833" s="624"/>
    </row>
    <row r="834" ht="16.5" customHeight="1">
      <c r="A834" s="711"/>
      <c r="B834" s="711"/>
      <c r="C834" s="711"/>
      <c r="D834" s="711"/>
      <c r="E834" s="711"/>
      <c r="F834" s="711"/>
      <c r="G834" s="711"/>
      <c r="H834" s="711"/>
      <c r="I834" s="711"/>
      <c r="J834" s="711"/>
      <c r="K834" s="741"/>
      <c r="L834" s="741"/>
      <c r="M834" s="788"/>
      <c r="N834" s="741"/>
      <c r="O834" s="741"/>
      <c r="P834" s="741"/>
      <c r="Q834" s="741"/>
      <c r="R834" s="788"/>
      <c r="S834" s="819"/>
      <c r="T834" s="820"/>
      <c r="U834" s="819"/>
      <c r="V834" s="820"/>
      <c r="W834" s="788"/>
      <c r="X834" s="803"/>
      <c r="Y834" s="803"/>
      <c r="Z834" s="803"/>
      <c r="AA834" s="711"/>
      <c r="AB834" s="711"/>
      <c r="AC834" s="711"/>
      <c r="AD834" s="736"/>
      <c r="AE834" s="736"/>
      <c r="AF834" s="624"/>
      <c r="AG834" s="624"/>
      <c r="AH834" s="624"/>
      <c r="AI834" s="624"/>
      <c r="AJ834" s="960">
        <f t="shared" si="6"/>
        <v>834</v>
      </c>
      <c r="AK834" s="961">
        <v>0.9688</v>
      </c>
      <c r="AL834" s="962">
        <v>20600.0</v>
      </c>
      <c r="AM834" s="963">
        <v>-0.6303390637971595</v>
      </c>
      <c r="AN834" s="964">
        <v>-0.031200000000000006</v>
      </c>
      <c r="AO834" s="962">
        <v>20600.0</v>
      </c>
      <c r="AP834" s="965">
        <v>-0.6215601415598657</v>
      </c>
      <c r="AQ834" s="962">
        <v>20600.0</v>
      </c>
      <c r="AR834" s="966">
        <v>-0.6129915516234867</v>
      </c>
      <c r="AS834" s="624"/>
      <c r="AT834" s="624"/>
      <c r="AU834" s="624"/>
      <c r="AV834" s="624"/>
      <c r="AW834" s="624"/>
      <c r="AX834" s="624"/>
      <c r="AY834" s="624"/>
      <c r="AZ834" s="624"/>
      <c r="BA834" s="624"/>
      <c r="BB834" s="624"/>
      <c r="BC834" s="624"/>
      <c r="BD834" s="624"/>
      <c r="BE834" s="624"/>
    </row>
    <row r="835" ht="16.5" customHeight="1">
      <c r="A835" s="711"/>
      <c r="B835" s="711"/>
      <c r="C835" s="711"/>
      <c r="D835" s="711"/>
      <c r="E835" s="711"/>
      <c r="F835" s="711"/>
      <c r="G835" s="711"/>
      <c r="H835" s="711"/>
      <c r="I835" s="711"/>
      <c r="J835" s="711"/>
      <c r="K835" s="741"/>
      <c r="L835" s="741"/>
      <c r="M835" s="788"/>
      <c r="N835" s="741"/>
      <c r="O835" s="741"/>
      <c r="P835" s="741"/>
      <c r="Q835" s="741"/>
      <c r="R835" s="788"/>
      <c r="S835" s="819"/>
      <c r="T835" s="820"/>
      <c r="U835" s="819"/>
      <c r="V835" s="820"/>
      <c r="W835" s="788"/>
      <c r="X835" s="803"/>
      <c r="Y835" s="803"/>
      <c r="Z835" s="803"/>
      <c r="AA835" s="711"/>
      <c r="AB835" s="711"/>
      <c r="AC835" s="711"/>
      <c r="AD835" s="736"/>
      <c r="AE835" s="736"/>
      <c r="AF835" s="624"/>
      <c r="AG835" s="624"/>
      <c r="AH835" s="624"/>
      <c r="AI835" s="624"/>
      <c r="AJ835" s="960">
        <f t="shared" si="6"/>
        <v>835</v>
      </c>
      <c r="AK835" s="961">
        <v>0.9593</v>
      </c>
      <c r="AL835" s="962">
        <v>20539.0</v>
      </c>
      <c r="AM835" s="963">
        <v>-0.6292481181639247</v>
      </c>
      <c r="AN835" s="964">
        <v>-0.04069999999999996</v>
      </c>
      <c r="AO835" s="962">
        <v>20539.0</v>
      </c>
      <c r="AP835" s="965">
        <v>-0.6204696663282856</v>
      </c>
      <c r="AQ835" s="962">
        <v>20539.0</v>
      </c>
      <c r="AR835" s="966">
        <v>-0.6119021171749097</v>
      </c>
      <c r="AS835" s="624"/>
      <c r="AT835" s="624"/>
      <c r="AU835" s="624"/>
      <c r="AV835" s="624"/>
      <c r="AW835" s="624"/>
      <c r="AX835" s="624"/>
      <c r="AY835" s="624"/>
      <c r="AZ835" s="624"/>
      <c r="BA835" s="624"/>
      <c r="BB835" s="624"/>
      <c r="BC835" s="624"/>
      <c r="BD835" s="624"/>
      <c r="BE835" s="624"/>
    </row>
    <row r="836" ht="16.5" customHeight="1">
      <c r="A836" s="711"/>
      <c r="B836" s="711"/>
      <c r="C836" s="711"/>
      <c r="D836" s="711"/>
      <c r="E836" s="711"/>
      <c r="F836" s="711"/>
      <c r="G836" s="711"/>
      <c r="H836" s="711"/>
      <c r="I836" s="711"/>
      <c r="J836" s="711"/>
      <c r="K836" s="741"/>
      <c r="L836" s="741"/>
      <c r="M836" s="788"/>
      <c r="N836" s="741"/>
      <c r="O836" s="741"/>
      <c r="P836" s="741"/>
      <c r="Q836" s="741"/>
      <c r="R836" s="788"/>
      <c r="S836" s="819"/>
      <c r="T836" s="820"/>
      <c r="U836" s="819"/>
      <c r="V836" s="820"/>
      <c r="W836" s="788"/>
      <c r="X836" s="803"/>
      <c r="Y836" s="803"/>
      <c r="Z836" s="803"/>
      <c r="AA836" s="711"/>
      <c r="AB836" s="711"/>
      <c r="AC836" s="711"/>
      <c r="AD836" s="736"/>
      <c r="AE836" s="736"/>
      <c r="AF836" s="624"/>
      <c r="AG836" s="624"/>
      <c r="AH836" s="624"/>
      <c r="AI836" s="624"/>
      <c r="AJ836" s="960">
        <f t="shared" si="6"/>
        <v>836</v>
      </c>
      <c r="AK836" s="961">
        <v>0.9798</v>
      </c>
      <c r="AL836" s="962">
        <v>20509.0</v>
      </c>
      <c r="AM836" s="963">
        <v>-0.6287104070444247</v>
      </c>
      <c r="AN836" s="964">
        <v>-0.020199999999999996</v>
      </c>
      <c r="AO836" s="962">
        <v>20509.0</v>
      </c>
      <c r="AP836" s="965">
        <v>-0.6199322149188549</v>
      </c>
      <c r="AQ836" s="962">
        <v>20509.0</v>
      </c>
      <c r="AR836" s="966">
        <v>-0.6113652052713329</v>
      </c>
      <c r="AS836" s="624"/>
      <c r="AT836" s="624"/>
      <c r="AU836" s="624"/>
      <c r="AV836" s="624"/>
      <c r="AW836" s="624"/>
      <c r="AX836" s="624"/>
      <c r="AY836" s="624"/>
      <c r="AZ836" s="624"/>
      <c r="BA836" s="624"/>
      <c r="BB836" s="624"/>
      <c r="BC836" s="624"/>
      <c r="BD836" s="624"/>
      <c r="BE836" s="624"/>
    </row>
    <row r="837" ht="16.5" customHeight="1">
      <c r="A837" s="711"/>
      <c r="B837" s="711"/>
      <c r="C837" s="711"/>
      <c r="D837" s="711"/>
      <c r="E837" s="711"/>
      <c r="F837" s="711"/>
      <c r="G837" s="711"/>
      <c r="H837" s="711"/>
      <c r="I837" s="711"/>
      <c r="J837" s="711"/>
      <c r="K837" s="741"/>
      <c r="L837" s="741"/>
      <c r="M837" s="788"/>
      <c r="N837" s="741"/>
      <c r="O837" s="741"/>
      <c r="P837" s="741"/>
      <c r="Q837" s="741"/>
      <c r="R837" s="788"/>
      <c r="S837" s="819"/>
      <c r="T837" s="820"/>
      <c r="U837" s="819"/>
      <c r="V837" s="820"/>
      <c r="W837" s="788"/>
      <c r="X837" s="803"/>
      <c r="Y837" s="803"/>
      <c r="Z837" s="803"/>
      <c r="AA837" s="711"/>
      <c r="AB837" s="711"/>
      <c r="AC837" s="711"/>
      <c r="AD837" s="736"/>
      <c r="AE837" s="736"/>
      <c r="AF837" s="624"/>
      <c r="AG837" s="624"/>
      <c r="AH837" s="624"/>
      <c r="AI837" s="624"/>
      <c r="AJ837" s="960">
        <f t="shared" si="6"/>
        <v>837</v>
      </c>
      <c r="AK837" s="961">
        <v>0.9569</v>
      </c>
      <c r="AL837" s="962">
        <v>20500.0</v>
      </c>
      <c r="AM837" s="963">
        <v>-0.6285489416879971</v>
      </c>
      <c r="AN837" s="964">
        <v>-0.04310000000000003</v>
      </c>
      <c r="AO837" s="962">
        <v>20500.0</v>
      </c>
      <c r="AP837" s="965">
        <v>-0.6197708311338841</v>
      </c>
      <c r="AQ837" s="962">
        <v>20500.0</v>
      </c>
      <c r="AR837" s="966">
        <v>-0.6112039869033574</v>
      </c>
      <c r="AS837" s="624"/>
      <c r="AT837" s="624"/>
      <c r="AU837" s="624"/>
      <c r="AV837" s="624"/>
      <c r="AW837" s="624"/>
      <c r="AX837" s="624"/>
      <c r="AY837" s="624"/>
      <c r="AZ837" s="624"/>
      <c r="BA837" s="624"/>
      <c r="BB837" s="624"/>
      <c r="BC837" s="624"/>
      <c r="BD837" s="624"/>
      <c r="BE837" s="624"/>
    </row>
    <row r="838" ht="16.5" customHeight="1">
      <c r="A838" s="711"/>
      <c r="B838" s="711"/>
      <c r="C838" s="711"/>
      <c r="D838" s="711"/>
      <c r="E838" s="711"/>
      <c r="F838" s="711"/>
      <c r="G838" s="711"/>
      <c r="H838" s="711"/>
      <c r="I838" s="711"/>
      <c r="J838" s="711"/>
      <c r="K838" s="741"/>
      <c r="L838" s="741"/>
      <c r="M838" s="788"/>
      <c r="N838" s="741"/>
      <c r="O838" s="741"/>
      <c r="P838" s="741"/>
      <c r="Q838" s="741"/>
      <c r="R838" s="788"/>
      <c r="S838" s="819"/>
      <c r="T838" s="820"/>
      <c r="U838" s="819"/>
      <c r="V838" s="820"/>
      <c r="W838" s="788"/>
      <c r="X838" s="803"/>
      <c r="Y838" s="803"/>
      <c r="Z838" s="803"/>
      <c r="AA838" s="711"/>
      <c r="AB838" s="711"/>
      <c r="AC838" s="711"/>
      <c r="AD838" s="736"/>
      <c r="AE838" s="736"/>
      <c r="AF838" s="624"/>
      <c r="AG838" s="624"/>
      <c r="AH838" s="624"/>
      <c r="AI838" s="624"/>
      <c r="AJ838" s="960">
        <f t="shared" si="6"/>
        <v>838</v>
      </c>
      <c r="AK838" s="961">
        <v>0.9797</v>
      </c>
      <c r="AL838" s="962">
        <v>20500.0</v>
      </c>
      <c r="AM838" s="963">
        <v>-0.6285489416879971</v>
      </c>
      <c r="AN838" s="964">
        <v>-0.020299999999999985</v>
      </c>
      <c r="AO838" s="962">
        <v>20500.0</v>
      </c>
      <c r="AP838" s="965">
        <v>-0.6197708311338841</v>
      </c>
      <c r="AQ838" s="962">
        <v>20500.0</v>
      </c>
      <c r="AR838" s="966">
        <v>-0.6112039869033574</v>
      </c>
      <c r="AS838" s="624"/>
      <c r="AT838" s="624"/>
      <c r="AU838" s="624"/>
      <c r="AV838" s="624"/>
      <c r="AW838" s="624"/>
      <c r="AX838" s="624"/>
      <c r="AY838" s="624"/>
      <c r="AZ838" s="624"/>
      <c r="BA838" s="624"/>
      <c r="BB838" s="624"/>
      <c r="BC838" s="624"/>
      <c r="BD838" s="624"/>
      <c r="BE838" s="624"/>
    </row>
    <row r="839" ht="16.5" customHeight="1">
      <c r="A839" s="711"/>
      <c r="B839" s="711"/>
      <c r="C839" s="711"/>
      <c r="D839" s="711"/>
      <c r="E839" s="711"/>
      <c r="F839" s="711"/>
      <c r="G839" s="711"/>
      <c r="H839" s="711"/>
      <c r="I839" s="711"/>
      <c r="J839" s="711"/>
      <c r="K839" s="741"/>
      <c r="L839" s="741"/>
      <c r="M839" s="788"/>
      <c r="N839" s="741"/>
      <c r="O839" s="741"/>
      <c r="P839" s="741"/>
      <c r="Q839" s="741"/>
      <c r="R839" s="788"/>
      <c r="S839" s="819"/>
      <c r="T839" s="820"/>
      <c r="U839" s="819"/>
      <c r="V839" s="820"/>
      <c r="W839" s="788"/>
      <c r="X839" s="803"/>
      <c r="Y839" s="803"/>
      <c r="Z839" s="803"/>
      <c r="AA839" s="711"/>
      <c r="AB839" s="711"/>
      <c r="AC839" s="711"/>
      <c r="AD839" s="736"/>
      <c r="AE839" s="736"/>
      <c r="AF839" s="624"/>
      <c r="AG839" s="624"/>
      <c r="AH839" s="624"/>
      <c r="AI839" s="624"/>
      <c r="AJ839" s="960">
        <f t="shared" si="6"/>
        <v>839</v>
      </c>
      <c r="AK839" s="961">
        <v>0.9835</v>
      </c>
      <c r="AL839" s="962">
        <v>20421.0</v>
      </c>
      <c r="AM839" s="963">
        <v>-0.6271286179823119</v>
      </c>
      <c r="AN839" s="964">
        <v>-0.01649999999999996</v>
      </c>
      <c r="AO839" s="962">
        <v>20421.0</v>
      </c>
      <c r="AP839" s="965">
        <v>-0.6183512961741209</v>
      </c>
      <c r="AQ839" s="962">
        <v>20421.0</v>
      </c>
      <c r="AR839" s="966">
        <v>-0.6097859748053365</v>
      </c>
      <c r="AS839" s="624"/>
      <c r="AT839" s="624"/>
      <c r="AU839" s="624"/>
      <c r="AV839" s="624"/>
      <c r="AW839" s="624"/>
      <c r="AX839" s="624"/>
      <c r="AY839" s="624"/>
      <c r="AZ839" s="624"/>
      <c r="BA839" s="624"/>
      <c r="BB839" s="624"/>
      <c r="BC839" s="624"/>
      <c r="BD839" s="624"/>
      <c r="BE839" s="624"/>
    </row>
    <row r="840" ht="16.5" customHeight="1">
      <c r="A840" s="711"/>
      <c r="B840" s="711"/>
      <c r="C840" s="711"/>
      <c r="D840" s="711"/>
      <c r="E840" s="711"/>
      <c r="F840" s="711"/>
      <c r="G840" s="711"/>
      <c r="H840" s="711"/>
      <c r="I840" s="711"/>
      <c r="J840" s="711"/>
      <c r="K840" s="741"/>
      <c r="L840" s="741"/>
      <c r="M840" s="788"/>
      <c r="N840" s="741"/>
      <c r="O840" s="741"/>
      <c r="P840" s="741"/>
      <c r="Q840" s="741"/>
      <c r="R840" s="788"/>
      <c r="S840" s="819"/>
      <c r="T840" s="820"/>
      <c r="U840" s="819"/>
      <c r="V840" s="820"/>
      <c r="W840" s="788"/>
      <c r="X840" s="803"/>
      <c r="Y840" s="803"/>
      <c r="Z840" s="803"/>
      <c r="AA840" s="711"/>
      <c r="AB840" s="711"/>
      <c r="AC840" s="711"/>
      <c r="AD840" s="736"/>
      <c r="AE840" s="736"/>
      <c r="AF840" s="624"/>
      <c r="AG840" s="624"/>
      <c r="AH840" s="624"/>
      <c r="AI840" s="624"/>
      <c r="AJ840" s="960">
        <f t="shared" si="6"/>
        <v>840</v>
      </c>
      <c r="AK840" s="961">
        <v>0.967</v>
      </c>
      <c r="AL840" s="962">
        <v>20412.0</v>
      </c>
      <c r="AM840" s="963">
        <v>-0.6269664647419804</v>
      </c>
      <c r="AN840" s="964">
        <v>-0.03300000000000003</v>
      </c>
      <c r="AO840" s="962">
        <v>20412.0</v>
      </c>
      <c r="AP840" s="965">
        <v>-0.6181892411019201</v>
      </c>
      <c r="AQ840" s="962">
        <v>20412.0</v>
      </c>
      <c r="AR840" s="966">
        <v>-0.6096241013211394</v>
      </c>
      <c r="AS840" s="624"/>
      <c r="AT840" s="624"/>
      <c r="AU840" s="624"/>
      <c r="AV840" s="624"/>
      <c r="AW840" s="624"/>
      <c r="AX840" s="624"/>
      <c r="AY840" s="624"/>
      <c r="AZ840" s="624"/>
      <c r="BA840" s="624"/>
      <c r="BB840" s="624"/>
      <c r="BC840" s="624"/>
      <c r="BD840" s="624"/>
      <c r="BE840" s="624"/>
    </row>
    <row r="841" ht="16.5" customHeight="1">
      <c r="A841" s="711"/>
      <c r="B841" s="711"/>
      <c r="C841" s="711"/>
      <c r="D841" s="711"/>
      <c r="E841" s="711"/>
      <c r="F841" s="711"/>
      <c r="G841" s="711"/>
      <c r="H841" s="711"/>
      <c r="I841" s="711"/>
      <c r="J841" s="711"/>
      <c r="K841" s="741"/>
      <c r="L841" s="741"/>
      <c r="M841" s="788"/>
      <c r="N841" s="741"/>
      <c r="O841" s="741"/>
      <c r="P841" s="741"/>
      <c r="Q841" s="741"/>
      <c r="R841" s="788"/>
      <c r="S841" s="819"/>
      <c r="T841" s="820"/>
      <c r="U841" s="819"/>
      <c r="V841" s="820"/>
      <c r="W841" s="788"/>
      <c r="X841" s="803"/>
      <c r="Y841" s="803"/>
      <c r="Z841" s="803"/>
      <c r="AA841" s="711"/>
      <c r="AB841" s="711"/>
      <c r="AC841" s="711"/>
      <c r="AD841" s="736"/>
      <c r="AE841" s="736"/>
      <c r="AF841" s="624"/>
      <c r="AG841" s="624"/>
      <c r="AH841" s="624"/>
      <c r="AI841" s="624"/>
      <c r="AJ841" s="960">
        <f t="shared" si="6"/>
        <v>841</v>
      </c>
      <c r="AK841" s="961">
        <v>0.9847</v>
      </c>
      <c r="AL841" s="962">
        <v>20302.0</v>
      </c>
      <c r="AM841" s="963">
        <v>-0.6249788845986085</v>
      </c>
      <c r="AN841" s="964">
        <v>-0.01529999999999998</v>
      </c>
      <c r="AO841" s="962">
        <v>20302.0</v>
      </c>
      <c r="AP841" s="965">
        <v>-0.6162029990112409</v>
      </c>
      <c r="AQ841" s="962">
        <v>20302.0</v>
      </c>
      <c r="AR841" s="966">
        <v>-0.6076402132791232</v>
      </c>
      <c r="AS841" s="624"/>
      <c r="AT841" s="624"/>
      <c r="AU841" s="624"/>
      <c r="AV841" s="624"/>
      <c r="AW841" s="624"/>
      <c r="AX841" s="624"/>
      <c r="AY841" s="624"/>
      <c r="AZ841" s="624"/>
      <c r="BA841" s="624"/>
      <c r="BB841" s="624"/>
      <c r="BC841" s="624"/>
      <c r="BD841" s="624"/>
      <c r="BE841" s="624"/>
    </row>
    <row r="842" ht="16.5" customHeight="1">
      <c r="A842" s="711"/>
      <c r="B842" s="711"/>
      <c r="C842" s="711"/>
      <c r="D842" s="711"/>
      <c r="E842" s="711"/>
      <c r="F842" s="711"/>
      <c r="G842" s="711"/>
      <c r="H842" s="711"/>
      <c r="I842" s="711"/>
      <c r="J842" s="711"/>
      <c r="K842" s="741"/>
      <c r="L842" s="741"/>
      <c r="M842" s="788"/>
      <c r="N842" s="741"/>
      <c r="O842" s="741"/>
      <c r="P842" s="741"/>
      <c r="Q842" s="741"/>
      <c r="R842" s="788"/>
      <c r="S842" s="819"/>
      <c r="T842" s="820"/>
      <c r="U842" s="819"/>
      <c r="V842" s="820"/>
      <c r="W842" s="788"/>
      <c r="X842" s="803"/>
      <c r="Y842" s="803"/>
      <c r="Z842" s="803"/>
      <c r="AA842" s="711"/>
      <c r="AB842" s="711"/>
      <c r="AC842" s="711"/>
      <c r="AD842" s="736"/>
      <c r="AE842" s="736"/>
      <c r="AF842" s="624"/>
      <c r="AG842" s="624"/>
      <c r="AH842" s="624"/>
      <c r="AI842" s="624"/>
      <c r="AJ842" s="960">
        <f t="shared" si="6"/>
        <v>842</v>
      </c>
      <c r="AK842" s="961">
        <v>0.996</v>
      </c>
      <c r="AL842" s="962">
        <v>20300.0</v>
      </c>
      <c r="AM842" s="963">
        <v>-0.6249426489239276</v>
      </c>
      <c r="AN842" s="964">
        <v>-0.0040000000000000036</v>
      </c>
      <c r="AO842" s="962">
        <v>20300.0</v>
      </c>
      <c r="AP842" s="965">
        <v>-0.6161667900390531</v>
      </c>
      <c r="AQ842" s="962">
        <v>20300.0</v>
      </c>
      <c r="AR842" s="966">
        <v>-0.607604049420287</v>
      </c>
      <c r="AS842" s="624"/>
      <c r="AT842" s="624"/>
      <c r="AU842" s="624"/>
      <c r="AV842" s="624"/>
      <c r="AW842" s="624"/>
      <c r="AX842" s="624"/>
      <c r="AY842" s="624"/>
      <c r="AZ842" s="624"/>
      <c r="BA842" s="624"/>
      <c r="BB842" s="624"/>
      <c r="BC842" s="624"/>
      <c r="BD842" s="624"/>
      <c r="BE842" s="624"/>
    </row>
    <row r="843" ht="16.5" customHeight="1">
      <c r="A843" s="711"/>
      <c r="B843" s="711"/>
      <c r="C843" s="711"/>
      <c r="D843" s="711"/>
      <c r="E843" s="711"/>
      <c r="F843" s="711"/>
      <c r="G843" s="711"/>
      <c r="H843" s="711"/>
      <c r="I843" s="711"/>
      <c r="J843" s="711"/>
      <c r="K843" s="741"/>
      <c r="L843" s="741"/>
      <c r="M843" s="788"/>
      <c r="N843" s="741"/>
      <c r="O843" s="741"/>
      <c r="P843" s="741"/>
      <c r="Q843" s="741"/>
      <c r="R843" s="788"/>
      <c r="S843" s="819"/>
      <c r="T843" s="820"/>
      <c r="U843" s="819"/>
      <c r="V843" s="820"/>
      <c r="W843" s="788"/>
      <c r="X843" s="803"/>
      <c r="Y843" s="803"/>
      <c r="Z843" s="803"/>
      <c r="AA843" s="711"/>
      <c r="AB843" s="711"/>
      <c r="AC843" s="711"/>
      <c r="AD843" s="736"/>
      <c r="AE843" s="736"/>
      <c r="AF843" s="624"/>
      <c r="AG843" s="624"/>
      <c r="AH843" s="624"/>
      <c r="AI843" s="624"/>
      <c r="AJ843" s="960">
        <f t="shared" si="6"/>
        <v>843</v>
      </c>
      <c r="AK843" s="961">
        <v>0.9624</v>
      </c>
      <c r="AL843" s="962">
        <v>20200.0</v>
      </c>
      <c r="AM843" s="963">
        <v>-0.6231263941060348</v>
      </c>
      <c r="AN843" s="964">
        <v>-0.03759999999999997</v>
      </c>
      <c r="AO843" s="962">
        <v>20200.0</v>
      </c>
      <c r="AP843" s="965">
        <v>-0.6143519791804612</v>
      </c>
      <c r="AQ843" s="962">
        <v>20200.0</v>
      </c>
      <c r="AR843" s="966">
        <v>-0.6057916002075622</v>
      </c>
      <c r="AS843" s="624"/>
      <c r="AT843" s="624"/>
      <c r="AU843" s="624"/>
      <c r="AV843" s="624"/>
      <c r="AW843" s="624"/>
      <c r="AX843" s="624"/>
      <c r="AY843" s="624"/>
      <c r="AZ843" s="624"/>
      <c r="BA843" s="624"/>
      <c r="BB843" s="624"/>
      <c r="BC843" s="624"/>
      <c r="BD843" s="624"/>
      <c r="BE843" s="624"/>
    </row>
    <row r="844" ht="16.5" customHeight="1">
      <c r="A844" s="711"/>
      <c r="B844" s="711"/>
      <c r="C844" s="711"/>
      <c r="D844" s="711"/>
      <c r="E844" s="711"/>
      <c r="F844" s="711"/>
      <c r="G844" s="711"/>
      <c r="H844" s="711"/>
      <c r="I844" s="711"/>
      <c r="J844" s="711"/>
      <c r="K844" s="741"/>
      <c r="L844" s="741"/>
      <c r="M844" s="788"/>
      <c r="N844" s="741"/>
      <c r="O844" s="741"/>
      <c r="P844" s="741"/>
      <c r="Q844" s="741"/>
      <c r="R844" s="788"/>
      <c r="S844" s="819"/>
      <c r="T844" s="820"/>
      <c r="U844" s="819"/>
      <c r="V844" s="820"/>
      <c r="W844" s="788"/>
      <c r="X844" s="803"/>
      <c r="Y844" s="803"/>
      <c r="Z844" s="803"/>
      <c r="AA844" s="711"/>
      <c r="AB844" s="711"/>
      <c r="AC844" s="711"/>
      <c r="AD844" s="736"/>
      <c r="AE844" s="736"/>
      <c r="AF844" s="624"/>
      <c r="AG844" s="624"/>
      <c r="AH844" s="624"/>
      <c r="AI844" s="624"/>
      <c r="AJ844" s="960">
        <f t="shared" si="6"/>
        <v>844</v>
      </c>
      <c r="AK844" s="961">
        <v>1.008</v>
      </c>
      <c r="AL844" s="962">
        <v>20147.0</v>
      </c>
      <c r="AM844" s="963">
        <v>-0.6221602156560155</v>
      </c>
      <c r="AN844" s="964">
        <v>0.008000000000000007</v>
      </c>
      <c r="AO844" s="962">
        <v>20147.0</v>
      </c>
      <c r="AP844" s="965">
        <v>-0.6133866529734276</v>
      </c>
      <c r="AQ844" s="962">
        <v>20147.0</v>
      </c>
      <c r="AR844" s="966">
        <v>-0.6048276103217477</v>
      </c>
      <c r="AS844" s="624"/>
      <c r="AT844" s="624"/>
      <c r="AU844" s="624"/>
      <c r="AV844" s="624"/>
      <c r="AW844" s="624"/>
      <c r="AX844" s="624"/>
      <c r="AY844" s="624"/>
      <c r="AZ844" s="624"/>
      <c r="BA844" s="624"/>
      <c r="BB844" s="624"/>
      <c r="BC844" s="624"/>
      <c r="BD844" s="624"/>
      <c r="BE844" s="624"/>
    </row>
    <row r="845" ht="16.5" customHeight="1">
      <c r="A845" s="711"/>
      <c r="B845" s="711"/>
      <c r="C845" s="711"/>
      <c r="D845" s="711"/>
      <c r="E845" s="711"/>
      <c r="F845" s="711"/>
      <c r="G845" s="711"/>
      <c r="H845" s="711"/>
      <c r="I845" s="711"/>
      <c r="J845" s="711"/>
      <c r="K845" s="741"/>
      <c r="L845" s="741"/>
      <c r="M845" s="788"/>
      <c r="N845" s="741"/>
      <c r="O845" s="741"/>
      <c r="P845" s="741"/>
      <c r="Q845" s="741"/>
      <c r="R845" s="788"/>
      <c r="S845" s="819"/>
      <c r="T845" s="820"/>
      <c r="U845" s="819"/>
      <c r="V845" s="820"/>
      <c r="W845" s="788"/>
      <c r="X845" s="803"/>
      <c r="Y845" s="803"/>
      <c r="Z845" s="803"/>
      <c r="AA845" s="711"/>
      <c r="AB845" s="711"/>
      <c r="AC845" s="711"/>
      <c r="AD845" s="736"/>
      <c r="AE845" s="736"/>
      <c r="AF845" s="624"/>
      <c r="AG845" s="624"/>
      <c r="AH845" s="624"/>
      <c r="AI845" s="624"/>
      <c r="AJ845" s="960">
        <f t="shared" si="6"/>
        <v>845</v>
      </c>
      <c r="AK845" s="961">
        <v>0.9873</v>
      </c>
      <c r="AL845" s="962">
        <v>20120.0</v>
      </c>
      <c r="AM845" s="963">
        <v>-0.6216670596011014</v>
      </c>
      <c r="AN845" s="964">
        <v>-0.012700000000000045</v>
      </c>
      <c r="AO845" s="962">
        <v>20120.0</v>
      </c>
      <c r="AP845" s="965">
        <v>-0.6128939543701729</v>
      </c>
      <c r="AQ845" s="962">
        <v>20120.0</v>
      </c>
      <c r="AR845" s="966">
        <v>-0.6043356151568317</v>
      </c>
      <c r="AS845" s="624"/>
      <c r="AT845" s="624"/>
      <c r="AU845" s="624"/>
      <c r="AV845" s="624"/>
      <c r="AW845" s="624"/>
      <c r="AX845" s="624"/>
      <c r="AY845" s="624"/>
      <c r="AZ845" s="624"/>
      <c r="BA845" s="624"/>
      <c r="BB845" s="624"/>
      <c r="BC845" s="624"/>
      <c r="BD845" s="624"/>
      <c r="BE845" s="624"/>
    </row>
    <row r="846" ht="16.5" customHeight="1">
      <c r="A846" s="711"/>
      <c r="B846" s="711"/>
      <c r="C846" s="711"/>
      <c r="D846" s="711"/>
      <c r="E846" s="711"/>
      <c r="F846" s="711"/>
      <c r="G846" s="711"/>
      <c r="H846" s="711"/>
      <c r="I846" s="711"/>
      <c r="J846" s="711"/>
      <c r="K846" s="741"/>
      <c r="L846" s="741"/>
      <c r="M846" s="788"/>
      <c r="N846" s="741"/>
      <c r="O846" s="741"/>
      <c r="P846" s="741"/>
      <c r="Q846" s="741"/>
      <c r="R846" s="788"/>
      <c r="S846" s="819"/>
      <c r="T846" s="820"/>
      <c r="U846" s="819"/>
      <c r="V846" s="820"/>
      <c r="W846" s="788"/>
      <c r="X846" s="803"/>
      <c r="Y846" s="803"/>
      <c r="Z846" s="803"/>
      <c r="AA846" s="711"/>
      <c r="AB846" s="711"/>
      <c r="AC846" s="711"/>
      <c r="AD846" s="736"/>
      <c r="AE846" s="736"/>
      <c r="AF846" s="624"/>
      <c r="AG846" s="624"/>
      <c r="AH846" s="624"/>
      <c r="AI846" s="624"/>
      <c r="AJ846" s="960">
        <f t="shared" si="6"/>
        <v>846</v>
      </c>
      <c r="AK846" s="961">
        <v>0.9681</v>
      </c>
      <c r="AL846" s="962">
        <v>20117.0</v>
      </c>
      <c r="AM846" s="963">
        <v>-0.6216122247667313</v>
      </c>
      <c r="AN846" s="964">
        <v>-0.03190000000000004</v>
      </c>
      <c r="AO846" s="962">
        <v>20117.0</v>
      </c>
      <c r="AP846" s="965">
        <v>-0.6128391713367058</v>
      </c>
      <c r="AQ846" s="962">
        <v>20117.0</v>
      </c>
      <c r="AR846" s="966">
        <v>-0.6042809112301712</v>
      </c>
      <c r="AS846" s="624"/>
      <c r="AT846" s="624"/>
      <c r="AU846" s="624"/>
      <c r="AV846" s="624"/>
      <c r="AW846" s="624"/>
      <c r="AX846" s="624"/>
      <c r="AY846" s="624"/>
      <c r="AZ846" s="624"/>
      <c r="BA846" s="624"/>
      <c r="BB846" s="624"/>
      <c r="BC846" s="624"/>
      <c r="BD846" s="624"/>
      <c r="BE846" s="624"/>
    </row>
    <row r="847" ht="16.5" customHeight="1">
      <c r="A847" s="711"/>
      <c r="B847" s="711"/>
      <c r="C847" s="711"/>
      <c r="D847" s="711"/>
      <c r="E847" s="711"/>
      <c r="F847" s="711"/>
      <c r="G847" s="711"/>
      <c r="H847" s="711"/>
      <c r="I847" s="711"/>
      <c r="J847" s="711"/>
      <c r="K847" s="741"/>
      <c r="L847" s="741"/>
      <c r="M847" s="788"/>
      <c r="N847" s="741"/>
      <c r="O847" s="741"/>
      <c r="P847" s="741"/>
      <c r="Q847" s="741"/>
      <c r="R847" s="788"/>
      <c r="S847" s="819"/>
      <c r="T847" s="820"/>
      <c r="U847" s="819"/>
      <c r="V847" s="820"/>
      <c r="W847" s="788"/>
      <c r="X847" s="803"/>
      <c r="Y847" s="803"/>
      <c r="Z847" s="803"/>
      <c r="AA847" s="711"/>
      <c r="AB847" s="711"/>
      <c r="AC847" s="711"/>
      <c r="AD847" s="736"/>
      <c r="AE847" s="736"/>
      <c r="AF847" s="624"/>
      <c r="AG847" s="624"/>
      <c r="AH847" s="624"/>
      <c r="AI847" s="624"/>
      <c r="AJ847" s="960">
        <f t="shared" si="6"/>
        <v>847</v>
      </c>
      <c r="AK847" s="961">
        <v>1.0484</v>
      </c>
      <c r="AL847" s="962">
        <v>20100.0</v>
      </c>
      <c r="AM847" s="963">
        <v>-0.621301343882442</v>
      </c>
      <c r="AN847" s="964">
        <v>0.0484</v>
      </c>
      <c r="AO847" s="962">
        <v>20100.0</v>
      </c>
      <c r="AP847" s="965">
        <v>-0.612528587671819</v>
      </c>
      <c r="AQ847" s="962">
        <v>20100.0</v>
      </c>
      <c r="AR847" s="966">
        <v>-0.6039707794197897</v>
      </c>
      <c r="AS847" s="624"/>
      <c r="AT847" s="624"/>
      <c r="AU847" s="624"/>
      <c r="AV847" s="624"/>
      <c r="AW847" s="624"/>
      <c r="AX847" s="624"/>
      <c r="AY847" s="624"/>
      <c r="AZ847" s="624"/>
      <c r="BA847" s="624"/>
      <c r="BB847" s="624"/>
      <c r="BC847" s="624"/>
      <c r="BD847" s="624"/>
      <c r="BE847" s="624"/>
    </row>
    <row r="848" ht="16.5" customHeight="1">
      <c r="A848" s="711"/>
      <c r="B848" s="711"/>
      <c r="C848" s="711"/>
      <c r="D848" s="711"/>
      <c r="E848" s="711"/>
      <c r="F848" s="711"/>
      <c r="G848" s="711"/>
      <c r="H848" s="711"/>
      <c r="I848" s="711"/>
      <c r="J848" s="711"/>
      <c r="K848" s="741"/>
      <c r="L848" s="741"/>
      <c r="M848" s="788"/>
      <c r="N848" s="741"/>
      <c r="O848" s="741"/>
      <c r="P848" s="741"/>
      <c r="Q848" s="741"/>
      <c r="R848" s="788"/>
      <c r="S848" s="819"/>
      <c r="T848" s="820"/>
      <c r="U848" s="819"/>
      <c r="V848" s="820"/>
      <c r="W848" s="788"/>
      <c r="X848" s="803"/>
      <c r="Y848" s="803"/>
      <c r="Z848" s="803"/>
      <c r="AA848" s="711"/>
      <c r="AB848" s="711"/>
      <c r="AC848" s="711"/>
      <c r="AD848" s="736"/>
      <c r="AE848" s="736"/>
      <c r="AF848" s="624"/>
      <c r="AG848" s="624"/>
      <c r="AH848" s="624"/>
      <c r="AI848" s="624"/>
      <c r="AJ848" s="960">
        <f t="shared" si="6"/>
        <v>848</v>
      </c>
      <c r="AK848" s="961">
        <v>0.9773</v>
      </c>
      <c r="AL848" s="962">
        <v>20000.0</v>
      </c>
      <c r="AM848" s="963">
        <v>-0.6194674556604682</v>
      </c>
      <c r="AN848" s="964">
        <v>-0.022700000000000053</v>
      </c>
      <c r="AO848" s="962">
        <v>20000.0</v>
      </c>
      <c r="AP848" s="965">
        <v>-0.610696574942752</v>
      </c>
      <c r="AQ848" s="962">
        <v>20000.0</v>
      </c>
      <c r="AR848" s="966">
        <v>-0.6021415483892549</v>
      </c>
      <c r="AS848" s="624"/>
      <c r="AT848" s="624"/>
      <c r="AU848" s="624"/>
      <c r="AV848" s="624"/>
      <c r="AW848" s="624"/>
      <c r="AX848" s="624"/>
      <c r="AY848" s="624"/>
      <c r="AZ848" s="624"/>
      <c r="BA848" s="624"/>
      <c r="BB848" s="624"/>
      <c r="BC848" s="624"/>
      <c r="BD848" s="624"/>
      <c r="BE848" s="624"/>
    </row>
    <row r="849" ht="16.5" customHeight="1">
      <c r="A849" s="711"/>
      <c r="B849" s="711"/>
      <c r="C849" s="711"/>
      <c r="D849" s="711"/>
      <c r="E849" s="711"/>
      <c r="F849" s="711"/>
      <c r="G849" s="711"/>
      <c r="H849" s="711"/>
      <c r="I849" s="711"/>
      <c r="J849" s="711"/>
      <c r="K849" s="741"/>
      <c r="L849" s="741"/>
      <c r="M849" s="788"/>
      <c r="N849" s="741"/>
      <c r="O849" s="741"/>
      <c r="P849" s="741"/>
      <c r="Q849" s="741"/>
      <c r="R849" s="788"/>
      <c r="S849" s="819"/>
      <c r="T849" s="820"/>
      <c r="U849" s="819"/>
      <c r="V849" s="820"/>
      <c r="W849" s="788"/>
      <c r="X849" s="803"/>
      <c r="Y849" s="803"/>
      <c r="Z849" s="803"/>
      <c r="AA849" s="711"/>
      <c r="AB849" s="711"/>
      <c r="AC849" s="711"/>
      <c r="AD849" s="736"/>
      <c r="AE849" s="736"/>
      <c r="AF849" s="624"/>
      <c r="AG849" s="624"/>
      <c r="AH849" s="624"/>
      <c r="AI849" s="624"/>
      <c r="AJ849" s="960">
        <f t="shared" si="6"/>
        <v>849</v>
      </c>
      <c r="AK849" s="961">
        <v>1.0015</v>
      </c>
      <c r="AL849" s="962">
        <v>20000.0</v>
      </c>
      <c r="AM849" s="963">
        <v>-0.6194674556604682</v>
      </c>
      <c r="AN849" s="964">
        <v>0.0015000000000000568</v>
      </c>
      <c r="AO849" s="962">
        <v>20000.0</v>
      </c>
      <c r="AP849" s="965">
        <v>-0.610696574942752</v>
      </c>
      <c r="AQ849" s="962">
        <v>20000.0</v>
      </c>
      <c r="AR849" s="966">
        <v>-0.6021415483892549</v>
      </c>
      <c r="AS849" s="624"/>
      <c r="AT849" s="624"/>
      <c r="AU849" s="624"/>
      <c r="AV849" s="624"/>
      <c r="AW849" s="624"/>
      <c r="AX849" s="624"/>
      <c r="AY849" s="624"/>
      <c r="AZ849" s="624"/>
      <c r="BA849" s="624"/>
      <c r="BB849" s="624"/>
      <c r="BC849" s="624"/>
      <c r="BD849" s="624"/>
      <c r="BE849" s="624"/>
    </row>
    <row r="850" ht="16.5" customHeight="1">
      <c r="A850" s="711"/>
      <c r="B850" s="711"/>
      <c r="C850" s="711"/>
      <c r="D850" s="711"/>
      <c r="E850" s="711"/>
      <c r="F850" s="711"/>
      <c r="G850" s="711"/>
      <c r="H850" s="711"/>
      <c r="I850" s="711"/>
      <c r="J850" s="711"/>
      <c r="K850" s="741"/>
      <c r="L850" s="741"/>
      <c r="M850" s="788"/>
      <c r="N850" s="741"/>
      <c r="O850" s="741"/>
      <c r="P850" s="741"/>
      <c r="Q850" s="741"/>
      <c r="R850" s="788"/>
      <c r="S850" s="819"/>
      <c r="T850" s="820"/>
      <c r="U850" s="819"/>
      <c r="V850" s="820"/>
      <c r="W850" s="788"/>
      <c r="X850" s="803"/>
      <c r="Y850" s="803"/>
      <c r="Z850" s="803"/>
      <c r="AA850" s="711"/>
      <c r="AB850" s="711"/>
      <c r="AC850" s="711"/>
      <c r="AD850" s="736"/>
      <c r="AE850" s="736"/>
      <c r="AF850" s="624"/>
      <c r="AG850" s="624"/>
      <c r="AH850" s="624"/>
      <c r="AI850" s="624"/>
      <c r="AJ850" s="960">
        <f t="shared" si="6"/>
        <v>850</v>
      </c>
      <c r="AK850" s="961">
        <v>0.9544</v>
      </c>
      <c r="AL850" s="962">
        <v>20000.0</v>
      </c>
      <c r="AM850" s="963">
        <v>-0.6194674556604682</v>
      </c>
      <c r="AN850" s="964">
        <v>-0.045599999999999974</v>
      </c>
      <c r="AO850" s="962">
        <v>20000.0</v>
      </c>
      <c r="AP850" s="965">
        <v>-0.610696574942752</v>
      </c>
      <c r="AQ850" s="962">
        <v>20000.0</v>
      </c>
      <c r="AR850" s="966">
        <v>-0.6021415483892549</v>
      </c>
      <c r="AS850" s="624"/>
      <c r="AT850" s="624"/>
      <c r="AU850" s="624"/>
      <c r="AV850" s="624"/>
      <c r="AW850" s="624"/>
      <c r="AX850" s="624"/>
      <c r="AY850" s="624"/>
      <c r="AZ850" s="624"/>
      <c r="BA850" s="624"/>
      <c r="BB850" s="624"/>
      <c r="BC850" s="624"/>
      <c r="BD850" s="624"/>
      <c r="BE850" s="624"/>
    </row>
    <row r="851" ht="16.5" customHeight="1">
      <c r="A851" s="711"/>
      <c r="B851" s="711"/>
      <c r="C851" s="711"/>
      <c r="D851" s="711"/>
      <c r="E851" s="711"/>
      <c r="F851" s="711"/>
      <c r="G851" s="711"/>
      <c r="H851" s="711"/>
      <c r="I851" s="711"/>
      <c r="J851" s="711"/>
      <c r="K851" s="741"/>
      <c r="L851" s="741"/>
      <c r="M851" s="788"/>
      <c r="N851" s="741"/>
      <c r="O851" s="741"/>
      <c r="P851" s="741"/>
      <c r="Q851" s="741"/>
      <c r="R851" s="788"/>
      <c r="S851" s="819"/>
      <c r="T851" s="820"/>
      <c r="U851" s="819"/>
      <c r="V851" s="820"/>
      <c r="W851" s="788"/>
      <c r="X851" s="803"/>
      <c r="Y851" s="803"/>
      <c r="Z851" s="803"/>
      <c r="AA851" s="711"/>
      <c r="AB851" s="711"/>
      <c r="AC851" s="711"/>
      <c r="AD851" s="736"/>
      <c r="AE851" s="736"/>
      <c r="AF851" s="624"/>
      <c r="AG851" s="624"/>
      <c r="AH851" s="624"/>
      <c r="AI851" s="624"/>
      <c r="AJ851" s="960">
        <f t="shared" si="6"/>
        <v>851</v>
      </c>
      <c r="AK851" s="961">
        <v>0.9846</v>
      </c>
      <c r="AL851" s="962">
        <v>19996.0</v>
      </c>
      <c r="AM851" s="963">
        <v>-0.619393915696577</v>
      </c>
      <c r="AN851" s="964">
        <v>-0.01539999999999997</v>
      </c>
      <c r="AO851" s="962">
        <v>19996.0</v>
      </c>
      <c r="AP851" s="965">
        <v>-0.610623114536317</v>
      </c>
      <c r="AQ851" s="962">
        <v>19996.0</v>
      </c>
      <c r="AR851" s="966">
        <v>-0.6020682036661498</v>
      </c>
      <c r="AS851" s="624"/>
      <c r="AT851" s="624"/>
      <c r="AU851" s="624"/>
      <c r="AV851" s="624"/>
      <c r="AW851" s="624"/>
      <c r="AX851" s="624"/>
      <c r="AY851" s="624"/>
      <c r="AZ851" s="624"/>
      <c r="BA851" s="624"/>
      <c r="BB851" s="624"/>
      <c r="BC851" s="624"/>
      <c r="BD851" s="624"/>
      <c r="BE851" s="624"/>
    </row>
    <row r="852" ht="16.5" customHeight="1">
      <c r="A852" s="711"/>
      <c r="B852" s="711"/>
      <c r="C852" s="711"/>
      <c r="D852" s="711"/>
      <c r="E852" s="711"/>
      <c r="F852" s="711"/>
      <c r="G852" s="711"/>
      <c r="H852" s="711"/>
      <c r="I852" s="711"/>
      <c r="J852" s="711"/>
      <c r="K852" s="741"/>
      <c r="L852" s="741"/>
      <c r="M852" s="788"/>
      <c r="N852" s="741"/>
      <c r="O852" s="741"/>
      <c r="P852" s="741"/>
      <c r="Q852" s="741"/>
      <c r="R852" s="788"/>
      <c r="S852" s="819"/>
      <c r="T852" s="820"/>
      <c r="U852" s="819"/>
      <c r="V852" s="820"/>
      <c r="W852" s="788"/>
      <c r="X852" s="803"/>
      <c r="Y852" s="803"/>
      <c r="Z852" s="803"/>
      <c r="AA852" s="711"/>
      <c r="AB852" s="711"/>
      <c r="AC852" s="711"/>
      <c r="AD852" s="736"/>
      <c r="AE852" s="736"/>
      <c r="AF852" s="624"/>
      <c r="AG852" s="624"/>
      <c r="AH852" s="624"/>
      <c r="AI852" s="624"/>
      <c r="AJ852" s="960">
        <f t="shared" si="6"/>
        <v>852</v>
      </c>
      <c r="AK852" s="961">
        <v>1.0028</v>
      </c>
      <c r="AL852" s="962">
        <v>19985.0</v>
      </c>
      <c r="AM852" s="963">
        <v>-0.6191916075070198</v>
      </c>
      <c r="AN852" s="964">
        <v>0.0027999999999999137</v>
      </c>
      <c r="AO852" s="962">
        <v>19985.0</v>
      </c>
      <c r="AP852" s="965">
        <v>-0.6104210269360442</v>
      </c>
      <c r="AQ852" s="962">
        <v>19985.0</v>
      </c>
      <c r="AR852" s="966">
        <v>-0.6018664359524012</v>
      </c>
      <c r="AS852" s="624"/>
      <c r="AT852" s="624"/>
      <c r="AU852" s="624"/>
      <c r="AV852" s="624"/>
      <c r="AW852" s="624"/>
      <c r="AX852" s="624"/>
      <c r="AY852" s="624"/>
      <c r="AZ852" s="624"/>
      <c r="BA852" s="624"/>
      <c r="BB852" s="624"/>
      <c r="BC852" s="624"/>
      <c r="BD852" s="624"/>
      <c r="BE852" s="624"/>
    </row>
    <row r="853" ht="16.5" customHeight="1">
      <c r="A853" s="711"/>
      <c r="B853" s="711"/>
      <c r="C853" s="711"/>
      <c r="D853" s="711"/>
      <c r="E853" s="711"/>
      <c r="F853" s="711"/>
      <c r="G853" s="711"/>
      <c r="H853" s="711"/>
      <c r="I853" s="711"/>
      <c r="J853" s="711"/>
      <c r="K853" s="741"/>
      <c r="L853" s="741"/>
      <c r="M853" s="788"/>
      <c r="N853" s="741"/>
      <c r="O853" s="741"/>
      <c r="P853" s="741"/>
      <c r="Q853" s="741"/>
      <c r="R853" s="788"/>
      <c r="S853" s="819"/>
      <c r="T853" s="820"/>
      <c r="U853" s="819"/>
      <c r="V853" s="820"/>
      <c r="W853" s="788"/>
      <c r="X853" s="803"/>
      <c r="Y853" s="803"/>
      <c r="Z853" s="803"/>
      <c r="AA853" s="711"/>
      <c r="AB853" s="711"/>
      <c r="AC853" s="711"/>
      <c r="AD853" s="736"/>
      <c r="AE853" s="736"/>
      <c r="AF853" s="624"/>
      <c r="AG853" s="624"/>
      <c r="AH853" s="624"/>
      <c r="AI853" s="624"/>
      <c r="AJ853" s="960">
        <f t="shared" si="6"/>
        <v>853</v>
      </c>
      <c r="AK853" s="961">
        <v>0.9932</v>
      </c>
      <c r="AL853" s="962">
        <v>19978.0</v>
      </c>
      <c r="AM853" s="963">
        <v>-0.6190628099459808</v>
      </c>
      <c r="AN853" s="964">
        <v>-0.006800000000000028</v>
      </c>
      <c r="AO853" s="962">
        <v>19978.0</v>
      </c>
      <c r="AP853" s="965">
        <v>-0.6102923711302901</v>
      </c>
      <c r="AQ853" s="962">
        <v>19978.0</v>
      </c>
      <c r="AR853" s="966">
        <v>-0.6017379850536773</v>
      </c>
      <c r="AS853" s="624"/>
      <c r="AT853" s="624"/>
      <c r="AU853" s="624"/>
      <c r="AV853" s="624"/>
      <c r="AW853" s="624"/>
      <c r="AX853" s="624"/>
      <c r="AY853" s="624"/>
      <c r="AZ853" s="624"/>
      <c r="BA853" s="624"/>
      <c r="BB853" s="624"/>
      <c r="BC853" s="624"/>
      <c r="BD853" s="624"/>
      <c r="BE853" s="624"/>
    </row>
    <row r="854" ht="16.5" customHeight="1">
      <c r="A854" s="711"/>
      <c r="B854" s="711"/>
      <c r="C854" s="711"/>
      <c r="D854" s="711"/>
      <c r="E854" s="711"/>
      <c r="F854" s="711"/>
      <c r="G854" s="711"/>
      <c r="H854" s="711"/>
      <c r="I854" s="711"/>
      <c r="J854" s="711"/>
      <c r="K854" s="741"/>
      <c r="L854" s="741"/>
      <c r="M854" s="788"/>
      <c r="N854" s="741"/>
      <c r="O854" s="741"/>
      <c r="P854" s="741"/>
      <c r="Q854" s="741"/>
      <c r="R854" s="788"/>
      <c r="S854" s="819"/>
      <c r="T854" s="820"/>
      <c r="U854" s="819"/>
      <c r="V854" s="820"/>
      <c r="W854" s="788"/>
      <c r="X854" s="803"/>
      <c r="Y854" s="803"/>
      <c r="Z854" s="803"/>
      <c r="AA854" s="711"/>
      <c r="AB854" s="711"/>
      <c r="AC854" s="711"/>
      <c r="AD854" s="736"/>
      <c r="AE854" s="736"/>
      <c r="AF854" s="624"/>
      <c r="AG854" s="624"/>
      <c r="AH854" s="624"/>
      <c r="AI854" s="624"/>
      <c r="AJ854" s="960">
        <f t="shared" si="6"/>
        <v>854</v>
      </c>
      <c r="AK854" s="961">
        <v>0.9775</v>
      </c>
      <c r="AL854" s="962">
        <v>19859.0</v>
      </c>
      <c r="AM854" s="963">
        <v>-0.6168665743697294</v>
      </c>
      <c r="AN854" s="964">
        <v>-0.022499999999999964</v>
      </c>
      <c r="AO854" s="962">
        <v>19859.0</v>
      </c>
      <c r="AP854" s="965">
        <v>-0.608098710349942</v>
      </c>
      <c r="AQ854" s="962">
        <v>19859.0</v>
      </c>
      <c r="AR854" s="966">
        <v>-0.5995479681556488</v>
      </c>
      <c r="AS854" s="624"/>
      <c r="AT854" s="624"/>
      <c r="AU854" s="624"/>
      <c r="AV854" s="624"/>
      <c r="AW854" s="624"/>
      <c r="AX854" s="624"/>
      <c r="AY854" s="624"/>
      <c r="AZ854" s="624"/>
      <c r="BA854" s="624"/>
      <c r="BB854" s="624"/>
      <c r="BC854" s="624"/>
      <c r="BD854" s="624"/>
      <c r="BE854" s="624"/>
    </row>
    <row r="855" ht="16.5" customHeight="1">
      <c r="A855" s="711"/>
      <c r="B855" s="711"/>
      <c r="C855" s="711"/>
      <c r="D855" s="711"/>
      <c r="E855" s="711"/>
      <c r="F855" s="711"/>
      <c r="G855" s="711"/>
      <c r="H855" s="711"/>
      <c r="I855" s="711"/>
      <c r="J855" s="711"/>
      <c r="K855" s="741"/>
      <c r="L855" s="741"/>
      <c r="M855" s="788"/>
      <c r="N855" s="741"/>
      <c r="O855" s="741"/>
      <c r="P855" s="741"/>
      <c r="Q855" s="741"/>
      <c r="R855" s="788"/>
      <c r="S855" s="819"/>
      <c r="T855" s="820"/>
      <c r="U855" s="819"/>
      <c r="V855" s="820"/>
      <c r="W855" s="788"/>
      <c r="X855" s="803"/>
      <c r="Y855" s="803"/>
      <c r="Z855" s="803"/>
      <c r="AA855" s="711"/>
      <c r="AB855" s="711"/>
      <c r="AC855" s="711"/>
      <c r="AD855" s="736"/>
      <c r="AE855" s="736"/>
      <c r="AF855" s="624"/>
      <c r="AG855" s="624"/>
      <c r="AH855" s="624"/>
      <c r="AI855" s="624"/>
      <c r="AJ855" s="960">
        <f t="shared" si="6"/>
        <v>855</v>
      </c>
      <c r="AK855" s="961">
        <v>0.9649</v>
      </c>
      <c r="AL855" s="962">
        <v>19800.0</v>
      </c>
      <c r="AM855" s="963">
        <v>-0.6157729938183595</v>
      </c>
      <c r="AN855" s="964">
        <v>-0.03510000000000002</v>
      </c>
      <c r="AO855" s="962">
        <v>19800.0</v>
      </c>
      <c r="AP855" s="965">
        <v>-0.6070065225818326</v>
      </c>
      <c r="AQ855" s="962">
        <v>19800.0</v>
      </c>
      <c r="AR855" s="966">
        <v>-0.598457700035198</v>
      </c>
      <c r="AS855" s="624"/>
      <c r="AT855" s="624"/>
      <c r="AU855" s="624"/>
      <c r="AV855" s="624"/>
      <c r="AW855" s="624"/>
      <c r="AX855" s="624"/>
      <c r="AY855" s="624"/>
      <c r="AZ855" s="624"/>
      <c r="BA855" s="624"/>
      <c r="BB855" s="624"/>
      <c r="BC855" s="624"/>
      <c r="BD855" s="624"/>
      <c r="BE855" s="624"/>
    </row>
    <row r="856" ht="16.5" customHeight="1">
      <c r="A856" s="711"/>
      <c r="B856" s="711"/>
      <c r="C856" s="711"/>
      <c r="D856" s="711"/>
      <c r="E856" s="711"/>
      <c r="F856" s="711"/>
      <c r="G856" s="711"/>
      <c r="H856" s="711"/>
      <c r="I856" s="711"/>
      <c r="J856" s="711"/>
      <c r="K856" s="741"/>
      <c r="L856" s="741"/>
      <c r="M856" s="788"/>
      <c r="N856" s="741"/>
      <c r="O856" s="741"/>
      <c r="P856" s="741"/>
      <c r="Q856" s="741"/>
      <c r="R856" s="788"/>
      <c r="S856" s="819"/>
      <c r="T856" s="820"/>
      <c r="U856" s="819"/>
      <c r="V856" s="820"/>
      <c r="W856" s="788"/>
      <c r="X856" s="803"/>
      <c r="Y856" s="803"/>
      <c r="Z856" s="803"/>
      <c r="AA856" s="711"/>
      <c r="AB856" s="711"/>
      <c r="AC856" s="711"/>
      <c r="AD856" s="736"/>
      <c r="AE856" s="736"/>
      <c r="AF856" s="624"/>
      <c r="AG856" s="624"/>
      <c r="AH856" s="624"/>
      <c r="AI856" s="624"/>
      <c r="AJ856" s="960">
        <f t="shared" si="6"/>
        <v>856</v>
      </c>
      <c r="AK856" s="961">
        <v>0.9961</v>
      </c>
      <c r="AL856" s="962">
        <v>19700.0</v>
      </c>
      <c r="AM856" s="963">
        <v>-0.6139123339775652</v>
      </c>
      <c r="AN856" s="964">
        <v>-0.0039000000000000146</v>
      </c>
      <c r="AO856" s="962">
        <v>19700.0</v>
      </c>
      <c r="AP856" s="965">
        <v>-0.6051484008464914</v>
      </c>
      <c r="AQ856" s="962">
        <v>19700.0</v>
      </c>
      <c r="AR856" s="966">
        <v>-0.5966030044799261</v>
      </c>
      <c r="AS856" s="624"/>
      <c r="AT856" s="624"/>
      <c r="AU856" s="624"/>
      <c r="AV856" s="624"/>
      <c r="AW856" s="624"/>
      <c r="AX856" s="624"/>
      <c r="AY856" s="624"/>
      <c r="AZ856" s="624"/>
      <c r="BA856" s="624"/>
      <c r="BB856" s="624"/>
      <c r="BC856" s="624"/>
      <c r="BD856" s="624"/>
      <c r="BE856" s="624"/>
    </row>
    <row r="857" ht="16.5" customHeight="1">
      <c r="A857" s="711"/>
      <c r="B857" s="711"/>
      <c r="C857" s="711"/>
      <c r="D857" s="711"/>
      <c r="E857" s="711"/>
      <c r="F857" s="711"/>
      <c r="G857" s="711"/>
      <c r="H857" s="711"/>
      <c r="I857" s="711"/>
      <c r="J857" s="711"/>
      <c r="K857" s="741"/>
      <c r="L857" s="741"/>
      <c r="M857" s="788"/>
      <c r="N857" s="741"/>
      <c r="O857" s="741"/>
      <c r="P857" s="741"/>
      <c r="Q857" s="741"/>
      <c r="R857" s="788"/>
      <c r="S857" s="819"/>
      <c r="T857" s="820"/>
      <c r="U857" s="819"/>
      <c r="V857" s="820"/>
      <c r="W857" s="788"/>
      <c r="X857" s="803"/>
      <c r="Y857" s="803"/>
      <c r="Z857" s="803"/>
      <c r="AA857" s="711"/>
      <c r="AB857" s="711"/>
      <c r="AC857" s="711"/>
      <c r="AD857" s="736"/>
      <c r="AE857" s="736"/>
      <c r="AF857" s="624"/>
      <c r="AG857" s="624"/>
      <c r="AH857" s="624"/>
      <c r="AI857" s="624"/>
      <c r="AJ857" s="960">
        <f t="shared" si="6"/>
        <v>857</v>
      </c>
      <c r="AK857" s="961">
        <v>0.9714</v>
      </c>
      <c r="AL857" s="962">
        <v>19700.0</v>
      </c>
      <c r="AM857" s="963">
        <v>-0.6139123339775652</v>
      </c>
      <c r="AN857" s="964">
        <v>-0.02859999999999996</v>
      </c>
      <c r="AO857" s="962">
        <v>19700.0</v>
      </c>
      <c r="AP857" s="965">
        <v>-0.6051484008464914</v>
      </c>
      <c r="AQ857" s="962">
        <v>19700.0</v>
      </c>
      <c r="AR857" s="966">
        <v>-0.5966030044799261</v>
      </c>
      <c r="AS857" s="624"/>
      <c r="AT857" s="624"/>
      <c r="AU857" s="624"/>
      <c r="AV857" s="624"/>
      <c r="AW857" s="624"/>
      <c r="AX857" s="624"/>
      <c r="AY857" s="624"/>
      <c r="AZ857" s="624"/>
      <c r="BA857" s="624"/>
      <c r="BB857" s="624"/>
      <c r="BC857" s="624"/>
      <c r="BD857" s="624"/>
      <c r="BE857" s="624"/>
    </row>
    <row r="858" ht="16.5" customHeight="1">
      <c r="A858" s="711"/>
      <c r="B858" s="711"/>
      <c r="C858" s="711"/>
      <c r="D858" s="711"/>
      <c r="E858" s="711"/>
      <c r="F858" s="711"/>
      <c r="G858" s="711"/>
      <c r="H858" s="711"/>
      <c r="I858" s="711"/>
      <c r="J858" s="711"/>
      <c r="K858" s="741"/>
      <c r="L858" s="741"/>
      <c r="M858" s="788"/>
      <c r="N858" s="741"/>
      <c r="O858" s="741"/>
      <c r="P858" s="741"/>
      <c r="Q858" s="741"/>
      <c r="R858" s="788"/>
      <c r="S858" s="819"/>
      <c r="T858" s="820"/>
      <c r="U858" s="819"/>
      <c r="V858" s="820"/>
      <c r="W858" s="788"/>
      <c r="X858" s="803"/>
      <c r="Y858" s="803"/>
      <c r="Z858" s="803"/>
      <c r="AA858" s="711"/>
      <c r="AB858" s="711"/>
      <c r="AC858" s="711"/>
      <c r="AD858" s="736"/>
      <c r="AE858" s="736"/>
      <c r="AF858" s="624"/>
      <c r="AG858" s="624"/>
      <c r="AH858" s="624"/>
      <c r="AI858" s="624"/>
      <c r="AJ858" s="960">
        <f t="shared" si="6"/>
        <v>858</v>
      </c>
      <c r="AK858" s="961">
        <v>0.9941</v>
      </c>
      <c r="AL858" s="962">
        <v>19692.0</v>
      </c>
      <c r="AM858" s="963">
        <v>-0.6137630925159432</v>
      </c>
      <c r="AN858" s="964">
        <v>-0.005900000000000016</v>
      </c>
      <c r="AO858" s="962">
        <v>19692.0</v>
      </c>
      <c r="AP858" s="965">
        <v>-0.6049993721261793</v>
      </c>
      <c r="AQ858" s="962">
        <v>19692.0</v>
      </c>
      <c r="AR858" s="966">
        <v>-0.5964542592767734</v>
      </c>
      <c r="AS858" s="624"/>
      <c r="AT858" s="624"/>
      <c r="AU858" s="624"/>
      <c r="AV858" s="624"/>
      <c r="AW858" s="624"/>
      <c r="AX858" s="624"/>
      <c r="AY858" s="624"/>
      <c r="AZ858" s="624"/>
      <c r="BA858" s="624"/>
      <c r="BB858" s="624"/>
      <c r="BC858" s="624"/>
      <c r="BD858" s="624"/>
      <c r="BE858" s="624"/>
    </row>
    <row r="859" ht="16.5" customHeight="1">
      <c r="A859" s="711"/>
      <c r="B859" s="711"/>
      <c r="C859" s="711"/>
      <c r="D859" s="711"/>
      <c r="E859" s="711"/>
      <c r="F859" s="711"/>
      <c r="G859" s="711"/>
      <c r="H859" s="711"/>
      <c r="I859" s="711"/>
      <c r="J859" s="711"/>
      <c r="K859" s="741"/>
      <c r="L859" s="741"/>
      <c r="M859" s="788"/>
      <c r="N859" s="741"/>
      <c r="O859" s="741"/>
      <c r="P859" s="741"/>
      <c r="Q859" s="741"/>
      <c r="R859" s="788"/>
      <c r="S859" s="819"/>
      <c r="T859" s="820"/>
      <c r="U859" s="819"/>
      <c r="V859" s="820"/>
      <c r="W859" s="788"/>
      <c r="X859" s="803"/>
      <c r="Y859" s="803"/>
      <c r="Z859" s="803"/>
      <c r="AA859" s="711"/>
      <c r="AB859" s="711"/>
      <c r="AC859" s="711"/>
      <c r="AD859" s="736"/>
      <c r="AE859" s="736"/>
      <c r="AF859" s="624"/>
      <c r="AG859" s="624"/>
      <c r="AH859" s="624"/>
      <c r="AI859" s="624"/>
      <c r="AJ859" s="960">
        <f t="shared" si="6"/>
        <v>859</v>
      </c>
      <c r="AK859" s="961">
        <v>0.9965</v>
      </c>
      <c r="AL859" s="962">
        <v>19550.0</v>
      </c>
      <c r="AM859" s="963">
        <v>-0.6111044360107771</v>
      </c>
      <c r="AN859" s="964">
        <v>-0.0034999999999999476</v>
      </c>
      <c r="AO859" s="962">
        <v>19550.0</v>
      </c>
      <c r="AP859" s="965">
        <v>-0.6023447325905249</v>
      </c>
      <c r="AQ859" s="962">
        <v>19550.0</v>
      </c>
      <c r="AR859" s="966">
        <v>-0.5938048862114724</v>
      </c>
      <c r="AS859" s="624"/>
      <c r="AT859" s="624"/>
      <c r="AU859" s="624"/>
      <c r="AV859" s="624"/>
      <c r="AW859" s="624"/>
      <c r="AX859" s="624"/>
      <c r="AY859" s="624"/>
      <c r="AZ859" s="624"/>
      <c r="BA859" s="624"/>
      <c r="BB859" s="624"/>
      <c r="BC859" s="624"/>
      <c r="BD859" s="624"/>
      <c r="BE859" s="624"/>
    </row>
    <row r="860" ht="16.5" customHeight="1">
      <c r="A860" s="711"/>
      <c r="B860" s="711"/>
      <c r="C860" s="711"/>
      <c r="D860" s="711"/>
      <c r="E860" s="711"/>
      <c r="F860" s="711"/>
      <c r="G860" s="711"/>
      <c r="H860" s="711"/>
      <c r="I860" s="711"/>
      <c r="J860" s="711"/>
      <c r="K860" s="741"/>
      <c r="L860" s="741"/>
      <c r="M860" s="788"/>
      <c r="N860" s="741"/>
      <c r="O860" s="741"/>
      <c r="P860" s="741"/>
      <c r="Q860" s="741"/>
      <c r="R860" s="788"/>
      <c r="S860" s="819"/>
      <c r="T860" s="820"/>
      <c r="U860" s="819"/>
      <c r="V860" s="820"/>
      <c r="W860" s="788"/>
      <c r="X860" s="803"/>
      <c r="Y860" s="803"/>
      <c r="Z860" s="803"/>
      <c r="AA860" s="711"/>
      <c r="AB860" s="711"/>
      <c r="AC860" s="711"/>
      <c r="AD860" s="736"/>
      <c r="AE860" s="736"/>
      <c r="AF860" s="624"/>
      <c r="AG860" s="624"/>
      <c r="AH860" s="624"/>
      <c r="AI860" s="624"/>
      <c r="AJ860" s="960">
        <f t="shared" si="6"/>
        <v>860</v>
      </c>
      <c r="AK860" s="961">
        <v>0.9583</v>
      </c>
      <c r="AL860" s="962">
        <v>19321.0</v>
      </c>
      <c r="AM860" s="963">
        <v>-0.6067782758088149</v>
      </c>
      <c r="AN860" s="964">
        <v>-0.04169999999999996</v>
      </c>
      <c r="AO860" s="962">
        <v>19321.0</v>
      </c>
      <c r="AP860" s="965">
        <v>-0.5980260222921299</v>
      </c>
      <c r="AQ860" s="962">
        <v>19321.0</v>
      </c>
      <c r="AR860" s="966">
        <v>-0.5894956131702871</v>
      </c>
      <c r="AS860" s="624"/>
      <c r="AT860" s="624"/>
      <c r="AU860" s="624"/>
      <c r="AV860" s="624"/>
      <c r="AW860" s="624"/>
      <c r="AX860" s="624"/>
      <c r="AY860" s="624"/>
      <c r="AZ860" s="624"/>
      <c r="BA860" s="624"/>
      <c r="BB860" s="624"/>
      <c r="BC860" s="624"/>
      <c r="BD860" s="624"/>
      <c r="BE860" s="624"/>
    </row>
    <row r="861" ht="16.5" customHeight="1">
      <c r="A861" s="711"/>
      <c r="B861" s="711"/>
      <c r="C861" s="711"/>
      <c r="D861" s="711"/>
      <c r="E861" s="711"/>
      <c r="F861" s="711"/>
      <c r="G861" s="711"/>
      <c r="H861" s="711"/>
      <c r="I861" s="711"/>
      <c r="J861" s="711"/>
      <c r="K861" s="741"/>
      <c r="L861" s="741"/>
      <c r="M861" s="788"/>
      <c r="N861" s="741"/>
      <c r="O861" s="741"/>
      <c r="P861" s="741"/>
      <c r="Q861" s="741"/>
      <c r="R861" s="788"/>
      <c r="S861" s="819"/>
      <c r="T861" s="820"/>
      <c r="U861" s="819"/>
      <c r="V861" s="820"/>
      <c r="W861" s="788"/>
      <c r="X861" s="803"/>
      <c r="Y861" s="803"/>
      <c r="Z861" s="803"/>
      <c r="AA861" s="711"/>
      <c r="AB861" s="711"/>
      <c r="AC861" s="711"/>
      <c r="AD861" s="736"/>
      <c r="AE861" s="736"/>
      <c r="AF861" s="624"/>
      <c r="AG861" s="624"/>
      <c r="AH861" s="624"/>
      <c r="AI861" s="624"/>
      <c r="AJ861" s="960">
        <f t="shared" si="6"/>
        <v>861</v>
      </c>
      <c r="AK861" s="961">
        <v>0.9777</v>
      </c>
      <c r="AL861" s="962">
        <v>19312.0</v>
      </c>
      <c r="AM861" s="963">
        <v>-0.6066072726698737</v>
      </c>
      <c r="AN861" s="964">
        <v>-0.022299999999999986</v>
      </c>
      <c r="AO861" s="962">
        <v>19312.0</v>
      </c>
      <c r="AP861" s="965">
        <v>-0.5978553367341094</v>
      </c>
      <c r="AQ861" s="962">
        <v>19312.0</v>
      </c>
      <c r="AR861" s="966">
        <v>-0.5893253225833683</v>
      </c>
      <c r="AS861" s="624"/>
      <c r="AT861" s="624"/>
      <c r="AU861" s="624"/>
      <c r="AV861" s="624"/>
      <c r="AW861" s="624"/>
      <c r="AX861" s="624"/>
      <c r="AY861" s="624"/>
      <c r="AZ861" s="624"/>
      <c r="BA861" s="624"/>
      <c r="BB861" s="624"/>
      <c r="BC861" s="624"/>
      <c r="BD861" s="624"/>
      <c r="BE861" s="624"/>
    </row>
    <row r="862" ht="16.5" customHeight="1">
      <c r="A862" s="711"/>
      <c r="B862" s="711"/>
      <c r="C862" s="711"/>
      <c r="D862" s="711"/>
      <c r="E862" s="711"/>
      <c r="F862" s="711"/>
      <c r="G862" s="711"/>
      <c r="H862" s="711"/>
      <c r="I862" s="711"/>
      <c r="J862" s="711"/>
      <c r="K862" s="741"/>
      <c r="L862" s="741"/>
      <c r="M862" s="788"/>
      <c r="N862" s="741"/>
      <c r="O862" s="741"/>
      <c r="P862" s="741"/>
      <c r="Q862" s="741"/>
      <c r="R862" s="788"/>
      <c r="S862" s="819"/>
      <c r="T862" s="820"/>
      <c r="U862" s="819"/>
      <c r="V862" s="820"/>
      <c r="W862" s="788"/>
      <c r="X862" s="803"/>
      <c r="Y862" s="803"/>
      <c r="Z862" s="803"/>
      <c r="AA862" s="711"/>
      <c r="AB862" s="711"/>
      <c r="AC862" s="711"/>
      <c r="AD862" s="736"/>
      <c r="AE862" s="736"/>
      <c r="AF862" s="624"/>
      <c r="AG862" s="624"/>
      <c r="AH862" s="624"/>
      <c r="AI862" s="624"/>
      <c r="AJ862" s="960">
        <f t="shared" si="6"/>
        <v>862</v>
      </c>
      <c r="AK862" s="961">
        <v>0.9644</v>
      </c>
      <c r="AL862" s="962">
        <v>19308.0</v>
      </c>
      <c r="AM862" s="963">
        <v>-0.6065312474063496</v>
      </c>
      <c r="AN862" s="964">
        <v>-0.035599999999999965</v>
      </c>
      <c r="AO862" s="962">
        <v>19308.0</v>
      </c>
      <c r="AP862" s="965">
        <v>-0.5977794532239532</v>
      </c>
      <c r="AQ862" s="962">
        <v>19308.0</v>
      </c>
      <c r="AR862" s="966">
        <v>-0.5892496152045769</v>
      </c>
      <c r="AS862" s="624"/>
      <c r="AT862" s="624"/>
      <c r="AU862" s="624"/>
      <c r="AV862" s="624"/>
      <c r="AW862" s="624"/>
      <c r="AX862" s="624"/>
      <c r="AY862" s="624"/>
      <c r="AZ862" s="624"/>
      <c r="BA862" s="624"/>
      <c r="BB862" s="624"/>
      <c r="BC862" s="624"/>
      <c r="BD862" s="624"/>
      <c r="BE862" s="624"/>
    </row>
    <row r="863" ht="16.5" customHeight="1">
      <c r="A863" s="711"/>
      <c r="B863" s="711"/>
      <c r="C863" s="711"/>
      <c r="D863" s="711"/>
      <c r="E863" s="711"/>
      <c r="F863" s="711"/>
      <c r="G863" s="711"/>
      <c r="H863" s="711"/>
      <c r="I863" s="711"/>
      <c r="J863" s="711"/>
      <c r="K863" s="741"/>
      <c r="L863" s="741"/>
      <c r="M863" s="788"/>
      <c r="N863" s="741"/>
      <c r="O863" s="741"/>
      <c r="P863" s="741"/>
      <c r="Q863" s="741"/>
      <c r="R863" s="788"/>
      <c r="S863" s="819"/>
      <c r="T863" s="820"/>
      <c r="U863" s="819"/>
      <c r="V863" s="820"/>
      <c r="W863" s="788"/>
      <c r="X863" s="803"/>
      <c r="Y863" s="803"/>
      <c r="Z863" s="803"/>
      <c r="AA863" s="711"/>
      <c r="AB863" s="711"/>
      <c r="AC863" s="711"/>
      <c r="AD863" s="736"/>
      <c r="AE863" s="736"/>
      <c r="AF863" s="624"/>
      <c r="AG863" s="624"/>
      <c r="AH863" s="624"/>
      <c r="AI863" s="624"/>
      <c r="AJ863" s="960">
        <f t="shared" si="6"/>
        <v>863</v>
      </c>
      <c r="AK863" s="961">
        <v>0.9619</v>
      </c>
      <c r="AL863" s="962">
        <v>19225.0</v>
      </c>
      <c r="AM863" s="963">
        <v>-0.6049504035588794</v>
      </c>
      <c r="AN863" s="964">
        <v>-0.03810000000000002</v>
      </c>
      <c r="AO863" s="962">
        <v>19225.0</v>
      </c>
      <c r="AP863" s="965">
        <v>-0.5962016352001778</v>
      </c>
      <c r="AQ863" s="962">
        <v>19225.0</v>
      </c>
      <c r="AR863" s="966">
        <v>-0.5876755338833868</v>
      </c>
      <c r="AS863" s="624"/>
      <c r="AT863" s="624"/>
      <c r="AU863" s="624"/>
      <c r="AV863" s="624"/>
      <c r="AW863" s="624"/>
      <c r="AX863" s="624"/>
      <c r="AY863" s="624"/>
      <c r="AZ863" s="624"/>
      <c r="BA863" s="624"/>
      <c r="BB863" s="624"/>
      <c r="BC863" s="624"/>
      <c r="BD863" s="624"/>
      <c r="BE863" s="624"/>
    </row>
    <row r="864" ht="16.5" customHeight="1">
      <c r="A864" s="711"/>
      <c r="B864" s="711"/>
      <c r="C864" s="711"/>
      <c r="D864" s="711"/>
      <c r="E864" s="711"/>
      <c r="F864" s="711"/>
      <c r="G864" s="711"/>
      <c r="H864" s="711"/>
      <c r="I864" s="711"/>
      <c r="J864" s="711"/>
      <c r="K864" s="741"/>
      <c r="L864" s="741"/>
      <c r="M864" s="788"/>
      <c r="N864" s="741"/>
      <c r="O864" s="741"/>
      <c r="P864" s="741"/>
      <c r="Q864" s="741"/>
      <c r="R864" s="788"/>
      <c r="S864" s="819"/>
      <c r="T864" s="820"/>
      <c r="U864" s="819"/>
      <c r="V864" s="820"/>
      <c r="W864" s="788"/>
      <c r="X864" s="803"/>
      <c r="Y864" s="803"/>
      <c r="Z864" s="803"/>
      <c r="AA864" s="711"/>
      <c r="AB864" s="711"/>
      <c r="AC864" s="711"/>
      <c r="AD864" s="736"/>
      <c r="AE864" s="736"/>
      <c r="AF864" s="624"/>
      <c r="AG864" s="624"/>
      <c r="AH864" s="624"/>
      <c r="AI864" s="624"/>
      <c r="AJ864" s="960">
        <f t="shared" si="6"/>
        <v>864</v>
      </c>
      <c r="AK864" s="961">
        <v>0.9559</v>
      </c>
      <c r="AL864" s="962">
        <v>19091.0</v>
      </c>
      <c r="AM864" s="963">
        <v>-0.6023847824440088</v>
      </c>
      <c r="AN864" s="964">
        <v>-0.04410000000000003</v>
      </c>
      <c r="AO864" s="962">
        <v>19091.0</v>
      </c>
      <c r="AP864" s="965">
        <v>-0.5936412414952518</v>
      </c>
      <c r="AQ864" s="962">
        <v>19091.0</v>
      </c>
      <c r="AR864" s="966">
        <v>-0.5851215052074966</v>
      </c>
      <c r="AS864" s="624"/>
      <c r="AT864" s="624"/>
      <c r="AU864" s="624"/>
      <c r="AV864" s="624"/>
      <c r="AW864" s="624"/>
      <c r="AX864" s="624"/>
      <c r="AY864" s="624"/>
      <c r="AZ864" s="624"/>
      <c r="BA864" s="624"/>
      <c r="BB864" s="624"/>
      <c r="BC864" s="624"/>
      <c r="BD864" s="624"/>
      <c r="BE864" s="624"/>
    </row>
    <row r="865" ht="16.5" customHeight="1">
      <c r="A865" s="711"/>
      <c r="B865" s="711"/>
      <c r="C865" s="711"/>
      <c r="D865" s="711"/>
      <c r="E865" s="711"/>
      <c r="F865" s="711"/>
      <c r="G865" s="711"/>
      <c r="H865" s="711"/>
      <c r="I865" s="711"/>
      <c r="J865" s="711"/>
      <c r="K865" s="741"/>
      <c r="L865" s="741"/>
      <c r="M865" s="788"/>
      <c r="N865" s="741"/>
      <c r="O865" s="741"/>
      <c r="P865" s="741"/>
      <c r="Q865" s="741"/>
      <c r="R865" s="788"/>
      <c r="S865" s="819"/>
      <c r="T865" s="820"/>
      <c r="U865" s="819"/>
      <c r="V865" s="820"/>
      <c r="W865" s="788"/>
      <c r="X865" s="803"/>
      <c r="Y865" s="803"/>
      <c r="Z865" s="803"/>
      <c r="AA865" s="711"/>
      <c r="AB865" s="711"/>
      <c r="AC865" s="711"/>
      <c r="AD865" s="736"/>
      <c r="AE865" s="736"/>
      <c r="AF865" s="624"/>
      <c r="AG865" s="624"/>
      <c r="AH865" s="624"/>
      <c r="AI865" s="624"/>
      <c r="AJ865" s="960">
        <f t="shared" si="6"/>
        <v>865</v>
      </c>
      <c r="AK865" s="961">
        <v>0.9847</v>
      </c>
      <c r="AL865" s="962">
        <v>19015.0</v>
      </c>
      <c r="AM865" s="963">
        <v>-0.6009222559448123</v>
      </c>
      <c r="AN865" s="964">
        <v>-0.01529999999999998</v>
      </c>
      <c r="AO865" s="962">
        <v>19015.0</v>
      </c>
      <c r="AP865" s="965">
        <v>-0.5921818693890144</v>
      </c>
      <c r="AQ865" s="962">
        <v>19015.0</v>
      </c>
      <c r="AR865" s="966">
        <v>-0.5836659270837001</v>
      </c>
      <c r="AS865" s="624"/>
      <c r="AT865" s="624"/>
      <c r="AU865" s="624"/>
      <c r="AV865" s="624"/>
      <c r="AW865" s="624"/>
      <c r="AX865" s="624"/>
      <c r="AY865" s="624"/>
      <c r="AZ865" s="624"/>
      <c r="BA865" s="624"/>
      <c r="BB865" s="624"/>
      <c r="BC865" s="624"/>
      <c r="BD865" s="624"/>
      <c r="BE865" s="624"/>
    </row>
    <row r="866" ht="16.5" customHeight="1">
      <c r="A866" s="711"/>
      <c r="B866" s="711"/>
      <c r="C866" s="711"/>
      <c r="D866" s="711"/>
      <c r="E866" s="711"/>
      <c r="F866" s="711"/>
      <c r="G866" s="711"/>
      <c r="H866" s="711"/>
      <c r="I866" s="711"/>
      <c r="J866" s="711"/>
      <c r="K866" s="741"/>
      <c r="L866" s="741"/>
      <c r="M866" s="788"/>
      <c r="N866" s="741"/>
      <c r="O866" s="741"/>
      <c r="P866" s="741"/>
      <c r="Q866" s="741"/>
      <c r="R866" s="788"/>
      <c r="S866" s="819"/>
      <c r="T866" s="820"/>
      <c r="U866" s="819"/>
      <c r="V866" s="820"/>
      <c r="W866" s="788"/>
      <c r="X866" s="803"/>
      <c r="Y866" s="803"/>
      <c r="Z866" s="803"/>
      <c r="AA866" s="711"/>
      <c r="AB866" s="711"/>
      <c r="AC866" s="711"/>
      <c r="AD866" s="736"/>
      <c r="AE866" s="736"/>
      <c r="AF866" s="624"/>
      <c r="AG866" s="624"/>
      <c r="AH866" s="624"/>
      <c r="AI866" s="624"/>
      <c r="AJ866" s="960">
        <f t="shared" si="6"/>
        <v>866</v>
      </c>
      <c r="AK866" s="961">
        <v>0.9724</v>
      </c>
      <c r="AL866" s="962">
        <v>19000.0</v>
      </c>
      <c r="AM866" s="963">
        <v>-0.600632964370629</v>
      </c>
      <c r="AN866" s="964">
        <v>-0.027599999999999958</v>
      </c>
      <c r="AO866" s="962">
        <v>19000.0</v>
      </c>
      <c r="AP866" s="965">
        <v>-0.5918932167192552</v>
      </c>
      <c r="AQ866" s="962">
        <v>19000.0</v>
      </c>
      <c r="AR866" s="966">
        <v>-0.5833780390650303</v>
      </c>
      <c r="AS866" s="624"/>
      <c r="AT866" s="624"/>
      <c r="AU866" s="624"/>
      <c r="AV866" s="624"/>
      <c r="AW866" s="624"/>
      <c r="AX866" s="624"/>
      <c r="AY866" s="624"/>
      <c r="AZ866" s="624"/>
      <c r="BA866" s="624"/>
      <c r="BB866" s="624"/>
      <c r="BC866" s="624"/>
      <c r="BD866" s="624"/>
      <c r="BE866" s="624"/>
    </row>
    <row r="867" ht="16.5" customHeight="1">
      <c r="A867" s="711"/>
      <c r="B867" s="711"/>
      <c r="C867" s="711"/>
      <c r="D867" s="711"/>
      <c r="E867" s="711"/>
      <c r="F867" s="711"/>
      <c r="G867" s="711"/>
      <c r="H867" s="711"/>
      <c r="I867" s="711"/>
      <c r="J867" s="711"/>
      <c r="K867" s="741"/>
      <c r="L867" s="741"/>
      <c r="M867" s="788"/>
      <c r="N867" s="741"/>
      <c r="O867" s="741"/>
      <c r="P867" s="741"/>
      <c r="Q867" s="741"/>
      <c r="R867" s="788"/>
      <c r="S867" s="819"/>
      <c r="T867" s="820"/>
      <c r="U867" s="819"/>
      <c r="V867" s="820"/>
      <c r="W867" s="788"/>
      <c r="X867" s="803"/>
      <c r="Y867" s="803"/>
      <c r="Z867" s="803"/>
      <c r="AA867" s="711"/>
      <c r="AB867" s="711"/>
      <c r="AC867" s="711"/>
      <c r="AD867" s="736"/>
      <c r="AE867" s="736"/>
      <c r="AF867" s="624"/>
      <c r="AG867" s="624"/>
      <c r="AH867" s="624"/>
      <c r="AI867" s="624"/>
      <c r="AJ867" s="960">
        <f t="shared" si="6"/>
        <v>867</v>
      </c>
      <c r="AK867" s="961">
        <v>0.9683</v>
      </c>
      <c r="AL867" s="962">
        <v>19000.0</v>
      </c>
      <c r="AM867" s="963">
        <v>-0.600632964370629</v>
      </c>
      <c r="AN867" s="964">
        <v>-0.03169999999999995</v>
      </c>
      <c r="AO867" s="962">
        <v>19000.0</v>
      </c>
      <c r="AP867" s="965">
        <v>-0.5918932167192552</v>
      </c>
      <c r="AQ867" s="962">
        <v>19000.0</v>
      </c>
      <c r="AR867" s="966">
        <v>-0.5833780390650303</v>
      </c>
      <c r="AS867" s="624"/>
      <c r="AT867" s="624"/>
      <c r="AU867" s="624"/>
      <c r="AV867" s="624"/>
      <c r="AW867" s="624"/>
      <c r="AX867" s="624"/>
      <c r="AY867" s="624"/>
      <c r="AZ867" s="624"/>
      <c r="BA867" s="624"/>
      <c r="BB867" s="624"/>
      <c r="BC867" s="624"/>
      <c r="BD867" s="624"/>
      <c r="BE867" s="624"/>
    </row>
    <row r="868" ht="16.5" customHeight="1">
      <c r="A868" s="711"/>
      <c r="B868" s="711"/>
      <c r="C868" s="711"/>
      <c r="D868" s="711"/>
      <c r="E868" s="711"/>
      <c r="F868" s="711"/>
      <c r="G868" s="711"/>
      <c r="H868" s="711"/>
      <c r="I868" s="711"/>
      <c r="J868" s="711"/>
      <c r="K868" s="741"/>
      <c r="L868" s="741"/>
      <c r="M868" s="788"/>
      <c r="N868" s="741"/>
      <c r="O868" s="741"/>
      <c r="P868" s="741"/>
      <c r="Q868" s="741"/>
      <c r="R868" s="788"/>
      <c r="S868" s="819"/>
      <c r="T868" s="820"/>
      <c r="U868" s="819"/>
      <c r="V868" s="820"/>
      <c r="W868" s="788"/>
      <c r="X868" s="803"/>
      <c r="Y868" s="803"/>
      <c r="Z868" s="803"/>
      <c r="AA868" s="711"/>
      <c r="AB868" s="711"/>
      <c r="AC868" s="711"/>
      <c r="AD868" s="736"/>
      <c r="AE868" s="736"/>
      <c r="AF868" s="624"/>
      <c r="AG868" s="624"/>
      <c r="AH868" s="624"/>
      <c r="AI868" s="624"/>
      <c r="AJ868" s="960">
        <f t="shared" si="6"/>
        <v>868</v>
      </c>
      <c r="AK868" s="961">
        <v>0.9531</v>
      </c>
      <c r="AL868" s="962">
        <v>18793.0</v>
      </c>
      <c r="AM868" s="963">
        <v>-0.5966192589346448</v>
      </c>
      <c r="AN868" s="964">
        <v>-0.04690000000000005</v>
      </c>
      <c r="AO868" s="962">
        <v>18793.0</v>
      </c>
      <c r="AP868" s="965">
        <v>-0.5878888828399953</v>
      </c>
      <c r="AQ868" s="962">
        <v>18793.0</v>
      </c>
      <c r="AR868" s="966">
        <v>-0.5793847953068512</v>
      </c>
      <c r="AS868" s="624"/>
      <c r="AT868" s="624"/>
      <c r="AU868" s="624"/>
      <c r="AV868" s="624"/>
      <c r="AW868" s="624"/>
      <c r="AX868" s="624"/>
      <c r="AY868" s="624"/>
      <c r="AZ868" s="624"/>
      <c r="BA868" s="624"/>
      <c r="BB868" s="624"/>
      <c r="BC868" s="624"/>
      <c r="BD868" s="624"/>
      <c r="BE868" s="624"/>
    </row>
    <row r="869" ht="16.5" customHeight="1">
      <c r="A869" s="711"/>
      <c r="B869" s="711"/>
      <c r="C869" s="711"/>
      <c r="D869" s="711"/>
      <c r="E869" s="711"/>
      <c r="F869" s="711"/>
      <c r="G869" s="711"/>
      <c r="H869" s="711"/>
      <c r="I869" s="711"/>
      <c r="J869" s="711"/>
      <c r="K869" s="741"/>
      <c r="L869" s="741"/>
      <c r="M869" s="788"/>
      <c r="N869" s="741"/>
      <c r="O869" s="741"/>
      <c r="P869" s="741"/>
      <c r="Q869" s="741"/>
      <c r="R869" s="788"/>
      <c r="S869" s="819"/>
      <c r="T869" s="820"/>
      <c r="U869" s="819"/>
      <c r="V869" s="820"/>
      <c r="W869" s="788"/>
      <c r="X869" s="803"/>
      <c r="Y869" s="803"/>
      <c r="Z869" s="803"/>
      <c r="AA869" s="711"/>
      <c r="AB869" s="711"/>
      <c r="AC869" s="711"/>
      <c r="AD869" s="736"/>
      <c r="AE869" s="736"/>
      <c r="AF869" s="624"/>
      <c r="AG869" s="624"/>
      <c r="AH869" s="624"/>
      <c r="AI869" s="624"/>
      <c r="AJ869" s="960">
        <f t="shared" si="6"/>
        <v>869</v>
      </c>
      <c r="AK869" s="961">
        <v>0.9877</v>
      </c>
      <c r="AL869" s="962">
        <v>18723.0</v>
      </c>
      <c r="AM869" s="963">
        <v>-0.5952528604386049</v>
      </c>
      <c r="AN869" s="964">
        <v>-0.012299999999999978</v>
      </c>
      <c r="AO869" s="962">
        <v>18723.0</v>
      </c>
      <c r="AP869" s="965">
        <v>-0.5865258895988621</v>
      </c>
      <c r="AQ869" s="962">
        <v>18723.0</v>
      </c>
      <c r="AR869" s="966">
        <v>-0.5780257812862798</v>
      </c>
      <c r="AS869" s="624"/>
      <c r="AT869" s="624"/>
      <c r="AU869" s="624"/>
      <c r="AV869" s="624"/>
      <c r="AW869" s="624"/>
      <c r="AX869" s="624"/>
      <c r="AY869" s="624"/>
      <c r="AZ869" s="624"/>
      <c r="BA869" s="624"/>
      <c r="BB869" s="624"/>
      <c r="BC869" s="624"/>
      <c r="BD869" s="624"/>
      <c r="BE869" s="624"/>
    </row>
    <row r="870" ht="16.5" customHeight="1">
      <c r="A870" s="711"/>
      <c r="B870" s="711"/>
      <c r="C870" s="711"/>
      <c r="D870" s="711"/>
      <c r="E870" s="711"/>
      <c r="F870" s="711"/>
      <c r="G870" s="711"/>
      <c r="H870" s="711"/>
      <c r="I870" s="711"/>
      <c r="J870" s="711"/>
      <c r="K870" s="741"/>
      <c r="L870" s="741"/>
      <c r="M870" s="788"/>
      <c r="N870" s="741"/>
      <c r="O870" s="741"/>
      <c r="P870" s="741"/>
      <c r="Q870" s="741"/>
      <c r="R870" s="788"/>
      <c r="S870" s="819"/>
      <c r="T870" s="820"/>
      <c r="U870" s="819"/>
      <c r="V870" s="820"/>
      <c r="W870" s="788"/>
      <c r="X870" s="803"/>
      <c r="Y870" s="803"/>
      <c r="Z870" s="803"/>
      <c r="AA870" s="711"/>
      <c r="AB870" s="711"/>
      <c r="AC870" s="711"/>
      <c r="AD870" s="736"/>
      <c r="AE870" s="736"/>
      <c r="AF870" s="624"/>
      <c r="AG870" s="624"/>
      <c r="AH870" s="624"/>
      <c r="AI870" s="624"/>
      <c r="AJ870" s="960">
        <f t="shared" si="6"/>
        <v>870</v>
      </c>
      <c r="AK870" s="961">
        <v>0.9373</v>
      </c>
      <c r="AL870" s="962">
        <v>18650.0</v>
      </c>
      <c r="AM870" s="963">
        <v>-0.5938229714792249</v>
      </c>
      <c r="AN870" s="964">
        <v>-0.06269999999999998</v>
      </c>
      <c r="AO870" s="962">
        <v>18650.0</v>
      </c>
      <c r="AP870" s="965">
        <v>-0.5850996803147637</v>
      </c>
      <c r="AQ870" s="962">
        <v>18650.0</v>
      </c>
      <c r="AR870" s="966">
        <v>-0.5766038462865486</v>
      </c>
      <c r="AS870" s="624"/>
      <c r="AT870" s="624"/>
      <c r="AU870" s="624"/>
      <c r="AV870" s="624"/>
      <c r="AW870" s="624"/>
      <c r="AX870" s="624"/>
      <c r="AY870" s="624"/>
      <c r="AZ870" s="624"/>
      <c r="BA870" s="624"/>
      <c r="BB870" s="624"/>
      <c r="BC870" s="624"/>
      <c r="BD870" s="624"/>
      <c r="BE870" s="624"/>
    </row>
    <row r="871" ht="16.5" customHeight="1">
      <c r="A871" s="711"/>
      <c r="B871" s="711"/>
      <c r="C871" s="711"/>
      <c r="D871" s="711"/>
      <c r="E871" s="711"/>
      <c r="F871" s="711"/>
      <c r="G871" s="711"/>
      <c r="H871" s="711"/>
      <c r="I871" s="711"/>
      <c r="J871" s="711"/>
      <c r="K871" s="741"/>
      <c r="L871" s="741"/>
      <c r="M871" s="788"/>
      <c r="N871" s="741"/>
      <c r="O871" s="741"/>
      <c r="P871" s="741"/>
      <c r="Q871" s="741"/>
      <c r="R871" s="788"/>
      <c r="S871" s="819"/>
      <c r="T871" s="820"/>
      <c r="U871" s="819"/>
      <c r="V871" s="820"/>
      <c r="W871" s="788"/>
      <c r="X871" s="803"/>
      <c r="Y871" s="803"/>
      <c r="Z871" s="803"/>
      <c r="AA871" s="711"/>
      <c r="AB871" s="711"/>
      <c r="AC871" s="711"/>
      <c r="AD871" s="736"/>
      <c r="AE871" s="736"/>
      <c r="AF871" s="624"/>
      <c r="AG871" s="624"/>
      <c r="AH871" s="624"/>
      <c r="AI871" s="624"/>
      <c r="AJ871" s="960">
        <f t="shared" si="6"/>
        <v>871</v>
      </c>
      <c r="AK871" s="961">
        <v>0.9255</v>
      </c>
      <c r="AL871" s="962">
        <v>18650.0</v>
      </c>
      <c r="AM871" s="963">
        <v>-0.5938229714792249</v>
      </c>
      <c r="AN871" s="964">
        <v>-0.07450000000000001</v>
      </c>
      <c r="AO871" s="962">
        <v>18650.0</v>
      </c>
      <c r="AP871" s="965">
        <v>-0.5850996803147637</v>
      </c>
      <c r="AQ871" s="962">
        <v>18650.0</v>
      </c>
      <c r="AR871" s="966">
        <v>-0.5766038462865486</v>
      </c>
      <c r="AS871" s="624"/>
      <c r="AT871" s="624"/>
      <c r="AU871" s="624"/>
      <c r="AV871" s="624"/>
      <c r="AW871" s="624"/>
      <c r="AX871" s="624"/>
      <c r="AY871" s="624"/>
      <c r="AZ871" s="624"/>
      <c r="BA871" s="624"/>
      <c r="BB871" s="624"/>
      <c r="BC871" s="624"/>
      <c r="BD871" s="624"/>
      <c r="BE871" s="624"/>
    </row>
    <row r="872" ht="16.5" customHeight="1">
      <c r="A872" s="711"/>
      <c r="B872" s="711"/>
      <c r="C872" s="711"/>
      <c r="D872" s="711"/>
      <c r="E872" s="711"/>
      <c r="F872" s="711"/>
      <c r="G872" s="711"/>
      <c r="H872" s="711"/>
      <c r="I872" s="711"/>
      <c r="J872" s="711"/>
      <c r="K872" s="741"/>
      <c r="L872" s="741"/>
      <c r="M872" s="788"/>
      <c r="N872" s="741"/>
      <c r="O872" s="741"/>
      <c r="P872" s="741"/>
      <c r="Q872" s="741"/>
      <c r="R872" s="788"/>
      <c r="S872" s="819"/>
      <c r="T872" s="820"/>
      <c r="U872" s="819"/>
      <c r="V872" s="820"/>
      <c r="W872" s="788"/>
      <c r="X872" s="803"/>
      <c r="Y872" s="803"/>
      <c r="Z872" s="803"/>
      <c r="AA872" s="711"/>
      <c r="AB872" s="711"/>
      <c r="AC872" s="711"/>
      <c r="AD872" s="736"/>
      <c r="AE872" s="736"/>
      <c r="AF872" s="624"/>
      <c r="AG872" s="624"/>
      <c r="AH872" s="624"/>
      <c r="AI872" s="624"/>
      <c r="AJ872" s="960">
        <f t="shared" si="6"/>
        <v>872</v>
      </c>
      <c r="AK872" s="961">
        <v>0.9975</v>
      </c>
      <c r="AL872" s="962">
        <v>18610.0</v>
      </c>
      <c r="AM872" s="963">
        <v>-0.5930373295024196</v>
      </c>
      <c r="AN872" s="964">
        <v>-0.0024999999999999467</v>
      </c>
      <c r="AO872" s="962">
        <v>18610.0</v>
      </c>
      <c r="AP872" s="965">
        <v>-0.5843161105385928</v>
      </c>
      <c r="AQ872" s="962">
        <v>18610.0</v>
      </c>
      <c r="AR872" s="966">
        <v>-0.5758226727926048</v>
      </c>
      <c r="AS872" s="624"/>
      <c r="AT872" s="624"/>
      <c r="AU872" s="624"/>
      <c r="AV872" s="624"/>
      <c r="AW872" s="624"/>
      <c r="AX872" s="624"/>
      <c r="AY872" s="624"/>
      <c r="AZ872" s="624"/>
      <c r="BA872" s="624"/>
      <c r="BB872" s="624"/>
      <c r="BC872" s="624"/>
      <c r="BD872" s="624"/>
      <c r="BE872" s="624"/>
    </row>
    <row r="873" ht="16.5" customHeight="1">
      <c r="A873" s="711"/>
      <c r="B873" s="711"/>
      <c r="C873" s="711"/>
      <c r="D873" s="711"/>
      <c r="E873" s="711"/>
      <c r="F873" s="711"/>
      <c r="G873" s="711"/>
      <c r="H873" s="711"/>
      <c r="I873" s="711"/>
      <c r="J873" s="711"/>
      <c r="K873" s="741"/>
      <c r="L873" s="741"/>
      <c r="M873" s="788"/>
      <c r="N873" s="741"/>
      <c r="O873" s="741"/>
      <c r="P873" s="741"/>
      <c r="Q873" s="741"/>
      <c r="R873" s="788"/>
      <c r="S873" s="819"/>
      <c r="T873" s="820"/>
      <c r="U873" s="819"/>
      <c r="V873" s="820"/>
      <c r="W873" s="788"/>
      <c r="X873" s="803"/>
      <c r="Y873" s="803"/>
      <c r="Z873" s="803"/>
      <c r="AA873" s="711"/>
      <c r="AB873" s="711"/>
      <c r="AC873" s="711"/>
      <c r="AD873" s="736"/>
      <c r="AE873" s="736"/>
      <c r="AF873" s="624"/>
      <c r="AG873" s="624"/>
      <c r="AH873" s="624"/>
      <c r="AI873" s="624"/>
      <c r="AJ873" s="960">
        <f t="shared" si="6"/>
        <v>873</v>
      </c>
      <c r="AK873" s="961">
        <v>0.9723</v>
      </c>
      <c r="AL873" s="962">
        <v>18602.0</v>
      </c>
      <c r="AM873" s="963">
        <v>-0.5928800188470538</v>
      </c>
      <c r="AN873" s="964">
        <v>-0.027699999999999947</v>
      </c>
      <c r="AO873" s="962">
        <v>18602.0</v>
      </c>
      <c r="AP873" s="965">
        <v>-0.5841592190932152</v>
      </c>
      <c r="AQ873" s="962">
        <v>18602.0</v>
      </c>
      <c r="AR873" s="966">
        <v>-0.5756662652253474</v>
      </c>
      <c r="AS873" s="624"/>
      <c r="AT873" s="624"/>
      <c r="AU873" s="624"/>
      <c r="AV873" s="624"/>
      <c r="AW873" s="624"/>
      <c r="AX873" s="624"/>
      <c r="AY873" s="624"/>
      <c r="AZ873" s="624"/>
      <c r="BA873" s="624"/>
      <c r="BB873" s="624"/>
      <c r="BC873" s="624"/>
      <c r="BD873" s="624"/>
      <c r="BE873" s="624"/>
    </row>
    <row r="874" ht="16.5" customHeight="1">
      <c r="A874" s="711"/>
      <c r="B874" s="711"/>
      <c r="C874" s="711"/>
      <c r="D874" s="711"/>
      <c r="E874" s="711"/>
      <c r="F874" s="711"/>
      <c r="G874" s="711"/>
      <c r="H874" s="711"/>
      <c r="I874" s="711"/>
      <c r="J874" s="711"/>
      <c r="K874" s="741"/>
      <c r="L874" s="741"/>
      <c r="M874" s="788"/>
      <c r="N874" s="741"/>
      <c r="O874" s="741"/>
      <c r="P874" s="741"/>
      <c r="Q874" s="741"/>
      <c r="R874" s="788"/>
      <c r="S874" s="819"/>
      <c r="T874" s="820"/>
      <c r="U874" s="819"/>
      <c r="V874" s="820"/>
      <c r="W874" s="788"/>
      <c r="X874" s="803"/>
      <c r="Y874" s="803"/>
      <c r="Z874" s="803"/>
      <c r="AA874" s="711"/>
      <c r="AB874" s="711"/>
      <c r="AC874" s="711"/>
      <c r="AD874" s="736"/>
      <c r="AE874" s="736"/>
      <c r="AF874" s="624"/>
      <c r="AG874" s="624"/>
      <c r="AH874" s="624"/>
      <c r="AI874" s="624"/>
      <c r="AJ874" s="960">
        <f t="shared" si="6"/>
        <v>874</v>
      </c>
      <c r="AK874" s="961">
        <v>0.9558</v>
      </c>
      <c r="AL874" s="962">
        <v>18565.0</v>
      </c>
      <c r="AM874" s="963">
        <v>-0.5921516657155833</v>
      </c>
      <c r="AN874" s="964">
        <v>-0.04420000000000002</v>
      </c>
      <c r="AO874" s="962">
        <v>18565.0</v>
      </c>
      <c r="AP874" s="965">
        <v>-0.5834328255429655</v>
      </c>
      <c r="AQ874" s="962">
        <v>18565.0</v>
      </c>
      <c r="AR874" s="966">
        <v>-0.5749421297006065</v>
      </c>
      <c r="AS874" s="624"/>
      <c r="AT874" s="624"/>
      <c r="AU874" s="624"/>
      <c r="AV874" s="624"/>
      <c r="AW874" s="624"/>
      <c r="AX874" s="624"/>
      <c r="AY874" s="624"/>
      <c r="AZ874" s="624"/>
      <c r="BA874" s="624"/>
      <c r="BB874" s="624"/>
      <c r="BC874" s="624"/>
      <c r="BD874" s="624"/>
      <c r="BE874" s="624"/>
    </row>
    <row r="875" ht="16.5" customHeight="1">
      <c r="A875" s="711"/>
      <c r="B875" s="711"/>
      <c r="C875" s="711"/>
      <c r="D875" s="711"/>
      <c r="E875" s="711"/>
      <c r="F875" s="711"/>
      <c r="G875" s="711"/>
      <c r="H875" s="711"/>
      <c r="I875" s="711"/>
      <c r="J875" s="711"/>
      <c r="K875" s="741"/>
      <c r="L875" s="741"/>
      <c r="M875" s="788"/>
      <c r="N875" s="741"/>
      <c r="O875" s="741"/>
      <c r="P875" s="741"/>
      <c r="Q875" s="741"/>
      <c r="R875" s="788"/>
      <c r="S875" s="819"/>
      <c r="T875" s="820"/>
      <c r="U875" s="819"/>
      <c r="V875" s="820"/>
      <c r="W875" s="788"/>
      <c r="X875" s="803"/>
      <c r="Y875" s="803"/>
      <c r="Z875" s="803"/>
      <c r="AA875" s="711"/>
      <c r="AB875" s="711"/>
      <c r="AC875" s="711"/>
      <c r="AD875" s="736"/>
      <c r="AE875" s="736"/>
      <c r="AF875" s="624"/>
      <c r="AG875" s="624"/>
      <c r="AH875" s="624"/>
      <c r="AI875" s="624"/>
      <c r="AJ875" s="960">
        <f t="shared" si="6"/>
        <v>875</v>
      </c>
      <c r="AK875" s="961">
        <v>0.9411</v>
      </c>
      <c r="AL875" s="962">
        <v>18507.0</v>
      </c>
      <c r="AM875" s="963">
        <v>-0.5910072997975955</v>
      </c>
      <c r="AN875" s="964">
        <v>-0.05889999999999995</v>
      </c>
      <c r="AO875" s="962">
        <v>18507.0</v>
      </c>
      <c r="AP875" s="965">
        <v>-0.5822916002334486</v>
      </c>
      <c r="AQ875" s="962">
        <v>18507.0</v>
      </c>
      <c r="AR875" s="966">
        <v>-0.5738045106806751</v>
      </c>
      <c r="AS875" s="624"/>
      <c r="AT875" s="624"/>
      <c r="AU875" s="624"/>
      <c r="AV875" s="624"/>
      <c r="AW875" s="624"/>
      <c r="AX875" s="624"/>
      <c r="AY875" s="624"/>
      <c r="AZ875" s="624"/>
      <c r="BA875" s="624"/>
      <c r="BB875" s="624"/>
      <c r="BC875" s="624"/>
      <c r="BD875" s="624"/>
      <c r="BE875" s="624"/>
    </row>
    <row r="876" ht="16.5" customHeight="1">
      <c r="A876" s="711"/>
      <c r="B876" s="711"/>
      <c r="C876" s="711"/>
      <c r="D876" s="711"/>
      <c r="E876" s="711"/>
      <c r="F876" s="711"/>
      <c r="G876" s="711"/>
      <c r="H876" s="711"/>
      <c r="I876" s="711"/>
      <c r="J876" s="711"/>
      <c r="K876" s="741"/>
      <c r="L876" s="741"/>
      <c r="M876" s="788"/>
      <c r="N876" s="741"/>
      <c r="O876" s="741"/>
      <c r="P876" s="741"/>
      <c r="Q876" s="741"/>
      <c r="R876" s="788"/>
      <c r="S876" s="819"/>
      <c r="T876" s="820"/>
      <c r="U876" s="819"/>
      <c r="V876" s="820"/>
      <c r="W876" s="788"/>
      <c r="X876" s="803"/>
      <c r="Y876" s="803"/>
      <c r="Z876" s="803"/>
      <c r="AA876" s="711"/>
      <c r="AB876" s="711"/>
      <c r="AC876" s="711"/>
      <c r="AD876" s="736"/>
      <c r="AE876" s="736"/>
      <c r="AF876" s="624"/>
      <c r="AG876" s="624"/>
      <c r="AH876" s="624"/>
      <c r="AI876" s="624"/>
      <c r="AJ876" s="960">
        <f t="shared" si="6"/>
        <v>876</v>
      </c>
      <c r="AK876" s="961">
        <v>0.967</v>
      </c>
      <c r="AL876" s="962">
        <v>18500.0</v>
      </c>
      <c r="AM876" s="963">
        <v>-0.5908689696995534</v>
      </c>
      <c r="AN876" s="964">
        <v>-0.03300000000000003</v>
      </c>
      <c r="AO876" s="962">
        <v>18500.0</v>
      </c>
      <c r="AP876" s="965">
        <v>-0.5821536548758757</v>
      </c>
      <c r="AQ876" s="962">
        <v>18500.0</v>
      </c>
      <c r="AR876" s="966">
        <v>-0.5736670060877977</v>
      </c>
      <c r="AS876" s="624"/>
      <c r="AT876" s="624"/>
      <c r="AU876" s="624"/>
      <c r="AV876" s="624"/>
      <c r="AW876" s="624"/>
      <c r="AX876" s="624"/>
      <c r="AY876" s="624"/>
      <c r="AZ876" s="624"/>
      <c r="BA876" s="624"/>
      <c r="BB876" s="624"/>
      <c r="BC876" s="624"/>
      <c r="BD876" s="624"/>
      <c r="BE876" s="624"/>
    </row>
    <row r="877" ht="16.5" customHeight="1">
      <c r="A877" s="711"/>
      <c r="B877" s="711"/>
      <c r="C877" s="711"/>
      <c r="D877" s="711"/>
      <c r="E877" s="711"/>
      <c r="F877" s="711"/>
      <c r="G877" s="711"/>
      <c r="H877" s="711"/>
      <c r="I877" s="711"/>
      <c r="J877" s="711"/>
      <c r="K877" s="741"/>
      <c r="L877" s="741"/>
      <c r="M877" s="788"/>
      <c r="N877" s="741"/>
      <c r="O877" s="741"/>
      <c r="P877" s="741"/>
      <c r="Q877" s="741"/>
      <c r="R877" s="788"/>
      <c r="S877" s="819"/>
      <c r="T877" s="820"/>
      <c r="U877" s="819"/>
      <c r="V877" s="820"/>
      <c r="W877" s="788"/>
      <c r="X877" s="803"/>
      <c r="Y877" s="803"/>
      <c r="Z877" s="803"/>
      <c r="AA877" s="711"/>
      <c r="AB877" s="711"/>
      <c r="AC877" s="711"/>
      <c r="AD877" s="736"/>
      <c r="AE877" s="736"/>
      <c r="AF877" s="624"/>
      <c r="AG877" s="624"/>
      <c r="AH877" s="624"/>
      <c r="AI877" s="624"/>
      <c r="AJ877" s="960">
        <f t="shared" si="6"/>
        <v>877</v>
      </c>
      <c r="AK877" s="961">
        <v>1.0009</v>
      </c>
      <c r="AL877" s="962">
        <v>18500.0</v>
      </c>
      <c r="AM877" s="963">
        <v>-0.5908689696995534</v>
      </c>
      <c r="AN877" s="964">
        <v>8.999999999999009E-4</v>
      </c>
      <c r="AO877" s="962">
        <v>18500.0</v>
      </c>
      <c r="AP877" s="965">
        <v>-0.5821536548758757</v>
      </c>
      <c r="AQ877" s="962">
        <v>18500.0</v>
      </c>
      <c r="AR877" s="966">
        <v>-0.5736670060877977</v>
      </c>
      <c r="AS877" s="624"/>
      <c r="AT877" s="624"/>
      <c r="AU877" s="624"/>
      <c r="AV877" s="624"/>
      <c r="AW877" s="624"/>
      <c r="AX877" s="624"/>
      <c r="AY877" s="624"/>
      <c r="AZ877" s="624"/>
      <c r="BA877" s="624"/>
      <c r="BB877" s="624"/>
      <c r="BC877" s="624"/>
      <c r="BD877" s="624"/>
      <c r="BE877" s="624"/>
    </row>
    <row r="878" ht="16.5" customHeight="1">
      <c r="A878" s="711"/>
      <c r="B878" s="711"/>
      <c r="C878" s="711"/>
      <c r="D878" s="711"/>
      <c r="E878" s="711"/>
      <c r="F878" s="711"/>
      <c r="G878" s="711"/>
      <c r="H878" s="711"/>
      <c r="I878" s="711"/>
      <c r="J878" s="711"/>
      <c r="K878" s="741"/>
      <c r="L878" s="741"/>
      <c r="M878" s="788"/>
      <c r="N878" s="741"/>
      <c r="O878" s="741"/>
      <c r="P878" s="741"/>
      <c r="Q878" s="741"/>
      <c r="R878" s="788"/>
      <c r="S878" s="819"/>
      <c r="T878" s="820"/>
      <c r="U878" s="819"/>
      <c r="V878" s="820"/>
      <c r="W878" s="788"/>
      <c r="X878" s="803"/>
      <c r="Y878" s="803"/>
      <c r="Z878" s="803"/>
      <c r="AA878" s="711"/>
      <c r="AB878" s="711"/>
      <c r="AC878" s="711"/>
      <c r="AD878" s="736"/>
      <c r="AE878" s="736"/>
      <c r="AF878" s="624"/>
      <c r="AG878" s="624"/>
      <c r="AH878" s="624"/>
      <c r="AI878" s="624"/>
      <c r="AJ878" s="960">
        <f t="shared" si="6"/>
        <v>878</v>
      </c>
      <c r="AK878" s="961">
        <v>0.9875</v>
      </c>
      <c r="AL878" s="962">
        <v>18450.0</v>
      </c>
      <c r="AM878" s="963">
        <v>-0.5898795360087696</v>
      </c>
      <c r="AN878" s="964">
        <v>-0.012499999999999956</v>
      </c>
      <c r="AO878" s="962">
        <v>18450.0</v>
      </c>
      <c r="AP878" s="965">
        <v>-0.5811670051681846</v>
      </c>
      <c r="AQ878" s="962">
        <v>18450.0</v>
      </c>
      <c r="AR878" s="966">
        <v>-0.5726835394094252</v>
      </c>
      <c r="AS878" s="624"/>
      <c r="AT878" s="624"/>
      <c r="AU878" s="624"/>
      <c r="AV878" s="624"/>
      <c r="AW878" s="624"/>
      <c r="AX878" s="624"/>
      <c r="AY878" s="624"/>
      <c r="AZ878" s="624"/>
      <c r="BA878" s="624"/>
      <c r="BB878" s="624"/>
      <c r="BC878" s="624"/>
      <c r="BD878" s="624"/>
      <c r="BE878" s="624"/>
    </row>
    <row r="879" ht="16.5" customHeight="1">
      <c r="A879" s="711"/>
      <c r="B879" s="711"/>
      <c r="C879" s="711"/>
      <c r="D879" s="711"/>
      <c r="E879" s="711"/>
      <c r="F879" s="711"/>
      <c r="G879" s="711"/>
      <c r="H879" s="711"/>
      <c r="I879" s="711"/>
      <c r="J879" s="711"/>
      <c r="K879" s="741"/>
      <c r="L879" s="741"/>
      <c r="M879" s="788"/>
      <c r="N879" s="741"/>
      <c r="O879" s="741"/>
      <c r="P879" s="741"/>
      <c r="Q879" s="741"/>
      <c r="R879" s="788"/>
      <c r="S879" s="819"/>
      <c r="T879" s="820"/>
      <c r="U879" s="819"/>
      <c r="V879" s="820"/>
      <c r="W879" s="788"/>
      <c r="X879" s="803"/>
      <c r="Y879" s="803"/>
      <c r="Z879" s="803"/>
      <c r="AA879" s="711"/>
      <c r="AB879" s="711"/>
      <c r="AC879" s="711"/>
      <c r="AD879" s="736"/>
      <c r="AE879" s="736"/>
      <c r="AF879" s="624"/>
      <c r="AG879" s="624"/>
      <c r="AH879" s="624"/>
      <c r="AI879" s="624"/>
      <c r="AJ879" s="960">
        <f t="shared" si="6"/>
        <v>879</v>
      </c>
      <c r="AK879" s="961">
        <v>0.9695</v>
      </c>
      <c r="AL879" s="962">
        <v>18412.0</v>
      </c>
      <c r="AM879" s="963">
        <v>-0.5891259663916808</v>
      </c>
      <c r="AN879" s="964">
        <v>-0.03049999999999997</v>
      </c>
      <c r="AO879" s="962">
        <v>18412.0</v>
      </c>
      <c r="AP879" s="965">
        <v>-0.5804155935474623</v>
      </c>
      <c r="AQ879" s="962">
        <v>18412.0</v>
      </c>
      <c r="AR879" s="966">
        <v>-0.5719345877305695</v>
      </c>
      <c r="AS879" s="624"/>
      <c r="AT879" s="624"/>
      <c r="AU879" s="624"/>
      <c r="AV879" s="624"/>
      <c r="AW879" s="624"/>
      <c r="AX879" s="624"/>
      <c r="AY879" s="624"/>
      <c r="AZ879" s="624"/>
      <c r="BA879" s="624"/>
      <c r="BB879" s="624"/>
      <c r="BC879" s="624"/>
      <c r="BD879" s="624"/>
      <c r="BE879" s="624"/>
    </row>
    <row r="880" ht="16.5" customHeight="1">
      <c r="A880" s="711"/>
      <c r="B880" s="711"/>
      <c r="C880" s="711"/>
      <c r="D880" s="711"/>
      <c r="E880" s="711"/>
      <c r="F880" s="711"/>
      <c r="G880" s="711"/>
      <c r="H880" s="711"/>
      <c r="I880" s="711"/>
      <c r="J880" s="711"/>
      <c r="K880" s="741"/>
      <c r="L880" s="741"/>
      <c r="M880" s="788"/>
      <c r="N880" s="741"/>
      <c r="O880" s="741"/>
      <c r="P880" s="741"/>
      <c r="Q880" s="741"/>
      <c r="R880" s="788"/>
      <c r="S880" s="819"/>
      <c r="T880" s="820"/>
      <c r="U880" s="819"/>
      <c r="V880" s="820"/>
      <c r="W880" s="788"/>
      <c r="X880" s="803"/>
      <c r="Y880" s="803"/>
      <c r="Z880" s="803"/>
      <c r="AA880" s="711"/>
      <c r="AB880" s="711"/>
      <c r="AC880" s="711"/>
      <c r="AD880" s="736"/>
      <c r="AE880" s="736"/>
      <c r="AF880" s="624"/>
      <c r="AG880" s="624"/>
      <c r="AH880" s="624"/>
      <c r="AI880" s="624"/>
      <c r="AJ880" s="960">
        <f t="shared" si="6"/>
        <v>880</v>
      </c>
      <c r="AK880" s="961">
        <v>0.9797</v>
      </c>
      <c r="AL880" s="962">
        <v>18355.0</v>
      </c>
      <c r="AM880" s="963">
        <v>-0.5879930149804624</v>
      </c>
      <c r="AN880" s="964">
        <v>-0.020299999999999985</v>
      </c>
      <c r="AO880" s="962">
        <v>18355.0</v>
      </c>
      <c r="AP880" s="965">
        <v>-0.5792859477150539</v>
      </c>
      <c r="AQ880" s="962">
        <v>18355.0</v>
      </c>
      <c r="AR880" s="966">
        <v>-0.5708086982235357</v>
      </c>
      <c r="AS880" s="624"/>
      <c r="AT880" s="624"/>
      <c r="AU880" s="624"/>
      <c r="AV880" s="624"/>
      <c r="AW880" s="624"/>
      <c r="AX880" s="624"/>
      <c r="AY880" s="624"/>
      <c r="AZ880" s="624"/>
      <c r="BA880" s="624"/>
      <c r="BB880" s="624"/>
      <c r="BC880" s="624"/>
      <c r="BD880" s="624"/>
      <c r="BE880" s="624"/>
    </row>
    <row r="881" ht="16.5" customHeight="1">
      <c r="A881" s="711"/>
      <c r="B881" s="711"/>
      <c r="C881" s="711"/>
      <c r="D881" s="711"/>
      <c r="E881" s="711"/>
      <c r="F881" s="711"/>
      <c r="G881" s="711"/>
      <c r="H881" s="711"/>
      <c r="I881" s="711"/>
      <c r="J881" s="711"/>
      <c r="K881" s="741"/>
      <c r="L881" s="741"/>
      <c r="M881" s="788"/>
      <c r="N881" s="741"/>
      <c r="O881" s="741"/>
      <c r="P881" s="741"/>
      <c r="Q881" s="741"/>
      <c r="R881" s="788"/>
      <c r="S881" s="819"/>
      <c r="T881" s="820"/>
      <c r="U881" s="819"/>
      <c r="V881" s="820"/>
      <c r="W881" s="788"/>
      <c r="X881" s="803"/>
      <c r="Y881" s="803"/>
      <c r="Z881" s="803"/>
      <c r="AA881" s="711"/>
      <c r="AB881" s="711"/>
      <c r="AC881" s="711"/>
      <c r="AD881" s="736"/>
      <c r="AE881" s="736"/>
      <c r="AF881" s="624"/>
      <c r="AG881" s="624"/>
      <c r="AH881" s="624"/>
      <c r="AI881" s="624"/>
      <c r="AJ881" s="960">
        <f t="shared" si="6"/>
        <v>881</v>
      </c>
      <c r="AK881" s="961">
        <v>0.996</v>
      </c>
      <c r="AL881" s="962">
        <v>18300.0</v>
      </c>
      <c r="AM881" s="963">
        <v>-0.5868968548243563</v>
      </c>
      <c r="AN881" s="964">
        <v>-0.0040000000000000036</v>
      </c>
      <c r="AO881" s="962">
        <v>18300.0</v>
      </c>
      <c r="AP881" s="965">
        <v>-0.5781930555256387</v>
      </c>
      <c r="AQ881" s="962">
        <v>18300.0</v>
      </c>
      <c r="AR881" s="966">
        <v>-0.569719506439254</v>
      </c>
      <c r="AS881" s="624"/>
      <c r="AT881" s="624"/>
      <c r="AU881" s="624"/>
      <c r="AV881" s="624"/>
      <c r="AW881" s="624"/>
      <c r="AX881" s="624"/>
      <c r="AY881" s="624"/>
      <c r="AZ881" s="624"/>
      <c r="BA881" s="624"/>
      <c r="BB881" s="624"/>
      <c r="BC881" s="624"/>
      <c r="BD881" s="624"/>
      <c r="BE881" s="624"/>
    </row>
    <row r="882" ht="16.5" customHeight="1">
      <c r="A882" s="711"/>
      <c r="B882" s="711"/>
      <c r="C882" s="711"/>
      <c r="D882" s="711"/>
      <c r="E882" s="711"/>
      <c r="F882" s="711"/>
      <c r="G882" s="711"/>
      <c r="H882" s="711"/>
      <c r="I882" s="711"/>
      <c r="J882" s="711"/>
      <c r="K882" s="741"/>
      <c r="L882" s="741"/>
      <c r="M882" s="788"/>
      <c r="N882" s="741"/>
      <c r="O882" s="741"/>
      <c r="P882" s="741"/>
      <c r="Q882" s="741"/>
      <c r="R882" s="788"/>
      <c r="S882" s="819"/>
      <c r="T882" s="820"/>
      <c r="U882" s="819"/>
      <c r="V882" s="820"/>
      <c r="W882" s="788"/>
      <c r="X882" s="803"/>
      <c r="Y882" s="803"/>
      <c r="Z882" s="803"/>
      <c r="AA882" s="711"/>
      <c r="AB882" s="711"/>
      <c r="AC882" s="711"/>
      <c r="AD882" s="736"/>
      <c r="AE882" s="736"/>
      <c r="AF882" s="624"/>
      <c r="AG882" s="624"/>
      <c r="AH882" s="624"/>
      <c r="AI882" s="624"/>
      <c r="AJ882" s="960">
        <f t="shared" si="6"/>
        <v>882</v>
      </c>
      <c r="AK882" s="961">
        <v>0.9632</v>
      </c>
      <c r="AL882" s="962">
        <v>18278.0</v>
      </c>
      <c r="AM882" s="963">
        <v>-0.5864575746108158</v>
      </c>
      <c r="AN882" s="964">
        <v>-0.036800000000000055</v>
      </c>
      <c r="AO882" s="962">
        <v>18278.0</v>
      </c>
      <c r="AP882" s="965">
        <v>-0.5777551041383515</v>
      </c>
      <c r="AQ882" s="962">
        <v>18278.0</v>
      </c>
      <c r="AR882" s="966">
        <v>-0.5692830561627491</v>
      </c>
      <c r="AS882" s="624"/>
      <c r="AT882" s="624"/>
      <c r="AU882" s="624"/>
      <c r="AV882" s="624"/>
      <c r="AW882" s="624"/>
      <c r="AX882" s="624"/>
      <c r="AY882" s="624"/>
      <c r="AZ882" s="624"/>
      <c r="BA882" s="624"/>
      <c r="BB882" s="624"/>
      <c r="BC882" s="624"/>
      <c r="BD882" s="624"/>
      <c r="BE882" s="624"/>
    </row>
    <row r="883" ht="16.5" customHeight="1">
      <c r="A883" s="711"/>
      <c r="B883" s="711"/>
      <c r="C883" s="711"/>
      <c r="D883" s="711"/>
      <c r="E883" s="711"/>
      <c r="F883" s="711"/>
      <c r="G883" s="711"/>
      <c r="H883" s="711"/>
      <c r="I883" s="711"/>
      <c r="J883" s="711"/>
      <c r="K883" s="741"/>
      <c r="L883" s="741"/>
      <c r="M883" s="788"/>
      <c r="N883" s="741"/>
      <c r="O883" s="741"/>
      <c r="P883" s="741"/>
      <c r="Q883" s="741"/>
      <c r="R883" s="788"/>
      <c r="S883" s="819"/>
      <c r="T883" s="820"/>
      <c r="U883" s="819"/>
      <c r="V883" s="820"/>
      <c r="W883" s="788"/>
      <c r="X883" s="803"/>
      <c r="Y883" s="803"/>
      <c r="Z883" s="803"/>
      <c r="AA883" s="711"/>
      <c r="AB883" s="711"/>
      <c r="AC883" s="711"/>
      <c r="AD883" s="736"/>
      <c r="AE883" s="736"/>
      <c r="AF883" s="624"/>
      <c r="AG883" s="624"/>
      <c r="AH883" s="624"/>
      <c r="AI883" s="624"/>
      <c r="AJ883" s="960">
        <f t="shared" si="6"/>
        <v>883</v>
      </c>
      <c r="AK883" s="961">
        <v>0.9844</v>
      </c>
      <c r="AL883" s="962">
        <v>18232.0</v>
      </c>
      <c r="AM883" s="963">
        <v>-0.5855375695940908</v>
      </c>
      <c r="AN883" s="964">
        <v>-0.015599999999999947</v>
      </c>
      <c r="AO883" s="962">
        <v>18232.0</v>
      </c>
      <c r="AP883" s="965">
        <v>-0.5768379176822511</v>
      </c>
      <c r="AQ883" s="962">
        <v>18232.0</v>
      </c>
      <c r="AR883" s="966">
        <v>-0.5683690472136642</v>
      </c>
      <c r="AS883" s="624"/>
      <c r="AT883" s="624"/>
      <c r="AU883" s="624"/>
      <c r="AV883" s="624"/>
      <c r="AW883" s="624"/>
      <c r="AX883" s="624"/>
      <c r="AY883" s="624"/>
      <c r="AZ883" s="624"/>
      <c r="BA883" s="624"/>
      <c r="BB883" s="624"/>
      <c r="BC883" s="624"/>
      <c r="BD883" s="624"/>
      <c r="BE883" s="624"/>
    </row>
    <row r="884" ht="16.5" customHeight="1">
      <c r="A884" s="711"/>
      <c r="B884" s="711"/>
      <c r="C884" s="711"/>
      <c r="D884" s="711"/>
      <c r="E884" s="711"/>
      <c r="F884" s="711"/>
      <c r="G884" s="711"/>
      <c r="H884" s="711"/>
      <c r="I884" s="711"/>
      <c r="J884" s="711"/>
      <c r="K884" s="741"/>
      <c r="L884" s="741"/>
      <c r="M884" s="788"/>
      <c r="N884" s="741"/>
      <c r="O884" s="741"/>
      <c r="P884" s="741"/>
      <c r="Q884" s="741"/>
      <c r="R884" s="788"/>
      <c r="S884" s="819"/>
      <c r="T884" s="820"/>
      <c r="U884" s="819"/>
      <c r="V884" s="820"/>
      <c r="W884" s="788"/>
      <c r="X884" s="803"/>
      <c r="Y884" s="803"/>
      <c r="Z884" s="803"/>
      <c r="AA884" s="711"/>
      <c r="AB884" s="711"/>
      <c r="AC884" s="711"/>
      <c r="AD884" s="736"/>
      <c r="AE884" s="736"/>
      <c r="AF884" s="624"/>
      <c r="AG884" s="624"/>
      <c r="AH884" s="624"/>
      <c r="AI884" s="624"/>
      <c r="AJ884" s="960">
        <f t="shared" si="6"/>
        <v>884</v>
      </c>
      <c r="AK884" s="961">
        <v>0.9645</v>
      </c>
      <c r="AL884" s="962">
        <v>18200.0</v>
      </c>
      <c r="AM884" s="963">
        <v>-0.5848963592319909</v>
      </c>
      <c r="AN884" s="964">
        <v>-0.035499999999999976</v>
      </c>
      <c r="AO884" s="962">
        <v>18200.0</v>
      </c>
      <c r="AP884" s="965">
        <v>-0.5761987001567028</v>
      </c>
      <c r="AQ884" s="962">
        <v>18200.0</v>
      </c>
      <c r="AR884" s="966">
        <v>-0.5677320711952031</v>
      </c>
      <c r="AS884" s="624"/>
      <c r="AT884" s="624"/>
      <c r="AU884" s="624"/>
      <c r="AV884" s="624"/>
      <c r="AW884" s="624"/>
      <c r="AX884" s="624"/>
      <c r="AY884" s="624"/>
      <c r="AZ884" s="624"/>
      <c r="BA884" s="624"/>
      <c r="BB884" s="624"/>
      <c r="BC884" s="624"/>
      <c r="BD884" s="624"/>
      <c r="BE884" s="624"/>
    </row>
    <row r="885" ht="16.5" customHeight="1">
      <c r="A885" s="711"/>
      <c r="B885" s="711"/>
      <c r="C885" s="711"/>
      <c r="D885" s="711"/>
      <c r="E885" s="711"/>
      <c r="F885" s="711"/>
      <c r="G885" s="711"/>
      <c r="H885" s="711"/>
      <c r="I885" s="711"/>
      <c r="J885" s="711"/>
      <c r="K885" s="741"/>
      <c r="L885" s="741"/>
      <c r="M885" s="788"/>
      <c r="N885" s="741"/>
      <c r="O885" s="741"/>
      <c r="P885" s="741"/>
      <c r="Q885" s="741"/>
      <c r="R885" s="788"/>
      <c r="S885" s="819"/>
      <c r="T885" s="820"/>
      <c r="U885" s="819"/>
      <c r="V885" s="820"/>
      <c r="W885" s="788"/>
      <c r="X885" s="803"/>
      <c r="Y885" s="803"/>
      <c r="Z885" s="803"/>
      <c r="AA885" s="711"/>
      <c r="AB885" s="711"/>
      <c r="AC885" s="711"/>
      <c r="AD885" s="736"/>
      <c r="AE885" s="736"/>
      <c r="AF885" s="624"/>
      <c r="AG885" s="624"/>
      <c r="AH885" s="624"/>
      <c r="AI885" s="624"/>
      <c r="AJ885" s="960">
        <f t="shared" si="6"/>
        <v>885</v>
      </c>
      <c r="AK885" s="961">
        <v>0.9542</v>
      </c>
      <c r="AL885" s="962">
        <v>18108.0</v>
      </c>
      <c r="AM885" s="963">
        <v>-0.58304734829235</v>
      </c>
      <c r="AN885" s="964">
        <v>-0.04579999999999995</v>
      </c>
      <c r="AO885" s="962">
        <v>18108.0</v>
      </c>
      <c r="AP885" s="965">
        <v>-0.5743555660797566</v>
      </c>
      <c r="AQ885" s="962">
        <v>18108.0</v>
      </c>
      <c r="AR885" s="966">
        <v>-0.5658955241482266</v>
      </c>
      <c r="AS885" s="624"/>
      <c r="AT885" s="624"/>
      <c r="AU885" s="624"/>
      <c r="AV885" s="624"/>
      <c r="AW885" s="624"/>
      <c r="AX885" s="624"/>
      <c r="AY885" s="624"/>
      <c r="AZ885" s="624"/>
      <c r="BA885" s="624"/>
      <c r="BB885" s="624"/>
      <c r="BC885" s="624"/>
      <c r="BD885" s="624"/>
      <c r="BE885" s="624"/>
    </row>
    <row r="886" ht="16.5" customHeight="1">
      <c r="A886" s="711"/>
      <c r="B886" s="711"/>
      <c r="C886" s="711"/>
      <c r="D886" s="711"/>
      <c r="E886" s="711"/>
      <c r="F886" s="711"/>
      <c r="G886" s="711"/>
      <c r="H886" s="711"/>
      <c r="I886" s="711"/>
      <c r="J886" s="711"/>
      <c r="K886" s="741"/>
      <c r="L886" s="741"/>
      <c r="M886" s="788"/>
      <c r="N886" s="741"/>
      <c r="O886" s="741"/>
      <c r="P886" s="741"/>
      <c r="Q886" s="741"/>
      <c r="R886" s="788"/>
      <c r="S886" s="819"/>
      <c r="T886" s="820"/>
      <c r="U886" s="819"/>
      <c r="V886" s="820"/>
      <c r="W886" s="788"/>
      <c r="X886" s="803"/>
      <c r="Y886" s="803"/>
      <c r="Z886" s="803"/>
      <c r="AA886" s="711"/>
      <c r="AB886" s="711"/>
      <c r="AC886" s="711"/>
      <c r="AD886" s="736"/>
      <c r="AE886" s="736"/>
      <c r="AF886" s="624"/>
      <c r="AG886" s="624"/>
      <c r="AH886" s="624"/>
      <c r="AI886" s="624"/>
      <c r="AJ886" s="960">
        <f t="shared" si="6"/>
        <v>886</v>
      </c>
      <c r="AK886" s="961">
        <v>0.962</v>
      </c>
      <c r="AL886" s="962">
        <v>18000.0</v>
      </c>
      <c r="AM886" s="963">
        <v>-0.5808662583006774</v>
      </c>
      <c r="AN886" s="964">
        <v>-0.038000000000000034</v>
      </c>
      <c r="AO886" s="962">
        <v>18000.0</v>
      </c>
      <c r="AP886" s="965">
        <v>-0.5721816561586505</v>
      </c>
      <c r="AQ886" s="962">
        <v>18000.0</v>
      </c>
      <c r="AR886" s="966">
        <v>-0.5637296188366012</v>
      </c>
      <c r="AS886" s="624"/>
      <c r="AT886" s="624"/>
      <c r="AU886" s="624"/>
      <c r="AV886" s="624"/>
      <c r="AW886" s="624"/>
      <c r="AX886" s="624"/>
      <c r="AY886" s="624"/>
      <c r="AZ886" s="624"/>
      <c r="BA886" s="624"/>
      <c r="BB886" s="624"/>
      <c r="BC886" s="624"/>
      <c r="BD886" s="624"/>
      <c r="BE886" s="624"/>
    </row>
    <row r="887" ht="16.5" customHeight="1">
      <c r="A887" s="711"/>
      <c r="B887" s="711"/>
      <c r="C887" s="711"/>
      <c r="D887" s="711"/>
      <c r="E887" s="711"/>
      <c r="F887" s="711"/>
      <c r="G887" s="711"/>
      <c r="H887" s="711"/>
      <c r="I887" s="711"/>
      <c r="J887" s="711"/>
      <c r="K887" s="741"/>
      <c r="L887" s="741"/>
      <c r="M887" s="788"/>
      <c r="N887" s="741"/>
      <c r="O887" s="741"/>
      <c r="P887" s="741"/>
      <c r="Q887" s="741"/>
      <c r="R887" s="788"/>
      <c r="S887" s="819"/>
      <c r="T887" s="820"/>
      <c r="U887" s="819"/>
      <c r="V887" s="820"/>
      <c r="W887" s="788"/>
      <c r="X887" s="803"/>
      <c r="Y887" s="803"/>
      <c r="Z887" s="803"/>
      <c r="AA887" s="711"/>
      <c r="AB887" s="711"/>
      <c r="AC887" s="711"/>
      <c r="AD887" s="736"/>
      <c r="AE887" s="736"/>
      <c r="AF887" s="624"/>
      <c r="AG887" s="624"/>
      <c r="AH887" s="624"/>
      <c r="AI887" s="624"/>
      <c r="AJ887" s="960">
        <f t="shared" si="6"/>
        <v>887</v>
      </c>
      <c r="AK887" s="961">
        <v>0.9608</v>
      </c>
      <c r="AL887" s="962">
        <v>17968.0</v>
      </c>
      <c r="AM887" s="963">
        <v>-0.580217821003188</v>
      </c>
      <c r="AN887" s="964">
        <v>-0.03920000000000001</v>
      </c>
      <c r="AO887" s="962">
        <v>17968.0</v>
      </c>
      <c r="AP887" s="965">
        <v>-0.5715354050067594</v>
      </c>
      <c r="AQ887" s="962">
        <v>17968.0</v>
      </c>
      <c r="AR887" s="966">
        <v>-0.5630857962178292</v>
      </c>
      <c r="AS887" s="624"/>
      <c r="AT887" s="624"/>
      <c r="AU887" s="624"/>
      <c r="AV887" s="624"/>
      <c r="AW887" s="624"/>
      <c r="AX887" s="624"/>
      <c r="AY887" s="624"/>
      <c r="AZ887" s="624"/>
      <c r="BA887" s="624"/>
      <c r="BB887" s="624"/>
      <c r="BC887" s="624"/>
      <c r="BD887" s="624"/>
      <c r="BE887" s="624"/>
    </row>
    <row r="888" ht="16.5" customHeight="1">
      <c r="A888" s="711"/>
      <c r="B888" s="711"/>
      <c r="C888" s="711"/>
      <c r="D888" s="711"/>
      <c r="E888" s="711"/>
      <c r="F888" s="711"/>
      <c r="G888" s="711"/>
      <c r="H888" s="711"/>
      <c r="I888" s="711"/>
      <c r="J888" s="711"/>
      <c r="K888" s="741"/>
      <c r="L888" s="741"/>
      <c r="M888" s="788"/>
      <c r="N888" s="741"/>
      <c r="O888" s="741"/>
      <c r="P888" s="741"/>
      <c r="Q888" s="741"/>
      <c r="R888" s="788"/>
      <c r="S888" s="819"/>
      <c r="T888" s="820"/>
      <c r="U888" s="819"/>
      <c r="V888" s="820"/>
      <c r="W888" s="788"/>
      <c r="X888" s="803"/>
      <c r="Y888" s="803"/>
      <c r="Z888" s="803"/>
      <c r="AA888" s="711"/>
      <c r="AB888" s="711"/>
      <c r="AC888" s="711"/>
      <c r="AD888" s="736"/>
      <c r="AE888" s="736"/>
      <c r="AF888" s="624"/>
      <c r="AG888" s="624"/>
      <c r="AH888" s="624"/>
      <c r="AI888" s="624"/>
      <c r="AJ888" s="960">
        <f t="shared" si="6"/>
        <v>888</v>
      </c>
      <c r="AK888" s="961">
        <v>1.0037</v>
      </c>
      <c r="AL888" s="962">
        <v>17966.0</v>
      </c>
      <c r="AM888" s="963">
        <v>-0.5801772603791318</v>
      </c>
      <c r="AN888" s="964">
        <v>0.0037000000000000366</v>
      </c>
      <c r="AO888" s="962">
        <v>17966.0</v>
      </c>
      <c r="AP888" s="965">
        <v>-0.5714949819118327</v>
      </c>
      <c r="AQ888" s="962">
        <v>17966.0</v>
      </c>
      <c r="AR888" s="966">
        <v>-0.5630455257718664</v>
      </c>
      <c r="AS888" s="624"/>
      <c r="AT888" s="624"/>
      <c r="AU888" s="624"/>
      <c r="AV888" s="624"/>
      <c r="AW888" s="624"/>
      <c r="AX888" s="624"/>
      <c r="AY888" s="624"/>
      <c r="AZ888" s="624"/>
      <c r="BA888" s="624"/>
      <c r="BB888" s="624"/>
      <c r="BC888" s="624"/>
      <c r="BD888" s="624"/>
      <c r="BE888" s="624"/>
    </row>
    <row r="889" ht="16.5" customHeight="1">
      <c r="A889" s="711"/>
      <c r="B889" s="711"/>
      <c r="C889" s="711"/>
      <c r="D889" s="711"/>
      <c r="E889" s="711"/>
      <c r="F889" s="711"/>
      <c r="G889" s="711"/>
      <c r="H889" s="711"/>
      <c r="I889" s="711"/>
      <c r="J889" s="711"/>
      <c r="K889" s="741"/>
      <c r="L889" s="741"/>
      <c r="M889" s="788"/>
      <c r="N889" s="741"/>
      <c r="O889" s="741"/>
      <c r="P889" s="741"/>
      <c r="Q889" s="741"/>
      <c r="R889" s="788"/>
      <c r="S889" s="819"/>
      <c r="T889" s="820"/>
      <c r="U889" s="819"/>
      <c r="V889" s="820"/>
      <c r="W889" s="788"/>
      <c r="X889" s="803"/>
      <c r="Y889" s="803"/>
      <c r="Z889" s="803"/>
      <c r="AA889" s="711"/>
      <c r="AB889" s="711"/>
      <c r="AC889" s="711"/>
      <c r="AD889" s="736"/>
      <c r="AE889" s="736"/>
      <c r="AF889" s="624"/>
      <c r="AG889" s="624"/>
      <c r="AH889" s="624"/>
      <c r="AI889" s="624"/>
      <c r="AJ889" s="960">
        <f t="shared" si="6"/>
        <v>889</v>
      </c>
      <c r="AK889" s="961">
        <v>0.9982</v>
      </c>
      <c r="AL889" s="962">
        <v>17870.0</v>
      </c>
      <c r="AM889" s="963">
        <v>-0.5782257345899009</v>
      </c>
      <c r="AN889" s="964">
        <v>-0.0018000000000000238</v>
      </c>
      <c r="AO889" s="962">
        <v>17870.0</v>
      </c>
      <c r="AP889" s="965">
        <v>-0.569550181832249</v>
      </c>
      <c r="AQ889" s="962">
        <v>17870.0</v>
      </c>
      <c r="AR889" s="966">
        <v>-0.5611081730580428</v>
      </c>
      <c r="AS889" s="624"/>
      <c r="AT889" s="624"/>
      <c r="AU889" s="624"/>
      <c r="AV889" s="624"/>
      <c r="AW889" s="624"/>
      <c r="AX889" s="624"/>
      <c r="AY889" s="624"/>
      <c r="AZ889" s="624"/>
      <c r="BA889" s="624"/>
      <c r="BB889" s="624"/>
      <c r="BC889" s="624"/>
      <c r="BD889" s="624"/>
      <c r="BE889" s="624"/>
    </row>
    <row r="890" ht="16.5" customHeight="1">
      <c r="A890" s="711"/>
      <c r="B890" s="711"/>
      <c r="C890" s="711"/>
      <c r="D890" s="711"/>
      <c r="E890" s="711"/>
      <c r="F890" s="711"/>
      <c r="G890" s="711"/>
      <c r="H890" s="711"/>
      <c r="I890" s="711"/>
      <c r="J890" s="711"/>
      <c r="K890" s="741"/>
      <c r="L890" s="741"/>
      <c r="M890" s="788"/>
      <c r="N890" s="741"/>
      <c r="O890" s="741"/>
      <c r="P890" s="741"/>
      <c r="Q890" s="741"/>
      <c r="R890" s="788"/>
      <c r="S890" s="819"/>
      <c r="T890" s="820"/>
      <c r="U890" s="819"/>
      <c r="V890" s="820"/>
      <c r="W890" s="788"/>
      <c r="X890" s="803"/>
      <c r="Y890" s="803"/>
      <c r="Z890" s="803"/>
      <c r="AA890" s="711"/>
      <c r="AB890" s="711"/>
      <c r="AC890" s="711"/>
      <c r="AD890" s="736"/>
      <c r="AE890" s="736"/>
      <c r="AF890" s="624"/>
      <c r="AG890" s="624"/>
      <c r="AH890" s="624"/>
      <c r="AI890" s="624"/>
      <c r="AJ890" s="960">
        <f t="shared" si="6"/>
        <v>890</v>
      </c>
      <c r="AK890" s="961">
        <v>0.9608</v>
      </c>
      <c r="AL890" s="962">
        <v>17865.0</v>
      </c>
      <c r="AM890" s="963">
        <v>-0.5781238444429365</v>
      </c>
      <c r="AN890" s="964">
        <v>-0.03920000000000001</v>
      </c>
      <c r="AO890" s="962">
        <v>17865.0</v>
      </c>
      <c r="AP890" s="965">
        <v>-0.56944864867594</v>
      </c>
      <c r="AQ890" s="962">
        <v>17865.0</v>
      </c>
      <c r="AR890" s="966">
        <v>-0.5610070342574898</v>
      </c>
      <c r="AS890" s="624"/>
      <c r="AT890" s="624"/>
      <c r="AU890" s="624"/>
      <c r="AV890" s="624"/>
      <c r="AW890" s="624"/>
      <c r="AX890" s="624"/>
      <c r="AY890" s="624"/>
      <c r="AZ890" s="624"/>
      <c r="BA890" s="624"/>
      <c r="BB890" s="624"/>
      <c r="BC890" s="624"/>
      <c r="BD890" s="624"/>
      <c r="BE890" s="624"/>
    </row>
    <row r="891" ht="16.5" customHeight="1">
      <c r="A891" s="711"/>
      <c r="B891" s="711"/>
      <c r="C891" s="711"/>
      <c r="D891" s="711"/>
      <c r="E891" s="711"/>
      <c r="F891" s="711"/>
      <c r="G891" s="711"/>
      <c r="H891" s="711"/>
      <c r="I891" s="711"/>
      <c r="J891" s="711"/>
      <c r="K891" s="741"/>
      <c r="L891" s="741"/>
      <c r="M891" s="788"/>
      <c r="N891" s="741"/>
      <c r="O891" s="741"/>
      <c r="P891" s="741"/>
      <c r="Q891" s="741"/>
      <c r="R891" s="788"/>
      <c r="S891" s="819"/>
      <c r="T891" s="820"/>
      <c r="U891" s="819"/>
      <c r="V891" s="820"/>
      <c r="W891" s="788"/>
      <c r="X891" s="803"/>
      <c r="Y891" s="803"/>
      <c r="Z891" s="803"/>
      <c r="AA891" s="711"/>
      <c r="AB891" s="711"/>
      <c r="AC891" s="711"/>
      <c r="AD891" s="736"/>
      <c r="AE891" s="736"/>
      <c r="AF891" s="624"/>
      <c r="AG891" s="624"/>
      <c r="AH891" s="624"/>
      <c r="AI891" s="624"/>
      <c r="AJ891" s="960">
        <f t="shared" si="6"/>
        <v>891</v>
      </c>
      <c r="AK891" s="961">
        <v>0.9772</v>
      </c>
      <c r="AL891" s="962">
        <v>17800.0</v>
      </c>
      <c r="AM891" s="963">
        <v>-0.5767970304817112</v>
      </c>
      <c r="AN891" s="964">
        <v>-0.022800000000000042</v>
      </c>
      <c r="AO891" s="962">
        <v>17800.0</v>
      </c>
      <c r="AP891" s="965">
        <v>-0.5681265361979047</v>
      </c>
      <c r="AQ891" s="962">
        <v>17800.0</v>
      </c>
      <c r="AR891" s="966">
        <v>-0.5596901069974889</v>
      </c>
      <c r="AS891" s="624"/>
      <c r="AT891" s="624"/>
      <c r="AU891" s="624"/>
      <c r="AV891" s="624"/>
      <c r="AW891" s="624"/>
      <c r="AX891" s="624"/>
      <c r="AY891" s="624"/>
      <c r="AZ891" s="624"/>
      <c r="BA891" s="624"/>
      <c r="BB891" s="624"/>
      <c r="BC891" s="624"/>
      <c r="BD891" s="624"/>
      <c r="BE891" s="624"/>
    </row>
    <row r="892" ht="16.5" customHeight="1">
      <c r="A892" s="711"/>
      <c r="B892" s="711"/>
      <c r="C892" s="711"/>
      <c r="D892" s="711"/>
      <c r="E892" s="711"/>
      <c r="F892" s="711"/>
      <c r="G892" s="711"/>
      <c r="H892" s="711"/>
      <c r="I892" s="711"/>
      <c r="J892" s="711"/>
      <c r="K892" s="741"/>
      <c r="L892" s="741"/>
      <c r="M892" s="788"/>
      <c r="N892" s="741"/>
      <c r="O892" s="741"/>
      <c r="P892" s="741"/>
      <c r="Q892" s="741"/>
      <c r="R892" s="788"/>
      <c r="S892" s="819"/>
      <c r="T892" s="820"/>
      <c r="U892" s="819"/>
      <c r="V892" s="820"/>
      <c r="W892" s="788"/>
      <c r="X892" s="803"/>
      <c r="Y892" s="803"/>
      <c r="Z892" s="803"/>
      <c r="AA892" s="711"/>
      <c r="AB892" s="711"/>
      <c r="AC892" s="711"/>
      <c r="AD892" s="736"/>
      <c r="AE892" s="736"/>
      <c r="AF892" s="624"/>
      <c r="AG892" s="624"/>
      <c r="AH892" s="624"/>
      <c r="AI892" s="624"/>
      <c r="AJ892" s="960">
        <f t="shared" si="6"/>
        <v>892</v>
      </c>
      <c r="AK892" s="961">
        <v>0.9671</v>
      </c>
      <c r="AL892" s="962">
        <v>17800.0</v>
      </c>
      <c r="AM892" s="963">
        <v>-0.5767970304817112</v>
      </c>
      <c r="AN892" s="964">
        <v>-0.03290000000000004</v>
      </c>
      <c r="AO892" s="962">
        <v>17800.0</v>
      </c>
      <c r="AP892" s="965">
        <v>-0.5681265361979047</v>
      </c>
      <c r="AQ892" s="962">
        <v>17800.0</v>
      </c>
      <c r="AR892" s="966">
        <v>-0.5596901069974889</v>
      </c>
      <c r="AS892" s="624"/>
      <c r="AT892" s="624"/>
      <c r="AU892" s="624"/>
      <c r="AV892" s="624"/>
      <c r="AW892" s="624"/>
      <c r="AX892" s="624"/>
      <c r="AY892" s="624"/>
      <c r="AZ892" s="624"/>
      <c r="BA892" s="624"/>
      <c r="BB892" s="624"/>
      <c r="BC892" s="624"/>
      <c r="BD892" s="624"/>
      <c r="BE892" s="624"/>
    </row>
    <row r="893" ht="16.5" customHeight="1">
      <c r="A893" s="711"/>
      <c r="B893" s="711"/>
      <c r="C893" s="711"/>
      <c r="D893" s="711"/>
      <c r="E893" s="711"/>
      <c r="F893" s="711"/>
      <c r="G893" s="711"/>
      <c r="H893" s="711"/>
      <c r="I893" s="711"/>
      <c r="J893" s="711"/>
      <c r="K893" s="741"/>
      <c r="L893" s="741"/>
      <c r="M893" s="788"/>
      <c r="N893" s="741"/>
      <c r="O893" s="741"/>
      <c r="P893" s="741"/>
      <c r="Q893" s="741"/>
      <c r="R893" s="788"/>
      <c r="S893" s="819"/>
      <c r="T893" s="820"/>
      <c r="U893" s="819"/>
      <c r="V893" s="820"/>
      <c r="W893" s="788"/>
      <c r="X893" s="803"/>
      <c r="Y893" s="803"/>
      <c r="Z893" s="803"/>
      <c r="AA893" s="711"/>
      <c r="AB893" s="711"/>
      <c r="AC893" s="711"/>
      <c r="AD893" s="736"/>
      <c r="AE893" s="736"/>
      <c r="AF893" s="624"/>
      <c r="AG893" s="624"/>
      <c r="AH893" s="624"/>
      <c r="AI893" s="624"/>
      <c r="AJ893" s="960">
        <f t="shared" si="6"/>
        <v>893</v>
      </c>
      <c r="AK893" s="961">
        <v>1.0201</v>
      </c>
      <c r="AL893" s="962">
        <v>17703.0</v>
      </c>
      <c r="AM893" s="963">
        <v>-0.5748092517368559</v>
      </c>
      <c r="AN893" s="964">
        <v>0.020100000000000007</v>
      </c>
      <c r="AO893" s="962">
        <v>17703.0</v>
      </c>
      <c r="AP893" s="965">
        <v>-0.5661459838617593</v>
      </c>
      <c r="AQ893" s="962">
        <v>17703.0</v>
      </c>
      <c r="AR893" s="966">
        <v>-0.5577174959384323</v>
      </c>
      <c r="AS893" s="624"/>
      <c r="AT893" s="624"/>
      <c r="AU893" s="624"/>
      <c r="AV893" s="624"/>
      <c r="AW893" s="624"/>
      <c r="AX893" s="624"/>
      <c r="AY893" s="624"/>
      <c r="AZ893" s="624"/>
      <c r="BA893" s="624"/>
      <c r="BB893" s="624"/>
      <c r="BC893" s="624"/>
      <c r="BD893" s="624"/>
      <c r="BE893" s="624"/>
    </row>
    <row r="894" ht="16.5" customHeight="1">
      <c r="A894" s="711"/>
      <c r="B894" s="711"/>
      <c r="C894" s="711"/>
      <c r="D894" s="711"/>
      <c r="E894" s="711"/>
      <c r="F894" s="711"/>
      <c r="G894" s="711"/>
      <c r="H894" s="711"/>
      <c r="I894" s="711"/>
      <c r="J894" s="711"/>
      <c r="K894" s="741"/>
      <c r="L894" s="741"/>
      <c r="M894" s="788"/>
      <c r="N894" s="741"/>
      <c r="O894" s="741"/>
      <c r="P894" s="741"/>
      <c r="Q894" s="741"/>
      <c r="R894" s="788"/>
      <c r="S894" s="819"/>
      <c r="T894" s="820"/>
      <c r="U894" s="819"/>
      <c r="V894" s="820"/>
      <c r="W894" s="788"/>
      <c r="X894" s="803"/>
      <c r="Y894" s="803"/>
      <c r="Z894" s="803"/>
      <c r="AA894" s="711"/>
      <c r="AB894" s="711"/>
      <c r="AC894" s="711"/>
      <c r="AD894" s="736"/>
      <c r="AE894" s="736"/>
      <c r="AF894" s="624"/>
      <c r="AG894" s="624"/>
      <c r="AH894" s="624"/>
      <c r="AI894" s="624"/>
      <c r="AJ894" s="960">
        <f t="shared" si="6"/>
        <v>894</v>
      </c>
      <c r="AK894" s="961">
        <v>0.9868</v>
      </c>
      <c r="AL894" s="962">
        <v>17505.0</v>
      </c>
      <c r="AM894" s="963">
        <v>-0.5707226965603075</v>
      </c>
      <c r="AN894" s="964">
        <v>-0.01319999999999999</v>
      </c>
      <c r="AO894" s="962">
        <v>17505.0</v>
      </c>
      <c r="AP894" s="965">
        <v>-0.5620749697942908</v>
      </c>
      <c r="AQ894" s="962">
        <v>17505.0</v>
      </c>
      <c r="AR894" s="966">
        <v>-0.553663455595063</v>
      </c>
      <c r="AS894" s="624"/>
      <c r="AT894" s="624"/>
      <c r="AU894" s="624"/>
      <c r="AV894" s="624"/>
      <c r="AW894" s="624"/>
      <c r="AX894" s="624"/>
      <c r="AY894" s="624"/>
      <c r="AZ894" s="624"/>
      <c r="BA894" s="624"/>
      <c r="BB894" s="624"/>
      <c r="BC894" s="624"/>
      <c r="BD894" s="624"/>
      <c r="BE894" s="624"/>
    </row>
    <row r="895" ht="16.5" customHeight="1">
      <c r="A895" s="711"/>
      <c r="B895" s="711"/>
      <c r="C895" s="711"/>
      <c r="D895" s="711"/>
      <c r="E895" s="711"/>
      <c r="F895" s="711"/>
      <c r="G895" s="711"/>
      <c r="H895" s="711"/>
      <c r="I895" s="711"/>
      <c r="J895" s="711"/>
      <c r="K895" s="741"/>
      <c r="L895" s="741"/>
      <c r="M895" s="788"/>
      <c r="N895" s="741"/>
      <c r="O895" s="741"/>
      <c r="P895" s="741"/>
      <c r="Q895" s="741"/>
      <c r="R895" s="788"/>
      <c r="S895" s="819"/>
      <c r="T895" s="820"/>
      <c r="U895" s="819"/>
      <c r="V895" s="820"/>
      <c r="W895" s="788"/>
      <c r="X895" s="803"/>
      <c r="Y895" s="803"/>
      <c r="Z895" s="803"/>
      <c r="AA895" s="711"/>
      <c r="AB895" s="711"/>
      <c r="AC895" s="711"/>
      <c r="AD895" s="736"/>
      <c r="AE895" s="736"/>
      <c r="AF895" s="624"/>
      <c r="AG895" s="624"/>
      <c r="AH895" s="624"/>
      <c r="AI895" s="624"/>
      <c r="AJ895" s="960">
        <f t="shared" si="6"/>
        <v>895</v>
      </c>
      <c r="AK895" s="961">
        <v>0.9847</v>
      </c>
      <c r="AL895" s="962">
        <v>17500.0</v>
      </c>
      <c r="AM895" s="963">
        <v>-0.5706189938664188</v>
      </c>
      <c r="AN895" s="964">
        <v>-0.01529999999999998</v>
      </c>
      <c r="AO895" s="962">
        <v>17500.0</v>
      </c>
      <c r="AP895" s="965">
        <v>-0.5619716734083549</v>
      </c>
      <c r="AQ895" s="962">
        <v>17500.0</v>
      </c>
      <c r="AR895" s="966">
        <v>-0.5535606012241838</v>
      </c>
      <c r="AS895" s="624"/>
      <c r="AT895" s="624"/>
      <c r="AU895" s="624"/>
      <c r="AV895" s="624"/>
      <c r="AW895" s="624"/>
      <c r="AX895" s="624"/>
      <c r="AY895" s="624"/>
      <c r="AZ895" s="624"/>
      <c r="BA895" s="624"/>
      <c r="BB895" s="624"/>
      <c r="BC895" s="624"/>
      <c r="BD895" s="624"/>
      <c r="BE895" s="624"/>
    </row>
    <row r="896" ht="16.5" customHeight="1">
      <c r="A896" s="711"/>
      <c r="B896" s="711"/>
      <c r="C896" s="711"/>
      <c r="D896" s="711"/>
      <c r="E896" s="711"/>
      <c r="F896" s="711"/>
      <c r="G896" s="711"/>
      <c r="H896" s="711"/>
      <c r="I896" s="711"/>
      <c r="J896" s="711"/>
      <c r="K896" s="741"/>
      <c r="L896" s="741"/>
      <c r="M896" s="788"/>
      <c r="N896" s="741"/>
      <c r="O896" s="741"/>
      <c r="P896" s="741"/>
      <c r="Q896" s="741"/>
      <c r="R896" s="788"/>
      <c r="S896" s="819"/>
      <c r="T896" s="820"/>
      <c r="U896" s="819"/>
      <c r="V896" s="820"/>
      <c r="W896" s="788"/>
      <c r="X896" s="803"/>
      <c r="Y896" s="803"/>
      <c r="Z896" s="803"/>
      <c r="AA896" s="711"/>
      <c r="AB896" s="711"/>
      <c r="AC896" s="711"/>
      <c r="AD896" s="736"/>
      <c r="AE896" s="736"/>
      <c r="AF896" s="624"/>
      <c r="AG896" s="624"/>
      <c r="AH896" s="624"/>
      <c r="AI896" s="624"/>
      <c r="AJ896" s="960">
        <f t="shared" si="6"/>
        <v>896</v>
      </c>
      <c r="AK896" s="961">
        <v>1.0016</v>
      </c>
      <c r="AL896" s="962">
        <v>17500.0</v>
      </c>
      <c r="AM896" s="963">
        <v>-0.5706189938664188</v>
      </c>
      <c r="AN896" s="964">
        <v>0.0016000000000000458</v>
      </c>
      <c r="AO896" s="962">
        <v>17500.0</v>
      </c>
      <c r="AP896" s="965">
        <v>-0.5619716734083549</v>
      </c>
      <c r="AQ896" s="962">
        <v>17500.0</v>
      </c>
      <c r="AR896" s="966">
        <v>-0.5535606012241838</v>
      </c>
      <c r="AS896" s="624"/>
      <c r="AT896" s="624"/>
      <c r="AU896" s="624"/>
      <c r="AV896" s="624"/>
      <c r="AW896" s="624"/>
      <c r="AX896" s="624"/>
      <c r="AY896" s="624"/>
      <c r="AZ896" s="624"/>
      <c r="BA896" s="624"/>
      <c r="BB896" s="624"/>
      <c r="BC896" s="624"/>
      <c r="BD896" s="624"/>
      <c r="BE896" s="624"/>
    </row>
    <row r="897" ht="16.5" customHeight="1">
      <c r="A897" s="711"/>
      <c r="B897" s="711"/>
      <c r="C897" s="711"/>
      <c r="D897" s="711"/>
      <c r="E897" s="711"/>
      <c r="F897" s="711"/>
      <c r="G897" s="711"/>
      <c r="H897" s="711"/>
      <c r="I897" s="711"/>
      <c r="J897" s="711"/>
      <c r="K897" s="741"/>
      <c r="L897" s="741"/>
      <c r="M897" s="788"/>
      <c r="N897" s="741"/>
      <c r="O897" s="741"/>
      <c r="P897" s="741"/>
      <c r="Q897" s="741"/>
      <c r="R897" s="788"/>
      <c r="S897" s="819"/>
      <c r="T897" s="820"/>
      <c r="U897" s="819"/>
      <c r="V897" s="820"/>
      <c r="W897" s="788"/>
      <c r="X897" s="803"/>
      <c r="Y897" s="803"/>
      <c r="Z897" s="803"/>
      <c r="AA897" s="711"/>
      <c r="AB897" s="711"/>
      <c r="AC897" s="711"/>
      <c r="AD897" s="736"/>
      <c r="AE897" s="736"/>
      <c r="AF897" s="624"/>
      <c r="AG897" s="624"/>
      <c r="AH897" s="624"/>
      <c r="AI897" s="624"/>
      <c r="AJ897" s="960">
        <f t="shared" si="6"/>
        <v>897</v>
      </c>
      <c r="AK897" s="961">
        <v>0.9891</v>
      </c>
      <c r="AL897" s="962">
        <v>17500.0</v>
      </c>
      <c r="AM897" s="963">
        <v>-0.5706189938664188</v>
      </c>
      <c r="AN897" s="964">
        <v>-0.01090000000000002</v>
      </c>
      <c r="AO897" s="962">
        <v>17500.0</v>
      </c>
      <c r="AP897" s="965">
        <v>-0.5619716734083549</v>
      </c>
      <c r="AQ897" s="962">
        <v>17500.0</v>
      </c>
      <c r="AR897" s="966">
        <v>-0.5535606012241838</v>
      </c>
      <c r="AS897" s="624"/>
      <c r="AT897" s="624"/>
      <c r="AU897" s="624"/>
      <c r="AV897" s="624"/>
      <c r="AW897" s="624"/>
      <c r="AX897" s="624"/>
      <c r="AY897" s="624"/>
      <c r="AZ897" s="624"/>
      <c r="BA897" s="624"/>
      <c r="BB897" s="624"/>
      <c r="BC897" s="624"/>
      <c r="BD897" s="624"/>
      <c r="BE897" s="624"/>
    </row>
    <row r="898" ht="16.5" customHeight="1">
      <c r="A898" s="711"/>
      <c r="B898" s="711"/>
      <c r="C898" s="711"/>
      <c r="D898" s="711"/>
      <c r="E898" s="711"/>
      <c r="F898" s="711"/>
      <c r="G898" s="711"/>
      <c r="H898" s="711"/>
      <c r="I898" s="711"/>
      <c r="J898" s="711"/>
      <c r="K898" s="741"/>
      <c r="L898" s="741"/>
      <c r="M898" s="788"/>
      <c r="N898" s="741"/>
      <c r="O898" s="741"/>
      <c r="P898" s="741"/>
      <c r="Q898" s="741"/>
      <c r="R898" s="788"/>
      <c r="S898" s="819"/>
      <c r="T898" s="820"/>
      <c r="U898" s="819"/>
      <c r="V898" s="820"/>
      <c r="W898" s="788"/>
      <c r="X898" s="803"/>
      <c r="Y898" s="803"/>
      <c r="Z898" s="803"/>
      <c r="AA898" s="711"/>
      <c r="AB898" s="711"/>
      <c r="AC898" s="711"/>
      <c r="AD898" s="736"/>
      <c r="AE898" s="736"/>
      <c r="AF898" s="624"/>
      <c r="AG898" s="624"/>
      <c r="AH898" s="624"/>
      <c r="AI898" s="624"/>
      <c r="AJ898" s="960">
        <f t="shared" si="6"/>
        <v>898</v>
      </c>
      <c r="AK898" s="961">
        <v>0.9656</v>
      </c>
      <c r="AL898" s="962">
        <v>17349.0</v>
      </c>
      <c r="AM898" s="963">
        <v>-0.567475342220753</v>
      </c>
      <c r="AN898" s="964">
        <v>-0.034399999999999986</v>
      </c>
      <c r="AO898" s="962">
        <v>17349.0</v>
      </c>
      <c r="AP898" s="965">
        <v>-0.5588406172086937</v>
      </c>
      <c r="AQ898" s="962">
        <v>17349.0</v>
      </c>
      <c r="AR898" s="966">
        <v>-0.5504432077005468</v>
      </c>
      <c r="AS898" s="624"/>
      <c r="AT898" s="624"/>
      <c r="AU898" s="624"/>
      <c r="AV898" s="624"/>
      <c r="AW898" s="624"/>
      <c r="AX898" s="624"/>
      <c r="AY898" s="624"/>
      <c r="AZ898" s="624"/>
      <c r="BA898" s="624"/>
      <c r="BB898" s="624"/>
      <c r="BC898" s="624"/>
      <c r="BD898" s="624"/>
      <c r="BE898" s="624"/>
    </row>
    <row r="899" ht="16.5" customHeight="1">
      <c r="A899" s="711"/>
      <c r="B899" s="711"/>
      <c r="C899" s="711"/>
      <c r="D899" s="711"/>
      <c r="E899" s="711"/>
      <c r="F899" s="711"/>
      <c r="G899" s="711"/>
      <c r="H899" s="711"/>
      <c r="I899" s="711"/>
      <c r="J899" s="711"/>
      <c r="K899" s="741"/>
      <c r="L899" s="741"/>
      <c r="M899" s="788"/>
      <c r="N899" s="741"/>
      <c r="O899" s="741"/>
      <c r="P899" s="741"/>
      <c r="Q899" s="741"/>
      <c r="R899" s="788"/>
      <c r="S899" s="819"/>
      <c r="T899" s="820"/>
      <c r="U899" s="819"/>
      <c r="V899" s="820"/>
      <c r="W899" s="788"/>
      <c r="X899" s="803"/>
      <c r="Y899" s="803"/>
      <c r="Z899" s="803"/>
      <c r="AA899" s="711"/>
      <c r="AB899" s="711"/>
      <c r="AC899" s="711"/>
      <c r="AD899" s="736"/>
      <c r="AE899" s="736"/>
      <c r="AF899" s="624"/>
      <c r="AG899" s="624"/>
      <c r="AH899" s="624"/>
      <c r="AI899" s="624"/>
      <c r="AJ899" s="960">
        <f t="shared" si="6"/>
        <v>899</v>
      </c>
      <c r="AK899" s="961">
        <v>0.9701</v>
      </c>
      <c r="AL899" s="962">
        <v>17326.0</v>
      </c>
      <c r="AM899" s="963">
        <v>-0.5669944921782225</v>
      </c>
      <c r="AN899" s="964">
        <v>-0.029900000000000038</v>
      </c>
      <c r="AO899" s="962">
        <v>17326.0</v>
      </c>
      <c r="AP899" s="965">
        <v>-0.5583617411764865</v>
      </c>
      <c r="AQ899" s="962">
        <v>17326.0</v>
      </c>
      <c r="AR899" s="966">
        <v>-0.5499664663281885</v>
      </c>
      <c r="AS899" s="624"/>
      <c r="AT899" s="624"/>
      <c r="AU899" s="624"/>
      <c r="AV899" s="624"/>
      <c r="AW899" s="624"/>
      <c r="AX899" s="624"/>
      <c r="AY899" s="624"/>
      <c r="AZ899" s="624"/>
      <c r="BA899" s="624"/>
      <c r="BB899" s="624"/>
      <c r="BC899" s="624"/>
      <c r="BD899" s="624"/>
      <c r="BE899" s="624"/>
    </row>
    <row r="900" ht="16.5" customHeight="1">
      <c r="A900" s="711"/>
      <c r="B900" s="711"/>
      <c r="C900" s="711"/>
      <c r="D900" s="711"/>
      <c r="E900" s="711"/>
      <c r="F900" s="711"/>
      <c r="G900" s="711"/>
      <c r="H900" s="711"/>
      <c r="I900" s="711"/>
      <c r="J900" s="711"/>
      <c r="K900" s="741"/>
      <c r="L900" s="741"/>
      <c r="M900" s="788"/>
      <c r="N900" s="741"/>
      <c r="O900" s="741"/>
      <c r="P900" s="741"/>
      <c r="Q900" s="741"/>
      <c r="R900" s="788"/>
      <c r="S900" s="819"/>
      <c r="T900" s="820"/>
      <c r="U900" s="819"/>
      <c r="V900" s="820"/>
      <c r="W900" s="788"/>
      <c r="X900" s="803"/>
      <c r="Y900" s="803"/>
      <c r="Z900" s="803"/>
      <c r="AA900" s="711"/>
      <c r="AB900" s="711"/>
      <c r="AC900" s="711"/>
      <c r="AD900" s="736"/>
      <c r="AE900" s="736"/>
      <c r="AF900" s="624"/>
      <c r="AG900" s="624"/>
      <c r="AH900" s="624"/>
      <c r="AI900" s="624"/>
      <c r="AJ900" s="960">
        <f t="shared" si="6"/>
        <v>900</v>
      </c>
      <c r="AK900" s="961">
        <v>0.982</v>
      </c>
      <c r="AL900" s="962">
        <v>17146.0</v>
      </c>
      <c r="AM900" s="963">
        <v>-0.5632128086194904</v>
      </c>
      <c r="AN900" s="964">
        <v>-0.018000000000000016</v>
      </c>
      <c r="AO900" s="962">
        <v>17146.0</v>
      </c>
      <c r="AP900" s="965">
        <v>-0.5545960184388246</v>
      </c>
      <c r="AQ900" s="962">
        <v>17146.0</v>
      </c>
      <c r="AR900" s="966">
        <v>-0.5462179439008195</v>
      </c>
      <c r="AS900" s="624"/>
      <c r="AT900" s="624"/>
      <c r="AU900" s="624"/>
      <c r="AV900" s="624"/>
      <c r="AW900" s="624"/>
      <c r="AX900" s="624"/>
      <c r="AY900" s="624"/>
      <c r="AZ900" s="624"/>
      <c r="BA900" s="624"/>
      <c r="BB900" s="624"/>
      <c r="BC900" s="624"/>
      <c r="BD900" s="624"/>
      <c r="BE900" s="624"/>
    </row>
    <row r="901" ht="16.5" customHeight="1">
      <c r="A901" s="711"/>
      <c r="B901" s="711"/>
      <c r="C901" s="711"/>
      <c r="D901" s="711"/>
      <c r="E901" s="711"/>
      <c r="F901" s="711"/>
      <c r="G901" s="711"/>
      <c r="H901" s="711"/>
      <c r="I901" s="711"/>
      <c r="J901" s="711"/>
      <c r="K901" s="741"/>
      <c r="L901" s="741"/>
      <c r="M901" s="788"/>
      <c r="N901" s="741"/>
      <c r="O901" s="741"/>
      <c r="P901" s="741"/>
      <c r="Q901" s="741"/>
      <c r="R901" s="788"/>
      <c r="S901" s="819"/>
      <c r="T901" s="820"/>
      <c r="U901" s="819"/>
      <c r="V901" s="820"/>
      <c r="W901" s="788"/>
      <c r="X901" s="803"/>
      <c r="Y901" s="803"/>
      <c r="Z901" s="803"/>
      <c r="AA901" s="711"/>
      <c r="AB901" s="711"/>
      <c r="AC901" s="711"/>
      <c r="AD901" s="736"/>
      <c r="AE901" s="736"/>
      <c r="AF901" s="624"/>
      <c r="AG901" s="624"/>
      <c r="AH901" s="624"/>
      <c r="AI901" s="624"/>
      <c r="AJ901" s="960">
        <f t="shared" si="6"/>
        <v>901</v>
      </c>
      <c r="AK901" s="961">
        <v>0.9905</v>
      </c>
      <c r="AL901" s="962">
        <v>17070.0</v>
      </c>
      <c r="AM901" s="963">
        <v>-0.5616061979725684</v>
      </c>
      <c r="AN901" s="964">
        <v>-0.009499999999999953</v>
      </c>
      <c r="AO901" s="962">
        <v>17070.0</v>
      </c>
      <c r="AP901" s="965">
        <v>-0.5529964216955692</v>
      </c>
      <c r="AQ901" s="962">
        <v>17070.0</v>
      </c>
      <c r="AR901" s="966">
        <v>-0.5446258747959609</v>
      </c>
      <c r="AS901" s="624"/>
      <c r="AT901" s="624"/>
      <c r="AU901" s="624"/>
      <c r="AV901" s="624"/>
      <c r="AW901" s="624"/>
      <c r="AX901" s="624"/>
      <c r="AY901" s="624"/>
      <c r="AZ901" s="624"/>
      <c r="BA901" s="624"/>
      <c r="BB901" s="624"/>
      <c r="BC901" s="624"/>
      <c r="BD901" s="624"/>
      <c r="BE901" s="624"/>
    </row>
    <row r="902" ht="16.5" customHeight="1">
      <c r="A902" s="711"/>
      <c r="B902" s="711"/>
      <c r="C902" s="711"/>
      <c r="D902" s="711"/>
      <c r="E902" s="711"/>
      <c r="F902" s="711"/>
      <c r="G902" s="711"/>
      <c r="H902" s="711"/>
      <c r="I902" s="711"/>
      <c r="J902" s="711"/>
      <c r="K902" s="741"/>
      <c r="L902" s="741"/>
      <c r="M902" s="788"/>
      <c r="N902" s="741"/>
      <c r="O902" s="741"/>
      <c r="P902" s="741"/>
      <c r="Q902" s="741"/>
      <c r="R902" s="788"/>
      <c r="S902" s="819"/>
      <c r="T902" s="820"/>
      <c r="U902" s="819"/>
      <c r="V902" s="820"/>
      <c r="W902" s="788"/>
      <c r="X902" s="803"/>
      <c r="Y902" s="803"/>
      <c r="Z902" s="803"/>
      <c r="AA902" s="711"/>
      <c r="AB902" s="711"/>
      <c r="AC902" s="711"/>
      <c r="AD902" s="736"/>
      <c r="AE902" s="736"/>
      <c r="AF902" s="624"/>
      <c r="AG902" s="624"/>
      <c r="AH902" s="624"/>
      <c r="AI902" s="624"/>
      <c r="AJ902" s="960">
        <f t="shared" si="6"/>
        <v>902</v>
      </c>
      <c r="AK902" s="961">
        <v>0.9898</v>
      </c>
      <c r="AL902" s="962">
        <v>17000.0</v>
      </c>
      <c r="AM902" s="963">
        <v>-0.5601211973992107</v>
      </c>
      <c r="AN902" s="964">
        <v>-0.010199999999999987</v>
      </c>
      <c r="AO902" s="962">
        <v>17000.0</v>
      </c>
      <c r="AP902" s="965">
        <v>-0.5515180270815391</v>
      </c>
      <c r="AQ902" s="962">
        <v>17000.0</v>
      </c>
      <c r="AR902" s="966">
        <v>-0.5431545541830762</v>
      </c>
      <c r="AS902" s="624"/>
      <c r="AT902" s="624"/>
      <c r="AU902" s="624"/>
      <c r="AV902" s="624"/>
      <c r="AW902" s="624"/>
      <c r="AX902" s="624"/>
      <c r="AY902" s="624"/>
      <c r="AZ902" s="624"/>
      <c r="BA902" s="624"/>
      <c r="BB902" s="624"/>
      <c r="BC902" s="624"/>
      <c r="BD902" s="624"/>
      <c r="BE902" s="624"/>
    </row>
    <row r="903" ht="16.5" customHeight="1">
      <c r="A903" s="711"/>
      <c r="B903" s="711"/>
      <c r="C903" s="711"/>
      <c r="D903" s="711"/>
      <c r="E903" s="711"/>
      <c r="F903" s="711"/>
      <c r="G903" s="711"/>
      <c r="H903" s="711"/>
      <c r="I903" s="711"/>
      <c r="J903" s="711"/>
      <c r="K903" s="741"/>
      <c r="L903" s="741"/>
      <c r="M903" s="788"/>
      <c r="N903" s="741"/>
      <c r="O903" s="741"/>
      <c r="P903" s="741"/>
      <c r="Q903" s="741"/>
      <c r="R903" s="788"/>
      <c r="S903" s="819"/>
      <c r="T903" s="820"/>
      <c r="U903" s="819"/>
      <c r="V903" s="820"/>
      <c r="W903" s="788"/>
      <c r="X903" s="803"/>
      <c r="Y903" s="803"/>
      <c r="Z903" s="803"/>
      <c r="AA903" s="711"/>
      <c r="AB903" s="711"/>
      <c r="AC903" s="711"/>
      <c r="AD903" s="736"/>
      <c r="AE903" s="736"/>
      <c r="AF903" s="624"/>
      <c r="AG903" s="624"/>
      <c r="AH903" s="624"/>
      <c r="AI903" s="624"/>
      <c r="AJ903" s="960">
        <f t="shared" si="6"/>
        <v>903</v>
      </c>
      <c r="AK903" s="961">
        <v>1.0</v>
      </c>
      <c r="AL903" s="962">
        <v>16898.0</v>
      </c>
      <c r="AM903" s="963">
        <v>-0.5579483296159381</v>
      </c>
      <c r="AN903" s="964">
        <v>0.0</v>
      </c>
      <c r="AO903" s="962">
        <v>16898.0</v>
      </c>
      <c r="AP903" s="965">
        <v>-0.5493550372106424</v>
      </c>
      <c r="AQ903" s="962">
        <v>16898.0</v>
      </c>
      <c r="AR903" s="966">
        <v>-0.541002115295599</v>
      </c>
      <c r="AS903" s="624"/>
      <c r="AT903" s="624"/>
      <c r="AU903" s="624"/>
      <c r="AV903" s="624"/>
      <c r="AW903" s="624"/>
      <c r="AX903" s="624"/>
      <c r="AY903" s="624"/>
      <c r="AZ903" s="624"/>
      <c r="BA903" s="624"/>
      <c r="BB903" s="624"/>
      <c r="BC903" s="624"/>
      <c r="BD903" s="624"/>
      <c r="BE903" s="624"/>
    </row>
    <row r="904" ht="16.5" customHeight="1">
      <c r="A904" s="711"/>
      <c r="B904" s="711"/>
      <c r="C904" s="711"/>
      <c r="D904" s="711"/>
      <c r="E904" s="711"/>
      <c r="F904" s="711"/>
      <c r="G904" s="711"/>
      <c r="H904" s="711"/>
      <c r="I904" s="711"/>
      <c r="J904" s="711"/>
      <c r="K904" s="741"/>
      <c r="L904" s="741"/>
      <c r="M904" s="788"/>
      <c r="N904" s="741"/>
      <c r="O904" s="741"/>
      <c r="P904" s="741"/>
      <c r="Q904" s="741"/>
      <c r="R904" s="788"/>
      <c r="S904" s="819"/>
      <c r="T904" s="820"/>
      <c r="U904" s="819"/>
      <c r="V904" s="820"/>
      <c r="W904" s="788"/>
      <c r="X904" s="803"/>
      <c r="Y904" s="803"/>
      <c r="Z904" s="803"/>
      <c r="AA904" s="711"/>
      <c r="AB904" s="711"/>
      <c r="AC904" s="711"/>
      <c r="AD904" s="736"/>
      <c r="AE904" s="736"/>
      <c r="AF904" s="624"/>
      <c r="AG904" s="624"/>
      <c r="AH904" s="624"/>
      <c r="AI904" s="624"/>
      <c r="AJ904" s="960">
        <f t="shared" si="6"/>
        <v>904</v>
      </c>
      <c r="AK904" s="961">
        <v>0.9771</v>
      </c>
      <c r="AL904" s="962">
        <v>16840.0</v>
      </c>
      <c r="AM904" s="963">
        <v>-0.5567079938757796</v>
      </c>
      <c r="AN904" s="964">
        <v>-0.02290000000000003</v>
      </c>
      <c r="AO904" s="962">
        <v>16840.0</v>
      </c>
      <c r="AP904" s="965">
        <v>-0.5481204525657726</v>
      </c>
      <c r="AQ904" s="962">
        <v>16840.0</v>
      </c>
      <c r="AR904" s="966">
        <v>-0.5397736596893534</v>
      </c>
      <c r="AS904" s="624"/>
      <c r="AT904" s="624"/>
      <c r="AU904" s="624"/>
      <c r="AV904" s="624"/>
      <c r="AW904" s="624"/>
      <c r="AX904" s="624"/>
      <c r="AY904" s="624"/>
      <c r="AZ904" s="624"/>
      <c r="BA904" s="624"/>
      <c r="BB904" s="624"/>
      <c r="BC904" s="624"/>
      <c r="BD904" s="624"/>
      <c r="BE904" s="624"/>
    </row>
    <row r="905" ht="16.5" customHeight="1">
      <c r="A905" s="711"/>
      <c r="B905" s="711"/>
      <c r="C905" s="711"/>
      <c r="D905" s="711"/>
      <c r="E905" s="711"/>
      <c r="F905" s="711"/>
      <c r="G905" s="711"/>
      <c r="H905" s="711"/>
      <c r="I905" s="711"/>
      <c r="J905" s="711"/>
      <c r="K905" s="741"/>
      <c r="L905" s="741"/>
      <c r="M905" s="788"/>
      <c r="N905" s="741"/>
      <c r="O905" s="741"/>
      <c r="P905" s="741"/>
      <c r="Q905" s="741"/>
      <c r="R905" s="788"/>
      <c r="S905" s="819"/>
      <c r="T905" s="820"/>
      <c r="U905" s="819"/>
      <c r="V905" s="820"/>
      <c r="W905" s="788"/>
      <c r="X905" s="803"/>
      <c r="Y905" s="803"/>
      <c r="Z905" s="803"/>
      <c r="AA905" s="711"/>
      <c r="AB905" s="711"/>
      <c r="AC905" s="711"/>
      <c r="AD905" s="736"/>
      <c r="AE905" s="736"/>
      <c r="AF905" s="624"/>
      <c r="AG905" s="624"/>
      <c r="AH905" s="624"/>
      <c r="AI905" s="624"/>
      <c r="AJ905" s="960">
        <f t="shared" si="6"/>
        <v>905</v>
      </c>
      <c r="AK905" s="961">
        <v>0.9769</v>
      </c>
      <c r="AL905" s="962">
        <v>16667.0</v>
      </c>
      <c r="AM905" s="963">
        <v>-0.5529876616271123</v>
      </c>
      <c r="AN905" s="964">
        <v>-0.02310000000000001</v>
      </c>
      <c r="AO905" s="962">
        <v>16667.0</v>
      </c>
      <c r="AP905" s="965">
        <v>-0.5444178582013488</v>
      </c>
      <c r="AQ905" s="962">
        <v>16667.0</v>
      </c>
      <c r="AR905" s="966">
        <v>-0.5360899095571021</v>
      </c>
      <c r="AS905" s="624"/>
      <c r="AT905" s="624"/>
      <c r="AU905" s="624"/>
      <c r="AV905" s="624"/>
      <c r="AW905" s="624"/>
      <c r="AX905" s="624"/>
      <c r="AY905" s="624"/>
      <c r="AZ905" s="624"/>
      <c r="BA905" s="624"/>
      <c r="BB905" s="624"/>
      <c r="BC905" s="624"/>
      <c r="BD905" s="624"/>
      <c r="BE905" s="624"/>
    </row>
    <row r="906" ht="16.5" customHeight="1">
      <c r="A906" s="711"/>
      <c r="B906" s="711"/>
      <c r="C906" s="711"/>
      <c r="D906" s="711"/>
      <c r="E906" s="711"/>
      <c r="F906" s="711"/>
      <c r="G906" s="711"/>
      <c r="H906" s="711"/>
      <c r="I906" s="711"/>
      <c r="J906" s="711"/>
      <c r="K906" s="741"/>
      <c r="L906" s="741"/>
      <c r="M906" s="788"/>
      <c r="N906" s="741"/>
      <c r="O906" s="741"/>
      <c r="P906" s="741"/>
      <c r="Q906" s="741"/>
      <c r="R906" s="788"/>
      <c r="S906" s="819"/>
      <c r="T906" s="820"/>
      <c r="U906" s="819"/>
      <c r="V906" s="820"/>
      <c r="W906" s="788"/>
      <c r="X906" s="803"/>
      <c r="Y906" s="803"/>
      <c r="Z906" s="803"/>
      <c r="AA906" s="711"/>
      <c r="AB906" s="711"/>
      <c r="AC906" s="711"/>
      <c r="AD906" s="736"/>
      <c r="AE906" s="736"/>
      <c r="AF906" s="624"/>
      <c r="AG906" s="624"/>
      <c r="AH906" s="624"/>
      <c r="AI906" s="624"/>
      <c r="AJ906" s="960">
        <f t="shared" si="6"/>
        <v>906</v>
      </c>
      <c r="AK906" s="961">
        <v>0.9499</v>
      </c>
      <c r="AL906" s="962">
        <v>16500.0</v>
      </c>
      <c r="AM906" s="963">
        <v>-0.549366743722921</v>
      </c>
      <c r="AN906" s="964">
        <v>-0.05010000000000003</v>
      </c>
      <c r="AO906" s="962">
        <v>16500.0</v>
      </c>
      <c r="AP906" s="965">
        <v>-0.5408149020911481</v>
      </c>
      <c r="AQ906" s="962">
        <v>16500.0</v>
      </c>
      <c r="AR906" s="966">
        <v>-0.5325059527990528</v>
      </c>
      <c r="AS906" s="624"/>
      <c r="AT906" s="624"/>
      <c r="AU906" s="624"/>
      <c r="AV906" s="624"/>
      <c r="AW906" s="624"/>
      <c r="AX906" s="624"/>
      <c r="AY906" s="624"/>
      <c r="AZ906" s="624"/>
      <c r="BA906" s="624"/>
      <c r="BB906" s="624"/>
      <c r="BC906" s="624"/>
      <c r="BD906" s="624"/>
      <c r="BE906" s="624"/>
    </row>
    <row r="907" ht="16.5" customHeight="1">
      <c r="A907" s="711"/>
      <c r="B907" s="711"/>
      <c r="C907" s="711"/>
      <c r="D907" s="711"/>
      <c r="E907" s="711"/>
      <c r="F907" s="711"/>
      <c r="G907" s="711"/>
      <c r="H907" s="711"/>
      <c r="I907" s="711"/>
      <c r="J907" s="711"/>
      <c r="K907" s="741"/>
      <c r="L907" s="741"/>
      <c r="M907" s="788"/>
      <c r="N907" s="741"/>
      <c r="O907" s="741"/>
      <c r="P907" s="741"/>
      <c r="Q907" s="741"/>
      <c r="R907" s="788"/>
      <c r="S907" s="819"/>
      <c r="T907" s="820"/>
      <c r="U907" s="819"/>
      <c r="V907" s="820"/>
      <c r="W907" s="788"/>
      <c r="X907" s="803"/>
      <c r="Y907" s="803"/>
      <c r="Z907" s="803"/>
      <c r="AA907" s="711"/>
      <c r="AB907" s="711"/>
      <c r="AC907" s="711"/>
      <c r="AD907" s="736"/>
      <c r="AE907" s="736"/>
      <c r="AF907" s="624"/>
      <c r="AG907" s="624"/>
      <c r="AH907" s="624"/>
      <c r="AI907" s="624"/>
      <c r="AJ907" s="960">
        <f t="shared" si="6"/>
        <v>907</v>
      </c>
      <c r="AK907" s="961">
        <v>0.9951</v>
      </c>
      <c r="AL907" s="962">
        <v>16302.0</v>
      </c>
      <c r="AM907" s="963">
        <v>-0.5450356577957545</v>
      </c>
      <c r="AN907" s="964">
        <v>-0.0049000000000000155</v>
      </c>
      <c r="AO907" s="962">
        <v>16302.0</v>
      </c>
      <c r="AP907" s="965">
        <v>-0.5365061970345532</v>
      </c>
      <c r="AQ907" s="962">
        <v>16302.0</v>
      </c>
      <c r="AR907" s="966">
        <v>-0.5282208189530759</v>
      </c>
      <c r="AS907" s="624"/>
      <c r="AT907" s="624"/>
      <c r="AU907" s="624"/>
      <c r="AV907" s="624"/>
      <c r="AW907" s="624"/>
      <c r="AX907" s="624"/>
      <c r="AY907" s="624"/>
      <c r="AZ907" s="624"/>
      <c r="BA907" s="624"/>
      <c r="BB907" s="624"/>
      <c r="BC907" s="624"/>
      <c r="BD907" s="624"/>
      <c r="BE907" s="624"/>
    </row>
    <row r="908" ht="16.5" customHeight="1">
      <c r="A908" s="711"/>
      <c r="B908" s="711"/>
      <c r="C908" s="711"/>
      <c r="D908" s="711"/>
      <c r="E908" s="711"/>
      <c r="F908" s="711"/>
      <c r="G908" s="711"/>
      <c r="H908" s="711"/>
      <c r="I908" s="711"/>
      <c r="J908" s="711"/>
      <c r="K908" s="741"/>
      <c r="L908" s="741"/>
      <c r="M908" s="788"/>
      <c r="N908" s="741"/>
      <c r="O908" s="741"/>
      <c r="P908" s="741"/>
      <c r="Q908" s="741"/>
      <c r="R908" s="788"/>
      <c r="S908" s="819"/>
      <c r="T908" s="820"/>
      <c r="U908" s="819"/>
      <c r="V908" s="820"/>
      <c r="W908" s="788"/>
      <c r="X908" s="803"/>
      <c r="Y908" s="803"/>
      <c r="Z908" s="803"/>
      <c r="AA908" s="711"/>
      <c r="AB908" s="711"/>
      <c r="AC908" s="711"/>
      <c r="AD908" s="736"/>
      <c r="AE908" s="736"/>
      <c r="AF908" s="624"/>
      <c r="AG908" s="624"/>
      <c r="AH908" s="624"/>
      <c r="AI908" s="624"/>
      <c r="AJ908" s="960">
        <f t="shared" si="6"/>
        <v>908</v>
      </c>
      <c r="AK908" s="961">
        <v>0.9978</v>
      </c>
      <c r="AL908" s="962">
        <v>16300.0</v>
      </c>
      <c r="AM908" s="963">
        <v>-0.5449916977646563</v>
      </c>
      <c r="AN908" s="964">
        <v>-0.0021999999999999797</v>
      </c>
      <c r="AO908" s="962">
        <v>16300.0</v>
      </c>
      <c r="AP908" s="965">
        <v>-0.5364624691414807</v>
      </c>
      <c r="AQ908" s="962">
        <v>16300.0</v>
      </c>
      <c r="AR908" s="966">
        <v>-0.5281773349970675</v>
      </c>
      <c r="AS908" s="624"/>
      <c r="AT908" s="624"/>
      <c r="AU908" s="624"/>
      <c r="AV908" s="624"/>
      <c r="AW908" s="624"/>
      <c r="AX908" s="624"/>
      <c r="AY908" s="624"/>
      <c r="AZ908" s="624"/>
      <c r="BA908" s="624"/>
      <c r="BB908" s="624"/>
      <c r="BC908" s="624"/>
      <c r="BD908" s="624"/>
      <c r="BE908" s="624"/>
    </row>
    <row r="909" ht="16.5" customHeight="1">
      <c r="A909" s="711"/>
      <c r="B909" s="711"/>
      <c r="C909" s="711"/>
      <c r="D909" s="711"/>
      <c r="E909" s="711"/>
      <c r="F909" s="711"/>
      <c r="G909" s="711"/>
      <c r="H909" s="711"/>
      <c r="I909" s="711"/>
      <c r="J909" s="711"/>
      <c r="K909" s="741"/>
      <c r="L909" s="741"/>
      <c r="M909" s="788"/>
      <c r="N909" s="741"/>
      <c r="O909" s="741"/>
      <c r="P909" s="741"/>
      <c r="Q909" s="741"/>
      <c r="R909" s="788"/>
      <c r="S909" s="819"/>
      <c r="T909" s="820"/>
      <c r="U909" s="819"/>
      <c r="V909" s="820"/>
      <c r="W909" s="788"/>
      <c r="X909" s="803"/>
      <c r="Y909" s="803"/>
      <c r="Z909" s="803"/>
      <c r="AA909" s="711"/>
      <c r="AB909" s="711"/>
      <c r="AC909" s="711"/>
      <c r="AD909" s="736"/>
      <c r="AE909" s="736"/>
      <c r="AF909" s="624"/>
      <c r="AG909" s="624"/>
      <c r="AH909" s="624"/>
      <c r="AI909" s="624"/>
      <c r="AJ909" s="960">
        <f t="shared" si="6"/>
        <v>909</v>
      </c>
      <c r="AK909" s="961">
        <v>0.9799</v>
      </c>
      <c r="AL909" s="962">
        <v>16133.0</v>
      </c>
      <c r="AM909" s="963">
        <v>-0.5413060104431013</v>
      </c>
      <c r="AN909" s="964">
        <v>-0.020100000000000007</v>
      </c>
      <c r="AO909" s="962">
        <v>16133.0</v>
      </c>
      <c r="AP909" s="965">
        <v>-0.5327965981033393</v>
      </c>
      <c r="AQ909" s="962">
        <v>16133.0</v>
      </c>
      <c r="AR909" s="966">
        <v>-0.524532249314142</v>
      </c>
      <c r="AS909" s="624"/>
      <c r="AT909" s="624"/>
      <c r="AU909" s="624"/>
      <c r="AV909" s="624"/>
      <c r="AW909" s="624"/>
      <c r="AX909" s="624"/>
      <c r="AY909" s="624"/>
      <c r="AZ909" s="624"/>
      <c r="BA909" s="624"/>
      <c r="BB909" s="624"/>
      <c r="BC909" s="624"/>
      <c r="BD909" s="624"/>
      <c r="BE909" s="624"/>
    </row>
    <row r="910" ht="16.5" customHeight="1">
      <c r="A910" s="711"/>
      <c r="B910" s="711"/>
      <c r="C910" s="711"/>
      <c r="D910" s="711"/>
      <c r="E910" s="711"/>
      <c r="F910" s="711"/>
      <c r="G910" s="711"/>
      <c r="H910" s="711"/>
      <c r="I910" s="711"/>
      <c r="J910" s="711"/>
      <c r="K910" s="741"/>
      <c r="L910" s="741"/>
      <c r="M910" s="788"/>
      <c r="N910" s="741"/>
      <c r="O910" s="741"/>
      <c r="P910" s="741"/>
      <c r="Q910" s="741"/>
      <c r="R910" s="788"/>
      <c r="S910" s="819"/>
      <c r="T910" s="820"/>
      <c r="U910" s="819"/>
      <c r="V910" s="820"/>
      <c r="W910" s="788"/>
      <c r="X910" s="803"/>
      <c r="Y910" s="803"/>
      <c r="Z910" s="803"/>
      <c r="AA910" s="711"/>
      <c r="AB910" s="711"/>
      <c r="AC910" s="711"/>
      <c r="AD910" s="736"/>
      <c r="AE910" s="736"/>
      <c r="AF910" s="624"/>
      <c r="AG910" s="624"/>
      <c r="AH910" s="624"/>
      <c r="AI910" s="624"/>
      <c r="AJ910" s="960">
        <f t="shared" si="6"/>
        <v>910</v>
      </c>
      <c r="AK910" s="961">
        <v>0.9749</v>
      </c>
      <c r="AL910" s="962">
        <v>16093.0</v>
      </c>
      <c r="AM910" s="963">
        <v>-0.5404187883025074</v>
      </c>
      <c r="AN910" s="964">
        <v>-0.02510000000000001</v>
      </c>
      <c r="AO910" s="962">
        <v>16093.0</v>
      </c>
      <c r="AP910" s="965">
        <v>-0.5319142501086978</v>
      </c>
      <c r="AQ910" s="962">
        <v>16093.0</v>
      </c>
      <c r="AR910" s="966">
        <v>-0.523655002790282</v>
      </c>
      <c r="AS910" s="624"/>
      <c r="AT910" s="624"/>
      <c r="AU910" s="624"/>
      <c r="AV910" s="624"/>
      <c r="AW910" s="624"/>
      <c r="AX910" s="624"/>
      <c r="AY910" s="624"/>
      <c r="AZ910" s="624"/>
      <c r="BA910" s="624"/>
      <c r="BB910" s="624"/>
      <c r="BC910" s="624"/>
      <c r="BD910" s="624"/>
      <c r="BE910" s="624"/>
    </row>
    <row r="911" ht="16.5" customHeight="1">
      <c r="A911" s="711"/>
      <c r="B911" s="711"/>
      <c r="C911" s="711"/>
      <c r="D911" s="711"/>
      <c r="E911" s="711"/>
      <c r="F911" s="711"/>
      <c r="G911" s="711"/>
      <c r="H911" s="711"/>
      <c r="I911" s="711"/>
      <c r="J911" s="711"/>
      <c r="K911" s="741"/>
      <c r="L911" s="741"/>
      <c r="M911" s="788"/>
      <c r="N911" s="741"/>
      <c r="O911" s="741"/>
      <c r="P911" s="741"/>
      <c r="Q911" s="741"/>
      <c r="R911" s="788"/>
      <c r="S911" s="819"/>
      <c r="T911" s="820"/>
      <c r="U911" s="819"/>
      <c r="V911" s="820"/>
      <c r="W911" s="788"/>
      <c r="X911" s="803"/>
      <c r="Y911" s="803"/>
      <c r="Z911" s="803"/>
      <c r="AA911" s="711"/>
      <c r="AB911" s="711"/>
      <c r="AC911" s="711"/>
      <c r="AD911" s="736"/>
      <c r="AE911" s="736"/>
      <c r="AF911" s="624"/>
      <c r="AG911" s="624"/>
      <c r="AH911" s="624"/>
      <c r="AI911" s="624"/>
      <c r="AJ911" s="960">
        <f t="shared" si="6"/>
        <v>911</v>
      </c>
      <c r="AK911" s="961">
        <v>0.9599</v>
      </c>
      <c r="AL911" s="962">
        <v>16045.0</v>
      </c>
      <c r="AM911" s="963">
        <v>-0.5393518561944934</v>
      </c>
      <c r="AN911" s="964">
        <v>-0.040100000000000025</v>
      </c>
      <c r="AO911" s="962">
        <v>16045.0</v>
      </c>
      <c r="AP911" s="965">
        <v>-0.5308532326178794</v>
      </c>
      <c r="AQ911" s="962">
        <v>16045.0</v>
      </c>
      <c r="AR911" s="966">
        <v>-0.5226001702320153</v>
      </c>
      <c r="AS911" s="624"/>
      <c r="AT911" s="624"/>
      <c r="AU911" s="624"/>
      <c r="AV911" s="624"/>
      <c r="AW911" s="624"/>
      <c r="AX911" s="624"/>
      <c r="AY911" s="624"/>
      <c r="AZ911" s="624"/>
      <c r="BA911" s="624"/>
      <c r="BB911" s="624"/>
      <c r="BC911" s="624"/>
      <c r="BD911" s="624"/>
      <c r="BE911" s="624"/>
    </row>
    <row r="912" ht="16.5" customHeight="1">
      <c r="A912" s="711"/>
      <c r="B912" s="711"/>
      <c r="C912" s="711"/>
      <c r="D912" s="711"/>
      <c r="E912" s="711"/>
      <c r="F912" s="711"/>
      <c r="G912" s="711"/>
      <c r="H912" s="711"/>
      <c r="I912" s="711"/>
      <c r="J912" s="711"/>
      <c r="K912" s="741"/>
      <c r="L912" s="741"/>
      <c r="M912" s="788"/>
      <c r="N912" s="741"/>
      <c r="O912" s="741"/>
      <c r="P912" s="741"/>
      <c r="Q912" s="741"/>
      <c r="R912" s="788"/>
      <c r="S912" s="819"/>
      <c r="T912" s="820"/>
      <c r="U912" s="819"/>
      <c r="V912" s="820"/>
      <c r="W912" s="788"/>
      <c r="X912" s="803"/>
      <c r="Y912" s="803"/>
      <c r="Z912" s="803"/>
      <c r="AA912" s="711"/>
      <c r="AB912" s="711"/>
      <c r="AC912" s="711"/>
      <c r="AD912" s="736"/>
      <c r="AE912" s="736"/>
      <c r="AF912" s="624"/>
      <c r="AG912" s="624"/>
      <c r="AH912" s="624"/>
      <c r="AI912" s="624"/>
      <c r="AJ912" s="960">
        <f t="shared" si="6"/>
        <v>912</v>
      </c>
      <c r="AK912" s="961">
        <v>0.9721</v>
      </c>
      <c r="AL912" s="962">
        <v>16011.0</v>
      </c>
      <c r="AM912" s="963">
        <v>-0.5385946143357037</v>
      </c>
      <c r="AN912" s="964">
        <v>-0.027900000000000036</v>
      </c>
      <c r="AO912" s="962">
        <v>16011.0</v>
      </c>
      <c r="AP912" s="965">
        <v>-0.5301002237584497</v>
      </c>
      <c r="AQ912" s="962">
        <v>16011.0</v>
      </c>
      <c r="AR912" s="966">
        <v>-0.5218515842019966</v>
      </c>
      <c r="AS912" s="624"/>
      <c r="AT912" s="624"/>
      <c r="AU912" s="624"/>
      <c r="AV912" s="624"/>
      <c r="AW912" s="624"/>
      <c r="AX912" s="624"/>
      <c r="AY912" s="624"/>
      <c r="AZ912" s="624"/>
      <c r="BA912" s="624"/>
      <c r="BB912" s="624"/>
      <c r="BC912" s="624"/>
      <c r="BD912" s="624"/>
      <c r="BE912" s="624"/>
    </row>
    <row r="913" ht="16.5" customHeight="1">
      <c r="A913" s="711"/>
      <c r="B913" s="711"/>
      <c r="C913" s="711"/>
      <c r="D913" s="711"/>
      <c r="E913" s="711"/>
      <c r="F913" s="711"/>
      <c r="G913" s="711"/>
      <c r="H913" s="711"/>
      <c r="I913" s="711"/>
      <c r="J913" s="711"/>
      <c r="K913" s="741"/>
      <c r="L913" s="741"/>
      <c r="M913" s="788"/>
      <c r="N913" s="741"/>
      <c r="O913" s="741"/>
      <c r="P913" s="741"/>
      <c r="Q913" s="741"/>
      <c r="R913" s="788"/>
      <c r="S913" s="819"/>
      <c r="T913" s="820"/>
      <c r="U913" s="819"/>
      <c r="V913" s="820"/>
      <c r="W913" s="788"/>
      <c r="X913" s="803"/>
      <c r="Y913" s="803"/>
      <c r="Z913" s="803"/>
      <c r="AA913" s="711"/>
      <c r="AB913" s="711"/>
      <c r="AC913" s="711"/>
      <c r="AD913" s="736"/>
      <c r="AE913" s="736"/>
      <c r="AF913" s="624"/>
      <c r="AG913" s="624"/>
      <c r="AH913" s="624"/>
      <c r="AI913" s="624"/>
      <c r="AJ913" s="960">
        <f t="shared" si="6"/>
        <v>913</v>
      </c>
      <c r="AK913" s="961">
        <v>0.9822</v>
      </c>
      <c r="AL913" s="962">
        <v>15930.0</v>
      </c>
      <c r="AM913" s="963">
        <v>-0.5367855778896783</v>
      </c>
      <c r="AN913" s="964">
        <v>-0.017800000000000038</v>
      </c>
      <c r="AO913" s="962">
        <v>15930.0</v>
      </c>
      <c r="AP913" s="965">
        <v>-0.5283014177618901</v>
      </c>
      <c r="AQ913" s="962">
        <v>15930.0</v>
      </c>
      <c r="AR913" s="966">
        <v>-0.520063455361247</v>
      </c>
      <c r="AS913" s="624"/>
      <c r="AT913" s="624"/>
      <c r="AU913" s="624"/>
      <c r="AV913" s="624"/>
      <c r="AW913" s="624"/>
      <c r="AX913" s="624"/>
      <c r="AY913" s="624"/>
      <c r="AZ913" s="624"/>
      <c r="BA913" s="624"/>
      <c r="BB913" s="624"/>
      <c r="BC913" s="624"/>
      <c r="BD913" s="624"/>
      <c r="BE913" s="624"/>
    </row>
    <row r="914" ht="16.5" customHeight="1">
      <c r="A914" s="711"/>
      <c r="B914" s="711"/>
      <c r="C914" s="711"/>
      <c r="D914" s="711"/>
      <c r="E914" s="711"/>
      <c r="F914" s="711"/>
      <c r="G914" s="711"/>
      <c r="H914" s="711"/>
      <c r="I914" s="711"/>
      <c r="J914" s="711"/>
      <c r="K914" s="741"/>
      <c r="L914" s="741"/>
      <c r="M914" s="788"/>
      <c r="N914" s="741"/>
      <c r="O914" s="741"/>
      <c r="P914" s="741"/>
      <c r="Q914" s="741"/>
      <c r="R914" s="788"/>
      <c r="S914" s="819"/>
      <c r="T914" s="820"/>
      <c r="U914" s="819"/>
      <c r="V914" s="820"/>
      <c r="W914" s="788"/>
      <c r="X914" s="803"/>
      <c r="Y914" s="803"/>
      <c r="Z914" s="803"/>
      <c r="AA914" s="711"/>
      <c r="AB914" s="711"/>
      <c r="AC914" s="711"/>
      <c r="AD914" s="736"/>
      <c r="AE914" s="736"/>
      <c r="AF914" s="624"/>
      <c r="AG914" s="624"/>
      <c r="AH914" s="624"/>
      <c r="AI914" s="624"/>
      <c r="AJ914" s="960">
        <f t="shared" si="6"/>
        <v>914</v>
      </c>
      <c r="AK914" s="961">
        <v>0.9956</v>
      </c>
      <c r="AL914" s="962">
        <v>15800.0</v>
      </c>
      <c r="AM914" s="963">
        <v>-0.533867347876039</v>
      </c>
      <c r="AN914" s="964">
        <v>-0.0043999999999999595</v>
      </c>
      <c r="AO914" s="962">
        <v>15800.0</v>
      </c>
      <c r="AP914" s="965">
        <v>-0.5254000398129823</v>
      </c>
      <c r="AQ914" s="962">
        <v>15800.0</v>
      </c>
      <c r="AR914" s="966">
        <v>-0.5171796299097824</v>
      </c>
      <c r="AS914" s="624"/>
      <c r="AT914" s="624"/>
      <c r="AU914" s="624"/>
      <c r="AV914" s="624"/>
      <c r="AW914" s="624"/>
      <c r="AX914" s="624"/>
      <c r="AY914" s="624"/>
      <c r="AZ914" s="624"/>
      <c r="BA914" s="624"/>
      <c r="BB914" s="624"/>
      <c r="BC914" s="624"/>
      <c r="BD914" s="624"/>
      <c r="BE914" s="624"/>
    </row>
    <row r="915" ht="16.5" customHeight="1">
      <c r="A915" s="711"/>
      <c r="B915" s="711"/>
      <c r="C915" s="711"/>
      <c r="D915" s="711"/>
      <c r="E915" s="711"/>
      <c r="F915" s="711"/>
      <c r="G915" s="711"/>
      <c r="H915" s="711"/>
      <c r="I915" s="711"/>
      <c r="J915" s="711"/>
      <c r="K915" s="741"/>
      <c r="L915" s="741"/>
      <c r="M915" s="788"/>
      <c r="N915" s="741"/>
      <c r="O915" s="741"/>
      <c r="P915" s="741"/>
      <c r="Q915" s="741"/>
      <c r="R915" s="788"/>
      <c r="S915" s="819"/>
      <c r="T915" s="820"/>
      <c r="U915" s="819"/>
      <c r="V915" s="820"/>
      <c r="W915" s="788"/>
      <c r="X915" s="803"/>
      <c r="Y915" s="803"/>
      <c r="Z915" s="803"/>
      <c r="AA915" s="711"/>
      <c r="AB915" s="711"/>
      <c r="AC915" s="711"/>
      <c r="AD915" s="736"/>
      <c r="AE915" s="736"/>
      <c r="AF915" s="624"/>
      <c r="AG915" s="624"/>
      <c r="AH915" s="624"/>
      <c r="AI915" s="624"/>
      <c r="AJ915" s="960">
        <f t="shared" si="6"/>
        <v>915</v>
      </c>
      <c r="AK915" s="961">
        <v>0.9898</v>
      </c>
      <c r="AL915" s="962">
        <v>15772.0</v>
      </c>
      <c r="AM915" s="963">
        <v>-0.5332364036496016</v>
      </c>
      <c r="AN915" s="964">
        <v>-0.010199999999999987</v>
      </c>
      <c r="AO915" s="962">
        <v>15772.0</v>
      </c>
      <c r="AP915" s="965">
        <v>-0.524772795550157</v>
      </c>
      <c r="AQ915" s="962">
        <v>15772.0</v>
      </c>
      <c r="AR915" s="966">
        <v>-0.5165562337793004</v>
      </c>
      <c r="AS915" s="624"/>
      <c r="AT915" s="624"/>
      <c r="AU915" s="624"/>
      <c r="AV915" s="624"/>
      <c r="AW915" s="624"/>
      <c r="AX915" s="624"/>
      <c r="AY915" s="624"/>
      <c r="AZ915" s="624"/>
      <c r="BA915" s="624"/>
      <c r="BB915" s="624"/>
      <c r="BC915" s="624"/>
      <c r="BD915" s="624"/>
      <c r="BE915" s="624"/>
    </row>
    <row r="916" ht="16.5" customHeight="1">
      <c r="A916" s="711"/>
      <c r="B916" s="711"/>
      <c r="C916" s="711"/>
      <c r="D916" s="711"/>
      <c r="E916" s="711"/>
      <c r="F916" s="711"/>
      <c r="G916" s="711"/>
      <c r="H916" s="711"/>
      <c r="I916" s="711"/>
      <c r="J916" s="711"/>
      <c r="K916" s="741"/>
      <c r="L916" s="741"/>
      <c r="M916" s="788"/>
      <c r="N916" s="741"/>
      <c r="O916" s="741"/>
      <c r="P916" s="741"/>
      <c r="Q916" s="741"/>
      <c r="R916" s="788"/>
      <c r="S916" s="819"/>
      <c r="T916" s="820"/>
      <c r="U916" s="819"/>
      <c r="V916" s="820"/>
      <c r="W916" s="788"/>
      <c r="X916" s="803"/>
      <c r="Y916" s="803"/>
      <c r="Z916" s="803"/>
      <c r="AA916" s="711"/>
      <c r="AB916" s="711"/>
      <c r="AC916" s="711"/>
      <c r="AD916" s="736"/>
      <c r="AE916" s="736"/>
      <c r="AF916" s="624"/>
      <c r="AG916" s="624"/>
      <c r="AH916" s="624"/>
      <c r="AI916" s="624"/>
      <c r="AJ916" s="960">
        <f t="shared" si="6"/>
        <v>916</v>
      </c>
      <c r="AK916" s="961">
        <v>0.9487</v>
      </c>
      <c r="AL916" s="962">
        <v>15514.0</v>
      </c>
      <c r="AM916" s="963">
        <v>-0.5273823645095667</v>
      </c>
      <c r="AN916" s="964">
        <v>-0.05130000000000001</v>
      </c>
      <c r="AO916" s="962">
        <v>15514.0</v>
      </c>
      <c r="AP916" s="965">
        <v>-0.5189540353457186</v>
      </c>
      <c r="AQ916" s="962">
        <v>15514.0</v>
      </c>
      <c r="AR916" s="966">
        <v>-0.5107740719119809</v>
      </c>
      <c r="AS916" s="624"/>
      <c r="AT916" s="624"/>
      <c r="AU916" s="624"/>
      <c r="AV916" s="624"/>
      <c r="AW916" s="624"/>
      <c r="AX916" s="624"/>
      <c r="AY916" s="624"/>
      <c r="AZ916" s="624"/>
      <c r="BA916" s="624"/>
      <c r="BB916" s="624"/>
      <c r="BC916" s="624"/>
      <c r="BD916" s="624"/>
      <c r="BE916" s="624"/>
    </row>
    <row r="917" ht="16.5" customHeight="1">
      <c r="A917" s="711"/>
      <c r="B917" s="711"/>
      <c r="C917" s="711"/>
      <c r="D917" s="711"/>
      <c r="E917" s="711"/>
      <c r="F917" s="711"/>
      <c r="G917" s="711"/>
      <c r="H917" s="711"/>
      <c r="I917" s="711"/>
      <c r="J917" s="711"/>
      <c r="K917" s="741"/>
      <c r="L917" s="741"/>
      <c r="M917" s="788"/>
      <c r="N917" s="741"/>
      <c r="O917" s="741"/>
      <c r="P917" s="741"/>
      <c r="Q917" s="741"/>
      <c r="R917" s="788"/>
      <c r="S917" s="819"/>
      <c r="T917" s="820"/>
      <c r="U917" s="819"/>
      <c r="V917" s="820"/>
      <c r="W917" s="788"/>
      <c r="X917" s="803"/>
      <c r="Y917" s="803"/>
      <c r="Z917" s="803"/>
      <c r="AA917" s="711"/>
      <c r="AB917" s="711"/>
      <c r="AC917" s="711"/>
      <c r="AD917" s="736"/>
      <c r="AE917" s="736"/>
      <c r="AF917" s="624"/>
      <c r="AG917" s="624"/>
      <c r="AH917" s="624"/>
      <c r="AI917" s="624"/>
      <c r="AJ917" s="960">
        <f t="shared" si="6"/>
        <v>917</v>
      </c>
      <c r="AK917" s="961">
        <v>0.9681</v>
      </c>
      <c r="AL917" s="962">
        <v>15504.0</v>
      </c>
      <c r="AM917" s="963">
        <v>-0.5271539916531778</v>
      </c>
      <c r="AN917" s="964">
        <v>-0.03190000000000004</v>
      </c>
      <c r="AO917" s="962">
        <v>15504.0</v>
      </c>
      <c r="AP917" s="965">
        <v>-0.5187270733472601</v>
      </c>
      <c r="AQ917" s="962">
        <v>15504.0</v>
      </c>
      <c r="AR917" s="966">
        <v>-0.5105485702206104</v>
      </c>
      <c r="AS917" s="624"/>
      <c r="AT917" s="624"/>
      <c r="AU917" s="624"/>
      <c r="AV917" s="624"/>
      <c r="AW917" s="624"/>
      <c r="AX917" s="624"/>
      <c r="AY917" s="624"/>
      <c r="AZ917" s="624"/>
      <c r="BA917" s="624"/>
      <c r="BB917" s="624"/>
      <c r="BC917" s="624"/>
      <c r="BD917" s="624"/>
      <c r="BE917" s="624"/>
    </row>
    <row r="918" ht="16.5" customHeight="1">
      <c r="A918" s="711"/>
      <c r="B918" s="711"/>
      <c r="C918" s="711"/>
      <c r="D918" s="711"/>
      <c r="E918" s="711"/>
      <c r="F918" s="711"/>
      <c r="G918" s="711"/>
      <c r="H918" s="711"/>
      <c r="I918" s="711"/>
      <c r="J918" s="711"/>
      <c r="K918" s="741"/>
      <c r="L918" s="741"/>
      <c r="M918" s="788"/>
      <c r="N918" s="741"/>
      <c r="O918" s="741"/>
      <c r="P918" s="741"/>
      <c r="Q918" s="741"/>
      <c r="R918" s="788"/>
      <c r="S918" s="819"/>
      <c r="T918" s="820"/>
      <c r="U918" s="819"/>
      <c r="V918" s="820"/>
      <c r="W918" s="788"/>
      <c r="X918" s="803"/>
      <c r="Y918" s="803"/>
      <c r="Z918" s="803"/>
      <c r="AA918" s="711"/>
      <c r="AB918" s="711"/>
      <c r="AC918" s="711"/>
      <c r="AD918" s="736"/>
      <c r="AE918" s="736"/>
      <c r="AF918" s="624"/>
      <c r="AG918" s="624"/>
      <c r="AH918" s="624"/>
      <c r="AI918" s="624"/>
      <c r="AJ918" s="960">
        <f t="shared" si="6"/>
        <v>918</v>
      </c>
      <c r="AK918" s="961">
        <v>0.9534</v>
      </c>
      <c r="AL918" s="962">
        <v>15471.0</v>
      </c>
      <c r="AM918" s="963">
        <v>-0.5263995779916577</v>
      </c>
      <c r="AN918" s="964">
        <v>-0.046599999999999975</v>
      </c>
      <c r="AO918" s="962">
        <v>15471.0</v>
      </c>
      <c r="AP918" s="965">
        <v>-0.5179773387250219</v>
      </c>
      <c r="AQ918" s="962">
        <v>15471.0</v>
      </c>
      <c r="AR918" s="966">
        <v>-0.5098036769115248</v>
      </c>
      <c r="AS918" s="624"/>
      <c r="AT918" s="624"/>
      <c r="AU918" s="624"/>
      <c r="AV918" s="624"/>
      <c r="AW918" s="624"/>
      <c r="AX918" s="624"/>
      <c r="AY918" s="624"/>
      <c r="AZ918" s="624"/>
      <c r="BA918" s="624"/>
      <c r="BB918" s="624"/>
      <c r="BC918" s="624"/>
      <c r="BD918" s="624"/>
      <c r="BE918" s="624"/>
    </row>
    <row r="919" ht="16.5" customHeight="1">
      <c r="A919" s="711"/>
      <c r="B919" s="711"/>
      <c r="C919" s="711"/>
      <c r="D919" s="711"/>
      <c r="E919" s="711"/>
      <c r="F919" s="711"/>
      <c r="G919" s="711"/>
      <c r="H919" s="711"/>
      <c r="I919" s="711"/>
      <c r="J919" s="711"/>
      <c r="K919" s="741"/>
      <c r="L919" s="741"/>
      <c r="M919" s="788"/>
      <c r="N919" s="741"/>
      <c r="O919" s="741"/>
      <c r="P919" s="741"/>
      <c r="Q919" s="741"/>
      <c r="R919" s="788"/>
      <c r="S919" s="819"/>
      <c r="T919" s="820"/>
      <c r="U919" s="819"/>
      <c r="V919" s="820"/>
      <c r="W919" s="788"/>
      <c r="X919" s="803"/>
      <c r="Y919" s="803"/>
      <c r="Z919" s="803"/>
      <c r="AA919" s="711"/>
      <c r="AB919" s="711"/>
      <c r="AC919" s="711"/>
      <c r="AD919" s="736"/>
      <c r="AE919" s="736"/>
      <c r="AF919" s="624"/>
      <c r="AG919" s="624"/>
      <c r="AH919" s="624"/>
      <c r="AI919" s="624"/>
      <c r="AJ919" s="960">
        <f t="shared" si="6"/>
        <v>919</v>
      </c>
      <c r="AK919" s="961">
        <v>0.9423</v>
      </c>
      <c r="AL919" s="962">
        <v>15425.0</v>
      </c>
      <c r="AM919" s="963">
        <v>-0.5253459623589671</v>
      </c>
      <c r="AN919" s="964">
        <v>-0.057699999999999974</v>
      </c>
      <c r="AO919" s="962">
        <v>15425.0</v>
      </c>
      <c r="AP919" s="965">
        <v>-0.5169303049756793</v>
      </c>
      <c r="AQ919" s="962">
        <v>15425.0</v>
      </c>
      <c r="AR919" s="966">
        <v>-0.5087634489090698</v>
      </c>
      <c r="AS919" s="624"/>
      <c r="AT919" s="624"/>
      <c r="AU919" s="624"/>
      <c r="AV919" s="624"/>
      <c r="AW919" s="624"/>
      <c r="AX919" s="624"/>
      <c r="AY919" s="624"/>
      <c r="AZ919" s="624"/>
      <c r="BA919" s="624"/>
      <c r="BB919" s="624"/>
      <c r="BC919" s="624"/>
      <c r="BD919" s="624"/>
      <c r="BE919" s="624"/>
    </row>
    <row r="920" ht="16.5" customHeight="1">
      <c r="A920" s="711"/>
      <c r="B920" s="711"/>
      <c r="C920" s="711"/>
      <c r="D920" s="711"/>
      <c r="E920" s="711"/>
      <c r="F920" s="711"/>
      <c r="G920" s="711"/>
      <c r="H920" s="711"/>
      <c r="I920" s="711"/>
      <c r="J920" s="711"/>
      <c r="K920" s="741"/>
      <c r="L920" s="741"/>
      <c r="M920" s="788"/>
      <c r="N920" s="741"/>
      <c r="O920" s="741"/>
      <c r="P920" s="741"/>
      <c r="Q920" s="741"/>
      <c r="R920" s="788"/>
      <c r="S920" s="819"/>
      <c r="T920" s="820"/>
      <c r="U920" s="819"/>
      <c r="V920" s="820"/>
      <c r="W920" s="788"/>
      <c r="X920" s="803"/>
      <c r="Y920" s="803"/>
      <c r="Z920" s="803"/>
      <c r="AA920" s="711"/>
      <c r="AB920" s="711"/>
      <c r="AC920" s="711"/>
      <c r="AD920" s="736"/>
      <c r="AE920" s="736"/>
      <c r="AF920" s="624"/>
      <c r="AG920" s="624"/>
      <c r="AH920" s="624"/>
      <c r="AI920" s="624"/>
      <c r="AJ920" s="960">
        <f t="shared" si="6"/>
        <v>920</v>
      </c>
      <c r="AK920" s="961">
        <v>0.9961</v>
      </c>
      <c r="AL920" s="962">
        <v>15300.0</v>
      </c>
      <c r="AM920" s="963">
        <v>-0.5224710223776659</v>
      </c>
      <c r="AN920" s="964">
        <v>-0.0039000000000000146</v>
      </c>
      <c r="AO920" s="962">
        <v>15300.0</v>
      </c>
      <c r="AP920" s="965">
        <v>-0.5140736030751567</v>
      </c>
      <c r="AQ920" s="962">
        <v>15300.0</v>
      </c>
      <c r="AR920" s="966">
        <v>-0.5059255795339849</v>
      </c>
      <c r="AS920" s="624"/>
      <c r="AT920" s="624"/>
      <c r="AU920" s="624"/>
      <c r="AV920" s="624"/>
      <c r="AW920" s="624"/>
      <c r="AX920" s="624"/>
      <c r="AY920" s="624"/>
      <c r="AZ920" s="624"/>
      <c r="BA920" s="624"/>
      <c r="BB920" s="624"/>
      <c r="BC920" s="624"/>
      <c r="BD920" s="624"/>
      <c r="BE920" s="624"/>
    </row>
    <row r="921" ht="16.5" customHeight="1">
      <c r="A921" s="711"/>
      <c r="B921" s="711"/>
      <c r="C921" s="711"/>
      <c r="D921" s="711"/>
      <c r="E921" s="711"/>
      <c r="F921" s="711"/>
      <c r="G921" s="711"/>
      <c r="H921" s="711"/>
      <c r="I921" s="711"/>
      <c r="J921" s="711"/>
      <c r="K921" s="741"/>
      <c r="L921" s="741"/>
      <c r="M921" s="788"/>
      <c r="N921" s="741"/>
      <c r="O921" s="741"/>
      <c r="P921" s="741"/>
      <c r="Q921" s="741"/>
      <c r="R921" s="788"/>
      <c r="S921" s="819"/>
      <c r="T921" s="820"/>
      <c r="U921" s="819"/>
      <c r="V921" s="820"/>
      <c r="W921" s="788"/>
      <c r="X921" s="803"/>
      <c r="Y921" s="803"/>
      <c r="Z921" s="803"/>
      <c r="AA921" s="711"/>
      <c r="AB921" s="711"/>
      <c r="AC921" s="711"/>
      <c r="AD921" s="736"/>
      <c r="AE921" s="736"/>
      <c r="AF921" s="624"/>
      <c r="AG921" s="624"/>
      <c r="AH921" s="624"/>
      <c r="AI921" s="624"/>
      <c r="AJ921" s="960">
        <f t="shared" si="6"/>
        <v>921</v>
      </c>
      <c r="AK921" s="961">
        <v>0.9863</v>
      </c>
      <c r="AL921" s="962">
        <v>15300.0</v>
      </c>
      <c r="AM921" s="963">
        <v>-0.5224710223776659</v>
      </c>
      <c r="AN921" s="964">
        <v>-0.013700000000000045</v>
      </c>
      <c r="AO921" s="962">
        <v>15300.0</v>
      </c>
      <c r="AP921" s="965">
        <v>-0.5140736030751567</v>
      </c>
      <c r="AQ921" s="962">
        <v>15300.0</v>
      </c>
      <c r="AR921" s="966">
        <v>-0.5059255795339849</v>
      </c>
      <c r="AS921" s="624"/>
      <c r="AT921" s="624"/>
      <c r="AU921" s="624"/>
      <c r="AV921" s="624"/>
      <c r="AW921" s="624"/>
      <c r="AX921" s="624"/>
      <c r="AY921" s="624"/>
      <c r="AZ921" s="624"/>
      <c r="BA921" s="624"/>
      <c r="BB921" s="624"/>
      <c r="BC921" s="624"/>
      <c r="BD921" s="624"/>
      <c r="BE921" s="624"/>
    </row>
    <row r="922" ht="16.5" customHeight="1">
      <c r="A922" s="711"/>
      <c r="B922" s="711"/>
      <c r="C922" s="711"/>
      <c r="D922" s="711"/>
      <c r="E922" s="711"/>
      <c r="F922" s="711"/>
      <c r="G922" s="711"/>
      <c r="H922" s="711"/>
      <c r="I922" s="711"/>
      <c r="J922" s="711"/>
      <c r="K922" s="741"/>
      <c r="L922" s="741"/>
      <c r="M922" s="788"/>
      <c r="N922" s="741"/>
      <c r="O922" s="741"/>
      <c r="P922" s="741"/>
      <c r="Q922" s="741"/>
      <c r="R922" s="788"/>
      <c r="S922" s="819"/>
      <c r="T922" s="820"/>
      <c r="U922" s="819"/>
      <c r="V922" s="820"/>
      <c r="W922" s="788"/>
      <c r="X922" s="803"/>
      <c r="Y922" s="803"/>
      <c r="Z922" s="803"/>
      <c r="AA922" s="711"/>
      <c r="AB922" s="711"/>
      <c r="AC922" s="711"/>
      <c r="AD922" s="736"/>
      <c r="AE922" s="736"/>
      <c r="AF922" s="624"/>
      <c r="AG922" s="624"/>
      <c r="AH922" s="624"/>
      <c r="AI922" s="624"/>
      <c r="AJ922" s="960">
        <f t="shared" si="6"/>
        <v>922</v>
      </c>
      <c r="AK922" s="961">
        <v>0.9973</v>
      </c>
      <c r="AL922" s="962">
        <v>15300.0</v>
      </c>
      <c r="AM922" s="963">
        <v>-0.5224710223776659</v>
      </c>
      <c r="AN922" s="964">
        <v>-0.0027000000000000357</v>
      </c>
      <c r="AO922" s="962">
        <v>15300.0</v>
      </c>
      <c r="AP922" s="965">
        <v>-0.5140736030751567</v>
      </c>
      <c r="AQ922" s="962">
        <v>15300.0</v>
      </c>
      <c r="AR922" s="966">
        <v>-0.5059255795339849</v>
      </c>
      <c r="AS922" s="624"/>
      <c r="AT922" s="624"/>
      <c r="AU922" s="624"/>
      <c r="AV922" s="624"/>
      <c r="AW922" s="624"/>
      <c r="AX922" s="624"/>
      <c r="AY922" s="624"/>
      <c r="AZ922" s="624"/>
      <c r="BA922" s="624"/>
      <c r="BB922" s="624"/>
      <c r="BC922" s="624"/>
      <c r="BD922" s="624"/>
      <c r="BE922" s="624"/>
    </row>
    <row r="923" ht="16.5" customHeight="1">
      <c r="A923" s="711"/>
      <c r="B923" s="711"/>
      <c r="C923" s="711"/>
      <c r="D923" s="711"/>
      <c r="E923" s="711"/>
      <c r="F923" s="711"/>
      <c r="G923" s="711"/>
      <c r="H923" s="711"/>
      <c r="I923" s="711"/>
      <c r="J923" s="711"/>
      <c r="K923" s="741"/>
      <c r="L923" s="741"/>
      <c r="M923" s="788"/>
      <c r="N923" s="741"/>
      <c r="O923" s="741"/>
      <c r="P923" s="741"/>
      <c r="Q923" s="741"/>
      <c r="R923" s="788"/>
      <c r="S923" s="819"/>
      <c r="T923" s="820"/>
      <c r="U923" s="819"/>
      <c r="V923" s="820"/>
      <c r="W923" s="788"/>
      <c r="X923" s="803"/>
      <c r="Y923" s="803"/>
      <c r="Z923" s="803"/>
      <c r="AA923" s="711"/>
      <c r="AB923" s="711"/>
      <c r="AC923" s="711"/>
      <c r="AD923" s="736"/>
      <c r="AE923" s="736"/>
      <c r="AF923" s="624"/>
      <c r="AG923" s="624"/>
      <c r="AH923" s="624"/>
      <c r="AI923" s="624"/>
      <c r="AJ923" s="960">
        <f t="shared" si="6"/>
        <v>923</v>
      </c>
      <c r="AK923" s="961">
        <v>0.9534</v>
      </c>
      <c r="AL923" s="962">
        <v>15237.0</v>
      </c>
      <c r="AM923" s="963">
        <v>-0.5210154594518199</v>
      </c>
      <c r="AN923" s="964">
        <v>-0.046599999999999975</v>
      </c>
      <c r="AO923" s="962">
        <v>15237.0</v>
      </c>
      <c r="AP923" s="965">
        <v>-0.5126274287858162</v>
      </c>
      <c r="AQ923" s="962">
        <v>15237.0</v>
      </c>
      <c r="AR923" s="966">
        <v>-0.5044890857021822</v>
      </c>
      <c r="AS923" s="624"/>
      <c r="AT923" s="624"/>
      <c r="AU923" s="624"/>
      <c r="AV923" s="624"/>
      <c r="AW923" s="624"/>
      <c r="AX923" s="624"/>
      <c r="AY923" s="624"/>
      <c r="AZ923" s="624"/>
      <c r="BA923" s="624"/>
      <c r="BB923" s="624"/>
      <c r="BC923" s="624"/>
      <c r="BD923" s="624"/>
      <c r="BE923" s="624"/>
    </row>
    <row r="924" ht="16.5" customHeight="1">
      <c r="A924" s="711"/>
      <c r="B924" s="711"/>
      <c r="C924" s="711"/>
      <c r="D924" s="711"/>
      <c r="E924" s="711"/>
      <c r="F924" s="711"/>
      <c r="G924" s="711"/>
      <c r="H924" s="711"/>
      <c r="I924" s="711"/>
      <c r="J924" s="711"/>
      <c r="K924" s="741"/>
      <c r="L924" s="741"/>
      <c r="M924" s="788"/>
      <c r="N924" s="741"/>
      <c r="O924" s="741"/>
      <c r="P924" s="741"/>
      <c r="Q924" s="741"/>
      <c r="R924" s="788"/>
      <c r="S924" s="819"/>
      <c r="T924" s="820"/>
      <c r="U924" s="819"/>
      <c r="V924" s="820"/>
      <c r="W924" s="788"/>
      <c r="X924" s="803"/>
      <c r="Y924" s="803"/>
      <c r="Z924" s="803"/>
      <c r="AA924" s="711"/>
      <c r="AB924" s="711"/>
      <c r="AC924" s="711"/>
      <c r="AD924" s="736"/>
      <c r="AE924" s="736"/>
      <c r="AF924" s="624"/>
      <c r="AG924" s="624"/>
      <c r="AH924" s="624"/>
      <c r="AI924" s="624"/>
      <c r="AJ924" s="960">
        <f t="shared" si="6"/>
        <v>924</v>
      </c>
      <c r="AK924" s="961">
        <v>0.9883</v>
      </c>
      <c r="AL924" s="962">
        <v>15179.0</v>
      </c>
      <c r="AM924" s="963">
        <v>-0.5196714951950869</v>
      </c>
      <c r="AN924" s="964">
        <v>-0.011700000000000044</v>
      </c>
      <c r="AO924" s="962">
        <v>15179.0</v>
      </c>
      <c r="AP924" s="965">
        <v>-0.5112922253719638</v>
      </c>
      <c r="AQ924" s="962">
        <v>15179.0</v>
      </c>
      <c r="AR924" s="966">
        <v>-0.5031629071272701</v>
      </c>
      <c r="AS924" s="624"/>
      <c r="AT924" s="624"/>
      <c r="AU924" s="624"/>
      <c r="AV924" s="624"/>
      <c r="AW924" s="624"/>
      <c r="AX924" s="624"/>
      <c r="AY924" s="624"/>
      <c r="AZ924" s="624"/>
      <c r="BA924" s="624"/>
      <c r="BB924" s="624"/>
      <c r="BC924" s="624"/>
      <c r="BD924" s="624"/>
      <c r="BE924" s="624"/>
    </row>
    <row r="925" ht="16.5" customHeight="1">
      <c r="A925" s="711"/>
      <c r="B925" s="711"/>
      <c r="C925" s="711"/>
      <c r="D925" s="711"/>
      <c r="E925" s="711"/>
      <c r="F925" s="711"/>
      <c r="G925" s="711"/>
      <c r="H925" s="711"/>
      <c r="I925" s="711"/>
      <c r="J925" s="711"/>
      <c r="K925" s="741"/>
      <c r="L925" s="741"/>
      <c r="M925" s="788"/>
      <c r="N925" s="741"/>
      <c r="O925" s="741"/>
      <c r="P925" s="741"/>
      <c r="Q925" s="741"/>
      <c r="R925" s="788"/>
      <c r="S925" s="819"/>
      <c r="T925" s="820"/>
      <c r="U925" s="819"/>
      <c r="V925" s="820"/>
      <c r="W925" s="788"/>
      <c r="X925" s="803"/>
      <c r="Y925" s="803"/>
      <c r="Z925" s="803"/>
      <c r="AA925" s="711"/>
      <c r="AB925" s="711"/>
      <c r="AC925" s="711"/>
      <c r="AD925" s="736"/>
      <c r="AE925" s="736"/>
      <c r="AF925" s="624"/>
      <c r="AG925" s="624"/>
      <c r="AH925" s="624"/>
      <c r="AI925" s="624"/>
      <c r="AJ925" s="960">
        <f t="shared" si="6"/>
        <v>925</v>
      </c>
      <c r="AK925" s="961">
        <v>0.9602</v>
      </c>
      <c r="AL925" s="962">
        <v>15058.0</v>
      </c>
      <c r="AM925" s="963">
        <v>-0.5168555557049554</v>
      </c>
      <c r="AN925" s="964">
        <v>-0.03979999999999995</v>
      </c>
      <c r="AO925" s="962">
        <v>15058.0</v>
      </c>
      <c r="AP925" s="965">
        <v>-0.5084949274348081</v>
      </c>
      <c r="AQ925" s="962">
        <v>15058.0</v>
      </c>
      <c r="AR925" s="966">
        <v>-0.5003847869286626</v>
      </c>
      <c r="AS925" s="624"/>
      <c r="AT925" s="624"/>
      <c r="AU925" s="624"/>
      <c r="AV925" s="624"/>
      <c r="AW925" s="624"/>
      <c r="AX925" s="624"/>
      <c r="AY925" s="624"/>
      <c r="AZ925" s="624"/>
      <c r="BA925" s="624"/>
      <c r="BB925" s="624"/>
      <c r="BC925" s="624"/>
      <c r="BD925" s="624"/>
      <c r="BE925" s="624"/>
    </row>
    <row r="926" ht="16.5" customHeight="1">
      <c r="A926" s="711"/>
      <c r="B926" s="711"/>
      <c r="C926" s="711"/>
      <c r="D926" s="711"/>
      <c r="E926" s="711"/>
      <c r="F926" s="711"/>
      <c r="G926" s="711"/>
      <c r="H926" s="711"/>
      <c r="I926" s="711"/>
      <c r="J926" s="711"/>
      <c r="K926" s="741"/>
      <c r="L926" s="741"/>
      <c r="M926" s="788"/>
      <c r="N926" s="741"/>
      <c r="O926" s="741"/>
      <c r="P926" s="741"/>
      <c r="Q926" s="741"/>
      <c r="R926" s="788"/>
      <c r="S926" s="819"/>
      <c r="T926" s="820"/>
      <c r="U926" s="819"/>
      <c r="V926" s="820"/>
      <c r="W926" s="788"/>
      <c r="X926" s="803"/>
      <c r="Y926" s="803"/>
      <c r="Z926" s="803"/>
      <c r="AA926" s="711"/>
      <c r="AB926" s="711"/>
      <c r="AC926" s="711"/>
      <c r="AD926" s="736"/>
      <c r="AE926" s="736"/>
      <c r="AF926" s="624"/>
      <c r="AG926" s="624"/>
      <c r="AH926" s="624"/>
      <c r="AI926" s="624"/>
      <c r="AJ926" s="960">
        <f t="shared" si="6"/>
        <v>926</v>
      </c>
      <c r="AK926" s="961">
        <v>0.951</v>
      </c>
      <c r="AL926" s="962">
        <v>15007.0</v>
      </c>
      <c r="AM926" s="963">
        <v>-0.5156637322422624</v>
      </c>
      <c r="AN926" s="964">
        <v>-0.049000000000000044</v>
      </c>
      <c r="AO926" s="962">
        <v>15007.0</v>
      </c>
      <c r="AP926" s="965">
        <v>-0.507311109795789</v>
      </c>
      <c r="AQ926" s="962">
        <v>15007.0</v>
      </c>
      <c r="AR926" s="966">
        <v>-0.4992091951445723</v>
      </c>
      <c r="AS926" s="624"/>
      <c r="AT926" s="624"/>
      <c r="AU926" s="624"/>
      <c r="AV926" s="624"/>
      <c r="AW926" s="624"/>
      <c r="AX926" s="624"/>
      <c r="AY926" s="624"/>
      <c r="AZ926" s="624"/>
      <c r="BA926" s="624"/>
      <c r="BB926" s="624"/>
      <c r="BC926" s="624"/>
      <c r="BD926" s="624"/>
      <c r="BE926" s="624"/>
    </row>
    <row r="927" ht="16.5" customHeight="1">
      <c r="A927" s="711"/>
      <c r="B927" s="711"/>
      <c r="C927" s="711"/>
      <c r="D927" s="711"/>
      <c r="E927" s="711"/>
      <c r="F927" s="711"/>
      <c r="G927" s="711"/>
      <c r="H927" s="711"/>
      <c r="I927" s="711"/>
      <c r="J927" s="711"/>
      <c r="K927" s="741"/>
      <c r="L927" s="741"/>
      <c r="M927" s="788"/>
      <c r="N927" s="741"/>
      <c r="O927" s="741"/>
      <c r="P927" s="741"/>
      <c r="Q927" s="741"/>
      <c r="R927" s="788"/>
      <c r="S927" s="819"/>
      <c r="T927" s="820"/>
      <c r="U927" s="819"/>
      <c r="V927" s="820"/>
      <c r="W927" s="788"/>
      <c r="X927" s="803"/>
      <c r="Y927" s="803"/>
      <c r="Z927" s="803"/>
      <c r="AA927" s="711"/>
      <c r="AB927" s="711"/>
      <c r="AC927" s="711"/>
      <c r="AD927" s="736"/>
      <c r="AE927" s="736"/>
      <c r="AF927" s="624"/>
      <c r="AG927" s="624"/>
      <c r="AH927" s="624"/>
      <c r="AI927" s="624"/>
      <c r="AJ927" s="960">
        <f t="shared" si="6"/>
        <v>927</v>
      </c>
      <c r="AK927" s="961">
        <v>0.9835</v>
      </c>
      <c r="AL927" s="962">
        <v>15001.0</v>
      </c>
      <c r="AM927" s="963">
        <v>-0.5155233245703197</v>
      </c>
      <c r="AN927" s="964">
        <v>-0.01649999999999996</v>
      </c>
      <c r="AO927" s="962">
        <v>15001.0</v>
      </c>
      <c r="AP927" s="965">
        <v>-0.5071716498098717</v>
      </c>
      <c r="AQ927" s="962">
        <v>15001.0</v>
      </c>
      <c r="AR927" s="966">
        <v>-0.4990707084961883</v>
      </c>
      <c r="AS927" s="624"/>
      <c r="AT927" s="624"/>
      <c r="AU927" s="624"/>
      <c r="AV927" s="624"/>
      <c r="AW927" s="624"/>
      <c r="AX927" s="624"/>
      <c r="AY927" s="624"/>
      <c r="AZ927" s="624"/>
      <c r="BA927" s="624"/>
      <c r="BB927" s="624"/>
      <c r="BC927" s="624"/>
      <c r="BD927" s="624"/>
      <c r="BE927" s="624"/>
    </row>
    <row r="928" ht="16.5" customHeight="1">
      <c r="A928" s="711"/>
      <c r="B928" s="711"/>
      <c r="C928" s="711"/>
      <c r="D928" s="711"/>
      <c r="E928" s="711"/>
      <c r="F928" s="711"/>
      <c r="G928" s="711"/>
      <c r="H928" s="711"/>
      <c r="I928" s="711"/>
      <c r="J928" s="711"/>
      <c r="K928" s="741"/>
      <c r="L928" s="741"/>
      <c r="M928" s="788"/>
      <c r="N928" s="741"/>
      <c r="O928" s="741"/>
      <c r="P928" s="741"/>
      <c r="Q928" s="741"/>
      <c r="R928" s="788"/>
      <c r="S928" s="819"/>
      <c r="T928" s="820"/>
      <c r="U928" s="819"/>
      <c r="V928" s="820"/>
      <c r="W928" s="788"/>
      <c r="X928" s="803"/>
      <c r="Y928" s="803"/>
      <c r="Z928" s="803"/>
      <c r="AA928" s="711"/>
      <c r="AB928" s="711"/>
      <c r="AC928" s="711"/>
      <c r="AD928" s="736"/>
      <c r="AE928" s="736"/>
      <c r="AF928" s="624"/>
      <c r="AG928" s="624"/>
      <c r="AH928" s="624"/>
      <c r="AI928" s="624"/>
      <c r="AJ928" s="960">
        <f t="shared" si="6"/>
        <v>928</v>
      </c>
      <c r="AK928" s="961">
        <v>0.9726</v>
      </c>
      <c r="AL928" s="962">
        <v>15000.0</v>
      </c>
      <c r="AM928" s="963">
        <v>-0.5154999193346698</v>
      </c>
      <c r="AN928" s="964">
        <v>-0.02739999999999998</v>
      </c>
      <c r="AO928" s="962">
        <v>15000.0</v>
      </c>
      <c r="AP928" s="965">
        <v>-0.5071484026413018</v>
      </c>
      <c r="AQ928" s="962">
        <v>15000.0</v>
      </c>
      <c r="AR928" s="966">
        <v>-0.4990476236651362</v>
      </c>
      <c r="AS928" s="624"/>
      <c r="AT928" s="624"/>
      <c r="AU928" s="624"/>
      <c r="AV928" s="624"/>
      <c r="AW928" s="624"/>
      <c r="AX928" s="624"/>
      <c r="AY928" s="624"/>
      <c r="AZ928" s="624"/>
      <c r="BA928" s="624"/>
      <c r="BB928" s="624"/>
      <c r="BC928" s="624"/>
      <c r="BD928" s="624"/>
      <c r="BE928" s="624"/>
    </row>
    <row r="929" ht="16.5" customHeight="1">
      <c r="A929" s="711"/>
      <c r="B929" s="711"/>
      <c r="C929" s="711"/>
      <c r="D929" s="711"/>
      <c r="E929" s="711"/>
      <c r="F929" s="711"/>
      <c r="G929" s="711"/>
      <c r="H929" s="711"/>
      <c r="I929" s="711"/>
      <c r="J929" s="711"/>
      <c r="K929" s="741"/>
      <c r="L929" s="741"/>
      <c r="M929" s="788"/>
      <c r="N929" s="741"/>
      <c r="O929" s="741"/>
      <c r="P929" s="741"/>
      <c r="Q929" s="741"/>
      <c r="R929" s="788"/>
      <c r="S929" s="819"/>
      <c r="T929" s="820"/>
      <c r="U929" s="819"/>
      <c r="V929" s="820"/>
      <c r="W929" s="788"/>
      <c r="X929" s="803"/>
      <c r="Y929" s="803"/>
      <c r="Z929" s="803"/>
      <c r="AA929" s="711"/>
      <c r="AB929" s="711"/>
      <c r="AC929" s="711"/>
      <c r="AD929" s="736"/>
      <c r="AE929" s="736"/>
      <c r="AF929" s="624"/>
      <c r="AG929" s="624"/>
      <c r="AH929" s="624"/>
      <c r="AI929" s="624"/>
      <c r="AJ929" s="960">
        <f t="shared" si="6"/>
        <v>929</v>
      </c>
      <c r="AK929" s="961">
        <v>1.0015</v>
      </c>
      <c r="AL929" s="962">
        <v>15000.0</v>
      </c>
      <c r="AM929" s="963">
        <v>-0.5154999193346698</v>
      </c>
      <c r="AN929" s="964">
        <v>0.0015000000000000568</v>
      </c>
      <c r="AO929" s="962">
        <v>15000.0</v>
      </c>
      <c r="AP929" s="965">
        <v>-0.5071484026413018</v>
      </c>
      <c r="AQ929" s="962">
        <v>15000.0</v>
      </c>
      <c r="AR929" s="966">
        <v>-0.4990476236651362</v>
      </c>
      <c r="AS929" s="624"/>
      <c r="AT929" s="624"/>
      <c r="AU929" s="624"/>
      <c r="AV929" s="624"/>
      <c r="AW929" s="624"/>
      <c r="AX929" s="624"/>
      <c r="AY929" s="624"/>
      <c r="AZ929" s="624"/>
      <c r="BA929" s="624"/>
      <c r="BB929" s="624"/>
      <c r="BC929" s="624"/>
      <c r="BD929" s="624"/>
      <c r="BE929" s="624"/>
    </row>
    <row r="930" ht="16.5" customHeight="1">
      <c r="A930" s="711"/>
      <c r="B930" s="711"/>
      <c r="C930" s="711"/>
      <c r="D930" s="711"/>
      <c r="E930" s="711"/>
      <c r="F930" s="711"/>
      <c r="G930" s="711"/>
      <c r="H930" s="711"/>
      <c r="I930" s="711"/>
      <c r="J930" s="711"/>
      <c r="K930" s="741"/>
      <c r="L930" s="741"/>
      <c r="M930" s="788"/>
      <c r="N930" s="741"/>
      <c r="O930" s="741"/>
      <c r="P930" s="741"/>
      <c r="Q930" s="741"/>
      <c r="R930" s="788"/>
      <c r="S930" s="819"/>
      <c r="T930" s="820"/>
      <c r="U930" s="819"/>
      <c r="V930" s="820"/>
      <c r="W930" s="788"/>
      <c r="X930" s="803"/>
      <c r="Y930" s="803"/>
      <c r="Z930" s="803"/>
      <c r="AA930" s="711"/>
      <c r="AB930" s="711"/>
      <c r="AC930" s="711"/>
      <c r="AD930" s="736"/>
      <c r="AE930" s="736"/>
      <c r="AF930" s="624"/>
      <c r="AG930" s="624"/>
      <c r="AH930" s="624"/>
      <c r="AI930" s="624"/>
      <c r="AJ930" s="960">
        <f t="shared" si="6"/>
        <v>930</v>
      </c>
      <c r="AK930" s="961">
        <v>0.958</v>
      </c>
      <c r="AL930" s="962">
        <v>15000.0</v>
      </c>
      <c r="AM930" s="963">
        <v>-0.5154999193346698</v>
      </c>
      <c r="AN930" s="964">
        <v>-0.04200000000000004</v>
      </c>
      <c r="AO930" s="962">
        <v>15000.0</v>
      </c>
      <c r="AP930" s="965">
        <v>-0.5071484026413018</v>
      </c>
      <c r="AQ930" s="962">
        <v>15000.0</v>
      </c>
      <c r="AR930" s="966">
        <v>-0.4990476236651362</v>
      </c>
      <c r="AS930" s="624"/>
      <c r="AT930" s="624"/>
      <c r="AU930" s="624"/>
      <c r="AV930" s="624"/>
      <c r="AW930" s="624"/>
      <c r="AX930" s="624"/>
      <c r="AY930" s="624"/>
      <c r="AZ930" s="624"/>
      <c r="BA930" s="624"/>
      <c r="BB930" s="624"/>
      <c r="BC930" s="624"/>
      <c r="BD930" s="624"/>
      <c r="BE930" s="624"/>
    </row>
    <row r="931" ht="16.5" customHeight="1">
      <c r="A931" s="711"/>
      <c r="B931" s="711"/>
      <c r="C931" s="711"/>
      <c r="D931" s="711"/>
      <c r="E931" s="711"/>
      <c r="F931" s="711"/>
      <c r="G931" s="711"/>
      <c r="H931" s="711"/>
      <c r="I931" s="711"/>
      <c r="J931" s="711"/>
      <c r="K931" s="741"/>
      <c r="L931" s="741"/>
      <c r="M931" s="788"/>
      <c r="N931" s="741"/>
      <c r="O931" s="741"/>
      <c r="P931" s="741"/>
      <c r="Q931" s="741"/>
      <c r="R931" s="788"/>
      <c r="S931" s="819"/>
      <c r="T931" s="820"/>
      <c r="U931" s="819"/>
      <c r="V931" s="820"/>
      <c r="W931" s="788"/>
      <c r="X931" s="803"/>
      <c r="Y931" s="803"/>
      <c r="Z931" s="803"/>
      <c r="AA931" s="711"/>
      <c r="AB931" s="711"/>
      <c r="AC931" s="711"/>
      <c r="AD931" s="736"/>
      <c r="AE931" s="736"/>
      <c r="AF931" s="624"/>
      <c r="AG931" s="624"/>
      <c r="AH931" s="624"/>
      <c r="AI931" s="624"/>
      <c r="AJ931" s="960">
        <f t="shared" si="6"/>
        <v>931</v>
      </c>
      <c r="AK931" s="961">
        <v>0.9926</v>
      </c>
      <c r="AL931" s="962">
        <v>14995.0</v>
      </c>
      <c r="AM931" s="963">
        <v>-0.5153828761946022</v>
      </c>
      <c r="AN931" s="964">
        <v>-0.007399999999999962</v>
      </c>
      <c r="AO931" s="962">
        <v>14995.0</v>
      </c>
      <c r="AP931" s="965">
        <v>-0.5070321503485611</v>
      </c>
      <c r="AQ931" s="962">
        <v>14995.0</v>
      </c>
      <c r="AR931" s="966">
        <v>-0.4989321835512709</v>
      </c>
      <c r="AS931" s="624"/>
      <c r="AT931" s="624"/>
      <c r="AU931" s="624"/>
      <c r="AV931" s="624"/>
      <c r="AW931" s="624"/>
      <c r="AX931" s="624"/>
      <c r="AY931" s="624"/>
      <c r="AZ931" s="624"/>
      <c r="BA931" s="624"/>
      <c r="BB931" s="624"/>
      <c r="BC931" s="624"/>
      <c r="BD931" s="624"/>
      <c r="BE931" s="624"/>
    </row>
    <row r="932" ht="16.5" customHeight="1">
      <c r="A932" s="711"/>
      <c r="B932" s="711"/>
      <c r="C932" s="711"/>
      <c r="D932" s="711"/>
      <c r="E932" s="711"/>
      <c r="F932" s="711"/>
      <c r="G932" s="711"/>
      <c r="H932" s="711"/>
      <c r="I932" s="711"/>
      <c r="J932" s="711"/>
      <c r="K932" s="741"/>
      <c r="L932" s="741"/>
      <c r="M932" s="788"/>
      <c r="N932" s="741"/>
      <c r="O932" s="741"/>
      <c r="P932" s="741"/>
      <c r="Q932" s="741"/>
      <c r="R932" s="788"/>
      <c r="S932" s="819"/>
      <c r="T932" s="820"/>
      <c r="U932" s="819"/>
      <c r="V932" s="820"/>
      <c r="W932" s="788"/>
      <c r="X932" s="803"/>
      <c r="Y932" s="803"/>
      <c r="Z932" s="803"/>
      <c r="AA932" s="711"/>
      <c r="AB932" s="711"/>
      <c r="AC932" s="711"/>
      <c r="AD932" s="736"/>
      <c r="AE932" s="736"/>
      <c r="AF932" s="624"/>
      <c r="AG932" s="624"/>
      <c r="AH932" s="624"/>
      <c r="AI932" s="624"/>
      <c r="AJ932" s="960">
        <f t="shared" si="6"/>
        <v>932</v>
      </c>
      <c r="AK932" s="961">
        <v>1.0</v>
      </c>
      <c r="AL932" s="962">
        <v>14977.0</v>
      </c>
      <c r="AM932" s="963">
        <v>-0.5149612867267854</v>
      </c>
      <c r="AN932" s="964">
        <v>0.0</v>
      </c>
      <c r="AO932" s="962">
        <v>14977.0</v>
      </c>
      <c r="AP932" s="965">
        <v>-0.5066134150005157</v>
      </c>
      <c r="AQ932" s="962">
        <v>14977.0</v>
      </c>
      <c r="AR932" s="966">
        <v>-0.4985163788314002</v>
      </c>
      <c r="AS932" s="624"/>
      <c r="AT932" s="624"/>
      <c r="AU932" s="624"/>
      <c r="AV932" s="624"/>
      <c r="AW932" s="624"/>
      <c r="AX932" s="624"/>
      <c r="AY932" s="624"/>
      <c r="AZ932" s="624"/>
      <c r="BA932" s="624"/>
      <c r="BB932" s="624"/>
      <c r="BC932" s="624"/>
      <c r="BD932" s="624"/>
      <c r="BE932" s="624"/>
    </row>
    <row r="933" ht="16.5" customHeight="1">
      <c r="A933" s="711"/>
      <c r="B933" s="711"/>
      <c r="C933" s="711"/>
      <c r="D933" s="711"/>
      <c r="E933" s="711"/>
      <c r="F933" s="711"/>
      <c r="G933" s="711"/>
      <c r="H933" s="711"/>
      <c r="I933" s="711"/>
      <c r="J933" s="711"/>
      <c r="K933" s="741"/>
      <c r="L933" s="741"/>
      <c r="M933" s="788"/>
      <c r="N933" s="741"/>
      <c r="O933" s="741"/>
      <c r="P933" s="741"/>
      <c r="Q933" s="741"/>
      <c r="R933" s="788"/>
      <c r="S933" s="819"/>
      <c r="T933" s="820"/>
      <c r="U933" s="819"/>
      <c r="V933" s="820"/>
      <c r="W933" s="788"/>
      <c r="X933" s="803"/>
      <c r="Y933" s="803"/>
      <c r="Z933" s="803"/>
      <c r="AA933" s="711"/>
      <c r="AB933" s="711"/>
      <c r="AC933" s="711"/>
      <c r="AD933" s="736"/>
      <c r="AE933" s="736"/>
      <c r="AF933" s="624"/>
      <c r="AG933" s="624"/>
      <c r="AH933" s="624"/>
      <c r="AI933" s="624"/>
      <c r="AJ933" s="960">
        <f t="shared" si="6"/>
        <v>933</v>
      </c>
      <c r="AK933" s="961">
        <v>0.9637</v>
      </c>
      <c r="AL933" s="962">
        <v>14950.0</v>
      </c>
      <c r="AM933" s="963">
        <v>-0.5143282147522876</v>
      </c>
      <c r="AN933" s="964">
        <v>-0.0363</v>
      </c>
      <c r="AO933" s="962">
        <v>14950.0</v>
      </c>
      <c r="AP933" s="965">
        <v>-0.5059846449821925</v>
      </c>
      <c r="AQ933" s="962">
        <v>14950.0</v>
      </c>
      <c r="AR933" s="966">
        <v>-0.49789202469294314</v>
      </c>
      <c r="AS933" s="624"/>
      <c r="AT933" s="624"/>
      <c r="AU933" s="624"/>
      <c r="AV933" s="624"/>
      <c r="AW933" s="624"/>
      <c r="AX933" s="624"/>
      <c r="AY933" s="624"/>
      <c r="AZ933" s="624"/>
      <c r="BA933" s="624"/>
      <c r="BB933" s="624"/>
      <c r="BC933" s="624"/>
      <c r="BD933" s="624"/>
      <c r="BE933" s="624"/>
    </row>
    <row r="934" ht="16.5" customHeight="1">
      <c r="A934" s="711"/>
      <c r="B934" s="711"/>
      <c r="C934" s="711"/>
      <c r="D934" s="711"/>
      <c r="E934" s="711"/>
      <c r="F934" s="711"/>
      <c r="G934" s="711"/>
      <c r="H934" s="711"/>
      <c r="I934" s="711"/>
      <c r="J934" s="711"/>
      <c r="K934" s="741"/>
      <c r="L934" s="741"/>
      <c r="M934" s="788"/>
      <c r="N934" s="741"/>
      <c r="O934" s="741"/>
      <c r="P934" s="741"/>
      <c r="Q934" s="741"/>
      <c r="R934" s="788"/>
      <c r="S934" s="819"/>
      <c r="T934" s="820"/>
      <c r="U934" s="819"/>
      <c r="V934" s="820"/>
      <c r="W934" s="788"/>
      <c r="X934" s="803"/>
      <c r="Y934" s="803"/>
      <c r="Z934" s="803"/>
      <c r="AA934" s="711"/>
      <c r="AB934" s="711"/>
      <c r="AC934" s="711"/>
      <c r="AD934" s="736"/>
      <c r="AE934" s="736"/>
      <c r="AF934" s="624"/>
      <c r="AG934" s="624"/>
      <c r="AH934" s="624"/>
      <c r="AI934" s="624"/>
      <c r="AJ934" s="960">
        <f t="shared" si="6"/>
        <v>934</v>
      </c>
      <c r="AK934" s="961">
        <v>0.9722</v>
      </c>
      <c r="AL934" s="962">
        <v>14896.0</v>
      </c>
      <c r="AM934" s="963">
        <v>-0.5130595908703723</v>
      </c>
      <c r="AN934" s="964">
        <v>-0.027800000000000047</v>
      </c>
      <c r="AO934" s="962">
        <v>14896.0</v>
      </c>
      <c r="AP934" s="965">
        <v>-0.5047247000178917</v>
      </c>
      <c r="AQ934" s="962">
        <v>14896.0</v>
      </c>
      <c r="AR934" s="966">
        <v>-0.4966409834592779</v>
      </c>
      <c r="AS934" s="624"/>
      <c r="AT934" s="624"/>
      <c r="AU934" s="624"/>
      <c r="AV934" s="624"/>
      <c r="AW934" s="624"/>
      <c r="AX934" s="624"/>
      <c r="AY934" s="624"/>
      <c r="AZ934" s="624"/>
      <c r="BA934" s="624"/>
      <c r="BB934" s="624"/>
      <c r="BC934" s="624"/>
      <c r="BD934" s="624"/>
      <c r="BE934" s="624"/>
    </row>
    <row r="935" ht="16.5" customHeight="1">
      <c r="A935" s="711"/>
      <c r="B935" s="711"/>
      <c r="C935" s="711"/>
      <c r="D935" s="711"/>
      <c r="E935" s="711"/>
      <c r="F935" s="711"/>
      <c r="G935" s="711"/>
      <c r="H935" s="711"/>
      <c r="I935" s="711"/>
      <c r="J935" s="711"/>
      <c r="K935" s="741"/>
      <c r="L935" s="741"/>
      <c r="M935" s="788"/>
      <c r="N935" s="741"/>
      <c r="O935" s="741"/>
      <c r="P935" s="741"/>
      <c r="Q935" s="741"/>
      <c r="R935" s="788"/>
      <c r="S935" s="819"/>
      <c r="T935" s="820"/>
      <c r="U935" s="819"/>
      <c r="V935" s="820"/>
      <c r="W935" s="788"/>
      <c r="X935" s="803"/>
      <c r="Y935" s="803"/>
      <c r="Z935" s="803"/>
      <c r="AA935" s="711"/>
      <c r="AB935" s="711"/>
      <c r="AC935" s="711"/>
      <c r="AD935" s="736"/>
      <c r="AE935" s="736"/>
      <c r="AF935" s="624"/>
      <c r="AG935" s="624"/>
      <c r="AH935" s="624"/>
      <c r="AI935" s="624"/>
      <c r="AJ935" s="960">
        <f t="shared" si="6"/>
        <v>935</v>
      </c>
      <c r="AK935" s="961">
        <v>0.9873</v>
      </c>
      <c r="AL935" s="962">
        <v>14857.0</v>
      </c>
      <c r="AM935" s="963">
        <v>-0.5121413021281658</v>
      </c>
      <c r="AN935" s="964">
        <v>-0.012700000000000045</v>
      </c>
      <c r="AO935" s="962">
        <v>14857.0</v>
      </c>
      <c r="AP935" s="965">
        <v>-0.5038127417899504</v>
      </c>
      <c r="AQ935" s="962">
        <v>14857.0</v>
      </c>
      <c r="AR935" s="966">
        <v>-0.4957355155800206</v>
      </c>
      <c r="AS935" s="624"/>
      <c r="AT935" s="624"/>
      <c r="AU935" s="624"/>
      <c r="AV935" s="624"/>
      <c r="AW935" s="624"/>
      <c r="AX935" s="624"/>
      <c r="AY935" s="624"/>
      <c r="AZ935" s="624"/>
      <c r="BA935" s="624"/>
      <c r="BB935" s="624"/>
      <c r="BC935" s="624"/>
      <c r="BD935" s="624"/>
      <c r="BE935" s="624"/>
    </row>
    <row r="936" ht="16.5" customHeight="1">
      <c r="A936" s="711"/>
      <c r="B936" s="711"/>
      <c r="C936" s="711"/>
      <c r="D936" s="711"/>
      <c r="E936" s="711"/>
      <c r="F936" s="711"/>
      <c r="G936" s="711"/>
      <c r="H936" s="711"/>
      <c r="I936" s="711"/>
      <c r="J936" s="711"/>
      <c r="K936" s="741"/>
      <c r="L936" s="741"/>
      <c r="M936" s="788"/>
      <c r="N936" s="741"/>
      <c r="O936" s="741"/>
      <c r="P936" s="741"/>
      <c r="Q936" s="741"/>
      <c r="R936" s="788"/>
      <c r="S936" s="819"/>
      <c r="T936" s="820"/>
      <c r="U936" s="819"/>
      <c r="V936" s="820"/>
      <c r="W936" s="788"/>
      <c r="X936" s="803"/>
      <c r="Y936" s="803"/>
      <c r="Z936" s="803"/>
      <c r="AA936" s="711"/>
      <c r="AB936" s="711"/>
      <c r="AC936" s="711"/>
      <c r="AD936" s="736"/>
      <c r="AE936" s="736"/>
      <c r="AF936" s="624"/>
      <c r="AG936" s="624"/>
      <c r="AH936" s="624"/>
      <c r="AI936" s="624"/>
      <c r="AJ936" s="960">
        <f t="shared" si="6"/>
        <v>936</v>
      </c>
      <c r="AK936" s="961">
        <v>0.9943</v>
      </c>
      <c r="AL936" s="962">
        <v>14806.0</v>
      </c>
      <c r="AM936" s="963">
        <v>-0.5109378495179409</v>
      </c>
      <c r="AN936" s="964">
        <v>-0.005700000000000038</v>
      </c>
      <c r="AO936" s="962">
        <v>14806.0</v>
      </c>
      <c r="AP936" s="965">
        <v>-0.5026176468431987</v>
      </c>
      <c r="AQ936" s="962">
        <v>14806.0</v>
      </c>
      <c r="AR936" s="966">
        <v>-0.49454898408661707</v>
      </c>
      <c r="AS936" s="624"/>
      <c r="AT936" s="624"/>
      <c r="AU936" s="624"/>
      <c r="AV936" s="624"/>
      <c r="AW936" s="624"/>
      <c r="AX936" s="624"/>
      <c r="AY936" s="624"/>
      <c r="AZ936" s="624"/>
      <c r="BA936" s="624"/>
      <c r="BB936" s="624"/>
      <c r="BC936" s="624"/>
      <c r="BD936" s="624"/>
      <c r="BE936" s="624"/>
    </row>
    <row r="937" ht="16.5" customHeight="1">
      <c r="A937" s="711"/>
      <c r="B937" s="711"/>
      <c r="C937" s="711"/>
      <c r="D937" s="711"/>
      <c r="E937" s="711"/>
      <c r="F937" s="711"/>
      <c r="G937" s="711"/>
      <c r="H937" s="711"/>
      <c r="I937" s="711"/>
      <c r="J937" s="711"/>
      <c r="K937" s="741"/>
      <c r="L937" s="741"/>
      <c r="M937" s="788"/>
      <c r="N937" s="741"/>
      <c r="O937" s="741"/>
      <c r="P937" s="741"/>
      <c r="Q937" s="741"/>
      <c r="R937" s="788"/>
      <c r="S937" s="819"/>
      <c r="T937" s="820"/>
      <c r="U937" s="819"/>
      <c r="V937" s="820"/>
      <c r="W937" s="788"/>
      <c r="X937" s="803"/>
      <c r="Y937" s="803"/>
      <c r="Z937" s="803"/>
      <c r="AA937" s="711"/>
      <c r="AB937" s="711"/>
      <c r="AC937" s="711"/>
      <c r="AD937" s="736"/>
      <c r="AE937" s="736"/>
      <c r="AF937" s="624"/>
      <c r="AG937" s="624"/>
      <c r="AH937" s="624"/>
      <c r="AI937" s="624"/>
      <c r="AJ937" s="960">
        <f t="shared" si="6"/>
        <v>937</v>
      </c>
      <c r="AK937" s="961">
        <v>0.951</v>
      </c>
      <c r="AL937" s="962">
        <v>14775.0</v>
      </c>
      <c r="AM937" s="963">
        <v>-0.5102048889035051</v>
      </c>
      <c r="AN937" s="964">
        <v>-0.049000000000000044</v>
      </c>
      <c r="AO937" s="962">
        <v>14775.0</v>
      </c>
      <c r="AP937" s="965">
        <v>-0.5018898104440177</v>
      </c>
      <c r="AQ937" s="962">
        <v>14775.0</v>
      </c>
      <c r="AR937" s="966">
        <v>-0.4938263951947073</v>
      </c>
      <c r="AS937" s="624"/>
      <c r="AT937" s="624"/>
      <c r="AU937" s="624"/>
      <c r="AV937" s="624"/>
      <c r="AW937" s="624"/>
      <c r="AX937" s="624"/>
      <c r="AY937" s="624"/>
      <c r="AZ937" s="624"/>
      <c r="BA937" s="624"/>
      <c r="BB937" s="624"/>
      <c r="BC937" s="624"/>
      <c r="BD937" s="624"/>
      <c r="BE937" s="624"/>
    </row>
    <row r="938" ht="16.5" customHeight="1">
      <c r="A938" s="711"/>
      <c r="B938" s="711"/>
      <c r="C938" s="711"/>
      <c r="D938" s="711"/>
      <c r="E938" s="711"/>
      <c r="F938" s="711"/>
      <c r="G938" s="711"/>
      <c r="H938" s="711"/>
      <c r="I938" s="711"/>
      <c r="J938" s="711"/>
      <c r="K938" s="741"/>
      <c r="L938" s="741"/>
      <c r="M938" s="788"/>
      <c r="N938" s="741"/>
      <c r="O938" s="741"/>
      <c r="P938" s="741"/>
      <c r="Q938" s="741"/>
      <c r="R938" s="788"/>
      <c r="S938" s="819"/>
      <c r="T938" s="820"/>
      <c r="U938" s="819"/>
      <c r="V938" s="820"/>
      <c r="W938" s="788"/>
      <c r="X938" s="803"/>
      <c r="Y938" s="803"/>
      <c r="Z938" s="803"/>
      <c r="AA938" s="711"/>
      <c r="AB938" s="711"/>
      <c r="AC938" s="711"/>
      <c r="AD938" s="736"/>
      <c r="AE938" s="736"/>
      <c r="AF938" s="624"/>
      <c r="AG938" s="624"/>
      <c r="AH938" s="624"/>
      <c r="AI938" s="624"/>
      <c r="AJ938" s="960">
        <f t="shared" si="6"/>
        <v>938</v>
      </c>
      <c r="AK938" s="961">
        <v>0.9873</v>
      </c>
      <c r="AL938" s="962">
        <v>14700.0</v>
      </c>
      <c r="AM938" s="963">
        <v>-0.5084270501582799</v>
      </c>
      <c r="AN938" s="964">
        <v>-0.012700000000000045</v>
      </c>
      <c r="AO938" s="962">
        <v>14700.0</v>
      </c>
      <c r="AP938" s="965">
        <v>-0.5001245074229022</v>
      </c>
      <c r="AQ938" s="962">
        <v>14700.0</v>
      </c>
      <c r="AR938" s="966">
        <v>-0.49207392052629273</v>
      </c>
      <c r="AS938" s="624"/>
      <c r="AT938" s="624"/>
      <c r="AU938" s="624"/>
      <c r="AV938" s="624"/>
      <c r="AW938" s="624"/>
      <c r="AX938" s="624"/>
      <c r="AY938" s="624"/>
      <c r="AZ938" s="624"/>
      <c r="BA938" s="624"/>
      <c r="BB938" s="624"/>
      <c r="BC938" s="624"/>
      <c r="BD938" s="624"/>
      <c r="BE938" s="624"/>
    </row>
    <row r="939" ht="16.5" customHeight="1">
      <c r="A939" s="711"/>
      <c r="B939" s="711"/>
      <c r="C939" s="711"/>
      <c r="D939" s="711"/>
      <c r="E939" s="711"/>
      <c r="F939" s="711"/>
      <c r="G939" s="711"/>
      <c r="H939" s="711"/>
      <c r="I939" s="711"/>
      <c r="J939" s="711"/>
      <c r="K939" s="741"/>
      <c r="L939" s="741"/>
      <c r="M939" s="788"/>
      <c r="N939" s="741"/>
      <c r="O939" s="741"/>
      <c r="P939" s="741"/>
      <c r="Q939" s="741"/>
      <c r="R939" s="788"/>
      <c r="S939" s="819"/>
      <c r="T939" s="820"/>
      <c r="U939" s="819"/>
      <c r="V939" s="820"/>
      <c r="W939" s="788"/>
      <c r="X939" s="803"/>
      <c r="Y939" s="803"/>
      <c r="Z939" s="803"/>
      <c r="AA939" s="711"/>
      <c r="AB939" s="711"/>
      <c r="AC939" s="711"/>
      <c r="AD939" s="736"/>
      <c r="AE939" s="736"/>
      <c r="AF939" s="624"/>
      <c r="AG939" s="624"/>
      <c r="AH939" s="624"/>
      <c r="AI939" s="624"/>
      <c r="AJ939" s="960">
        <f t="shared" si="6"/>
        <v>939</v>
      </c>
      <c r="AK939" s="961">
        <v>0.9922</v>
      </c>
      <c r="AL939" s="962">
        <v>14645.0</v>
      </c>
      <c r="AM939" s="963">
        <v>-0.5071192017454418</v>
      </c>
      <c r="AN939" s="964">
        <v>-0.007800000000000029</v>
      </c>
      <c r="AO939" s="962">
        <v>14645.0</v>
      </c>
      <c r="AP939" s="965">
        <v>-0.49882597693990416</v>
      </c>
      <c r="AQ939" s="962">
        <v>14645.0</v>
      </c>
      <c r="AR939" s="966">
        <v>-0.4907849174395682</v>
      </c>
      <c r="AS939" s="624"/>
      <c r="AT939" s="624"/>
      <c r="AU939" s="624"/>
      <c r="AV939" s="624"/>
      <c r="AW939" s="624"/>
      <c r="AX939" s="624"/>
      <c r="AY939" s="624"/>
      <c r="AZ939" s="624"/>
      <c r="BA939" s="624"/>
      <c r="BB939" s="624"/>
      <c r="BC939" s="624"/>
      <c r="BD939" s="624"/>
      <c r="BE939" s="624"/>
    </row>
    <row r="940" ht="16.5" customHeight="1">
      <c r="A940" s="711"/>
      <c r="B940" s="711"/>
      <c r="C940" s="711"/>
      <c r="D940" s="711"/>
      <c r="E940" s="711"/>
      <c r="F940" s="711"/>
      <c r="G940" s="711"/>
      <c r="H940" s="711"/>
      <c r="I940" s="711"/>
      <c r="J940" s="711"/>
      <c r="K940" s="741"/>
      <c r="L940" s="741"/>
      <c r="M940" s="788"/>
      <c r="N940" s="741"/>
      <c r="O940" s="741"/>
      <c r="P940" s="741"/>
      <c r="Q940" s="741"/>
      <c r="R940" s="788"/>
      <c r="S940" s="819"/>
      <c r="T940" s="820"/>
      <c r="U940" s="819"/>
      <c r="V940" s="820"/>
      <c r="W940" s="788"/>
      <c r="X940" s="803"/>
      <c r="Y940" s="803"/>
      <c r="Z940" s="803"/>
      <c r="AA940" s="711"/>
      <c r="AB940" s="711"/>
      <c r="AC940" s="711"/>
      <c r="AD940" s="736"/>
      <c r="AE940" s="736"/>
      <c r="AF940" s="624"/>
      <c r="AG940" s="624"/>
      <c r="AH940" s="624"/>
      <c r="AI940" s="624"/>
      <c r="AJ940" s="960">
        <f t="shared" si="6"/>
        <v>940</v>
      </c>
      <c r="AK940" s="961">
        <v>0.9797</v>
      </c>
      <c r="AL940" s="962">
        <v>14472.0</v>
      </c>
      <c r="AM940" s="963">
        <v>-0.5029826951015988</v>
      </c>
      <c r="AN940" s="964">
        <v>-0.020299999999999985</v>
      </c>
      <c r="AO940" s="962">
        <v>14472.0</v>
      </c>
      <c r="AP940" s="965">
        <v>-0.4947194752760996</v>
      </c>
      <c r="AQ940" s="962">
        <v>14472.0</v>
      </c>
      <c r="AR940" s="966">
        <v>-0.48670905092905903</v>
      </c>
      <c r="AS940" s="624"/>
      <c r="AT940" s="624"/>
      <c r="AU940" s="624"/>
      <c r="AV940" s="624"/>
      <c r="AW940" s="624"/>
      <c r="AX940" s="624"/>
      <c r="AY940" s="624"/>
      <c r="AZ940" s="624"/>
      <c r="BA940" s="624"/>
      <c r="BB940" s="624"/>
      <c r="BC940" s="624"/>
      <c r="BD940" s="624"/>
      <c r="BE940" s="624"/>
    </row>
    <row r="941" ht="16.5" customHeight="1">
      <c r="A941" s="711"/>
      <c r="B941" s="711"/>
      <c r="C941" s="711"/>
      <c r="D941" s="711"/>
      <c r="E941" s="711"/>
      <c r="F941" s="711"/>
      <c r="G941" s="711"/>
      <c r="H941" s="711"/>
      <c r="I941" s="711"/>
      <c r="J941" s="711"/>
      <c r="K941" s="741"/>
      <c r="L941" s="741"/>
      <c r="M941" s="788"/>
      <c r="N941" s="741"/>
      <c r="O941" s="741"/>
      <c r="P941" s="741"/>
      <c r="Q941" s="741"/>
      <c r="R941" s="788"/>
      <c r="S941" s="819"/>
      <c r="T941" s="820"/>
      <c r="U941" s="819"/>
      <c r="V941" s="820"/>
      <c r="W941" s="788"/>
      <c r="X941" s="803"/>
      <c r="Y941" s="803"/>
      <c r="Z941" s="803"/>
      <c r="AA941" s="711"/>
      <c r="AB941" s="711"/>
      <c r="AC941" s="711"/>
      <c r="AD941" s="736"/>
      <c r="AE941" s="736"/>
      <c r="AF941" s="624"/>
      <c r="AG941" s="624"/>
      <c r="AH941" s="624"/>
      <c r="AI941" s="624"/>
      <c r="AJ941" s="960">
        <f t="shared" si="6"/>
        <v>941</v>
      </c>
      <c r="AK941" s="961">
        <v>0.9531</v>
      </c>
      <c r="AL941" s="962">
        <v>14267.0</v>
      </c>
      <c r="AM941" s="963">
        <v>-0.4980360894152247</v>
      </c>
      <c r="AN941" s="964">
        <v>-0.04690000000000005</v>
      </c>
      <c r="AO941" s="962">
        <v>14267.0</v>
      </c>
      <c r="AP941" s="965">
        <v>-0.48980980841846344</v>
      </c>
      <c r="AQ941" s="962">
        <v>14267.0</v>
      </c>
      <c r="AR941" s="966">
        <v>-0.4818370121152956</v>
      </c>
      <c r="AS941" s="624"/>
      <c r="AT941" s="624"/>
      <c r="AU941" s="624"/>
      <c r="AV941" s="624"/>
      <c r="AW941" s="624"/>
      <c r="AX941" s="624"/>
      <c r="AY941" s="624"/>
      <c r="AZ941" s="624"/>
      <c r="BA941" s="624"/>
      <c r="BB941" s="624"/>
      <c r="BC941" s="624"/>
      <c r="BD941" s="624"/>
      <c r="BE941" s="624"/>
    </row>
    <row r="942" ht="16.5" customHeight="1">
      <c r="A942" s="711"/>
      <c r="B942" s="711"/>
      <c r="C942" s="711"/>
      <c r="D942" s="711"/>
      <c r="E942" s="711"/>
      <c r="F942" s="711"/>
      <c r="G942" s="711"/>
      <c r="H942" s="711"/>
      <c r="I942" s="711"/>
      <c r="J942" s="711"/>
      <c r="K942" s="741"/>
      <c r="L942" s="741"/>
      <c r="M942" s="788"/>
      <c r="N942" s="741"/>
      <c r="O942" s="741"/>
      <c r="P942" s="741"/>
      <c r="Q942" s="741"/>
      <c r="R942" s="788"/>
      <c r="S942" s="819"/>
      <c r="T942" s="820"/>
      <c r="U942" s="819"/>
      <c r="V942" s="820"/>
      <c r="W942" s="788"/>
      <c r="X942" s="803"/>
      <c r="Y942" s="803"/>
      <c r="Z942" s="803"/>
      <c r="AA942" s="711"/>
      <c r="AB942" s="711"/>
      <c r="AC942" s="711"/>
      <c r="AD942" s="736"/>
      <c r="AE942" s="736"/>
      <c r="AF942" s="624"/>
      <c r="AG942" s="624"/>
      <c r="AH942" s="624"/>
      <c r="AI942" s="624"/>
      <c r="AJ942" s="960">
        <f t="shared" si="6"/>
        <v>942</v>
      </c>
      <c r="AK942" s="961">
        <v>0.9898</v>
      </c>
      <c r="AL942" s="962">
        <v>14000.0</v>
      </c>
      <c r="AM942" s="963">
        <v>-0.4915195458161423</v>
      </c>
      <c r="AN942" s="964">
        <v>-0.010199999999999987</v>
      </c>
      <c r="AO942" s="962">
        <v>14000.0</v>
      </c>
      <c r="AP942" s="965">
        <v>-0.48334366695269226</v>
      </c>
      <c r="AQ942" s="962">
        <v>14000.0</v>
      </c>
      <c r="AR942" s="966">
        <v>-0.4754220740600016</v>
      </c>
      <c r="AS942" s="624"/>
      <c r="AT942" s="624"/>
      <c r="AU942" s="624"/>
      <c r="AV942" s="624"/>
      <c r="AW942" s="624"/>
      <c r="AX942" s="624"/>
      <c r="AY942" s="624"/>
      <c r="AZ942" s="624"/>
      <c r="BA942" s="624"/>
      <c r="BB942" s="624"/>
      <c r="BC942" s="624"/>
      <c r="BD942" s="624"/>
      <c r="BE942" s="624"/>
    </row>
    <row r="943" ht="16.5" customHeight="1">
      <c r="A943" s="711"/>
      <c r="B943" s="711"/>
      <c r="C943" s="711"/>
      <c r="D943" s="711"/>
      <c r="E943" s="711"/>
      <c r="F943" s="711"/>
      <c r="G943" s="711"/>
      <c r="H943" s="711"/>
      <c r="I943" s="711"/>
      <c r="J943" s="711"/>
      <c r="K943" s="741"/>
      <c r="L943" s="741"/>
      <c r="M943" s="788"/>
      <c r="N943" s="741"/>
      <c r="O943" s="741"/>
      <c r="P943" s="741"/>
      <c r="Q943" s="741"/>
      <c r="R943" s="788"/>
      <c r="S943" s="819"/>
      <c r="T943" s="820"/>
      <c r="U943" s="819"/>
      <c r="V943" s="820"/>
      <c r="W943" s="788"/>
      <c r="X943" s="803"/>
      <c r="Y943" s="803"/>
      <c r="Z943" s="803"/>
      <c r="AA943" s="711"/>
      <c r="AB943" s="711"/>
      <c r="AC943" s="711"/>
      <c r="AD943" s="736"/>
      <c r="AE943" s="736"/>
      <c r="AF943" s="624"/>
      <c r="AG943" s="624"/>
      <c r="AH943" s="624"/>
      <c r="AI943" s="624"/>
      <c r="AJ943" s="960">
        <f t="shared" si="6"/>
        <v>943</v>
      </c>
      <c r="AK943" s="961">
        <v>0.9326</v>
      </c>
      <c r="AL943" s="962">
        <v>14000.0</v>
      </c>
      <c r="AM943" s="963">
        <v>-0.4915195458161423</v>
      </c>
      <c r="AN943" s="964">
        <v>-0.06740000000000002</v>
      </c>
      <c r="AO943" s="962">
        <v>14000.0</v>
      </c>
      <c r="AP943" s="965">
        <v>-0.48334366695269226</v>
      </c>
      <c r="AQ943" s="962">
        <v>14000.0</v>
      </c>
      <c r="AR943" s="966">
        <v>-0.4754220740600016</v>
      </c>
      <c r="AS943" s="624"/>
      <c r="AT943" s="624"/>
      <c r="AU943" s="624"/>
      <c r="AV943" s="624"/>
      <c r="AW943" s="624"/>
      <c r="AX943" s="624"/>
      <c r="AY943" s="624"/>
      <c r="AZ943" s="624"/>
      <c r="BA943" s="624"/>
      <c r="BB943" s="624"/>
      <c r="BC943" s="624"/>
      <c r="BD943" s="624"/>
      <c r="BE943" s="624"/>
    </row>
    <row r="944" ht="16.5" customHeight="1">
      <c r="A944" s="711"/>
      <c r="B944" s="711"/>
      <c r="C944" s="711"/>
      <c r="D944" s="711"/>
      <c r="E944" s="711"/>
      <c r="F944" s="711"/>
      <c r="G944" s="711"/>
      <c r="H944" s="711"/>
      <c r="I944" s="711"/>
      <c r="J944" s="711"/>
      <c r="K944" s="741"/>
      <c r="L944" s="741"/>
      <c r="M944" s="788"/>
      <c r="N944" s="741"/>
      <c r="O944" s="741"/>
      <c r="P944" s="741"/>
      <c r="Q944" s="741"/>
      <c r="R944" s="788"/>
      <c r="S944" s="819"/>
      <c r="T944" s="820"/>
      <c r="U944" s="819"/>
      <c r="V944" s="820"/>
      <c r="W944" s="788"/>
      <c r="X944" s="803"/>
      <c r="Y944" s="803"/>
      <c r="Z944" s="803"/>
      <c r="AA944" s="711"/>
      <c r="AB944" s="711"/>
      <c r="AC944" s="711"/>
      <c r="AD944" s="736"/>
      <c r="AE944" s="736"/>
      <c r="AF944" s="624"/>
      <c r="AG944" s="624"/>
      <c r="AH944" s="624"/>
      <c r="AI944" s="624"/>
      <c r="AJ944" s="960">
        <f t="shared" si="6"/>
        <v>944</v>
      </c>
      <c r="AK944" s="961">
        <v>1.0149</v>
      </c>
      <c r="AL944" s="962">
        <v>13977.0</v>
      </c>
      <c r="AM944" s="963">
        <v>-0.4909542535406093</v>
      </c>
      <c r="AN944" s="964">
        <v>0.014899999999999913</v>
      </c>
      <c r="AO944" s="962">
        <v>13977.0</v>
      </c>
      <c r="AP944" s="965">
        <v>-0.48278283940501765</v>
      </c>
      <c r="AQ944" s="962">
        <v>13977.0</v>
      </c>
      <c r="AR944" s="966">
        <v>-0.47486577504593874</v>
      </c>
      <c r="AS944" s="624"/>
      <c r="AT944" s="624"/>
      <c r="AU944" s="624"/>
      <c r="AV944" s="624"/>
      <c r="AW944" s="624"/>
      <c r="AX944" s="624"/>
      <c r="AY944" s="624"/>
      <c r="AZ944" s="624"/>
      <c r="BA944" s="624"/>
      <c r="BB944" s="624"/>
      <c r="BC944" s="624"/>
      <c r="BD944" s="624"/>
      <c r="BE944" s="624"/>
    </row>
    <row r="945" ht="16.5" customHeight="1">
      <c r="A945" s="711"/>
      <c r="B945" s="711"/>
      <c r="C945" s="711"/>
      <c r="D945" s="711"/>
      <c r="E945" s="711"/>
      <c r="F945" s="711"/>
      <c r="G945" s="711"/>
      <c r="H945" s="711"/>
      <c r="I945" s="711"/>
      <c r="J945" s="711"/>
      <c r="K945" s="741"/>
      <c r="L945" s="741"/>
      <c r="M945" s="788"/>
      <c r="N945" s="741"/>
      <c r="O945" s="741"/>
      <c r="P945" s="741"/>
      <c r="Q945" s="741"/>
      <c r="R945" s="788"/>
      <c r="S945" s="819"/>
      <c r="T945" s="820"/>
      <c r="U945" s="819"/>
      <c r="V945" s="820"/>
      <c r="W945" s="788"/>
      <c r="X945" s="803"/>
      <c r="Y945" s="803"/>
      <c r="Z945" s="803"/>
      <c r="AA945" s="711"/>
      <c r="AB945" s="711"/>
      <c r="AC945" s="711"/>
      <c r="AD945" s="736"/>
      <c r="AE945" s="736"/>
      <c r="AF945" s="624"/>
      <c r="AG945" s="624"/>
      <c r="AH945" s="624"/>
      <c r="AI945" s="624"/>
      <c r="AJ945" s="960">
        <f t="shared" si="6"/>
        <v>945</v>
      </c>
      <c r="AK945" s="961">
        <v>0.9564</v>
      </c>
      <c r="AL945" s="962">
        <v>13889.0</v>
      </c>
      <c r="AM945" s="963">
        <v>-0.48878558787062665</v>
      </c>
      <c r="AN945" s="964">
        <v>-0.04359999999999997</v>
      </c>
      <c r="AO945" s="962">
        <v>13889.0</v>
      </c>
      <c r="AP945" s="965">
        <v>-0.4806314381645572</v>
      </c>
      <c r="AQ945" s="962">
        <v>13889.0</v>
      </c>
      <c r="AR945" s="966">
        <v>-0.47273187458711896</v>
      </c>
      <c r="AS945" s="624"/>
      <c r="AT945" s="624"/>
      <c r="AU945" s="624"/>
      <c r="AV945" s="624"/>
      <c r="AW945" s="624"/>
      <c r="AX945" s="624"/>
      <c r="AY945" s="624"/>
      <c r="AZ945" s="624"/>
      <c r="BA945" s="624"/>
      <c r="BB945" s="624"/>
      <c r="BC945" s="624"/>
      <c r="BD945" s="624"/>
      <c r="BE945" s="624"/>
    </row>
    <row r="946" ht="16.5" customHeight="1">
      <c r="A946" s="711"/>
      <c r="B946" s="711"/>
      <c r="C946" s="711"/>
      <c r="D946" s="711"/>
      <c r="E946" s="711"/>
      <c r="F946" s="711"/>
      <c r="G946" s="711"/>
      <c r="H946" s="711"/>
      <c r="I946" s="711"/>
      <c r="J946" s="711"/>
      <c r="K946" s="741"/>
      <c r="L946" s="741"/>
      <c r="M946" s="788"/>
      <c r="N946" s="741"/>
      <c r="O946" s="741"/>
      <c r="P946" s="741"/>
      <c r="Q946" s="741"/>
      <c r="R946" s="788"/>
      <c r="S946" s="819"/>
      <c r="T946" s="820"/>
      <c r="U946" s="819"/>
      <c r="V946" s="820"/>
      <c r="W946" s="788"/>
      <c r="X946" s="803"/>
      <c r="Y946" s="803"/>
      <c r="Z946" s="803"/>
      <c r="AA946" s="711"/>
      <c r="AB946" s="711"/>
      <c r="AC946" s="711"/>
      <c r="AD946" s="736"/>
      <c r="AE946" s="736"/>
      <c r="AF946" s="624"/>
      <c r="AG946" s="624"/>
      <c r="AH946" s="624"/>
      <c r="AI946" s="624"/>
      <c r="AJ946" s="960">
        <f t="shared" si="6"/>
        <v>946</v>
      </c>
      <c r="AK946" s="961">
        <v>1.011</v>
      </c>
      <c r="AL946" s="962">
        <v>13659.0</v>
      </c>
      <c r="AM946" s="963">
        <v>-0.4830737540895621</v>
      </c>
      <c r="AN946" s="964">
        <v>0.010999999999999899</v>
      </c>
      <c r="AO946" s="962">
        <v>13659.0</v>
      </c>
      <c r="AP946" s="965">
        <v>-0.47496610303658704</v>
      </c>
      <c r="AQ946" s="962">
        <v>13659.0</v>
      </c>
      <c r="AR946" s="966">
        <v>-0.46711359673214725</v>
      </c>
      <c r="AS946" s="624"/>
      <c r="AT946" s="624"/>
      <c r="AU946" s="624"/>
      <c r="AV946" s="624"/>
      <c r="AW946" s="624"/>
      <c r="AX946" s="624"/>
      <c r="AY946" s="624"/>
      <c r="AZ946" s="624"/>
      <c r="BA946" s="624"/>
      <c r="BB946" s="624"/>
      <c r="BC946" s="624"/>
      <c r="BD946" s="624"/>
      <c r="BE946" s="624"/>
    </row>
    <row r="947" ht="16.5" customHeight="1">
      <c r="A947" s="711"/>
      <c r="B947" s="711"/>
      <c r="C947" s="711"/>
      <c r="D947" s="711"/>
      <c r="E947" s="711"/>
      <c r="F947" s="711"/>
      <c r="G947" s="711"/>
      <c r="H947" s="711"/>
      <c r="I947" s="711"/>
      <c r="J947" s="711"/>
      <c r="K947" s="741"/>
      <c r="L947" s="741"/>
      <c r="M947" s="788"/>
      <c r="N947" s="741"/>
      <c r="O947" s="741"/>
      <c r="P947" s="741"/>
      <c r="Q947" s="741"/>
      <c r="R947" s="788"/>
      <c r="S947" s="819"/>
      <c r="T947" s="820"/>
      <c r="U947" s="819"/>
      <c r="V947" s="820"/>
      <c r="W947" s="788"/>
      <c r="X947" s="803"/>
      <c r="Y947" s="803"/>
      <c r="Z947" s="803"/>
      <c r="AA947" s="711"/>
      <c r="AB947" s="711"/>
      <c r="AC947" s="711"/>
      <c r="AD947" s="736"/>
      <c r="AE947" s="736"/>
      <c r="AF947" s="624"/>
      <c r="AG947" s="624"/>
      <c r="AH947" s="624"/>
      <c r="AI947" s="624"/>
      <c r="AJ947" s="960">
        <f t="shared" si="6"/>
        <v>947</v>
      </c>
      <c r="AK947" s="961">
        <v>0.8925</v>
      </c>
      <c r="AL947" s="962">
        <v>13589.0</v>
      </c>
      <c r="AM947" s="963">
        <v>-0.4813227353296925</v>
      </c>
      <c r="AN947" s="964">
        <v>-0.10750000000000004</v>
      </c>
      <c r="AO947" s="962">
        <v>13589.0</v>
      </c>
      <c r="AP947" s="965">
        <v>-0.47322963531434137</v>
      </c>
      <c r="AQ947" s="962">
        <v>13589.0</v>
      </c>
      <c r="AR947" s="966">
        <v>-0.46539183278892216</v>
      </c>
      <c r="AS947" s="624"/>
      <c r="AT947" s="624"/>
      <c r="AU947" s="624"/>
      <c r="AV947" s="624"/>
      <c r="AW947" s="624"/>
      <c r="AX947" s="624"/>
      <c r="AY947" s="624"/>
      <c r="AZ947" s="624"/>
      <c r="BA947" s="624"/>
      <c r="BB947" s="624"/>
      <c r="BC947" s="624"/>
      <c r="BD947" s="624"/>
      <c r="BE947" s="624"/>
    </row>
    <row r="948" ht="16.5" customHeight="1">
      <c r="A948" s="711"/>
      <c r="B948" s="711"/>
      <c r="C948" s="711"/>
      <c r="D948" s="711"/>
      <c r="E948" s="711"/>
      <c r="F948" s="711"/>
      <c r="G948" s="711"/>
      <c r="H948" s="711"/>
      <c r="I948" s="711"/>
      <c r="J948" s="711"/>
      <c r="K948" s="741"/>
      <c r="L948" s="741"/>
      <c r="M948" s="788"/>
      <c r="N948" s="741"/>
      <c r="O948" s="741"/>
      <c r="P948" s="741"/>
      <c r="Q948" s="741"/>
      <c r="R948" s="788"/>
      <c r="S948" s="819"/>
      <c r="T948" s="820"/>
      <c r="U948" s="819"/>
      <c r="V948" s="820"/>
      <c r="W948" s="788"/>
      <c r="X948" s="803"/>
      <c r="Y948" s="803"/>
      <c r="Z948" s="803"/>
      <c r="AA948" s="711"/>
      <c r="AB948" s="711"/>
      <c r="AC948" s="711"/>
      <c r="AD948" s="736"/>
      <c r="AE948" s="736"/>
      <c r="AF948" s="624"/>
      <c r="AG948" s="624"/>
      <c r="AH948" s="624"/>
      <c r="AI948" s="624"/>
      <c r="AJ948" s="960">
        <f t="shared" si="6"/>
        <v>948</v>
      </c>
      <c r="AK948" s="961">
        <v>0.9646</v>
      </c>
      <c r="AL948" s="962">
        <v>13500.0</v>
      </c>
      <c r="AM948" s="963">
        <v>-0.4790878726882559</v>
      </c>
      <c r="AN948" s="964">
        <v>-0.03539999999999999</v>
      </c>
      <c r="AO948" s="962">
        <v>13500.0</v>
      </c>
      <c r="AP948" s="965">
        <v>-0.4710135452452412</v>
      </c>
      <c r="AQ948" s="962">
        <v>13500.0</v>
      </c>
      <c r="AR948" s="966">
        <v>-0.4631946976478237</v>
      </c>
      <c r="AS948" s="624"/>
      <c r="AT948" s="624"/>
      <c r="AU948" s="624"/>
      <c r="AV948" s="624"/>
      <c r="AW948" s="624"/>
      <c r="AX948" s="624"/>
      <c r="AY948" s="624"/>
      <c r="AZ948" s="624"/>
      <c r="BA948" s="624"/>
      <c r="BB948" s="624"/>
      <c r="BC948" s="624"/>
      <c r="BD948" s="624"/>
      <c r="BE948" s="624"/>
    </row>
    <row r="949" ht="16.5" customHeight="1">
      <c r="A949" s="711"/>
      <c r="B949" s="711"/>
      <c r="C949" s="711"/>
      <c r="D949" s="711"/>
      <c r="E949" s="711"/>
      <c r="F949" s="711"/>
      <c r="G949" s="711"/>
      <c r="H949" s="711"/>
      <c r="I949" s="711"/>
      <c r="J949" s="711"/>
      <c r="K949" s="741"/>
      <c r="L949" s="741"/>
      <c r="M949" s="788"/>
      <c r="N949" s="741"/>
      <c r="O949" s="741"/>
      <c r="P949" s="741"/>
      <c r="Q949" s="741"/>
      <c r="R949" s="788"/>
      <c r="S949" s="819"/>
      <c r="T949" s="820"/>
      <c r="U949" s="819"/>
      <c r="V949" s="820"/>
      <c r="W949" s="788"/>
      <c r="X949" s="803"/>
      <c r="Y949" s="803"/>
      <c r="Z949" s="803"/>
      <c r="AA949" s="711"/>
      <c r="AB949" s="711"/>
      <c r="AC949" s="711"/>
      <c r="AD949" s="736"/>
      <c r="AE949" s="736"/>
      <c r="AF949" s="624"/>
      <c r="AG949" s="624"/>
      <c r="AH949" s="624"/>
      <c r="AI949" s="624"/>
      <c r="AJ949" s="960">
        <f t="shared" si="6"/>
        <v>949</v>
      </c>
      <c r="AK949" s="961">
        <v>0.9924</v>
      </c>
      <c r="AL949" s="962">
        <v>13425.0</v>
      </c>
      <c r="AM949" s="963">
        <v>-0.477197086639536</v>
      </c>
      <c r="AN949" s="964">
        <v>-0.007600000000000051</v>
      </c>
      <c r="AO949" s="962">
        <v>13425.0</v>
      </c>
      <c r="AP949" s="965">
        <v>-0.4691388167086894</v>
      </c>
      <c r="AQ949" s="962">
        <v>13425.0</v>
      </c>
      <c r="AR949" s="966">
        <v>-0.46133616989111725</v>
      </c>
      <c r="AS949" s="624"/>
      <c r="AT949" s="624"/>
      <c r="AU949" s="624"/>
      <c r="AV949" s="624"/>
      <c r="AW949" s="624"/>
      <c r="AX949" s="624"/>
      <c r="AY949" s="624"/>
      <c r="AZ949" s="624"/>
      <c r="BA949" s="624"/>
      <c r="BB949" s="624"/>
      <c r="BC949" s="624"/>
      <c r="BD949" s="624"/>
      <c r="BE949" s="624"/>
    </row>
    <row r="950" ht="16.5" customHeight="1">
      <c r="A950" s="711"/>
      <c r="B950" s="711"/>
      <c r="C950" s="711"/>
      <c r="D950" s="711"/>
      <c r="E950" s="711"/>
      <c r="F950" s="711"/>
      <c r="G950" s="711"/>
      <c r="H950" s="711"/>
      <c r="I950" s="711"/>
      <c r="J950" s="711"/>
      <c r="K950" s="741"/>
      <c r="L950" s="741"/>
      <c r="M950" s="788"/>
      <c r="N950" s="741"/>
      <c r="O950" s="741"/>
      <c r="P950" s="741"/>
      <c r="Q950" s="741"/>
      <c r="R950" s="788"/>
      <c r="S950" s="819"/>
      <c r="T950" s="820"/>
      <c r="U950" s="819"/>
      <c r="V950" s="820"/>
      <c r="W950" s="788"/>
      <c r="X950" s="803"/>
      <c r="Y950" s="803"/>
      <c r="Z950" s="803"/>
      <c r="AA950" s="711"/>
      <c r="AB950" s="711"/>
      <c r="AC950" s="711"/>
      <c r="AD950" s="736"/>
      <c r="AE950" s="736"/>
      <c r="AF950" s="624"/>
      <c r="AG950" s="624"/>
      <c r="AH950" s="624"/>
      <c r="AI950" s="624"/>
      <c r="AJ950" s="960">
        <f t="shared" si="6"/>
        <v>950</v>
      </c>
      <c r="AK950" s="961">
        <v>0.9746</v>
      </c>
      <c r="AL950" s="962">
        <v>13200.0</v>
      </c>
      <c r="AM950" s="963">
        <v>-0.47148345015893167</v>
      </c>
      <c r="AN950" s="964">
        <v>-0.025399999999999978</v>
      </c>
      <c r="AO950" s="962">
        <v>13200.0</v>
      </c>
      <c r="AP950" s="965">
        <v>-0.4634746725905464</v>
      </c>
      <c r="AQ950" s="962">
        <v>13200.0</v>
      </c>
      <c r="AR950" s="966">
        <v>-0.45572188985449613</v>
      </c>
      <c r="AS950" s="624"/>
      <c r="AT950" s="624"/>
      <c r="AU950" s="624"/>
      <c r="AV950" s="624"/>
      <c r="AW950" s="624"/>
      <c r="AX950" s="624"/>
      <c r="AY950" s="624"/>
      <c r="AZ950" s="624"/>
      <c r="BA950" s="624"/>
      <c r="BB950" s="624"/>
      <c r="BC950" s="624"/>
      <c r="BD950" s="624"/>
      <c r="BE950" s="624"/>
    </row>
    <row r="951" ht="16.5" customHeight="1">
      <c r="A951" s="711"/>
      <c r="B951" s="711"/>
      <c r="C951" s="711"/>
      <c r="D951" s="711"/>
      <c r="E951" s="711"/>
      <c r="F951" s="711"/>
      <c r="G951" s="711"/>
      <c r="H951" s="711"/>
      <c r="I951" s="711"/>
      <c r="J951" s="711"/>
      <c r="K951" s="741"/>
      <c r="L951" s="741"/>
      <c r="M951" s="788"/>
      <c r="N951" s="741"/>
      <c r="O951" s="741"/>
      <c r="P951" s="741"/>
      <c r="Q951" s="741"/>
      <c r="R951" s="788"/>
      <c r="S951" s="819"/>
      <c r="T951" s="820"/>
      <c r="U951" s="819"/>
      <c r="V951" s="820"/>
      <c r="W951" s="788"/>
      <c r="X951" s="803"/>
      <c r="Y951" s="803"/>
      <c r="Z951" s="803"/>
      <c r="AA951" s="711"/>
      <c r="AB951" s="711"/>
      <c r="AC951" s="711"/>
      <c r="AD951" s="736"/>
      <c r="AE951" s="736"/>
      <c r="AF951" s="624"/>
      <c r="AG951" s="624"/>
      <c r="AH951" s="624"/>
      <c r="AI951" s="624"/>
      <c r="AJ951" s="960">
        <f t="shared" si="6"/>
        <v>951</v>
      </c>
      <c r="AK951" s="961">
        <v>0.9975</v>
      </c>
      <c r="AL951" s="962">
        <v>13087.0</v>
      </c>
      <c r="AM951" s="963">
        <v>-0.46859042226075365</v>
      </c>
      <c r="AN951" s="964">
        <v>-0.0024999999999999467</v>
      </c>
      <c r="AO951" s="962">
        <v>13087.0</v>
      </c>
      <c r="AP951" s="965">
        <v>-0.4606072562179391</v>
      </c>
      <c r="AQ951" s="962">
        <v>13087.0</v>
      </c>
      <c r="AR951" s="966">
        <v>-0.4528802382222279</v>
      </c>
      <c r="AS951" s="624"/>
      <c r="AT951" s="624"/>
      <c r="AU951" s="624"/>
      <c r="AV951" s="624"/>
      <c r="AW951" s="624"/>
      <c r="AX951" s="624"/>
      <c r="AY951" s="624"/>
      <c r="AZ951" s="624"/>
      <c r="BA951" s="624"/>
      <c r="BB951" s="624"/>
      <c r="BC951" s="624"/>
      <c r="BD951" s="624"/>
      <c r="BE951" s="624"/>
    </row>
    <row r="952" ht="16.5" customHeight="1">
      <c r="A952" s="711"/>
      <c r="B952" s="711"/>
      <c r="C952" s="711"/>
      <c r="D952" s="711"/>
      <c r="E952" s="711"/>
      <c r="F952" s="711"/>
      <c r="G952" s="711"/>
      <c r="H952" s="711"/>
      <c r="I952" s="711"/>
      <c r="J952" s="711"/>
      <c r="K952" s="741"/>
      <c r="L952" s="741"/>
      <c r="M952" s="788"/>
      <c r="N952" s="741"/>
      <c r="O952" s="741"/>
      <c r="P952" s="741"/>
      <c r="Q952" s="741"/>
      <c r="R952" s="788"/>
      <c r="S952" s="819"/>
      <c r="T952" s="820"/>
      <c r="U952" s="819"/>
      <c r="V952" s="820"/>
      <c r="W952" s="788"/>
      <c r="X952" s="803"/>
      <c r="Y952" s="803"/>
      <c r="Z952" s="803"/>
      <c r="AA952" s="711"/>
      <c r="AB952" s="711"/>
      <c r="AC952" s="711"/>
      <c r="AD952" s="736"/>
      <c r="AE952" s="736"/>
      <c r="AF952" s="624"/>
      <c r="AG952" s="624"/>
      <c r="AH952" s="624"/>
      <c r="AI952" s="624"/>
      <c r="AJ952" s="960">
        <f t="shared" si="6"/>
        <v>952</v>
      </c>
      <c r="AK952" s="961">
        <v>0.9729</v>
      </c>
      <c r="AL952" s="962">
        <v>13071.0</v>
      </c>
      <c r="AM952" s="963">
        <v>-0.46817951211092057</v>
      </c>
      <c r="AN952" s="964">
        <v>-0.027100000000000013</v>
      </c>
      <c r="AO952" s="962">
        <v>13071.0</v>
      </c>
      <c r="AP952" s="965">
        <v>-0.4602000136976149</v>
      </c>
      <c r="AQ952" s="962">
        <v>13071.0</v>
      </c>
      <c r="AR952" s="966">
        <v>-0.4524766831884962</v>
      </c>
      <c r="AS952" s="624"/>
      <c r="AT952" s="624"/>
      <c r="AU952" s="624"/>
      <c r="AV952" s="624"/>
      <c r="AW952" s="624"/>
      <c r="AX952" s="624"/>
      <c r="AY952" s="624"/>
      <c r="AZ952" s="624"/>
      <c r="BA952" s="624"/>
      <c r="BB952" s="624"/>
      <c r="BC952" s="624"/>
      <c r="BD952" s="624"/>
      <c r="BE952" s="624"/>
    </row>
    <row r="953" ht="16.5" customHeight="1">
      <c r="A953" s="711"/>
      <c r="B953" s="711"/>
      <c r="C953" s="711"/>
      <c r="D953" s="711"/>
      <c r="E953" s="711"/>
      <c r="F953" s="711"/>
      <c r="G953" s="711"/>
      <c r="H953" s="711"/>
      <c r="I953" s="711"/>
      <c r="J953" s="711"/>
      <c r="K953" s="741"/>
      <c r="L953" s="741"/>
      <c r="M953" s="788"/>
      <c r="N953" s="741"/>
      <c r="O953" s="741"/>
      <c r="P953" s="741"/>
      <c r="Q953" s="741"/>
      <c r="R953" s="788"/>
      <c r="S953" s="819"/>
      <c r="T953" s="820"/>
      <c r="U953" s="819"/>
      <c r="V953" s="820"/>
      <c r="W953" s="788"/>
      <c r="X953" s="803"/>
      <c r="Y953" s="803"/>
      <c r="Z953" s="803"/>
      <c r="AA953" s="711"/>
      <c r="AB953" s="711"/>
      <c r="AC953" s="711"/>
      <c r="AD953" s="736"/>
      <c r="AE953" s="736"/>
      <c r="AF953" s="624"/>
      <c r="AG953" s="624"/>
      <c r="AH953" s="624"/>
      <c r="AI953" s="624"/>
      <c r="AJ953" s="960">
        <f t="shared" si="6"/>
        <v>953</v>
      </c>
      <c r="AK953" s="961">
        <v>1.0</v>
      </c>
      <c r="AL953" s="962">
        <v>12875.0</v>
      </c>
      <c r="AM953" s="963">
        <v>-0.46312000171605594</v>
      </c>
      <c r="AN953" s="964">
        <v>0.0</v>
      </c>
      <c r="AO953" s="962">
        <v>12875.0</v>
      </c>
      <c r="AP953" s="965">
        <v>-0.45518626901894144</v>
      </c>
      <c r="AQ953" s="962">
        <v>12875.0</v>
      </c>
      <c r="AR953" s="966">
        <v>-0.44750890996305603</v>
      </c>
      <c r="AS953" s="624"/>
      <c r="AT953" s="624"/>
      <c r="AU953" s="624"/>
      <c r="AV953" s="624"/>
      <c r="AW953" s="624"/>
      <c r="AX953" s="624"/>
      <c r="AY953" s="624"/>
      <c r="AZ953" s="624"/>
      <c r="BA953" s="624"/>
      <c r="BB953" s="624"/>
      <c r="BC953" s="624"/>
      <c r="BD953" s="624"/>
      <c r="BE953" s="624"/>
    </row>
    <row r="954" ht="16.5" customHeight="1">
      <c r="A954" s="711"/>
      <c r="B954" s="711"/>
      <c r="C954" s="711"/>
      <c r="D954" s="711"/>
      <c r="E954" s="711"/>
      <c r="F954" s="711"/>
      <c r="G954" s="711"/>
      <c r="H954" s="711"/>
      <c r="I954" s="711"/>
      <c r="J954" s="711"/>
      <c r="K954" s="741"/>
      <c r="L954" s="741"/>
      <c r="M954" s="788"/>
      <c r="N954" s="741"/>
      <c r="O954" s="741"/>
      <c r="P954" s="741"/>
      <c r="Q954" s="741"/>
      <c r="R954" s="788"/>
      <c r="S954" s="819"/>
      <c r="T954" s="820"/>
      <c r="U954" s="819"/>
      <c r="V954" s="820"/>
      <c r="W954" s="788"/>
      <c r="X954" s="803"/>
      <c r="Y954" s="803"/>
      <c r="Z954" s="803"/>
      <c r="AA954" s="711"/>
      <c r="AB954" s="711"/>
      <c r="AC954" s="711"/>
      <c r="AD954" s="736"/>
      <c r="AE954" s="736"/>
      <c r="AF954" s="624"/>
      <c r="AG954" s="624"/>
      <c r="AH954" s="624"/>
      <c r="AI954" s="624"/>
      <c r="AJ954" s="960">
        <f t="shared" si="6"/>
        <v>954</v>
      </c>
      <c r="AK954" s="961">
        <v>0.9922</v>
      </c>
      <c r="AL954" s="962">
        <v>12575.0</v>
      </c>
      <c r="AM954" s="963">
        <v>-0.45528247569115177</v>
      </c>
      <c r="AN954" s="964">
        <v>-0.007800000000000029</v>
      </c>
      <c r="AO954" s="962">
        <v>12575.0</v>
      </c>
      <c r="AP954" s="965">
        <v>-0.4474218332730405</v>
      </c>
      <c r="AQ954" s="962">
        <v>12575.0</v>
      </c>
      <c r="AR954" s="966">
        <v>-0.43981774203814705</v>
      </c>
      <c r="AS954" s="624"/>
      <c r="AT954" s="624"/>
      <c r="AU954" s="624"/>
      <c r="AV954" s="624"/>
      <c r="AW954" s="624"/>
      <c r="AX954" s="624"/>
      <c r="AY954" s="624"/>
      <c r="AZ954" s="624"/>
      <c r="BA954" s="624"/>
      <c r="BB954" s="624"/>
      <c r="BC954" s="624"/>
      <c r="BD954" s="624"/>
      <c r="BE954" s="624"/>
    </row>
    <row r="955" ht="16.5" customHeight="1">
      <c r="A955" s="711"/>
      <c r="B955" s="711"/>
      <c r="C955" s="711"/>
      <c r="D955" s="711"/>
      <c r="E955" s="711"/>
      <c r="F955" s="711"/>
      <c r="G955" s="711"/>
      <c r="H955" s="711"/>
      <c r="I955" s="711"/>
      <c r="J955" s="711"/>
      <c r="K955" s="741"/>
      <c r="L955" s="741"/>
      <c r="M955" s="788"/>
      <c r="N955" s="741"/>
      <c r="O955" s="741"/>
      <c r="P955" s="741"/>
      <c r="Q955" s="741"/>
      <c r="R955" s="788"/>
      <c r="S955" s="819"/>
      <c r="T955" s="820"/>
      <c r="U955" s="819"/>
      <c r="V955" s="820"/>
      <c r="W955" s="788"/>
      <c r="X955" s="803"/>
      <c r="Y955" s="803"/>
      <c r="Z955" s="803"/>
      <c r="AA955" s="711"/>
      <c r="AB955" s="711"/>
      <c r="AC955" s="711"/>
      <c r="AD955" s="736"/>
      <c r="AE955" s="736"/>
      <c r="AF955" s="624"/>
      <c r="AG955" s="624"/>
      <c r="AH955" s="624"/>
      <c r="AI955" s="624"/>
      <c r="AJ955" s="960">
        <f t="shared" si="6"/>
        <v>955</v>
      </c>
      <c r="AK955" s="961">
        <v>0.9847</v>
      </c>
      <c r="AL955" s="962">
        <v>12440.0</v>
      </c>
      <c r="AM955" s="963">
        <v>-0.4517183606161823</v>
      </c>
      <c r="AN955" s="964">
        <v>-0.01529999999999998</v>
      </c>
      <c r="AO955" s="962">
        <v>12440.0</v>
      </c>
      <c r="AP955" s="965">
        <v>-0.44389182974189867</v>
      </c>
      <c r="AQ955" s="962">
        <v>12440.0</v>
      </c>
      <c r="AR955" s="966">
        <v>-0.436321874239486</v>
      </c>
      <c r="AS955" s="624"/>
      <c r="AT955" s="624"/>
      <c r="AU955" s="624"/>
      <c r="AV955" s="624"/>
      <c r="AW955" s="624"/>
      <c r="AX955" s="624"/>
      <c r="AY955" s="624"/>
      <c r="AZ955" s="624"/>
      <c r="BA955" s="624"/>
      <c r="BB955" s="624"/>
      <c r="BC955" s="624"/>
      <c r="BD955" s="624"/>
      <c r="BE955" s="624"/>
    </row>
    <row r="956" ht="16.5" customHeight="1">
      <c r="A956" s="711"/>
      <c r="B956" s="711"/>
      <c r="C956" s="711"/>
      <c r="D956" s="711"/>
      <c r="E956" s="711"/>
      <c r="F956" s="711"/>
      <c r="G956" s="711"/>
      <c r="H956" s="711"/>
      <c r="I956" s="711"/>
      <c r="J956" s="711"/>
      <c r="K956" s="741"/>
      <c r="L956" s="741"/>
      <c r="M956" s="788"/>
      <c r="N956" s="741"/>
      <c r="O956" s="741"/>
      <c r="P956" s="741"/>
      <c r="Q956" s="741"/>
      <c r="R956" s="788"/>
      <c r="S956" s="819"/>
      <c r="T956" s="820"/>
      <c r="U956" s="819"/>
      <c r="V956" s="820"/>
      <c r="W956" s="788"/>
      <c r="X956" s="803"/>
      <c r="Y956" s="803"/>
      <c r="Z956" s="803"/>
      <c r="AA956" s="711"/>
      <c r="AB956" s="711"/>
      <c r="AC956" s="711"/>
      <c r="AD956" s="736"/>
      <c r="AE956" s="736"/>
      <c r="AF956" s="624"/>
      <c r="AG956" s="624"/>
      <c r="AH956" s="624"/>
      <c r="AI956" s="624"/>
      <c r="AJ956" s="960">
        <f t="shared" si="6"/>
        <v>956</v>
      </c>
      <c r="AK956" s="961">
        <v>0.9949</v>
      </c>
      <c r="AL956" s="962">
        <v>12199.0</v>
      </c>
      <c r="AM956" s="963">
        <v>-0.4452976811143132</v>
      </c>
      <c r="AN956" s="964">
        <v>-0.005099999999999993</v>
      </c>
      <c r="AO956" s="962">
        <v>12199.0</v>
      </c>
      <c r="AP956" s="965">
        <v>-0.4375339646360974</v>
      </c>
      <c r="AQ956" s="962">
        <v>12199.0</v>
      </c>
      <c r="AR956" s="966">
        <v>-0.43002677823543123</v>
      </c>
      <c r="AS956" s="624"/>
      <c r="AT956" s="624"/>
      <c r="AU956" s="624"/>
      <c r="AV956" s="624"/>
      <c r="AW956" s="624"/>
      <c r="AX956" s="624"/>
      <c r="AY956" s="624"/>
      <c r="AZ956" s="624"/>
      <c r="BA956" s="624"/>
      <c r="BB956" s="624"/>
      <c r="BC956" s="624"/>
      <c r="BD956" s="624"/>
      <c r="BE956" s="624"/>
    </row>
    <row r="957" ht="16.5" customHeight="1">
      <c r="A957" s="711"/>
      <c r="B957" s="711"/>
      <c r="C957" s="711"/>
      <c r="D957" s="711"/>
      <c r="E957" s="711"/>
      <c r="F957" s="711"/>
      <c r="G957" s="711"/>
      <c r="H957" s="711"/>
      <c r="I957" s="711"/>
      <c r="J957" s="711"/>
      <c r="K957" s="741"/>
      <c r="L957" s="741"/>
      <c r="M957" s="788"/>
      <c r="N957" s="741"/>
      <c r="O957" s="741"/>
      <c r="P957" s="741"/>
      <c r="Q957" s="741"/>
      <c r="R957" s="788"/>
      <c r="S957" s="819"/>
      <c r="T957" s="820"/>
      <c r="U957" s="819"/>
      <c r="V957" s="820"/>
      <c r="W957" s="788"/>
      <c r="X957" s="803"/>
      <c r="Y957" s="803"/>
      <c r="Z957" s="803"/>
      <c r="AA957" s="711"/>
      <c r="AB957" s="711"/>
      <c r="AC957" s="711"/>
      <c r="AD957" s="736"/>
      <c r="AE957" s="736"/>
      <c r="AF957" s="624"/>
      <c r="AG957" s="624"/>
      <c r="AH957" s="624"/>
      <c r="AI957" s="624"/>
      <c r="AJ957" s="960">
        <f t="shared" si="6"/>
        <v>957</v>
      </c>
      <c r="AK957" s="961">
        <v>0.9785</v>
      </c>
      <c r="AL957" s="962">
        <v>12063.0</v>
      </c>
      <c r="AM957" s="963">
        <v>-0.44164126180888164</v>
      </c>
      <c r="AN957" s="964">
        <v>-0.021499999999999964</v>
      </c>
      <c r="AO957" s="962">
        <v>12063.0</v>
      </c>
      <c r="AP957" s="965">
        <v>-0.43391409346303755</v>
      </c>
      <c r="AQ957" s="962">
        <v>12063.0</v>
      </c>
      <c r="AR957" s="966">
        <v>-0.42644337847423575</v>
      </c>
      <c r="AS957" s="624"/>
      <c r="AT957" s="624"/>
      <c r="AU957" s="624"/>
      <c r="AV957" s="624"/>
      <c r="AW957" s="624"/>
      <c r="AX957" s="624"/>
      <c r="AY957" s="624"/>
      <c r="AZ957" s="624"/>
      <c r="BA957" s="624"/>
      <c r="BB957" s="624"/>
      <c r="BC957" s="624"/>
      <c r="BD957" s="624"/>
      <c r="BE957" s="624"/>
    </row>
    <row r="958" ht="16.5" customHeight="1">
      <c r="A958" s="711"/>
      <c r="B958" s="711"/>
      <c r="C958" s="711"/>
      <c r="D958" s="711"/>
      <c r="E958" s="711"/>
      <c r="F958" s="711"/>
      <c r="G958" s="711"/>
      <c r="H958" s="711"/>
      <c r="I958" s="711"/>
      <c r="J958" s="711"/>
      <c r="K958" s="741"/>
      <c r="L958" s="741"/>
      <c r="M958" s="788"/>
      <c r="N958" s="741"/>
      <c r="O958" s="741"/>
      <c r="P958" s="741"/>
      <c r="Q958" s="741"/>
      <c r="R958" s="788"/>
      <c r="S958" s="819"/>
      <c r="T958" s="820"/>
      <c r="U958" s="819"/>
      <c r="V958" s="820"/>
      <c r="W958" s="788"/>
      <c r="X958" s="803"/>
      <c r="Y958" s="803"/>
      <c r="Z958" s="803"/>
      <c r="AA958" s="711"/>
      <c r="AB958" s="711"/>
      <c r="AC958" s="711"/>
      <c r="AD958" s="736"/>
      <c r="AE958" s="736"/>
      <c r="AF958" s="624"/>
      <c r="AG958" s="624"/>
      <c r="AH958" s="624"/>
      <c r="AI958" s="624"/>
      <c r="AJ958" s="960">
        <f t="shared" si="6"/>
        <v>958</v>
      </c>
      <c r="AK958" s="961">
        <v>0.97</v>
      </c>
      <c r="AL958" s="962">
        <v>12000.0</v>
      </c>
      <c r="AM958" s="963">
        <v>-0.439939320530512</v>
      </c>
      <c r="AN958" s="964">
        <v>-0.030000000000000027</v>
      </c>
      <c r="AO958" s="962">
        <v>12000.0</v>
      </c>
      <c r="AP958" s="965">
        <v>-0.4322293550154608</v>
      </c>
      <c r="AQ958" s="962">
        <v>12000.0</v>
      </c>
      <c r="AR958" s="966">
        <v>-0.42477579457415404</v>
      </c>
      <c r="AS958" s="624"/>
      <c r="AT958" s="624"/>
      <c r="AU958" s="624"/>
      <c r="AV958" s="624"/>
      <c r="AW958" s="624"/>
      <c r="AX958" s="624"/>
      <c r="AY958" s="624"/>
      <c r="AZ958" s="624"/>
      <c r="BA958" s="624"/>
      <c r="BB958" s="624"/>
      <c r="BC958" s="624"/>
      <c r="BD958" s="624"/>
      <c r="BE958" s="624"/>
    </row>
    <row r="959" ht="16.5" customHeight="1">
      <c r="A959" s="711"/>
      <c r="B959" s="711"/>
      <c r="C959" s="711"/>
      <c r="D959" s="711"/>
      <c r="E959" s="711"/>
      <c r="F959" s="711"/>
      <c r="G959" s="711"/>
      <c r="H959" s="711"/>
      <c r="I959" s="711"/>
      <c r="J959" s="711"/>
      <c r="K959" s="741"/>
      <c r="L959" s="741"/>
      <c r="M959" s="788"/>
      <c r="N959" s="741"/>
      <c r="O959" s="741"/>
      <c r="P959" s="741"/>
      <c r="Q959" s="741"/>
      <c r="R959" s="788"/>
      <c r="S959" s="819"/>
      <c r="T959" s="820"/>
      <c r="U959" s="819"/>
      <c r="V959" s="820"/>
      <c r="W959" s="788"/>
      <c r="X959" s="803"/>
      <c r="Y959" s="803"/>
      <c r="Z959" s="803"/>
      <c r="AA959" s="711"/>
      <c r="AB959" s="711"/>
      <c r="AC959" s="711"/>
      <c r="AD959" s="736"/>
      <c r="AE959" s="736"/>
      <c r="AF959" s="624"/>
      <c r="AG959" s="624"/>
      <c r="AH959" s="624"/>
      <c r="AI959" s="624"/>
      <c r="AJ959" s="960">
        <f t="shared" si="6"/>
        <v>959</v>
      </c>
      <c r="AK959" s="961">
        <v>1.0127</v>
      </c>
      <c r="AL959" s="962">
        <v>12000.0</v>
      </c>
      <c r="AM959" s="963">
        <v>-0.439939320530512</v>
      </c>
      <c r="AN959" s="964">
        <v>0.012699999999999934</v>
      </c>
      <c r="AO959" s="962">
        <v>12000.0</v>
      </c>
      <c r="AP959" s="965">
        <v>-0.4322293550154608</v>
      </c>
      <c r="AQ959" s="962">
        <v>12000.0</v>
      </c>
      <c r="AR959" s="966">
        <v>-0.42477579457415404</v>
      </c>
      <c r="AS959" s="624"/>
      <c r="AT959" s="624"/>
      <c r="AU959" s="624"/>
      <c r="AV959" s="624"/>
      <c r="AW959" s="624"/>
      <c r="AX959" s="624"/>
      <c r="AY959" s="624"/>
      <c r="AZ959" s="624"/>
      <c r="BA959" s="624"/>
      <c r="BB959" s="624"/>
      <c r="BC959" s="624"/>
      <c r="BD959" s="624"/>
      <c r="BE959" s="624"/>
    </row>
    <row r="960" ht="16.5" customHeight="1">
      <c r="A960" s="711"/>
      <c r="B960" s="711"/>
      <c r="C960" s="711"/>
      <c r="D960" s="711"/>
      <c r="E960" s="711"/>
      <c r="F960" s="711"/>
      <c r="G960" s="711"/>
      <c r="H960" s="711"/>
      <c r="I960" s="711"/>
      <c r="J960" s="711"/>
      <c r="K960" s="741"/>
      <c r="L960" s="741"/>
      <c r="M960" s="788"/>
      <c r="N960" s="741"/>
      <c r="O960" s="741"/>
      <c r="P960" s="741"/>
      <c r="Q960" s="741"/>
      <c r="R960" s="788"/>
      <c r="S960" s="819"/>
      <c r="T960" s="820"/>
      <c r="U960" s="819"/>
      <c r="V960" s="820"/>
      <c r="W960" s="788"/>
      <c r="X960" s="803"/>
      <c r="Y960" s="803"/>
      <c r="Z960" s="803"/>
      <c r="AA960" s="711"/>
      <c r="AB960" s="711"/>
      <c r="AC960" s="711"/>
      <c r="AD960" s="736"/>
      <c r="AE960" s="736"/>
      <c r="AF960" s="624"/>
      <c r="AG960" s="624"/>
      <c r="AH960" s="624"/>
      <c r="AI960" s="624"/>
      <c r="AJ960" s="960">
        <f t="shared" si="6"/>
        <v>960</v>
      </c>
      <c r="AK960" s="961">
        <v>1.0043</v>
      </c>
      <c r="AL960" s="962">
        <v>11989.0</v>
      </c>
      <c r="AM960" s="963">
        <v>-0.4396416246533875</v>
      </c>
      <c r="AN960" s="964">
        <v>0.0042999999999999705</v>
      </c>
      <c r="AO960" s="962">
        <v>11989.0</v>
      </c>
      <c r="AP960" s="965">
        <v>-0.43193468059734885</v>
      </c>
      <c r="AQ960" s="962">
        <v>11989.0</v>
      </c>
      <c r="AR960" s="966">
        <v>-0.42448413234989635</v>
      </c>
      <c r="AS960" s="624"/>
      <c r="AT960" s="624"/>
      <c r="AU960" s="624"/>
      <c r="AV960" s="624"/>
      <c r="AW960" s="624"/>
      <c r="AX960" s="624"/>
      <c r="AY960" s="624"/>
      <c r="AZ960" s="624"/>
      <c r="BA960" s="624"/>
      <c r="BB960" s="624"/>
      <c r="BC960" s="624"/>
      <c r="BD960" s="624"/>
      <c r="BE960" s="624"/>
    </row>
    <row r="961" ht="16.5" customHeight="1">
      <c r="A961" s="711"/>
      <c r="B961" s="711"/>
      <c r="C961" s="711"/>
      <c r="D961" s="711"/>
      <c r="E961" s="711"/>
      <c r="F961" s="711"/>
      <c r="G961" s="711"/>
      <c r="H961" s="711"/>
      <c r="I961" s="711"/>
      <c r="J961" s="711"/>
      <c r="K961" s="741"/>
      <c r="L961" s="741"/>
      <c r="M961" s="788"/>
      <c r="N961" s="741"/>
      <c r="O961" s="741"/>
      <c r="P961" s="741"/>
      <c r="Q961" s="741"/>
      <c r="R961" s="788"/>
      <c r="S961" s="819"/>
      <c r="T961" s="820"/>
      <c r="U961" s="819"/>
      <c r="V961" s="820"/>
      <c r="W961" s="788"/>
      <c r="X961" s="803"/>
      <c r="Y961" s="803"/>
      <c r="Z961" s="803"/>
      <c r="AA961" s="711"/>
      <c r="AB961" s="711"/>
      <c r="AC961" s="711"/>
      <c r="AD961" s="736"/>
      <c r="AE961" s="736"/>
      <c r="AF961" s="624"/>
      <c r="AG961" s="624"/>
      <c r="AH961" s="624"/>
      <c r="AI961" s="624"/>
      <c r="AJ961" s="960">
        <f t="shared" si="6"/>
        <v>961</v>
      </c>
      <c r="AK961" s="961">
        <v>1.038</v>
      </c>
      <c r="AL961" s="962">
        <v>11968.0</v>
      </c>
      <c r="AM961" s="963">
        <v>-0.4390728566854565</v>
      </c>
      <c r="AN961" s="964">
        <v>0.038000000000000034</v>
      </c>
      <c r="AO961" s="962">
        <v>11968.0</v>
      </c>
      <c r="AP961" s="965">
        <v>-0.43137169559385524</v>
      </c>
      <c r="AQ961" s="962">
        <v>11968.0</v>
      </c>
      <c r="AR961" s="966">
        <v>-0.4239269119309391</v>
      </c>
      <c r="AS961" s="624"/>
      <c r="AT961" s="624"/>
      <c r="AU961" s="624"/>
      <c r="AV961" s="624"/>
      <c r="AW961" s="624"/>
      <c r="AX961" s="624"/>
      <c r="AY961" s="624"/>
      <c r="AZ961" s="624"/>
      <c r="BA961" s="624"/>
      <c r="BB961" s="624"/>
      <c r="BC961" s="624"/>
      <c r="BD961" s="624"/>
      <c r="BE961" s="624"/>
    </row>
    <row r="962" ht="16.5" customHeight="1">
      <c r="A962" s="711"/>
      <c r="B962" s="711"/>
      <c r="C962" s="711"/>
      <c r="D962" s="711"/>
      <c r="E962" s="711"/>
      <c r="F962" s="711"/>
      <c r="G962" s="711"/>
      <c r="H962" s="711"/>
      <c r="I962" s="711"/>
      <c r="J962" s="711"/>
      <c r="K962" s="741"/>
      <c r="L962" s="741"/>
      <c r="M962" s="788"/>
      <c r="N962" s="741"/>
      <c r="O962" s="741"/>
      <c r="P962" s="741"/>
      <c r="Q962" s="741"/>
      <c r="R962" s="788"/>
      <c r="S962" s="819"/>
      <c r="T962" s="820"/>
      <c r="U962" s="819"/>
      <c r="V962" s="820"/>
      <c r="W962" s="788"/>
      <c r="X962" s="803"/>
      <c r="Y962" s="803"/>
      <c r="Z962" s="803"/>
      <c r="AA962" s="711"/>
      <c r="AB962" s="711"/>
      <c r="AC962" s="711"/>
      <c r="AD962" s="736"/>
      <c r="AE962" s="736"/>
      <c r="AF962" s="624"/>
      <c r="AG962" s="624"/>
      <c r="AH962" s="624"/>
      <c r="AI962" s="624"/>
      <c r="AJ962" s="960">
        <f t="shared" si="6"/>
        <v>962</v>
      </c>
      <c r="AK962" s="961">
        <v>0.9916</v>
      </c>
      <c r="AL962" s="962">
        <v>11896.0</v>
      </c>
      <c r="AM962" s="963">
        <v>-0.4371184086826412</v>
      </c>
      <c r="AN962" s="964">
        <v>-0.008399999999999963</v>
      </c>
      <c r="AO962" s="962">
        <v>11896.0</v>
      </c>
      <c r="AP962" s="965">
        <v>-0.42943722203036117</v>
      </c>
      <c r="AQ962" s="962">
        <v>11896.0</v>
      </c>
      <c r="AR962" s="966">
        <v>-0.42201234286585165</v>
      </c>
      <c r="AS962" s="624"/>
      <c r="AT962" s="624"/>
      <c r="AU962" s="624"/>
      <c r="AV962" s="624"/>
      <c r="AW962" s="624"/>
      <c r="AX962" s="624"/>
      <c r="AY962" s="624"/>
      <c r="AZ962" s="624"/>
      <c r="BA962" s="624"/>
      <c r="BB962" s="624"/>
      <c r="BC962" s="624"/>
      <c r="BD962" s="624"/>
      <c r="BE962" s="624"/>
    </row>
    <row r="963" ht="16.5" customHeight="1">
      <c r="A963" s="711"/>
      <c r="B963" s="711"/>
      <c r="C963" s="711"/>
      <c r="D963" s="711"/>
      <c r="E963" s="711"/>
      <c r="F963" s="711"/>
      <c r="G963" s="711"/>
      <c r="H963" s="711"/>
      <c r="I963" s="711"/>
      <c r="J963" s="711"/>
      <c r="K963" s="741"/>
      <c r="L963" s="741"/>
      <c r="M963" s="788"/>
      <c r="N963" s="741"/>
      <c r="O963" s="741"/>
      <c r="P963" s="741"/>
      <c r="Q963" s="741"/>
      <c r="R963" s="788"/>
      <c r="S963" s="819"/>
      <c r="T963" s="820"/>
      <c r="U963" s="819"/>
      <c r="V963" s="820"/>
      <c r="W963" s="788"/>
      <c r="X963" s="803"/>
      <c r="Y963" s="803"/>
      <c r="Z963" s="803"/>
      <c r="AA963" s="711"/>
      <c r="AB963" s="711"/>
      <c r="AC963" s="711"/>
      <c r="AD963" s="736"/>
      <c r="AE963" s="736"/>
      <c r="AF963" s="624"/>
      <c r="AG963" s="624"/>
      <c r="AH963" s="624"/>
      <c r="AI963" s="624"/>
      <c r="AJ963" s="960">
        <f t="shared" si="6"/>
        <v>963</v>
      </c>
      <c r="AK963" s="961">
        <v>0.9657</v>
      </c>
      <c r="AL963" s="962">
        <v>11743.0</v>
      </c>
      <c r="AM963" s="963">
        <v>-0.4329425660786147</v>
      </c>
      <c r="AN963" s="964">
        <v>-0.0343</v>
      </c>
      <c r="AO963" s="962">
        <v>11743.0</v>
      </c>
      <c r="AP963" s="965">
        <v>-0.42530458658836545</v>
      </c>
      <c r="AQ963" s="962">
        <v>11743.0</v>
      </c>
      <c r="AR963" s="966">
        <v>-0.4179227299955619</v>
      </c>
      <c r="AS963" s="624"/>
      <c r="AT963" s="624"/>
      <c r="AU963" s="624"/>
      <c r="AV963" s="624"/>
      <c r="AW963" s="624"/>
      <c r="AX963" s="624"/>
      <c r="AY963" s="624"/>
      <c r="AZ963" s="624"/>
      <c r="BA963" s="624"/>
      <c r="BB963" s="624"/>
      <c r="BC963" s="624"/>
      <c r="BD963" s="624"/>
      <c r="BE963" s="624"/>
    </row>
    <row r="964" ht="16.5" customHeight="1">
      <c r="A964" s="711"/>
      <c r="B964" s="711"/>
      <c r="C964" s="711"/>
      <c r="D964" s="711"/>
      <c r="E964" s="711"/>
      <c r="F964" s="711"/>
      <c r="G964" s="711"/>
      <c r="H964" s="711"/>
      <c r="I964" s="711"/>
      <c r="J964" s="711"/>
      <c r="K964" s="741"/>
      <c r="L964" s="741"/>
      <c r="M964" s="788"/>
      <c r="N964" s="741"/>
      <c r="O964" s="741"/>
      <c r="P964" s="741"/>
      <c r="Q964" s="741"/>
      <c r="R964" s="788"/>
      <c r="S964" s="819"/>
      <c r="T964" s="820"/>
      <c r="U964" s="819"/>
      <c r="V964" s="820"/>
      <c r="W964" s="788"/>
      <c r="X964" s="803"/>
      <c r="Y964" s="803"/>
      <c r="Z964" s="803"/>
      <c r="AA964" s="711"/>
      <c r="AB964" s="711"/>
      <c r="AC964" s="711"/>
      <c r="AD964" s="736"/>
      <c r="AE964" s="736"/>
      <c r="AF964" s="624"/>
      <c r="AG964" s="624"/>
      <c r="AH964" s="624"/>
      <c r="AI964" s="624"/>
      <c r="AJ964" s="960">
        <f t="shared" si="6"/>
        <v>964</v>
      </c>
      <c r="AK964" s="961">
        <v>0.9801</v>
      </c>
      <c r="AL964" s="962">
        <v>11727.0</v>
      </c>
      <c r="AM964" s="963">
        <v>-0.4325040913786896</v>
      </c>
      <c r="AN964" s="964">
        <v>-0.01990000000000003</v>
      </c>
      <c r="AO964" s="962">
        <v>11727.0</v>
      </c>
      <c r="AP964" s="965">
        <v>-0.4248706904871027</v>
      </c>
      <c r="AQ964" s="962">
        <v>11727.0</v>
      </c>
      <c r="AR964" s="966">
        <v>-0.4174933903358724</v>
      </c>
      <c r="AS964" s="624"/>
      <c r="AT964" s="624"/>
      <c r="AU964" s="624"/>
      <c r="AV964" s="624"/>
      <c r="AW964" s="624"/>
      <c r="AX964" s="624"/>
      <c r="AY964" s="624"/>
      <c r="AZ964" s="624"/>
      <c r="BA964" s="624"/>
      <c r="BB964" s="624"/>
      <c r="BC964" s="624"/>
      <c r="BD964" s="624"/>
      <c r="BE964" s="624"/>
    </row>
    <row r="965" ht="16.5" customHeight="1">
      <c r="A965" s="711"/>
      <c r="B965" s="711"/>
      <c r="C965" s="711"/>
      <c r="D965" s="711"/>
      <c r="E965" s="711"/>
      <c r="F965" s="711"/>
      <c r="G965" s="711"/>
      <c r="H965" s="711"/>
      <c r="I965" s="711"/>
      <c r="J965" s="711"/>
      <c r="K965" s="741"/>
      <c r="L965" s="741"/>
      <c r="M965" s="788"/>
      <c r="N965" s="741"/>
      <c r="O965" s="741"/>
      <c r="P965" s="741"/>
      <c r="Q965" s="741"/>
      <c r="R965" s="788"/>
      <c r="S965" s="819"/>
      <c r="T965" s="820"/>
      <c r="U965" s="819"/>
      <c r="V965" s="820"/>
      <c r="W965" s="788"/>
      <c r="X965" s="803"/>
      <c r="Y965" s="803"/>
      <c r="Z965" s="803"/>
      <c r="AA965" s="711"/>
      <c r="AB965" s="711"/>
      <c r="AC965" s="711"/>
      <c r="AD965" s="736"/>
      <c r="AE965" s="736"/>
      <c r="AF965" s="624"/>
      <c r="AG965" s="624"/>
      <c r="AH965" s="624"/>
      <c r="AI965" s="624"/>
      <c r="AJ965" s="960">
        <f t="shared" si="6"/>
        <v>965</v>
      </c>
      <c r="AK965" s="961">
        <v>0.9973</v>
      </c>
      <c r="AL965" s="962">
        <v>11680.0</v>
      </c>
      <c r="AM965" s="963">
        <v>-0.43121411018102507</v>
      </c>
      <c r="AN965" s="964">
        <v>-0.0027000000000000357</v>
      </c>
      <c r="AO965" s="962">
        <v>11680.0</v>
      </c>
      <c r="AP965" s="965">
        <v>-0.42359422523253587</v>
      </c>
      <c r="AQ965" s="962">
        <v>11680.0</v>
      </c>
      <c r="AR965" s="966">
        <v>-0.4162303727850728</v>
      </c>
      <c r="AS965" s="624"/>
      <c r="AT965" s="624"/>
      <c r="AU965" s="624"/>
      <c r="AV965" s="624"/>
      <c r="AW965" s="624"/>
      <c r="AX965" s="624"/>
      <c r="AY965" s="624"/>
      <c r="AZ965" s="624"/>
      <c r="BA965" s="624"/>
      <c r="BB965" s="624"/>
      <c r="BC965" s="624"/>
      <c r="BD965" s="624"/>
      <c r="BE965" s="624"/>
    </row>
    <row r="966" ht="16.5" customHeight="1">
      <c r="A966" s="711"/>
      <c r="B966" s="711"/>
      <c r="C966" s="711"/>
      <c r="D966" s="711"/>
      <c r="E966" s="711"/>
      <c r="F966" s="711"/>
      <c r="G966" s="711"/>
      <c r="H966" s="711"/>
      <c r="I966" s="711"/>
      <c r="J966" s="711"/>
      <c r="K966" s="741"/>
      <c r="L966" s="741"/>
      <c r="M966" s="788"/>
      <c r="N966" s="741"/>
      <c r="O966" s="741"/>
      <c r="P966" s="741"/>
      <c r="Q966" s="741"/>
      <c r="R966" s="788"/>
      <c r="S966" s="819"/>
      <c r="T966" s="820"/>
      <c r="U966" s="819"/>
      <c r="V966" s="820"/>
      <c r="W966" s="788"/>
      <c r="X966" s="803"/>
      <c r="Y966" s="803"/>
      <c r="Z966" s="803"/>
      <c r="AA966" s="711"/>
      <c r="AB966" s="711"/>
      <c r="AC966" s="711"/>
      <c r="AD966" s="736"/>
      <c r="AE966" s="736"/>
      <c r="AF966" s="624"/>
      <c r="AG966" s="624"/>
      <c r="AH966" s="624"/>
      <c r="AI966" s="624"/>
      <c r="AJ966" s="960">
        <f t="shared" si="6"/>
        <v>966</v>
      </c>
      <c r="AK966" s="961">
        <v>1.0</v>
      </c>
      <c r="AL966" s="962">
        <v>11500.0</v>
      </c>
      <c r="AM966" s="963">
        <v>-0.42624657926256726</v>
      </c>
      <c r="AN966" s="964">
        <v>0.0</v>
      </c>
      <c r="AO966" s="962">
        <v>11500.0</v>
      </c>
      <c r="AP966" s="965">
        <v>-0.4186793785479579</v>
      </c>
      <c r="AQ966" s="962">
        <v>11500.0</v>
      </c>
      <c r="AR966" s="966">
        <v>-0.4113679050436626</v>
      </c>
      <c r="AS966" s="624"/>
      <c r="AT966" s="624"/>
      <c r="AU966" s="624"/>
      <c r="AV966" s="624"/>
      <c r="AW966" s="624"/>
      <c r="AX966" s="624"/>
      <c r="AY966" s="624"/>
      <c r="AZ966" s="624"/>
      <c r="BA966" s="624"/>
      <c r="BB966" s="624"/>
      <c r="BC966" s="624"/>
      <c r="BD966" s="624"/>
      <c r="BE966" s="624"/>
    </row>
    <row r="967" ht="16.5" customHeight="1">
      <c r="A967" s="711"/>
      <c r="B967" s="711"/>
      <c r="C967" s="711"/>
      <c r="D967" s="711"/>
      <c r="E967" s="711"/>
      <c r="F967" s="711"/>
      <c r="G967" s="711"/>
      <c r="H967" s="711"/>
      <c r="I967" s="711"/>
      <c r="J967" s="711"/>
      <c r="K967" s="741"/>
      <c r="L967" s="741"/>
      <c r="M967" s="788"/>
      <c r="N967" s="741"/>
      <c r="O967" s="741"/>
      <c r="P967" s="741"/>
      <c r="Q967" s="741"/>
      <c r="R967" s="788"/>
      <c r="S967" s="819"/>
      <c r="T967" s="820"/>
      <c r="U967" s="819"/>
      <c r="V967" s="820"/>
      <c r="W967" s="788"/>
      <c r="X967" s="803"/>
      <c r="Y967" s="803"/>
      <c r="Z967" s="803"/>
      <c r="AA967" s="711"/>
      <c r="AB967" s="711"/>
      <c r="AC967" s="711"/>
      <c r="AD967" s="736"/>
      <c r="AE967" s="736"/>
      <c r="AF967" s="624"/>
      <c r="AG967" s="624"/>
      <c r="AH967" s="624"/>
      <c r="AI967" s="624"/>
      <c r="AJ967" s="960">
        <f t="shared" si="6"/>
        <v>967</v>
      </c>
      <c r="AK967" s="961">
        <v>0.9988</v>
      </c>
      <c r="AL967" s="962">
        <v>11500.0</v>
      </c>
      <c r="AM967" s="963">
        <v>-0.42624657926256726</v>
      </c>
      <c r="AN967" s="964">
        <v>-0.0011999999999999789</v>
      </c>
      <c r="AO967" s="962">
        <v>11500.0</v>
      </c>
      <c r="AP967" s="965">
        <v>-0.4186793785479579</v>
      </c>
      <c r="AQ967" s="962">
        <v>11500.0</v>
      </c>
      <c r="AR967" s="966">
        <v>-0.4113679050436626</v>
      </c>
      <c r="AS967" s="624"/>
      <c r="AT967" s="624"/>
      <c r="AU967" s="624"/>
      <c r="AV967" s="624"/>
      <c r="AW967" s="624"/>
      <c r="AX967" s="624"/>
      <c r="AY967" s="624"/>
      <c r="AZ967" s="624"/>
      <c r="BA967" s="624"/>
      <c r="BB967" s="624"/>
      <c r="BC967" s="624"/>
      <c r="BD967" s="624"/>
      <c r="BE967" s="624"/>
    </row>
    <row r="968" ht="16.5" customHeight="1">
      <c r="A968" s="711"/>
      <c r="B968" s="711"/>
      <c r="C968" s="711"/>
      <c r="D968" s="711"/>
      <c r="E968" s="711"/>
      <c r="F968" s="711"/>
      <c r="G968" s="711"/>
      <c r="H968" s="711"/>
      <c r="I968" s="711"/>
      <c r="J968" s="711"/>
      <c r="K968" s="741"/>
      <c r="L968" s="741"/>
      <c r="M968" s="788"/>
      <c r="N968" s="741"/>
      <c r="O968" s="741"/>
      <c r="P968" s="741"/>
      <c r="Q968" s="741"/>
      <c r="R968" s="788"/>
      <c r="S968" s="819"/>
      <c r="T968" s="820"/>
      <c r="U968" s="819"/>
      <c r="V968" s="820"/>
      <c r="W968" s="788"/>
      <c r="X968" s="803"/>
      <c r="Y968" s="803"/>
      <c r="Z968" s="803"/>
      <c r="AA968" s="711"/>
      <c r="AB968" s="711"/>
      <c r="AC968" s="711"/>
      <c r="AD968" s="736"/>
      <c r="AE968" s="736"/>
      <c r="AF968" s="624"/>
      <c r="AG968" s="624"/>
      <c r="AH968" s="624"/>
      <c r="AI968" s="624"/>
      <c r="AJ968" s="960">
        <f t="shared" si="6"/>
        <v>968</v>
      </c>
      <c r="AK968" s="961">
        <v>0.9681</v>
      </c>
      <c r="AL968" s="962">
        <v>11403.0</v>
      </c>
      <c r="AM968" s="963">
        <v>-0.4235516670415398</v>
      </c>
      <c r="AN968" s="964">
        <v>-0.03190000000000004</v>
      </c>
      <c r="AO968" s="962">
        <v>11403.0</v>
      </c>
      <c r="AP968" s="965">
        <v>-0.41601346824930185</v>
      </c>
      <c r="AQ968" s="962">
        <v>11403.0</v>
      </c>
      <c r="AR968" s="966">
        <v>-0.4087308028602241</v>
      </c>
      <c r="AS968" s="624"/>
      <c r="AT968" s="624"/>
      <c r="AU968" s="624"/>
      <c r="AV968" s="624"/>
      <c r="AW968" s="624"/>
      <c r="AX968" s="624"/>
      <c r="AY968" s="624"/>
      <c r="AZ968" s="624"/>
      <c r="BA968" s="624"/>
      <c r="BB968" s="624"/>
      <c r="BC968" s="624"/>
      <c r="BD968" s="624"/>
      <c r="BE968" s="624"/>
    </row>
    <row r="969" ht="16.5" customHeight="1">
      <c r="A969" s="711"/>
      <c r="B969" s="711"/>
      <c r="C969" s="711"/>
      <c r="D969" s="711"/>
      <c r="E969" s="711"/>
      <c r="F969" s="711"/>
      <c r="G969" s="711"/>
      <c r="H969" s="711"/>
      <c r="I969" s="711"/>
      <c r="J969" s="711"/>
      <c r="K969" s="741"/>
      <c r="L969" s="741"/>
      <c r="M969" s="788"/>
      <c r="N969" s="741"/>
      <c r="O969" s="741"/>
      <c r="P969" s="741"/>
      <c r="Q969" s="741"/>
      <c r="R969" s="788"/>
      <c r="S969" s="819"/>
      <c r="T969" s="820"/>
      <c r="U969" s="819"/>
      <c r="V969" s="820"/>
      <c r="W969" s="788"/>
      <c r="X969" s="803"/>
      <c r="Y969" s="803"/>
      <c r="Z969" s="803"/>
      <c r="AA969" s="711"/>
      <c r="AB969" s="711"/>
      <c r="AC969" s="711"/>
      <c r="AD969" s="736"/>
      <c r="AE969" s="736"/>
      <c r="AF969" s="624"/>
      <c r="AG969" s="624"/>
      <c r="AH969" s="624"/>
      <c r="AI969" s="624"/>
      <c r="AJ969" s="960">
        <f t="shared" si="6"/>
        <v>969</v>
      </c>
      <c r="AK969" s="961">
        <v>0.9873</v>
      </c>
      <c r="AL969" s="962">
        <v>11234.0</v>
      </c>
      <c r="AM969" s="963">
        <v>-0.4188261340722007</v>
      </c>
      <c r="AN969" s="964">
        <v>-0.012700000000000045</v>
      </c>
      <c r="AO969" s="962">
        <v>11234.0</v>
      </c>
      <c r="AP969" s="965">
        <v>-0.4113394989315564</v>
      </c>
      <c r="AQ969" s="962">
        <v>11234.0</v>
      </c>
      <c r="AR969" s="966">
        <v>-0.404108009620033</v>
      </c>
      <c r="AS969" s="624"/>
      <c r="AT969" s="624"/>
      <c r="AU969" s="624"/>
      <c r="AV969" s="624"/>
      <c r="AW969" s="624"/>
      <c r="AX969" s="624"/>
      <c r="AY969" s="624"/>
      <c r="AZ969" s="624"/>
      <c r="BA969" s="624"/>
      <c r="BB969" s="624"/>
      <c r="BC969" s="624"/>
      <c r="BD969" s="624"/>
      <c r="BE969" s="624"/>
    </row>
    <row r="970" ht="16.5" customHeight="1">
      <c r="A970" s="711"/>
      <c r="B970" s="711"/>
      <c r="C970" s="711"/>
      <c r="D970" s="711"/>
      <c r="E970" s="711"/>
      <c r="F970" s="711"/>
      <c r="G970" s="711"/>
      <c r="H970" s="711"/>
      <c r="I970" s="711"/>
      <c r="J970" s="711"/>
      <c r="K970" s="741"/>
      <c r="L970" s="741"/>
      <c r="M970" s="788"/>
      <c r="N970" s="741"/>
      <c r="O970" s="741"/>
      <c r="P970" s="741"/>
      <c r="Q970" s="741"/>
      <c r="R970" s="788"/>
      <c r="S970" s="819"/>
      <c r="T970" s="820"/>
      <c r="U970" s="819"/>
      <c r="V970" s="820"/>
      <c r="W970" s="788"/>
      <c r="X970" s="803"/>
      <c r="Y970" s="803"/>
      <c r="Z970" s="803"/>
      <c r="AA970" s="711"/>
      <c r="AB970" s="711"/>
      <c r="AC970" s="711"/>
      <c r="AD970" s="736"/>
      <c r="AE970" s="736"/>
      <c r="AF970" s="624"/>
      <c r="AG970" s="624"/>
      <c r="AH970" s="624"/>
      <c r="AI970" s="624"/>
      <c r="AJ970" s="960">
        <f t="shared" si="6"/>
        <v>970</v>
      </c>
      <c r="AK970" s="961">
        <v>0.9706</v>
      </c>
      <c r="AL970" s="962">
        <v>11053.0</v>
      </c>
      <c r="AM970" s="963">
        <v>-0.41372208998713333</v>
      </c>
      <c r="AN970" s="964">
        <v>-0.02939999999999998</v>
      </c>
      <c r="AO970" s="962">
        <v>11053.0</v>
      </c>
      <c r="AP970" s="965">
        <v>-0.4062921552848665</v>
      </c>
      <c r="AQ970" s="962">
        <v>11053.0</v>
      </c>
      <c r="AR970" s="966">
        <v>-0.39911687968532894</v>
      </c>
      <c r="AS970" s="624"/>
      <c r="AT970" s="624"/>
      <c r="AU970" s="624"/>
      <c r="AV970" s="624"/>
      <c r="AW970" s="624"/>
      <c r="AX970" s="624"/>
      <c r="AY970" s="624"/>
      <c r="AZ970" s="624"/>
      <c r="BA970" s="624"/>
      <c r="BB970" s="624"/>
      <c r="BC970" s="624"/>
      <c r="BD970" s="624"/>
      <c r="BE970" s="624"/>
    </row>
    <row r="971" ht="16.5" customHeight="1">
      <c r="A971" s="711"/>
      <c r="B971" s="711"/>
      <c r="C971" s="711"/>
      <c r="D971" s="711"/>
      <c r="E971" s="711"/>
      <c r="F971" s="711"/>
      <c r="G971" s="711"/>
      <c r="H971" s="711"/>
      <c r="I971" s="711"/>
      <c r="J971" s="711"/>
      <c r="K971" s="741"/>
      <c r="L971" s="741"/>
      <c r="M971" s="788"/>
      <c r="N971" s="741"/>
      <c r="O971" s="741"/>
      <c r="P971" s="741"/>
      <c r="Q971" s="741"/>
      <c r="R971" s="788"/>
      <c r="S971" s="819"/>
      <c r="T971" s="820"/>
      <c r="U971" s="819"/>
      <c r="V971" s="820"/>
      <c r="W971" s="788"/>
      <c r="X971" s="803"/>
      <c r="Y971" s="803"/>
      <c r="Z971" s="803"/>
      <c r="AA971" s="711"/>
      <c r="AB971" s="711"/>
      <c r="AC971" s="711"/>
      <c r="AD971" s="736"/>
      <c r="AE971" s="736"/>
      <c r="AF971" s="624"/>
      <c r="AG971" s="624"/>
      <c r="AH971" s="624"/>
      <c r="AI971" s="624"/>
      <c r="AJ971" s="960">
        <f t="shared" si="6"/>
        <v>971</v>
      </c>
      <c r="AK971" s="961">
        <v>0.9888</v>
      </c>
      <c r="AL971" s="962">
        <v>11042.0</v>
      </c>
      <c r="AM971" s="963">
        <v>-0.41341045854600933</v>
      </c>
      <c r="AN971" s="964">
        <v>-0.011199999999999988</v>
      </c>
      <c r="AO971" s="962">
        <v>11042.0</v>
      </c>
      <c r="AP971" s="965">
        <v>-0.4059840193937009</v>
      </c>
      <c r="AQ971" s="962">
        <v>11042.0</v>
      </c>
      <c r="AR971" s="966">
        <v>-0.3988122073406384</v>
      </c>
      <c r="AS971" s="624"/>
      <c r="AT971" s="624"/>
      <c r="AU971" s="624"/>
      <c r="AV971" s="624"/>
      <c r="AW971" s="624"/>
      <c r="AX971" s="624"/>
      <c r="AY971" s="624"/>
      <c r="AZ971" s="624"/>
      <c r="BA971" s="624"/>
      <c r="BB971" s="624"/>
      <c r="BC971" s="624"/>
      <c r="BD971" s="624"/>
      <c r="BE971" s="624"/>
    </row>
    <row r="972" ht="16.5" customHeight="1">
      <c r="A972" s="711"/>
      <c r="B972" s="711"/>
      <c r="C972" s="711"/>
      <c r="D972" s="711"/>
      <c r="E972" s="711"/>
      <c r="F972" s="711"/>
      <c r="G972" s="711"/>
      <c r="H972" s="711"/>
      <c r="I972" s="711"/>
      <c r="J972" s="711"/>
      <c r="K972" s="741"/>
      <c r="L972" s="741"/>
      <c r="M972" s="788"/>
      <c r="N972" s="741"/>
      <c r="O972" s="741"/>
      <c r="P972" s="741"/>
      <c r="Q972" s="741"/>
      <c r="R972" s="788"/>
      <c r="S972" s="819"/>
      <c r="T972" s="820"/>
      <c r="U972" s="819"/>
      <c r="V972" s="820"/>
      <c r="W972" s="788"/>
      <c r="X972" s="803"/>
      <c r="Y972" s="803"/>
      <c r="Z972" s="803"/>
      <c r="AA972" s="711"/>
      <c r="AB972" s="711"/>
      <c r="AC972" s="711"/>
      <c r="AD972" s="736"/>
      <c r="AE972" s="736"/>
      <c r="AF972" s="624"/>
      <c r="AG972" s="624"/>
      <c r="AH972" s="624"/>
      <c r="AI972" s="624"/>
      <c r="AJ972" s="960">
        <f t="shared" si="6"/>
        <v>972</v>
      </c>
      <c r="AK972" s="961">
        <v>1.0</v>
      </c>
      <c r="AL972" s="962">
        <v>10843.0</v>
      </c>
      <c r="AM972" s="963">
        <v>-0.40774407106071586</v>
      </c>
      <c r="AN972" s="964">
        <v>0.0</v>
      </c>
      <c r="AO972" s="962">
        <v>10843.0</v>
      </c>
      <c r="AP972" s="965">
        <v>-0.4003818626634773</v>
      </c>
      <c r="AQ972" s="962">
        <v>10843.0</v>
      </c>
      <c r="AR972" s="966">
        <v>-0.3932736536751865</v>
      </c>
      <c r="AS972" s="624"/>
      <c r="AT972" s="624"/>
      <c r="AU972" s="624"/>
      <c r="AV972" s="624"/>
      <c r="AW972" s="624"/>
      <c r="AX972" s="624"/>
      <c r="AY972" s="624"/>
      <c r="AZ972" s="624"/>
      <c r="BA972" s="624"/>
      <c r="BB972" s="624"/>
      <c r="BC972" s="624"/>
      <c r="BD972" s="624"/>
      <c r="BE972" s="624"/>
    </row>
    <row r="973" ht="16.5" customHeight="1">
      <c r="A973" s="711"/>
      <c r="B973" s="711"/>
      <c r="C973" s="711"/>
      <c r="D973" s="711"/>
      <c r="E973" s="711"/>
      <c r="F973" s="711"/>
      <c r="G973" s="711"/>
      <c r="H973" s="711"/>
      <c r="I973" s="711"/>
      <c r="J973" s="711"/>
      <c r="K973" s="741"/>
      <c r="L973" s="741"/>
      <c r="M973" s="788"/>
      <c r="N973" s="741"/>
      <c r="O973" s="741"/>
      <c r="P973" s="741"/>
      <c r="Q973" s="741"/>
      <c r="R973" s="788"/>
      <c r="S973" s="819"/>
      <c r="T973" s="820"/>
      <c r="U973" s="819"/>
      <c r="V973" s="820"/>
      <c r="W973" s="788"/>
      <c r="X973" s="803"/>
      <c r="Y973" s="803"/>
      <c r="Z973" s="803"/>
      <c r="AA973" s="711"/>
      <c r="AB973" s="711"/>
      <c r="AC973" s="711"/>
      <c r="AD973" s="736"/>
      <c r="AE973" s="736"/>
      <c r="AF973" s="624"/>
      <c r="AG973" s="624"/>
      <c r="AH973" s="624"/>
      <c r="AI973" s="624"/>
      <c r="AJ973" s="960">
        <f t="shared" si="6"/>
        <v>973</v>
      </c>
      <c r="AK973" s="961">
        <v>0.9491</v>
      </c>
      <c r="AL973" s="962">
        <v>10762.0</v>
      </c>
      <c r="AM973" s="963">
        <v>-0.40542200765592207</v>
      </c>
      <c r="AN973" s="964">
        <v>-0.050899999999999945</v>
      </c>
      <c r="AO973" s="962">
        <v>10762.0</v>
      </c>
      <c r="AP973" s="965">
        <v>-0.39808648659474666</v>
      </c>
      <c r="AQ973" s="962">
        <v>10762.0</v>
      </c>
      <c r="AR973" s="966">
        <v>-0.39100468269784794</v>
      </c>
      <c r="AS973" s="624"/>
      <c r="AT973" s="624"/>
      <c r="AU973" s="624"/>
      <c r="AV973" s="624"/>
      <c r="AW973" s="624"/>
      <c r="AX973" s="624"/>
      <c r="AY973" s="624"/>
      <c r="AZ973" s="624"/>
      <c r="BA973" s="624"/>
      <c r="BB973" s="624"/>
      <c r="BC973" s="624"/>
      <c r="BD973" s="624"/>
      <c r="BE973" s="624"/>
    </row>
    <row r="974" ht="16.5" customHeight="1">
      <c r="A974" s="711"/>
      <c r="B974" s="711"/>
      <c r="C974" s="711"/>
      <c r="D974" s="711"/>
      <c r="E974" s="711"/>
      <c r="F974" s="711"/>
      <c r="G974" s="711"/>
      <c r="H974" s="711"/>
      <c r="I974" s="711"/>
      <c r="J974" s="711"/>
      <c r="K974" s="741"/>
      <c r="L974" s="741"/>
      <c r="M974" s="788"/>
      <c r="N974" s="741"/>
      <c r="O974" s="741"/>
      <c r="P974" s="741"/>
      <c r="Q974" s="741"/>
      <c r="R974" s="788"/>
      <c r="S974" s="819"/>
      <c r="T974" s="820"/>
      <c r="U974" s="819"/>
      <c r="V974" s="820"/>
      <c r="W974" s="788"/>
      <c r="X974" s="803"/>
      <c r="Y974" s="803"/>
      <c r="Z974" s="803"/>
      <c r="AA974" s="711"/>
      <c r="AB974" s="711"/>
      <c r="AC974" s="711"/>
      <c r="AD974" s="736"/>
      <c r="AE974" s="736"/>
      <c r="AF974" s="624"/>
      <c r="AG974" s="624"/>
      <c r="AH974" s="624"/>
      <c r="AI974" s="624"/>
      <c r="AJ974" s="960">
        <f t="shared" si="6"/>
        <v>974</v>
      </c>
      <c r="AK974" s="961">
        <v>0.9992</v>
      </c>
      <c r="AL974" s="962">
        <v>10715.0</v>
      </c>
      <c r="AM974" s="963">
        <v>-0.4040704658755905</v>
      </c>
      <c r="AN974" s="964">
        <v>-8.000000000000229E-4</v>
      </c>
      <c r="AO974" s="962">
        <v>10715.0</v>
      </c>
      <c r="AP974" s="965">
        <v>-0.396750575394591</v>
      </c>
      <c r="AQ974" s="962">
        <v>10715.0</v>
      </c>
      <c r="AR974" s="966">
        <v>-0.38968423111610384</v>
      </c>
      <c r="AS974" s="624"/>
      <c r="AT974" s="624"/>
      <c r="AU974" s="624"/>
      <c r="AV974" s="624"/>
      <c r="AW974" s="624"/>
      <c r="AX974" s="624"/>
      <c r="AY974" s="624"/>
      <c r="AZ974" s="624"/>
      <c r="BA974" s="624"/>
      <c r="BB974" s="624"/>
      <c r="BC974" s="624"/>
      <c r="BD974" s="624"/>
      <c r="BE974" s="624"/>
    </row>
    <row r="975" ht="16.5" customHeight="1">
      <c r="A975" s="711"/>
      <c r="B975" s="711"/>
      <c r="C975" s="711"/>
      <c r="D975" s="711"/>
      <c r="E975" s="711"/>
      <c r="F975" s="711"/>
      <c r="G975" s="711"/>
      <c r="H975" s="711"/>
      <c r="I975" s="711"/>
      <c r="J975" s="711"/>
      <c r="K975" s="741"/>
      <c r="L975" s="741"/>
      <c r="M975" s="788"/>
      <c r="N975" s="741"/>
      <c r="O975" s="741"/>
      <c r="P975" s="741"/>
      <c r="Q975" s="741"/>
      <c r="R975" s="788"/>
      <c r="S975" s="819"/>
      <c r="T975" s="820"/>
      <c r="U975" s="819"/>
      <c r="V975" s="820"/>
      <c r="W975" s="788"/>
      <c r="X975" s="803"/>
      <c r="Y975" s="803"/>
      <c r="Z975" s="803"/>
      <c r="AA975" s="711"/>
      <c r="AB975" s="711"/>
      <c r="AC975" s="711"/>
      <c r="AD975" s="736"/>
      <c r="AE975" s="736"/>
      <c r="AF975" s="624"/>
      <c r="AG975" s="624"/>
      <c r="AH975" s="624"/>
      <c r="AI975" s="624"/>
      <c r="AJ975" s="960">
        <f t="shared" si="6"/>
        <v>975</v>
      </c>
      <c r="AK975" s="961">
        <v>0.9873</v>
      </c>
      <c r="AL975" s="962">
        <v>10680.0</v>
      </c>
      <c r="AM975" s="963">
        <v>-0.4030620032274068</v>
      </c>
      <c r="AN975" s="964">
        <v>-0.012700000000000045</v>
      </c>
      <c r="AO975" s="962">
        <v>10680.0</v>
      </c>
      <c r="AP975" s="965">
        <v>-0.3957538221755861</v>
      </c>
      <c r="AQ975" s="962">
        <v>10680.0</v>
      </c>
      <c r="AR975" s="966">
        <v>-0.38869905656167614</v>
      </c>
      <c r="AS975" s="624"/>
      <c r="AT975" s="624"/>
      <c r="AU975" s="624"/>
      <c r="AV975" s="624"/>
      <c r="AW975" s="624"/>
      <c r="AX975" s="624"/>
      <c r="AY975" s="624"/>
      <c r="AZ975" s="624"/>
      <c r="BA975" s="624"/>
      <c r="BB975" s="624"/>
      <c r="BC975" s="624"/>
      <c r="BD975" s="624"/>
      <c r="BE975" s="624"/>
    </row>
    <row r="976" ht="16.5" customHeight="1">
      <c r="A976" s="711"/>
      <c r="B976" s="711"/>
      <c r="C976" s="711"/>
      <c r="D976" s="711"/>
      <c r="E976" s="711"/>
      <c r="F976" s="711"/>
      <c r="G976" s="711"/>
      <c r="H976" s="711"/>
      <c r="I976" s="711"/>
      <c r="J976" s="711"/>
      <c r="K976" s="741"/>
      <c r="L976" s="741"/>
      <c r="M976" s="788"/>
      <c r="N976" s="741"/>
      <c r="O976" s="741"/>
      <c r="P976" s="741"/>
      <c r="Q976" s="741"/>
      <c r="R976" s="788"/>
      <c r="S976" s="819"/>
      <c r="T976" s="820"/>
      <c r="U976" s="819"/>
      <c r="V976" s="820"/>
      <c r="W976" s="788"/>
      <c r="X976" s="803"/>
      <c r="Y976" s="803"/>
      <c r="Z976" s="803"/>
      <c r="AA976" s="711"/>
      <c r="AB976" s="711"/>
      <c r="AC976" s="711"/>
      <c r="AD976" s="736"/>
      <c r="AE976" s="736"/>
      <c r="AF976" s="624"/>
      <c r="AG976" s="624"/>
      <c r="AH976" s="624"/>
      <c r="AI976" s="624"/>
      <c r="AJ976" s="960">
        <f t="shared" si="6"/>
        <v>976</v>
      </c>
      <c r="AK976" s="961">
        <v>0.9898</v>
      </c>
      <c r="AL976" s="962">
        <v>10526.0</v>
      </c>
      <c r="AM976" s="963">
        <v>-0.3986044545720834</v>
      </c>
      <c r="AN976" s="964">
        <v>-0.010199999999999987</v>
      </c>
      <c r="AO976" s="962">
        <v>10526.0</v>
      </c>
      <c r="AP976" s="965">
        <v>-0.3913485056624342</v>
      </c>
      <c r="AQ976" s="962">
        <v>10526.0</v>
      </c>
      <c r="AR976" s="966">
        <v>-0.384345361478853</v>
      </c>
      <c r="AS976" s="624"/>
      <c r="AT976" s="624"/>
      <c r="AU976" s="624"/>
      <c r="AV976" s="624"/>
      <c r="AW976" s="624"/>
      <c r="AX976" s="624"/>
      <c r="AY976" s="624"/>
      <c r="AZ976" s="624"/>
      <c r="BA976" s="624"/>
      <c r="BB976" s="624"/>
      <c r="BC976" s="624"/>
      <c r="BD976" s="624"/>
      <c r="BE976" s="624"/>
    </row>
    <row r="977" ht="16.5" customHeight="1">
      <c r="A977" s="711"/>
      <c r="B977" s="711"/>
      <c r="C977" s="711"/>
      <c r="D977" s="711"/>
      <c r="E977" s="711"/>
      <c r="F977" s="711"/>
      <c r="G977" s="711"/>
      <c r="H977" s="711"/>
      <c r="I977" s="711"/>
      <c r="J977" s="711"/>
      <c r="K977" s="741"/>
      <c r="L977" s="741"/>
      <c r="M977" s="788"/>
      <c r="N977" s="741"/>
      <c r="O977" s="741"/>
      <c r="P977" s="741"/>
      <c r="Q977" s="741"/>
      <c r="R977" s="788"/>
      <c r="S977" s="819"/>
      <c r="T977" s="820"/>
      <c r="U977" s="819"/>
      <c r="V977" s="820"/>
      <c r="W977" s="788"/>
      <c r="X977" s="803"/>
      <c r="Y977" s="803"/>
      <c r="Z977" s="803"/>
      <c r="AA977" s="711"/>
      <c r="AB977" s="711"/>
      <c r="AC977" s="711"/>
      <c r="AD977" s="736"/>
      <c r="AE977" s="736"/>
      <c r="AF977" s="624"/>
      <c r="AG977" s="624"/>
      <c r="AH977" s="624"/>
      <c r="AI977" s="624"/>
      <c r="AJ977" s="960">
        <f t="shared" si="6"/>
        <v>977</v>
      </c>
      <c r="AK977" s="961">
        <v>0.9785</v>
      </c>
      <c r="AL977" s="962">
        <v>10500.0</v>
      </c>
      <c r="AM977" s="963">
        <v>-0.39784860393525157</v>
      </c>
      <c r="AN977" s="964">
        <v>-0.021499999999999964</v>
      </c>
      <c r="AO977" s="962">
        <v>10500.0</v>
      </c>
      <c r="AP977" s="965">
        <v>-0.3906015883608792</v>
      </c>
      <c r="AQ977" s="962">
        <v>10500.0</v>
      </c>
      <c r="AR977" s="966">
        <v>-0.38360726867277295</v>
      </c>
      <c r="AS977" s="624"/>
      <c r="AT977" s="624"/>
      <c r="AU977" s="624"/>
      <c r="AV977" s="624"/>
      <c r="AW977" s="624"/>
      <c r="AX977" s="624"/>
      <c r="AY977" s="624"/>
      <c r="AZ977" s="624"/>
      <c r="BA977" s="624"/>
      <c r="BB977" s="624"/>
      <c r="BC977" s="624"/>
      <c r="BD977" s="624"/>
      <c r="BE977" s="624"/>
    </row>
    <row r="978" ht="16.5" customHeight="1">
      <c r="A978" s="711"/>
      <c r="B978" s="711"/>
      <c r="C978" s="711"/>
      <c r="D978" s="711"/>
      <c r="E978" s="711"/>
      <c r="F978" s="711"/>
      <c r="G978" s="711"/>
      <c r="H978" s="711"/>
      <c r="I978" s="711"/>
      <c r="J978" s="711"/>
      <c r="K978" s="741"/>
      <c r="L978" s="741"/>
      <c r="M978" s="788"/>
      <c r="N978" s="741"/>
      <c r="O978" s="741"/>
      <c r="P978" s="741"/>
      <c r="Q978" s="741"/>
      <c r="R978" s="788"/>
      <c r="S978" s="819"/>
      <c r="T978" s="820"/>
      <c r="U978" s="819"/>
      <c r="V978" s="820"/>
      <c r="W978" s="788"/>
      <c r="X978" s="803"/>
      <c r="Y978" s="803"/>
      <c r="Z978" s="803"/>
      <c r="AA978" s="711"/>
      <c r="AB978" s="711"/>
      <c r="AC978" s="711"/>
      <c r="AD978" s="736"/>
      <c r="AE978" s="736"/>
      <c r="AF978" s="624"/>
      <c r="AG978" s="624"/>
      <c r="AH978" s="624"/>
      <c r="AI978" s="624"/>
      <c r="AJ978" s="960">
        <f t="shared" si="6"/>
        <v>978</v>
      </c>
      <c r="AK978" s="961">
        <v>0.989</v>
      </c>
      <c r="AL978" s="962">
        <v>10239.0</v>
      </c>
      <c r="AM978" s="963">
        <v>-0.39020819366378257</v>
      </c>
      <c r="AN978" s="964">
        <v>-0.01100000000000001</v>
      </c>
      <c r="AO978" s="962">
        <v>10239.0</v>
      </c>
      <c r="AP978" s="965">
        <v>-0.38305271610135083</v>
      </c>
      <c r="AQ978" s="962">
        <v>10239.0</v>
      </c>
      <c r="AR978" s="966">
        <v>-0.3761487484603475</v>
      </c>
      <c r="AS978" s="624"/>
      <c r="AT978" s="624"/>
      <c r="AU978" s="624"/>
      <c r="AV978" s="624"/>
      <c r="AW978" s="624"/>
      <c r="AX978" s="624"/>
      <c r="AY978" s="624"/>
      <c r="AZ978" s="624"/>
      <c r="BA978" s="624"/>
      <c r="BB978" s="624"/>
      <c r="BC978" s="624"/>
      <c r="BD978" s="624"/>
      <c r="BE978" s="624"/>
    </row>
    <row r="979" ht="16.5" customHeight="1">
      <c r="A979" s="711"/>
      <c r="B979" s="711"/>
      <c r="C979" s="711"/>
      <c r="D979" s="711"/>
      <c r="E979" s="711"/>
      <c r="F979" s="711"/>
      <c r="G979" s="711"/>
      <c r="H979" s="711"/>
      <c r="I979" s="711"/>
      <c r="J979" s="711"/>
      <c r="K979" s="741"/>
      <c r="L979" s="741"/>
      <c r="M979" s="788"/>
      <c r="N979" s="741"/>
      <c r="O979" s="741"/>
      <c r="P979" s="741"/>
      <c r="Q979" s="741"/>
      <c r="R979" s="788"/>
      <c r="S979" s="819"/>
      <c r="T979" s="820"/>
      <c r="U979" s="819"/>
      <c r="V979" s="820"/>
      <c r="W979" s="788"/>
      <c r="X979" s="803"/>
      <c r="Y979" s="803"/>
      <c r="Z979" s="803"/>
      <c r="AA979" s="711"/>
      <c r="AB979" s="711"/>
      <c r="AC979" s="711"/>
      <c r="AD979" s="736"/>
      <c r="AE979" s="736"/>
      <c r="AF979" s="624"/>
      <c r="AG979" s="624"/>
      <c r="AH979" s="624"/>
      <c r="AI979" s="624"/>
      <c r="AJ979" s="960">
        <f t="shared" si="6"/>
        <v>979</v>
      </c>
      <c r="AK979" s="961">
        <v>0.9768</v>
      </c>
      <c r="AL979" s="962">
        <v>10025.0</v>
      </c>
      <c r="AM979" s="963">
        <v>-0.38387136667035227</v>
      </c>
      <c r="AN979" s="964">
        <v>-0.0232</v>
      </c>
      <c r="AO979" s="962">
        <v>10025.0</v>
      </c>
      <c r="AP979" s="965">
        <v>-0.3767935025234167</v>
      </c>
      <c r="AQ979" s="962">
        <v>10025.0</v>
      </c>
      <c r="AR979" s="966">
        <v>-0.36996604663602994</v>
      </c>
      <c r="AS979" s="624"/>
      <c r="AT979" s="624"/>
      <c r="AU979" s="624"/>
      <c r="AV979" s="624"/>
      <c r="AW979" s="624"/>
      <c r="AX979" s="624"/>
      <c r="AY979" s="624"/>
      <c r="AZ979" s="624"/>
      <c r="BA979" s="624"/>
      <c r="BB979" s="624"/>
      <c r="BC979" s="624"/>
      <c r="BD979" s="624"/>
      <c r="BE979" s="624"/>
    </row>
    <row r="980" ht="16.5" customHeight="1">
      <c r="A980" s="711"/>
      <c r="B980" s="711"/>
      <c r="C980" s="711"/>
      <c r="D980" s="711"/>
      <c r="E980" s="711"/>
      <c r="F980" s="711"/>
      <c r="G980" s="711"/>
      <c r="H980" s="711"/>
      <c r="I980" s="711"/>
      <c r="J980" s="711"/>
      <c r="K980" s="741"/>
      <c r="L980" s="741"/>
      <c r="M980" s="788"/>
      <c r="N980" s="741"/>
      <c r="O980" s="741"/>
      <c r="P980" s="741"/>
      <c r="Q980" s="741"/>
      <c r="R980" s="788"/>
      <c r="S980" s="819"/>
      <c r="T980" s="820"/>
      <c r="U980" s="819"/>
      <c r="V980" s="820"/>
      <c r="W980" s="788"/>
      <c r="X980" s="803"/>
      <c r="Y980" s="803"/>
      <c r="Z980" s="803"/>
      <c r="AA980" s="711"/>
      <c r="AB980" s="711"/>
      <c r="AC980" s="711"/>
      <c r="AD980" s="736"/>
      <c r="AE980" s="736"/>
      <c r="AF980" s="624"/>
      <c r="AG980" s="624"/>
      <c r="AH980" s="624"/>
      <c r="AI980" s="624"/>
      <c r="AJ980" s="960">
        <f t="shared" si="6"/>
        <v>980</v>
      </c>
      <c r="AK980" s="961">
        <v>0.9762</v>
      </c>
      <c r="AL980" s="962">
        <v>10001.0</v>
      </c>
      <c r="AM980" s="963">
        <v>-0.3831566003544937</v>
      </c>
      <c r="AN980" s="964">
        <v>-0.023800000000000043</v>
      </c>
      <c r="AO980" s="962">
        <v>10001.0</v>
      </c>
      <c r="AP980" s="965">
        <v>-0.3760875862339539</v>
      </c>
      <c r="AQ980" s="962">
        <v>10001.0</v>
      </c>
      <c r="AR980" s="966">
        <v>-0.3692688494145919</v>
      </c>
      <c r="AS980" s="624"/>
      <c r="AT980" s="624"/>
      <c r="AU980" s="624"/>
      <c r="AV980" s="624"/>
      <c r="AW980" s="624"/>
      <c r="AX980" s="624"/>
      <c r="AY980" s="624"/>
      <c r="AZ980" s="624"/>
      <c r="BA980" s="624"/>
      <c r="BB980" s="624"/>
      <c r="BC980" s="624"/>
      <c r="BD980" s="624"/>
      <c r="BE980" s="624"/>
    </row>
    <row r="981" ht="16.5" customHeight="1">
      <c r="A981" s="711"/>
      <c r="B981" s="711"/>
      <c r="C981" s="711"/>
      <c r="D981" s="711"/>
      <c r="E981" s="711"/>
      <c r="F981" s="711"/>
      <c r="G981" s="711"/>
      <c r="H981" s="711"/>
      <c r="I981" s="711"/>
      <c r="J981" s="711"/>
      <c r="K981" s="741"/>
      <c r="L981" s="741"/>
      <c r="M981" s="788"/>
      <c r="N981" s="741"/>
      <c r="O981" s="741"/>
      <c r="P981" s="741"/>
      <c r="Q981" s="741"/>
      <c r="R981" s="788"/>
      <c r="S981" s="819"/>
      <c r="T981" s="820"/>
      <c r="U981" s="819"/>
      <c r="V981" s="820"/>
      <c r="W981" s="788"/>
      <c r="X981" s="803"/>
      <c r="Y981" s="803"/>
      <c r="Z981" s="803"/>
      <c r="AA981" s="711"/>
      <c r="AB981" s="711"/>
      <c r="AC981" s="711"/>
      <c r="AD981" s="736"/>
      <c r="AE981" s="736"/>
      <c r="AF981" s="624"/>
      <c r="AG981" s="624"/>
      <c r="AH981" s="624"/>
      <c r="AI981" s="624"/>
      <c r="AJ981" s="960">
        <f t="shared" si="6"/>
        <v>981</v>
      </c>
      <c r="AK981" s="961">
        <v>0.9924</v>
      </c>
      <c r="AL981" s="962">
        <v>10000.0</v>
      </c>
      <c r="AM981" s="963">
        <v>-0.38312680043664415</v>
      </c>
      <c r="AN981" s="964">
        <v>-0.007600000000000051</v>
      </c>
      <c r="AO981" s="962">
        <v>10000.0</v>
      </c>
      <c r="AP981" s="965">
        <v>-0.37605815570900514</v>
      </c>
      <c r="AQ981" s="962">
        <v>10000.0</v>
      </c>
      <c r="AR981" s="966">
        <v>-0.36923978279321934</v>
      </c>
      <c r="AS981" s="624"/>
      <c r="AT981" s="624"/>
      <c r="AU981" s="624"/>
      <c r="AV981" s="624"/>
      <c r="AW981" s="624"/>
      <c r="AX981" s="624"/>
      <c r="AY981" s="624"/>
      <c r="AZ981" s="624"/>
      <c r="BA981" s="624"/>
      <c r="BB981" s="624"/>
      <c r="BC981" s="624"/>
      <c r="BD981" s="624"/>
      <c r="BE981" s="624"/>
    </row>
    <row r="982" ht="16.5" customHeight="1">
      <c r="A982" s="711"/>
      <c r="B982" s="711"/>
      <c r="C982" s="711"/>
      <c r="D982" s="711"/>
      <c r="E982" s="711"/>
      <c r="F982" s="711"/>
      <c r="G982" s="711"/>
      <c r="H982" s="711"/>
      <c r="I982" s="711"/>
      <c r="J982" s="711"/>
      <c r="K982" s="741"/>
      <c r="L982" s="741"/>
      <c r="M982" s="788"/>
      <c r="N982" s="741"/>
      <c r="O982" s="741"/>
      <c r="P982" s="741"/>
      <c r="Q982" s="741"/>
      <c r="R982" s="788"/>
      <c r="S982" s="819"/>
      <c r="T982" s="820"/>
      <c r="U982" s="819"/>
      <c r="V982" s="820"/>
      <c r="W982" s="788"/>
      <c r="X982" s="803"/>
      <c r="Y982" s="803"/>
      <c r="Z982" s="803"/>
      <c r="AA982" s="711"/>
      <c r="AB982" s="711"/>
      <c r="AC982" s="711"/>
      <c r="AD982" s="736"/>
      <c r="AE982" s="736"/>
      <c r="AF982" s="624"/>
      <c r="AG982" s="624"/>
      <c r="AH982" s="624"/>
      <c r="AI982" s="624"/>
      <c r="AJ982" s="960">
        <f t="shared" si="6"/>
        <v>982</v>
      </c>
      <c r="AK982" s="961">
        <v>1.0</v>
      </c>
      <c r="AL982" s="962">
        <v>10000.0</v>
      </c>
      <c r="AM982" s="963">
        <v>-0.38312680043664415</v>
      </c>
      <c r="AN982" s="964">
        <v>0.0</v>
      </c>
      <c r="AO982" s="962">
        <v>10000.0</v>
      </c>
      <c r="AP982" s="965">
        <v>-0.37605815570900514</v>
      </c>
      <c r="AQ982" s="962">
        <v>10000.0</v>
      </c>
      <c r="AR982" s="966">
        <v>-0.36923978279321934</v>
      </c>
      <c r="AS982" s="624"/>
      <c r="AT982" s="624"/>
      <c r="AU982" s="624"/>
      <c r="AV982" s="624"/>
      <c r="AW982" s="624"/>
      <c r="AX982" s="624"/>
      <c r="AY982" s="624"/>
      <c r="AZ982" s="624"/>
      <c r="BA982" s="624"/>
      <c r="BB982" s="624"/>
      <c r="BC982" s="624"/>
      <c r="BD982" s="624"/>
      <c r="BE982" s="624"/>
    </row>
    <row r="983" ht="16.5" customHeight="1">
      <c r="A983" s="711"/>
      <c r="B983" s="711"/>
      <c r="C983" s="711"/>
      <c r="D983" s="711"/>
      <c r="E983" s="711"/>
      <c r="F983" s="711"/>
      <c r="G983" s="711"/>
      <c r="H983" s="711"/>
      <c r="I983" s="711"/>
      <c r="J983" s="711"/>
      <c r="K983" s="741"/>
      <c r="L983" s="741"/>
      <c r="M983" s="788"/>
      <c r="N983" s="741"/>
      <c r="O983" s="741"/>
      <c r="P983" s="741"/>
      <c r="Q983" s="741"/>
      <c r="R983" s="788"/>
      <c r="S983" s="819"/>
      <c r="T983" s="820"/>
      <c r="U983" s="819"/>
      <c r="V983" s="820"/>
      <c r="W983" s="788"/>
      <c r="X983" s="803"/>
      <c r="Y983" s="803"/>
      <c r="Z983" s="803"/>
      <c r="AA983" s="711"/>
      <c r="AB983" s="711"/>
      <c r="AC983" s="711"/>
      <c r="AD983" s="736"/>
      <c r="AE983" s="736"/>
      <c r="AF983" s="624"/>
      <c r="AG983" s="624"/>
      <c r="AH983" s="624"/>
      <c r="AI983" s="624"/>
      <c r="AJ983" s="960">
        <f t="shared" si="6"/>
        <v>983</v>
      </c>
      <c r="AK983" s="961">
        <v>0.99</v>
      </c>
      <c r="AL983" s="962">
        <v>9934.0</v>
      </c>
      <c r="AM983" s="963">
        <v>-0.3811568194706044</v>
      </c>
      <c r="AN983" s="964">
        <v>-0.010000000000000009</v>
      </c>
      <c r="AO983" s="962">
        <v>9934.0</v>
      </c>
      <c r="AP983" s="965">
        <v>-0.3741126684688989</v>
      </c>
      <c r="AQ983" s="962">
        <v>9934.0</v>
      </c>
      <c r="AR983" s="966">
        <v>-0.3673184211744026</v>
      </c>
      <c r="AS983" s="624"/>
      <c r="AT983" s="624"/>
      <c r="AU983" s="624"/>
      <c r="AV983" s="624"/>
      <c r="AW983" s="624"/>
      <c r="AX983" s="624"/>
      <c r="AY983" s="624"/>
      <c r="AZ983" s="624"/>
      <c r="BA983" s="624"/>
      <c r="BB983" s="624"/>
      <c r="BC983" s="624"/>
      <c r="BD983" s="624"/>
      <c r="BE983" s="624"/>
    </row>
    <row r="984" ht="16.5" customHeight="1">
      <c r="A984" s="711"/>
      <c r="B984" s="711"/>
      <c r="C984" s="711"/>
      <c r="D984" s="711"/>
      <c r="E984" s="711"/>
      <c r="F984" s="711"/>
      <c r="G984" s="711"/>
      <c r="H984" s="711"/>
      <c r="I984" s="711"/>
      <c r="J984" s="711"/>
      <c r="K984" s="741"/>
      <c r="L984" s="741"/>
      <c r="M984" s="788"/>
      <c r="N984" s="741"/>
      <c r="O984" s="741"/>
      <c r="P984" s="741"/>
      <c r="Q984" s="741"/>
      <c r="R984" s="788"/>
      <c r="S984" s="819"/>
      <c r="T984" s="820"/>
      <c r="U984" s="819"/>
      <c r="V984" s="820"/>
      <c r="W984" s="788"/>
      <c r="X984" s="803"/>
      <c r="Y984" s="803"/>
      <c r="Z984" s="803"/>
      <c r="AA984" s="711"/>
      <c r="AB984" s="711"/>
      <c r="AC984" s="711"/>
      <c r="AD984" s="736"/>
      <c r="AE984" s="736"/>
      <c r="AF984" s="624"/>
      <c r="AG984" s="624"/>
      <c r="AH984" s="624"/>
      <c r="AI984" s="624"/>
      <c r="AJ984" s="960">
        <f t="shared" si="6"/>
        <v>984</v>
      </c>
      <c r="AK984" s="961">
        <v>1.0177</v>
      </c>
      <c r="AL984" s="962">
        <v>9911.0</v>
      </c>
      <c r="AM984" s="963">
        <v>-0.38046883379319807</v>
      </c>
      <c r="AN984" s="964">
        <v>0.01770000000000005</v>
      </c>
      <c r="AO984" s="962">
        <v>9911.0</v>
      </c>
      <c r="AP984" s="965">
        <v>-0.3734332712858762</v>
      </c>
      <c r="AQ984" s="962">
        <v>9911.0</v>
      </c>
      <c r="AR984" s="966">
        <v>-0.3666474815082209</v>
      </c>
      <c r="AS984" s="624"/>
      <c r="AT984" s="624"/>
      <c r="AU984" s="624"/>
      <c r="AV984" s="624"/>
      <c r="AW984" s="624"/>
      <c r="AX984" s="624"/>
      <c r="AY984" s="624"/>
      <c r="AZ984" s="624"/>
      <c r="BA984" s="624"/>
      <c r="BB984" s="624"/>
      <c r="BC984" s="624"/>
      <c r="BD984" s="624"/>
      <c r="BE984" s="624"/>
    </row>
    <row r="985" ht="16.5" customHeight="1">
      <c r="A985" s="711"/>
      <c r="B985" s="711"/>
      <c r="C985" s="711"/>
      <c r="D985" s="711"/>
      <c r="E985" s="711"/>
      <c r="F985" s="711"/>
      <c r="G985" s="711"/>
      <c r="H985" s="711"/>
      <c r="I985" s="711"/>
      <c r="J985" s="711"/>
      <c r="K985" s="741"/>
      <c r="L985" s="741"/>
      <c r="M985" s="788"/>
      <c r="N985" s="741"/>
      <c r="O985" s="741"/>
      <c r="P985" s="741"/>
      <c r="Q985" s="741"/>
      <c r="R985" s="788"/>
      <c r="S985" s="819"/>
      <c r="T985" s="820"/>
      <c r="U985" s="819"/>
      <c r="V985" s="820"/>
      <c r="W985" s="788"/>
      <c r="X985" s="803"/>
      <c r="Y985" s="803"/>
      <c r="Z985" s="803"/>
      <c r="AA985" s="711"/>
      <c r="AB985" s="711"/>
      <c r="AC985" s="711"/>
      <c r="AD985" s="736"/>
      <c r="AE985" s="736"/>
      <c r="AF985" s="624"/>
      <c r="AG985" s="624"/>
      <c r="AH985" s="624"/>
      <c r="AI985" s="624"/>
      <c r="AJ985" s="960">
        <f t="shared" si="6"/>
        <v>985</v>
      </c>
      <c r="AK985" s="961">
        <v>0.9961</v>
      </c>
      <c r="AL985" s="962">
        <v>9757.0</v>
      </c>
      <c r="AM985" s="963">
        <v>-0.375842573893867</v>
      </c>
      <c r="AN985" s="964">
        <v>-0.0039000000000000146</v>
      </c>
      <c r="AO985" s="962">
        <v>9757.0</v>
      </c>
      <c r="AP985" s="965">
        <v>-0.36886522458919024</v>
      </c>
      <c r="AQ985" s="962">
        <v>9757.0</v>
      </c>
      <c r="AR985" s="966">
        <v>-0.3621367347556609</v>
      </c>
      <c r="AS985" s="624"/>
      <c r="AT985" s="624"/>
      <c r="AU985" s="624"/>
      <c r="AV985" s="624"/>
      <c r="AW985" s="624"/>
      <c r="AX985" s="624"/>
      <c r="AY985" s="624"/>
      <c r="AZ985" s="624"/>
      <c r="BA985" s="624"/>
      <c r="BB985" s="624"/>
      <c r="BC985" s="624"/>
      <c r="BD985" s="624"/>
      <c r="BE985" s="624"/>
    </row>
    <row r="986" ht="16.5" customHeight="1">
      <c r="A986" s="711"/>
      <c r="B986" s="711"/>
      <c r="C986" s="711"/>
      <c r="D986" s="711"/>
      <c r="E986" s="711"/>
      <c r="F986" s="711"/>
      <c r="G986" s="711"/>
      <c r="H986" s="711"/>
      <c r="I986" s="711"/>
      <c r="J986" s="711"/>
      <c r="K986" s="741"/>
      <c r="L986" s="741"/>
      <c r="M986" s="788"/>
      <c r="N986" s="741"/>
      <c r="O986" s="741"/>
      <c r="P986" s="741"/>
      <c r="Q986" s="741"/>
      <c r="R986" s="788"/>
      <c r="S986" s="819"/>
      <c r="T986" s="820"/>
      <c r="U986" s="819"/>
      <c r="V986" s="820"/>
      <c r="W986" s="788"/>
      <c r="X986" s="803"/>
      <c r="Y986" s="803"/>
      <c r="Z986" s="803"/>
      <c r="AA986" s="711"/>
      <c r="AB986" s="711"/>
      <c r="AC986" s="711"/>
      <c r="AD986" s="736"/>
      <c r="AE986" s="736"/>
      <c r="AF986" s="624"/>
      <c r="AG986" s="624"/>
      <c r="AH986" s="624"/>
      <c r="AI986" s="624"/>
      <c r="AJ986" s="960">
        <f t="shared" si="6"/>
        <v>986</v>
      </c>
      <c r="AK986" s="961">
        <v>0.9974</v>
      </c>
      <c r="AL986" s="962">
        <v>9732.0</v>
      </c>
      <c r="AM986" s="963">
        <v>-0.37508830519272685</v>
      </c>
      <c r="AN986" s="964">
        <v>-0.0026000000000000467</v>
      </c>
      <c r="AO986" s="962">
        <v>9732.0</v>
      </c>
      <c r="AP986" s="965">
        <v>-0.36812052287564623</v>
      </c>
      <c r="AQ986" s="962">
        <v>9732.0</v>
      </c>
      <c r="AR986" s="966">
        <v>-0.3614014457704712</v>
      </c>
      <c r="AS986" s="624"/>
      <c r="AT986" s="624"/>
      <c r="AU986" s="624"/>
      <c r="AV986" s="624"/>
      <c r="AW986" s="624"/>
      <c r="AX986" s="624"/>
      <c r="AY986" s="624"/>
      <c r="AZ986" s="624"/>
      <c r="BA986" s="624"/>
      <c r="BB986" s="624"/>
      <c r="BC986" s="624"/>
      <c r="BD986" s="624"/>
      <c r="BE986" s="624"/>
    </row>
    <row r="987" ht="16.5" customHeight="1">
      <c r="A987" s="711"/>
      <c r="B987" s="711"/>
      <c r="C987" s="711"/>
      <c r="D987" s="711"/>
      <c r="E987" s="711"/>
      <c r="F987" s="711"/>
      <c r="G987" s="711"/>
      <c r="H987" s="711"/>
      <c r="I987" s="711"/>
      <c r="J987" s="711"/>
      <c r="K987" s="741"/>
      <c r="L987" s="741"/>
      <c r="M987" s="788"/>
      <c r="N987" s="741"/>
      <c r="O987" s="741"/>
      <c r="P987" s="741"/>
      <c r="Q987" s="741"/>
      <c r="R987" s="788"/>
      <c r="S987" s="819"/>
      <c r="T987" s="820"/>
      <c r="U987" s="819"/>
      <c r="V987" s="820"/>
      <c r="W987" s="788"/>
      <c r="X987" s="803"/>
      <c r="Y987" s="803"/>
      <c r="Z987" s="803"/>
      <c r="AA987" s="711"/>
      <c r="AB987" s="711"/>
      <c r="AC987" s="711"/>
      <c r="AD987" s="736"/>
      <c r="AE987" s="736"/>
      <c r="AF987" s="624"/>
      <c r="AG987" s="624"/>
      <c r="AH987" s="624"/>
      <c r="AI987" s="624"/>
      <c r="AJ987" s="960">
        <f t="shared" si="6"/>
        <v>987</v>
      </c>
      <c r="AK987" s="961">
        <v>0.9918</v>
      </c>
      <c r="AL987" s="962">
        <v>9695.0</v>
      </c>
      <c r="AM987" s="963">
        <v>-0.373970314401618</v>
      </c>
      <c r="AN987" s="964">
        <v>-0.008199999999999985</v>
      </c>
      <c r="AO987" s="962">
        <v>9695.0</v>
      </c>
      <c r="AP987" s="965">
        <v>-0.36701675143765133</v>
      </c>
      <c r="AQ987" s="962">
        <v>9695.0</v>
      </c>
      <c r="AR987" s="966">
        <v>-0.36031166227868416</v>
      </c>
      <c r="AS987" s="624"/>
      <c r="AT987" s="624"/>
      <c r="AU987" s="624"/>
      <c r="AV987" s="624"/>
      <c r="AW987" s="624"/>
      <c r="AX987" s="624"/>
      <c r="AY987" s="624"/>
      <c r="AZ987" s="624"/>
      <c r="BA987" s="624"/>
      <c r="BB987" s="624"/>
      <c r="BC987" s="624"/>
      <c r="BD987" s="624"/>
      <c r="BE987" s="624"/>
    </row>
    <row r="988" ht="16.5" customHeight="1">
      <c r="A988" s="711"/>
      <c r="B988" s="711"/>
      <c r="C988" s="711"/>
      <c r="D988" s="711"/>
      <c r="E988" s="711"/>
      <c r="F988" s="711"/>
      <c r="G988" s="711"/>
      <c r="H988" s="711"/>
      <c r="I988" s="711"/>
      <c r="J988" s="711"/>
      <c r="K988" s="741"/>
      <c r="L988" s="741"/>
      <c r="M988" s="788"/>
      <c r="N988" s="741"/>
      <c r="O988" s="741"/>
      <c r="P988" s="741"/>
      <c r="Q988" s="741"/>
      <c r="R988" s="788"/>
      <c r="S988" s="819"/>
      <c r="T988" s="820"/>
      <c r="U988" s="819"/>
      <c r="V988" s="820"/>
      <c r="W988" s="788"/>
      <c r="X988" s="803"/>
      <c r="Y988" s="803"/>
      <c r="Z988" s="803"/>
      <c r="AA988" s="711"/>
      <c r="AB988" s="711"/>
      <c r="AC988" s="711"/>
      <c r="AD988" s="736"/>
      <c r="AE988" s="736"/>
      <c r="AF988" s="624"/>
      <c r="AG988" s="624"/>
      <c r="AH988" s="624"/>
      <c r="AI988" s="624"/>
      <c r="AJ988" s="960">
        <f t="shared" si="6"/>
        <v>988</v>
      </c>
      <c r="AK988" s="961">
        <v>1.0229</v>
      </c>
      <c r="AL988" s="962">
        <v>9648.0</v>
      </c>
      <c r="AM988" s="963">
        <v>-0.37254727943108645</v>
      </c>
      <c r="AN988" s="964">
        <v>0.02289999999999992</v>
      </c>
      <c r="AO988" s="962">
        <v>9648.0</v>
      </c>
      <c r="AP988" s="965">
        <v>-0.3656118828104603</v>
      </c>
      <c r="AQ988" s="962">
        <v>9648.0</v>
      </c>
      <c r="AR988" s="966">
        <v>-0.35892466068217066</v>
      </c>
      <c r="AS988" s="624"/>
      <c r="AT988" s="624"/>
      <c r="AU988" s="624"/>
      <c r="AV988" s="624"/>
      <c r="AW988" s="624"/>
      <c r="AX988" s="624"/>
      <c r="AY988" s="624"/>
      <c r="AZ988" s="624"/>
      <c r="BA988" s="624"/>
      <c r="BB988" s="624"/>
      <c r="BC988" s="624"/>
      <c r="BD988" s="624"/>
      <c r="BE988" s="624"/>
    </row>
    <row r="989" ht="16.5" customHeight="1">
      <c r="A989" s="711"/>
      <c r="B989" s="711"/>
      <c r="C989" s="711"/>
      <c r="D989" s="711"/>
      <c r="E989" s="711"/>
      <c r="F989" s="711"/>
      <c r="G989" s="711"/>
      <c r="H989" s="711"/>
      <c r="I989" s="711"/>
      <c r="J989" s="711"/>
      <c r="K989" s="741"/>
      <c r="L989" s="741"/>
      <c r="M989" s="788"/>
      <c r="N989" s="741"/>
      <c r="O989" s="741"/>
      <c r="P989" s="741"/>
      <c r="Q989" s="741"/>
      <c r="R989" s="788"/>
      <c r="S989" s="819"/>
      <c r="T989" s="820"/>
      <c r="U989" s="819"/>
      <c r="V989" s="820"/>
      <c r="W989" s="788"/>
      <c r="X989" s="803"/>
      <c r="Y989" s="803"/>
      <c r="Z989" s="803"/>
      <c r="AA989" s="711"/>
      <c r="AB989" s="711"/>
      <c r="AC989" s="711"/>
      <c r="AD989" s="736"/>
      <c r="AE989" s="736"/>
      <c r="AF989" s="624"/>
      <c r="AG989" s="624"/>
      <c r="AH989" s="624"/>
      <c r="AI989" s="624"/>
      <c r="AJ989" s="960">
        <f t="shared" si="6"/>
        <v>989</v>
      </c>
      <c r="AK989" s="961">
        <v>0.9561</v>
      </c>
      <c r="AL989" s="962">
        <v>9535.0</v>
      </c>
      <c r="AM989" s="963">
        <v>-0.3691126883554816</v>
      </c>
      <c r="AN989" s="964">
        <v>-0.04390000000000005</v>
      </c>
      <c r="AO989" s="962">
        <v>9535.0</v>
      </c>
      <c r="AP989" s="965">
        <v>-0.36222144664484646</v>
      </c>
      <c r="AQ989" s="962">
        <v>9535.0</v>
      </c>
      <c r="AR989" s="966">
        <v>-0.3555776350524015</v>
      </c>
      <c r="AS989" s="624"/>
      <c r="AT989" s="624"/>
      <c r="AU989" s="624"/>
      <c r="AV989" s="624"/>
      <c r="AW989" s="624"/>
      <c r="AX989" s="624"/>
      <c r="AY989" s="624"/>
      <c r="AZ989" s="624"/>
      <c r="BA989" s="624"/>
      <c r="BB989" s="624"/>
      <c r="BC989" s="624"/>
      <c r="BD989" s="624"/>
      <c r="BE989" s="624"/>
    </row>
    <row r="990" ht="16.5" customHeight="1">
      <c r="A990" s="711"/>
      <c r="B990" s="711"/>
      <c r="C990" s="711"/>
      <c r="D990" s="711"/>
      <c r="E990" s="711"/>
      <c r="F990" s="711"/>
      <c r="G990" s="711"/>
      <c r="H990" s="711"/>
      <c r="I990" s="711"/>
      <c r="J990" s="711"/>
      <c r="K990" s="741"/>
      <c r="L990" s="741"/>
      <c r="M990" s="788"/>
      <c r="N990" s="741"/>
      <c r="O990" s="741"/>
      <c r="P990" s="741"/>
      <c r="Q990" s="741"/>
      <c r="R990" s="788"/>
      <c r="S990" s="819"/>
      <c r="T990" s="820"/>
      <c r="U990" s="819"/>
      <c r="V990" s="820"/>
      <c r="W990" s="788"/>
      <c r="X990" s="803"/>
      <c r="Y990" s="803"/>
      <c r="Z990" s="803"/>
      <c r="AA990" s="711"/>
      <c r="AB990" s="711"/>
      <c r="AC990" s="711"/>
      <c r="AD990" s="736"/>
      <c r="AE990" s="736"/>
      <c r="AF990" s="624"/>
      <c r="AG990" s="624"/>
      <c r="AH990" s="624"/>
      <c r="AI990" s="624"/>
      <c r="AJ990" s="960">
        <f t="shared" si="6"/>
        <v>990</v>
      </c>
      <c r="AK990" s="961">
        <v>1.0025</v>
      </c>
      <c r="AL990" s="962">
        <v>9484.0</v>
      </c>
      <c r="AM990" s="963">
        <v>-0.36755641194743893</v>
      </c>
      <c r="AN990" s="964">
        <v>0.0024999999999999467</v>
      </c>
      <c r="AO990" s="962">
        <v>9484.0</v>
      </c>
      <c r="AP990" s="965">
        <v>-0.3606853210921448</v>
      </c>
      <c r="AQ990" s="962">
        <v>9484.0</v>
      </c>
      <c r="AR990" s="966">
        <v>-0.35406131285504616</v>
      </c>
      <c r="AS990" s="624"/>
      <c r="AT990" s="624"/>
      <c r="AU990" s="624"/>
      <c r="AV990" s="624"/>
      <c r="AW990" s="624"/>
      <c r="AX990" s="624"/>
      <c r="AY990" s="624"/>
      <c r="AZ990" s="624"/>
      <c r="BA990" s="624"/>
      <c r="BB990" s="624"/>
      <c r="BC990" s="624"/>
      <c r="BD990" s="624"/>
      <c r="BE990" s="624"/>
    </row>
    <row r="991" ht="16.5" customHeight="1">
      <c r="A991" s="711"/>
      <c r="B991" s="711"/>
      <c r="C991" s="711"/>
      <c r="D991" s="711"/>
      <c r="E991" s="711"/>
      <c r="F991" s="711"/>
      <c r="G991" s="711"/>
      <c r="H991" s="711"/>
      <c r="I991" s="711"/>
      <c r="J991" s="711"/>
      <c r="K991" s="741"/>
      <c r="L991" s="741"/>
      <c r="M991" s="788"/>
      <c r="N991" s="741"/>
      <c r="O991" s="741"/>
      <c r="P991" s="741"/>
      <c r="Q991" s="741"/>
      <c r="R991" s="788"/>
      <c r="S991" s="819"/>
      <c r="T991" s="820"/>
      <c r="U991" s="819"/>
      <c r="V991" s="820"/>
      <c r="W991" s="788"/>
      <c r="X991" s="803"/>
      <c r="Y991" s="803"/>
      <c r="Z991" s="803"/>
      <c r="AA991" s="711"/>
      <c r="AB991" s="711"/>
      <c r="AC991" s="711"/>
      <c r="AD991" s="736"/>
      <c r="AE991" s="736"/>
      <c r="AF991" s="624"/>
      <c r="AG991" s="624"/>
      <c r="AH991" s="624"/>
      <c r="AI991" s="624"/>
      <c r="AJ991" s="960">
        <f t="shared" si="6"/>
        <v>991</v>
      </c>
      <c r="AK991" s="961">
        <v>0.9403</v>
      </c>
      <c r="AL991" s="962">
        <v>9318.0</v>
      </c>
      <c r="AM991" s="963">
        <v>-0.3624642515592289</v>
      </c>
      <c r="AN991" s="964">
        <v>-0.059699999999999975</v>
      </c>
      <c r="AO991" s="962">
        <v>9318.0</v>
      </c>
      <c r="AP991" s="965">
        <v>-0.35565971649216466</v>
      </c>
      <c r="AQ991" s="962">
        <v>9318.0</v>
      </c>
      <c r="AR991" s="966">
        <v>-0.3491010826119033</v>
      </c>
      <c r="AS991" s="624"/>
      <c r="AT991" s="624"/>
      <c r="AU991" s="624"/>
      <c r="AV991" s="624"/>
      <c r="AW991" s="624"/>
      <c r="AX991" s="624"/>
      <c r="AY991" s="624"/>
      <c r="AZ991" s="624"/>
      <c r="BA991" s="624"/>
      <c r="BB991" s="624"/>
      <c r="BC991" s="624"/>
      <c r="BD991" s="624"/>
      <c r="BE991" s="624"/>
    </row>
    <row r="992" ht="16.5" customHeight="1">
      <c r="A992" s="711"/>
      <c r="B992" s="711"/>
      <c r="C992" s="711"/>
      <c r="D992" s="711"/>
      <c r="E992" s="711"/>
      <c r="F992" s="711"/>
      <c r="G992" s="711"/>
      <c r="H992" s="711"/>
      <c r="I992" s="711"/>
      <c r="J992" s="711"/>
      <c r="K992" s="741"/>
      <c r="L992" s="741"/>
      <c r="M992" s="788"/>
      <c r="N992" s="741"/>
      <c r="O992" s="741"/>
      <c r="P992" s="741"/>
      <c r="Q992" s="741"/>
      <c r="R992" s="788"/>
      <c r="S992" s="819"/>
      <c r="T992" s="820"/>
      <c r="U992" s="819"/>
      <c r="V992" s="820"/>
      <c r="W992" s="788"/>
      <c r="X992" s="803"/>
      <c r="Y992" s="803"/>
      <c r="Z992" s="803"/>
      <c r="AA992" s="711"/>
      <c r="AB992" s="711"/>
      <c r="AC992" s="711"/>
      <c r="AD992" s="736"/>
      <c r="AE992" s="736"/>
      <c r="AF992" s="624"/>
      <c r="AG992" s="624"/>
      <c r="AH992" s="624"/>
      <c r="AI992" s="624"/>
      <c r="AJ992" s="960">
        <f t="shared" si="6"/>
        <v>992</v>
      </c>
      <c r="AK992" s="961">
        <v>0.9588</v>
      </c>
      <c r="AL992" s="962">
        <v>9200.0</v>
      </c>
      <c r="AM992" s="963">
        <v>-0.3588196115700454</v>
      </c>
      <c r="AN992" s="964">
        <v>-0.041200000000000014</v>
      </c>
      <c r="AO992" s="962">
        <v>9200.0</v>
      </c>
      <c r="AP992" s="965">
        <v>-0.352063294534257</v>
      </c>
      <c r="AQ992" s="962">
        <v>9200.0</v>
      </c>
      <c r="AR992" s="966">
        <v>-0.34555199142035176</v>
      </c>
      <c r="AS992" s="624"/>
      <c r="AT992" s="624"/>
      <c r="AU992" s="624"/>
      <c r="AV992" s="624"/>
      <c r="AW992" s="624"/>
      <c r="AX992" s="624"/>
      <c r="AY992" s="624"/>
      <c r="AZ992" s="624"/>
      <c r="BA992" s="624"/>
      <c r="BB992" s="624"/>
      <c r="BC992" s="624"/>
      <c r="BD992" s="624"/>
      <c r="BE992" s="624"/>
    </row>
    <row r="993" ht="16.5" customHeight="1">
      <c r="A993" s="711"/>
      <c r="B993" s="711"/>
      <c r="C993" s="711"/>
      <c r="D993" s="711"/>
      <c r="E993" s="711"/>
      <c r="F993" s="711"/>
      <c r="G993" s="711"/>
      <c r="H993" s="711"/>
      <c r="I993" s="711"/>
      <c r="J993" s="711"/>
      <c r="K993" s="741"/>
      <c r="L993" s="741"/>
      <c r="M993" s="788"/>
      <c r="N993" s="741"/>
      <c r="O993" s="741"/>
      <c r="P993" s="741"/>
      <c r="Q993" s="741"/>
      <c r="R993" s="788"/>
      <c r="S993" s="819"/>
      <c r="T993" s="820"/>
      <c r="U993" s="819"/>
      <c r="V993" s="820"/>
      <c r="W993" s="788"/>
      <c r="X993" s="803"/>
      <c r="Y993" s="803"/>
      <c r="Z993" s="803"/>
      <c r="AA993" s="711"/>
      <c r="AB993" s="711"/>
      <c r="AC993" s="711"/>
      <c r="AD993" s="736"/>
      <c r="AE993" s="736"/>
      <c r="AF993" s="624"/>
      <c r="AG993" s="624"/>
      <c r="AH993" s="624"/>
      <c r="AI993" s="624"/>
      <c r="AJ993" s="960">
        <f t="shared" si="6"/>
        <v>993</v>
      </c>
      <c r="AK993" s="961">
        <v>1.0043</v>
      </c>
      <c r="AL993" s="962">
        <v>9199.0</v>
      </c>
      <c r="AM993" s="963">
        <v>-0.3587886359238557</v>
      </c>
      <c r="AN993" s="964">
        <v>0.0042999999999999705</v>
      </c>
      <c r="AO993" s="962">
        <v>9199.0</v>
      </c>
      <c r="AP993" s="965">
        <v>-0.3520327307612744</v>
      </c>
      <c r="AQ993" s="962">
        <v>9199.0</v>
      </c>
      <c r="AR993" s="966">
        <v>-0.34552183183103113</v>
      </c>
      <c r="AS993" s="624"/>
      <c r="AT993" s="624"/>
      <c r="AU993" s="624"/>
      <c r="AV993" s="624"/>
      <c r="AW993" s="624"/>
      <c r="AX993" s="624"/>
      <c r="AY993" s="624"/>
      <c r="AZ993" s="624"/>
      <c r="BA993" s="624"/>
      <c r="BB993" s="624"/>
      <c r="BC993" s="624"/>
      <c r="BD993" s="624"/>
      <c r="BE993" s="624"/>
    </row>
    <row r="994" ht="16.5" customHeight="1">
      <c r="A994" s="711"/>
      <c r="B994" s="711"/>
      <c r="C994" s="711"/>
      <c r="D994" s="711"/>
      <c r="E994" s="711"/>
      <c r="F994" s="711"/>
      <c r="G994" s="711"/>
      <c r="H994" s="711"/>
      <c r="I994" s="711"/>
      <c r="J994" s="711"/>
      <c r="K994" s="741"/>
      <c r="L994" s="741"/>
      <c r="M994" s="788"/>
      <c r="N994" s="741"/>
      <c r="O994" s="741"/>
      <c r="P994" s="741"/>
      <c r="Q994" s="741"/>
      <c r="R994" s="788"/>
      <c r="S994" s="819"/>
      <c r="T994" s="820"/>
      <c r="U994" s="819"/>
      <c r="V994" s="820"/>
      <c r="W994" s="788"/>
      <c r="X994" s="803"/>
      <c r="Y994" s="803"/>
      <c r="Z994" s="803"/>
      <c r="AA994" s="711"/>
      <c r="AB994" s="711"/>
      <c r="AC994" s="711"/>
      <c r="AD994" s="736"/>
      <c r="AE994" s="736"/>
      <c r="AF994" s="624"/>
      <c r="AG994" s="624"/>
      <c r="AH994" s="624"/>
      <c r="AI994" s="624"/>
      <c r="AJ994" s="960">
        <f t="shared" si="6"/>
        <v>994</v>
      </c>
      <c r="AK994" s="961">
        <v>0.9787</v>
      </c>
      <c r="AL994" s="962">
        <v>9161.0</v>
      </c>
      <c r="AM994" s="963">
        <v>-0.35761045184253126</v>
      </c>
      <c r="AN994" s="964">
        <v>-0.021299999999999986</v>
      </c>
      <c r="AO994" s="962">
        <v>9161.0</v>
      </c>
      <c r="AP994" s="965">
        <v>-0.35087023845058796</v>
      </c>
      <c r="AQ994" s="962">
        <v>9161.0</v>
      </c>
      <c r="AR994" s="966">
        <v>-0.3443747369539766</v>
      </c>
      <c r="AS994" s="624"/>
      <c r="AT994" s="624"/>
      <c r="AU994" s="624"/>
      <c r="AV994" s="624"/>
      <c r="AW994" s="624"/>
      <c r="AX994" s="624"/>
      <c r="AY994" s="624"/>
      <c r="AZ994" s="624"/>
      <c r="BA994" s="624"/>
      <c r="BB994" s="624"/>
      <c r="BC994" s="624"/>
      <c r="BD994" s="624"/>
      <c r="BE994" s="624"/>
    </row>
    <row r="995" ht="16.5" customHeight="1">
      <c r="A995" s="711"/>
      <c r="B995" s="711"/>
      <c r="C995" s="711"/>
      <c r="D995" s="711"/>
      <c r="E995" s="711"/>
      <c r="F995" s="711"/>
      <c r="G995" s="711"/>
      <c r="H995" s="711"/>
      <c r="I995" s="711"/>
      <c r="J995" s="711"/>
      <c r="K995" s="741"/>
      <c r="L995" s="741"/>
      <c r="M995" s="788"/>
      <c r="N995" s="741"/>
      <c r="O995" s="741"/>
      <c r="P995" s="741"/>
      <c r="Q995" s="741"/>
      <c r="R995" s="788"/>
      <c r="S995" s="819"/>
      <c r="T995" s="820"/>
      <c r="U995" s="819"/>
      <c r="V995" s="820"/>
      <c r="W995" s="788"/>
      <c r="X995" s="803"/>
      <c r="Y995" s="803"/>
      <c r="Z995" s="803"/>
      <c r="AA995" s="711"/>
      <c r="AB995" s="711"/>
      <c r="AC995" s="711"/>
      <c r="AD995" s="736"/>
      <c r="AE995" s="736"/>
      <c r="AF995" s="624"/>
      <c r="AG995" s="624"/>
      <c r="AH995" s="624"/>
      <c r="AI995" s="624"/>
      <c r="AJ995" s="960">
        <f t="shared" si="6"/>
        <v>995</v>
      </c>
      <c r="AK995" s="961">
        <v>1.0216</v>
      </c>
      <c r="AL995" s="962">
        <v>8900.0</v>
      </c>
      <c r="AM995" s="963">
        <v>-0.3494594789574682</v>
      </c>
      <c r="AN995" s="964">
        <v>0.021600000000000064</v>
      </c>
      <c r="AO995" s="962">
        <v>8900.0</v>
      </c>
      <c r="AP995" s="965">
        <v>-0.3428291973907427</v>
      </c>
      <c r="AQ995" s="962">
        <v>8900.0</v>
      </c>
      <c r="AR995" s="966">
        <v>-0.3364414924043916</v>
      </c>
      <c r="AS995" s="624"/>
      <c r="AT995" s="624"/>
      <c r="AU995" s="624"/>
      <c r="AV995" s="624"/>
      <c r="AW995" s="624"/>
      <c r="AX995" s="624"/>
      <c r="AY995" s="624"/>
      <c r="AZ995" s="624"/>
      <c r="BA995" s="624"/>
      <c r="BB995" s="624"/>
      <c r="BC995" s="624"/>
      <c r="BD995" s="624"/>
      <c r="BE995" s="624"/>
    </row>
    <row r="996" ht="16.5" customHeight="1">
      <c r="A996" s="711"/>
      <c r="B996" s="711"/>
      <c r="C996" s="711"/>
      <c r="D996" s="711"/>
      <c r="E996" s="711"/>
      <c r="F996" s="711"/>
      <c r="G996" s="711"/>
      <c r="H996" s="711"/>
      <c r="I996" s="711"/>
      <c r="J996" s="711"/>
      <c r="K996" s="741"/>
      <c r="L996" s="741"/>
      <c r="M996" s="788"/>
      <c r="N996" s="741"/>
      <c r="O996" s="741"/>
      <c r="P996" s="741"/>
      <c r="Q996" s="741"/>
      <c r="R996" s="788"/>
      <c r="S996" s="819"/>
      <c r="T996" s="820"/>
      <c r="U996" s="819"/>
      <c r="V996" s="820"/>
      <c r="W996" s="788"/>
      <c r="X996" s="803"/>
      <c r="Y996" s="803"/>
      <c r="Z996" s="803"/>
      <c r="AA996" s="711"/>
      <c r="AB996" s="711"/>
      <c r="AC996" s="711"/>
      <c r="AD996" s="736"/>
      <c r="AE996" s="736"/>
      <c r="AF996" s="624"/>
      <c r="AG996" s="624"/>
      <c r="AH996" s="624"/>
      <c r="AI996" s="624"/>
      <c r="AJ996" s="960">
        <f t="shared" si="6"/>
        <v>996</v>
      </c>
      <c r="AK996" s="961">
        <v>0.9761</v>
      </c>
      <c r="AL996" s="962">
        <v>8851.0</v>
      </c>
      <c r="AM996" s="963">
        <v>-0.34791772806250865</v>
      </c>
      <c r="AN996" s="964">
        <v>-0.023900000000000032</v>
      </c>
      <c r="AO996" s="962">
        <v>8851.0</v>
      </c>
      <c r="AP996" s="965">
        <v>-0.34130850815196423</v>
      </c>
      <c r="AQ996" s="962">
        <v>8851.0</v>
      </c>
      <c r="AR996" s="966">
        <v>-0.3349414415155506</v>
      </c>
      <c r="AS996" s="624"/>
      <c r="AT996" s="624"/>
      <c r="AU996" s="624"/>
      <c r="AV996" s="624"/>
      <c r="AW996" s="624"/>
      <c r="AX996" s="624"/>
      <c r="AY996" s="624"/>
      <c r="AZ996" s="624"/>
      <c r="BA996" s="624"/>
      <c r="BB996" s="624"/>
      <c r="BC996" s="624"/>
      <c r="BD996" s="624"/>
      <c r="BE996" s="624"/>
    </row>
    <row r="997" ht="16.5" customHeight="1">
      <c r="A997" s="711"/>
      <c r="B997" s="711"/>
      <c r="C997" s="711"/>
      <c r="D997" s="711"/>
      <c r="E997" s="711"/>
      <c r="F997" s="711"/>
      <c r="G997" s="711"/>
      <c r="H997" s="711"/>
      <c r="I997" s="711"/>
      <c r="J997" s="711"/>
      <c r="K997" s="741"/>
      <c r="L997" s="741"/>
      <c r="M997" s="788"/>
      <c r="N997" s="741"/>
      <c r="O997" s="741"/>
      <c r="P997" s="741"/>
      <c r="Q997" s="741"/>
      <c r="R997" s="788"/>
      <c r="S997" s="819"/>
      <c r="T997" s="820"/>
      <c r="U997" s="819"/>
      <c r="V997" s="820"/>
      <c r="W997" s="788"/>
      <c r="X997" s="803"/>
      <c r="Y997" s="803"/>
      <c r="Z997" s="803"/>
      <c r="AA997" s="711"/>
      <c r="AB997" s="711"/>
      <c r="AC997" s="711"/>
      <c r="AD997" s="736"/>
      <c r="AE997" s="736"/>
      <c r="AF997" s="624"/>
      <c r="AG997" s="624"/>
      <c r="AH997" s="624"/>
      <c r="AI997" s="624"/>
      <c r="AJ997" s="960">
        <f t="shared" si="6"/>
        <v>997</v>
      </c>
      <c r="AK997" s="961">
        <v>0.9895</v>
      </c>
      <c r="AL997" s="962">
        <v>8773.0</v>
      </c>
      <c r="AM997" s="963">
        <v>-0.34545597127842587</v>
      </c>
      <c r="AN997" s="964">
        <v>-0.010499999999999954</v>
      </c>
      <c r="AO997" s="962">
        <v>8773.0</v>
      </c>
      <c r="AP997" s="965">
        <v>-0.33888055681226037</v>
      </c>
      <c r="AQ997" s="962">
        <v>8773.0</v>
      </c>
      <c r="AR997" s="966">
        <v>-0.3325466069461055</v>
      </c>
      <c r="AS997" s="624"/>
      <c r="AT997" s="624"/>
      <c r="AU997" s="624"/>
      <c r="AV997" s="624"/>
      <c r="AW997" s="624"/>
      <c r="AX997" s="624"/>
      <c r="AY997" s="624"/>
      <c r="AZ997" s="624"/>
      <c r="BA997" s="624"/>
      <c r="BB997" s="624"/>
      <c r="BC997" s="624"/>
      <c r="BD997" s="624"/>
      <c r="BE997" s="624"/>
    </row>
    <row r="998" ht="16.5" customHeight="1">
      <c r="A998" s="711"/>
      <c r="B998" s="711"/>
      <c r="C998" s="711"/>
      <c r="D998" s="711"/>
      <c r="E998" s="711"/>
      <c r="F998" s="711"/>
      <c r="G998" s="711"/>
      <c r="H998" s="711"/>
      <c r="I998" s="711"/>
      <c r="J998" s="711"/>
      <c r="K998" s="741"/>
      <c r="L998" s="741"/>
      <c r="M998" s="788"/>
      <c r="N998" s="741"/>
      <c r="O998" s="741"/>
      <c r="P998" s="741"/>
      <c r="Q998" s="741"/>
      <c r="R998" s="788"/>
      <c r="S998" s="819"/>
      <c r="T998" s="820"/>
      <c r="U998" s="819"/>
      <c r="V998" s="820"/>
      <c r="W998" s="788"/>
      <c r="X998" s="803"/>
      <c r="Y998" s="803"/>
      <c r="Z998" s="803"/>
      <c r="AA998" s="711"/>
      <c r="AB998" s="711"/>
      <c r="AC998" s="711"/>
      <c r="AD998" s="736"/>
      <c r="AE998" s="736"/>
      <c r="AF998" s="624"/>
      <c r="AG998" s="624"/>
      <c r="AH998" s="624"/>
      <c r="AI998" s="624"/>
      <c r="AJ998" s="960">
        <f t="shared" si="6"/>
        <v>998</v>
      </c>
      <c r="AK998" s="961">
        <v>0.9865</v>
      </c>
      <c r="AL998" s="962">
        <v>8723.0</v>
      </c>
      <c r="AM998" s="963">
        <v>-0.34387303606658703</v>
      </c>
      <c r="AN998" s="964">
        <v>-0.013499999999999956</v>
      </c>
      <c r="AO998" s="962">
        <v>8723.0</v>
      </c>
      <c r="AP998" s="965">
        <v>-0.3373194726649855</v>
      </c>
      <c r="AQ998" s="962">
        <v>8723.0</v>
      </c>
      <c r="AR998" s="966">
        <v>-0.3310069227536818</v>
      </c>
      <c r="AS998" s="624"/>
      <c r="AT998" s="624"/>
      <c r="AU998" s="624"/>
      <c r="AV998" s="624"/>
      <c r="AW998" s="624"/>
      <c r="AX998" s="624"/>
      <c r="AY998" s="624"/>
      <c r="AZ998" s="624"/>
      <c r="BA998" s="624"/>
      <c r="BB998" s="624"/>
      <c r="BC998" s="624"/>
      <c r="BD998" s="624"/>
      <c r="BE998" s="624"/>
    </row>
    <row r="999" ht="16.5" customHeight="1">
      <c r="A999" s="711"/>
      <c r="B999" s="711"/>
      <c r="C999" s="711"/>
      <c r="D999" s="711"/>
      <c r="E999" s="711"/>
      <c r="F999" s="711"/>
      <c r="G999" s="711"/>
      <c r="H999" s="711"/>
      <c r="I999" s="711"/>
      <c r="J999" s="711"/>
      <c r="K999" s="741"/>
      <c r="L999" s="741"/>
      <c r="M999" s="788"/>
      <c r="N999" s="741"/>
      <c r="O999" s="741"/>
      <c r="P999" s="741"/>
      <c r="Q999" s="741"/>
      <c r="R999" s="788"/>
      <c r="S999" s="819"/>
      <c r="T999" s="820"/>
      <c r="U999" s="819"/>
      <c r="V999" s="820"/>
      <c r="W999" s="788"/>
      <c r="X999" s="803"/>
      <c r="Y999" s="803"/>
      <c r="Z999" s="803"/>
      <c r="AA999" s="711"/>
      <c r="AB999" s="711"/>
      <c r="AC999" s="711"/>
      <c r="AD999" s="736"/>
      <c r="AE999" s="736"/>
      <c r="AF999" s="624"/>
      <c r="AG999" s="624"/>
      <c r="AH999" s="624"/>
      <c r="AI999" s="624"/>
      <c r="AJ999" s="960">
        <f t="shared" si="6"/>
        <v>999</v>
      </c>
      <c r="AK999" s="961">
        <v>1.0016</v>
      </c>
      <c r="AL999" s="962">
        <v>8643.0</v>
      </c>
      <c r="AM999" s="963">
        <v>-0.3413323733533836</v>
      </c>
      <c r="AN999" s="964">
        <v>0.0016000000000000458</v>
      </c>
      <c r="AO999" s="962">
        <v>8643.0</v>
      </c>
      <c r="AP999" s="965">
        <v>-0.33481406722274787</v>
      </c>
      <c r="AQ999" s="962">
        <v>8643.0</v>
      </c>
      <c r="AR999" s="966">
        <v>-0.3285360369987721</v>
      </c>
      <c r="AS999" s="624"/>
      <c r="AT999" s="624"/>
      <c r="AU999" s="624"/>
      <c r="AV999" s="624"/>
      <c r="AW999" s="624"/>
      <c r="AX999" s="624"/>
      <c r="AY999" s="624"/>
      <c r="AZ999" s="624"/>
      <c r="BA999" s="624"/>
      <c r="BB999" s="624"/>
      <c r="BC999" s="624"/>
      <c r="BD999" s="624"/>
      <c r="BE999" s="624"/>
    </row>
    <row r="1000" ht="16.5" customHeight="1">
      <c r="A1000" s="711"/>
      <c r="B1000" s="711"/>
      <c r="C1000" s="711"/>
      <c r="D1000" s="711"/>
      <c r="E1000" s="711"/>
      <c r="F1000" s="711"/>
      <c r="G1000" s="711"/>
      <c r="H1000" s="711"/>
      <c r="I1000" s="711"/>
      <c r="J1000" s="711"/>
      <c r="K1000" s="741"/>
      <c r="L1000" s="741"/>
      <c r="M1000" s="788"/>
      <c r="N1000" s="741"/>
      <c r="O1000" s="741"/>
      <c r="P1000" s="741"/>
      <c r="Q1000" s="741"/>
      <c r="R1000" s="788"/>
      <c r="S1000" s="819"/>
      <c r="T1000" s="820"/>
      <c r="U1000" s="819"/>
      <c r="V1000" s="820"/>
      <c r="W1000" s="788"/>
      <c r="X1000" s="803"/>
      <c r="Y1000" s="803"/>
      <c r="Z1000" s="803"/>
      <c r="AA1000" s="711"/>
      <c r="AB1000" s="711"/>
      <c r="AC1000" s="711"/>
      <c r="AD1000" s="736"/>
      <c r="AE1000" s="736"/>
      <c r="AF1000" s="624"/>
      <c r="AG1000" s="624"/>
      <c r="AH1000" s="624"/>
      <c r="AI1000" s="624"/>
      <c r="AJ1000" s="960">
        <f t="shared" si="6"/>
        <v>1000</v>
      </c>
      <c r="AK1000" s="961">
        <v>0.9514</v>
      </c>
      <c r="AL1000" s="962">
        <v>8626.0</v>
      </c>
      <c r="AM1000" s="963">
        <v>-0.340791216403748</v>
      </c>
      <c r="AN1000" s="964">
        <v>-0.04859999999999998</v>
      </c>
      <c r="AO1000" s="962">
        <v>8626.0</v>
      </c>
      <c r="AP1000" s="965">
        <v>-0.334280449486815</v>
      </c>
      <c r="AQ1000" s="962">
        <v>8626.0</v>
      </c>
      <c r="AR1000" s="966">
        <v>-0.3280097992195966</v>
      </c>
      <c r="AS1000" s="624"/>
      <c r="AT1000" s="624"/>
      <c r="AU1000" s="624"/>
      <c r="AV1000" s="624"/>
      <c r="AW1000" s="624"/>
      <c r="AX1000" s="624"/>
      <c r="AY1000" s="624"/>
      <c r="AZ1000" s="624"/>
      <c r="BA1000" s="624"/>
      <c r="BB1000" s="624"/>
      <c r="BC1000" s="624"/>
      <c r="BD1000" s="624"/>
      <c r="BE1000" s="624"/>
    </row>
    <row r="1001" ht="16.5" customHeight="1">
      <c r="A1001" s="711"/>
      <c r="B1001" s="711"/>
      <c r="C1001" s="711"/>
      <c r="D1001" s="711"/>
      <c r="E1001" s="711"/>
      <c r="F1001" s="711"/>
      <c r="G1001" s="711"/>
      <c r="H1001" s="711"/>
      <c r="I1001" s="711"/>
      <c r="J1001" s="711"/>
      <c r="K1001" s="741"/>
      <c r="L1001" s="741"/>
      <c r="M1001" s="788"/>
      <c r="N1001" s="741"/>
      <c r="O1001" s="741"/>
      <c r="P1001" s="741"/>
      <c r="Q1001" s="741"/>
      <c r="R1001" s="788"/>
      <c r="S1001" s="819"/>
      <c r="T1001" s="820"/>
      <c r="U1001" s="819"/>
      <c r="V1001" s="820"/>
      <c r="W1001" s="788"/>
      <c r="X1001" s="803"/>
      <c r="Y1001" s="803"/>
      <c r="Z1001" s="803"/>
      <c r="AA1001" s="711"/>
      <c r="AB1001" s="711"/>
      <c r="AC1001" s="711"/>
      <c r="AD1001" s="736"/>
      <c r="AE1001" s="736"/>
      <c r="AF1001" s="624"/>
      <c r="AG1001" s="624"/>
      <c r="AH1001" s="624"/>
      <c r="AI1001" s="624"/>
      <c r="AJ1001" s="984"/>
      <c r="AK1001" s="985">
        <v>1.0194</v>
      </c>
      <c r="AL1001" s="986">
        <v>8600.0</v>
      </c>
      <c r="AM1001" s="987">
        <v>-0.3399627044823106</v>
      </c>
      <c r="AN1001" s="988">
        <v>0.019400000000000084</v>
      </c>
      <c r="AO1001" s="986">
        <v>8600.0</v>
      </c>
      <c r="AP1001" s="989">
        <v>-0.33346350012435133</v>
      </c>
      <c r="AQ1001" s="986">
        <v>8600.0</v>
      </c>
      <c r="AR1001" s="990">
        <v>-0.32720416712991784</v>
      </c>
      <c r="AS1001" s="624"/>
      <c r="AT1001" s="624"/>
      <c r="AU1001" s="624"/>
      <c r="AV1001" s="624"/>
      <c r="AW1001" s="624"/>
      <c r="AX1001" s="624"/>
      <c r="AY1001" s="624"/>
      <c r="AZ1001" s="624"/>
      <c r="BA1001" s="624"/>
      <c r="BB1001" s="624"/>
      <c r="BC1001" s="624"/>
      <c r="BD1001" s="624"/>
      <c r="BE1001" s="624"/>
    </row>
    <row r="1002" ht="16.5" customHeight="1">
      <c r="A1002" s="711"/>
      <c r="B1002" s="711"/>
      <c r="C1002" s="711"/>
      <c r="D1002" s="711"/>
      <c r="E1002" s="711"/>
      <c r="F1002" s="711"/>
      <c r="G1002" s="711"/>
      <c r="H1002" s="711"/>
      <c r="I1002" s="711"/>
      <c r="J1002" s="711"/>
      <c r="K1002" s="741"/>
      <c r="L1002" s="741"/>
      <c r="M1002" s="788"/>
      <c r="N1002" s="741"/>
      <c r="O1002" s="741"/>
      <c r="P1002" s="741"/>
      <c r="Q1002" s="741"/>
      <c r="R1002" s="788"/>
      <c r="S1002" s="819"/>
      <c r="T1002" s="820"/>
      <c r="U1002" s="819"/>
      <c r="V1002" s="820"/>
      <c r="W1002" s="788"/>
      <c r="X1002" s="803"/>
      <c r="Y1002" s="803"/>
      <c r="Z1002" s="803"/>
      <c r="AA1002" s="711"/>
      <c r="AB1002" s="711"/>
      <c r="AC1002" s="711"/>
      <c r="AD1002" s="736"/>
      <c r="AE1002" s="736"/>
      <c r="AF1002" s="624"/>
      <c r="AG1002" s="624"/>
      <c r="AH1002" s="624"/>
      <c r="AI1002" s="624"/>
      <c r="AJ1002" s="984"/>
      <c r="AK1002" s="985">
        <v>0.9823</v>
      </c>
      <c r="AL1002" s="986">
        <v>8598.0</v>
      </c>
      <c r="AM1002" s="987">
        <v>-0.33989892968207835</v>
      </c>
      <c r="AN1002" s="988">
        <v>-0.01770000000000005</v>
      </c>
      <c r="AO1002" s="986">
        <v>8598.0</v>
      </c>
      <c r="AP1002" s="989">
        <v>-0.33340061635630747</v>
      </c>
      <c r="AQ1002" s="986">
        <v>8598.0</v>
      </c>
      <c r="AR1002" s="990">
        <v>-0.32714215543975755</v>
      </c>
      <c r="AS1002" s="624"/>
      <c r="AT1002" s="624"/>
      <c r="AU1002" s="624"/>
      <c r="AV1002" s="624"/>
      <c r="AW1002" s="624"/>
      <c r="AX1002" s="624"/>
      <c r="AY1002" s="624"/>
      <c r="AZ1002" s="624"/>
      <c r="BA1002" s="624"/>
      <c r="BB1002" s="624"/>
      <c r="BC1002" s="624"/>
      <c r="BD1002" s="624"/>
      <c r="BE1002" s="624"/>
    </row>
    <row r="1003" ht="16.5" customHeight="1">
      <c r="A1003" s="711"/>
      <c r="B1003" s="711"/>
      <c r="C1003" s="711"/>
      <c r="D1003" s="711"/>
      <c r="E1003" s="711"/>
      <c r="F1003" s="711"/>
      <c r="G1003" s="711"/>
      <c r="H1003" s="711"/>
      <c r="I1003" s="711"/>
      <c r="J1003" s="711"/>
      <c r="K1003" s="741"/>
      <c r="L1003" s="741"/>
      <c r="M1003" s="788"/>
      <c r="N1003" s="741"/>
      <c r="O1003" s="741"/>
      <c r="P1003" s="741"/>
      <c r="Q1003" s="741"/>
      <c r="R1003" s="788"/>
      <c r="S1003" s="819"/>
      <c r="T1003" s="820"/>
      <c r="U1003" s="819"/>
      <c r="V1003" s="820"/>
      <c r="W1003" s="788"/>
      <c r="X1003" s="803"/>
      <c r="Y1003" s="803"/>
      <c r="Z1003" s="803"/>
      <c r="AA1003" s="711"/>
      <c r="AB1003" s="711"/>
      <c r="AC1003" s="711"/>
      <c r="AD1003" s="736"/>
      <c r="AE1003" s="736"/>
      <c r="AF1003" s="624"/>
      <c r="AG1003" s="624"/>
      <c r="AH1003" s="624"/>
      <c r="AI1003" s="624"/>
      <c r="AJ1003" s="984"/>
      <c r="AK1003" s="985">
        <v>1.0</v>
      </c>
      <c r="AL1003" s="986">
        <v>8547.0</v>
      </c>
      <c r="AM1003" s="987">
        <v>-0.3382705886080096</v>
      </c>
      <c r="AN1003" s="988">
        <v>0.0</v>
      </c>
      <c r="AO1003" s="986">
        <v>8547.0</v>
      </c>
      <c r="AP1003" s="989">
        <v>-0.33179507421124255</v>
      </c>
      <c r="AQ1003" s="986">
        <v>8547.0</v>
      </c>
      <c r="AR1003" s="990">
        <v>-0.3255589247189332</v>
      </c>
      <c r="AS1003" s="624"/>
      <c r="AT1003" s="624"/>
      <c r="AU1003" s="624"/>
      <c r="AV1003" s="624"/>
      <c r="AW1003" s="624"/>
      <c r="AX1003" s="624"/>
      <c r="AY1003" s="624"/>
      <c r="AZ1003" s="624"/>
      <c r="BA1003" s="624"/>
      <c r="BB1003" s="624"/>
      <c r="BC1003" s="624"/>
      <c r="BD1003" s="624"/>
      <c r="BE1003" s="624"/>
    </row>
    <row r="1004" ht="16.5" customHeight="1">
      <c r="A1004" s="711"/>
      <c r="B1004" s="711"/>
      <c r="C1004" s="711"/>
      <c r="D1004" s="711"/>
      <c r="E1004" s="711"/>
      <c r="F1004" s="711"/>
      <c r="G1004" s="711"/>
      <c r="H1004" s="711"/>
      <c r="I1004" s="711"/>
      <c r="J1004" s="711"/>
      <c r="K1004" s="741"/>
      <c r="L1004" s="741"/>
      <c r="M1004" s="788"/>
      <c r="N1004" s="741"/>
      <c r="O1004" s="741"/>
      <c r="P1004" s="741"/>
      <c r="Q1004" s="741"/>
      <c r="R1004" s="788"/>
      <c r="S1004" s="819"/>
      <c r="T1004" s="820"/>
      <c r="U1004" s="819"/>
      <c r="V1004" s="820"/>
      <c r="W1004" s="788"/>
      <c r="X1004" s="803"/>
      <c r="Y1004" s="803"/>
      <c r="Z1004" s="803"/>
      <c r="AA1004" s="711"/>
      <c r="AB1004" s="711"/>
      <c r="AC1004" s="711"/>
      <c r="AD1004" s="736"/>
      <c r="AE1004" s="736"/>
      <c r="AF1004" s="624"/>
      <c r="AG1004" s="624"/>
      <c r="AH1004" s="624"/>
      <c r="AI1004" s="624"/>
      <c r="AJ1004" s="984"/>
      <c r="AK1004" s="985">
        <v>1.005</v>
      </c>
      <c r="AL1004" s="986">
        <v>8452.0</v>
      </c>
      <c r="AM1004" s="987">
        <v>-0.33522668673222566</v>
      </c>
      <c r="AN1004" s="988">
        <v>0.004999999999999893</v>
      </c>
      <c r="AO1004" s="986">
        <v>8452.0</v>
      </c>
      <c r="AP1004" s="989">
        <v>-0.32879404069338813</v>
      </c>
      <c r="AQ1004" s="986">
        <v>8452.0</v>
      </c>
      <c r="AR1004" s="990">
        <v>-0.3225998299448988</v>
      </c>
      <c r="AS1004" s="624"/>
      <c r="AT1004" s="624"/>
      <c r="AU1004" s="624"/>
      <c r="AV1004" s="624"/>
      <c r="AW1004" s="624"/>
      <c r="AX1004" s="624"/>
      <c r="AY1004" s="624"/>
      <c r="AZ1004" s="624"/>
      <c r="BA1004" s="624"/>
      <c r="BB1004" s="624"/>
      <c r="BC1004" s="624"/>
      <c r="BD1004" s="624"/>
      <c r="BE1004" s="624"/>
    </row>
    <row r="1005" ht="16.5" customHeight="1">
      <c r="A1005" s="711"/>
      <c r="B1005" s="711"/>
      <c r="C1005" s="711"/>
      <c r="D1005" s="711"/>
      <c r="E1005" s="711"/>
      <c r="F1005" s="711"/>
      <c r="G1005" s="711"/>
      <c r="H1005" s="711"/>
      <c r="I1005" s="711"/>
      <c r="J1005" s="711"/>
      <c r="K1005" s="741"/>
      <c r="L1005" s="741"/>
      <c r="M1005" s="788"/>
      <c r="N1005" s="741"/>
      <c r="O1005" s="741"/>
      <c r="P1005" s="741"/>
      <c r="Q1005" s="741"/>
      <c r="R1005" s="788"/>
      <c r="S1005" s="819"/>
      <c r="T1005" s="820"/>
      <c r="U1005" s="819"/>
      <c r="V1005" s="820"/>
      <c r="W1005" s="788"/>
      <c r="X1005" s="803"/>
      <c r="Y1005" s="803"/>
      <c r="Z1005" s="803"/>
      <c r="AA1005" s="711"/>
      <c r="AB1005" s="711"/>
      <c r="AC1005" s="711"/>
      <c r="AD1005" s="736"/>
      <c r="AE1005" s="736"/>
      <c r="AF1005" s="624"/>
      <c r="AG1005" s="624"/>
      <c r="AH1005" s="624"/>
      <c r="AI1005" s="624"/>
      <c r="AJ1005" s="984"/>
      <c r="AK1005" s="985">
        <v>0.9444</v>
      </c>
      <c r="AL1005" s="986">
        <v>8414.0</v>
      </c>
      <c r="AM1005" s="987">
        <v>-0.33400520910525044</v>
      </c>
      <c r="AN1005" s="988">
        <v>-0.05559999999999998</v>
      </c>
      <c r="AO1005" s="986">
        <v>8414.0</v>
      </c>
      <c r="AP1005" s="989">
        <v>-0.32758985677296026</v>
      </c>
      <c r="AQ1005" s="986">
        <v>8414.0</v>
      </c>
      <c r="AR1005" s="990">
        <v>-0.3214125599906389</v>
      </c>
      <c r="AS1005" s="624"/>
      <c r="AT1005" s="624"/>
      <c r="AU1005" s="624"/>
      <c r="AV1005" s="624"/>
      <c r="AW1005" s="624"/>
      <c r="AX1005" s="624"/>
      <c r="AY1005" s="624"/>
      <c r="AZ1005" s="624"/>
      <c r="BA1005" s="624"/>
      <c r="BB1005" s="624"/>
      <c r="BC1005" s="624"/>
      <c r="BD1005" s="624"/>
      <c r="BE1005" s="624"/>
    </row>
    <row r="1006" ht="16.5" customHeight="1">
      <c r="A1006" s="711"/>
      <c r="B1006" s="711"/>
      <c r="C1006" s="711"/>
      <c r="D1006" s="711"/>
      <c r="E1006" s="711"/>
      <c r="F1006" s="711"/>
      <c r="G1006" s="711"/>
      <c r="H1006" s="711"/>
      <c r="I1006" s="711"/>
      <c r="J1006" s="711"/>
      <c r="K1006" s="741"/>
      <c r="L1006" s="741"/>
      <c r="M1006" s="788"/>
      <c r="N1006" s="741"/>
      <c r="O1006" s="741"/>
      <c r="P1006" s="741"/>
      <c r="Q1006" s="741"/>
      <c r="R1006" s="788"/>
      <c r="S1006" s="819"/>
      <c r="T1006" s="820"/>
      <c r="U1006" s="819"/>
      <c r="V1006" s="820"/>
      <c r="W1006" s="788"/>
      <c r="X1006" s="803"/>
      <c r="Y1006" s="803"/>
      <c r="Z1006" s="803"/>
      <c r="AA1006" s="711"/>
      <c r="AB1006" s="711"/>
      <c r="AC1006" s="711"/>
      <c r="AD1006" s="736"/>
      <c r="AE1006" s="736"/>
      <c r="AF1006" s="624"/>
      <c r="AG1006" s="624"/>
      <c r="AH1006" s="624"/>
      <c r="AI1006" s="624"/>
      <c r="AJ1006" s="984"/>
      <c r="AK1006" s="985">
        <v>0.9845</v>
      </c>
      <c r="AL1006" s="986">
        <v>8400.0</v>
      </c>
      <c r="AM1006" s="987">
        <v>-0.3335546254916133</v>
      </c>
      <c r="AN1006" s="988">
        <v>-0.015499999999999958</v>
      </c>
      <c r="AO1006" s="986">
        <v>8400.0</v>
      </c>
      <c r="AP1006" s="989">
        <v>-0.3271456656880286</v>
      </c>
      <c r="AQ1006" s="986">
        <v>8400.0</v>
      </c>
      <c r="AR1006" s="990">
        <v>-0.3209746203865961</v>
      </c>
      <c r="AS1006" s="624"/>
      <c r="AT1006" s="624"/>
      <c r="AU1006" s="624"/>
      <c r="AV1006" s="624"/>
      <c r="AW1006" s="624"/>
      <c r="AX1006" s="624"/>
      <c r="AY1006" s="624"/>
      <c r="AZ1006" s="624"/>
      <c r="BA1006" s="624"/>
      <c r="BB1006" s="624"/>
      <c r="BC1006" s="624"/>
      <c r="BD1006" s="624"/>
      <c r="BE1006" s="624"/>
    </row>
    <row r="1007" ht="16.5" customHeight="1">
      <c r="A1007" s="711"/>
      <c r="B1007" s="711"/>
      <c r="C1007" s="711"/>
      <c r="D1007" s="711"/>
      <c r="E1007" s="711"/>
      <c r="F1007" s="711"/>
      <c r="G1007" s="711"/>
      <c r="H1007" s="711"/>
      <c r="I1007" s="711"/>
      <c r="J1007" s="711"/>
      <c r="K1007" s="741"/>
      <c r="L1007" s="741"/>
      <c r="M1007" s="788"/>
      <c r="N1007" s="741"/>
      <c r="O1007" s="741"/>
      <c r="P1007" s="741"/>
      <c r="Q1007" s="741"/>
      <c r="R1007" s="788"/>
      <c r="S1007" s="819"/>
      <c r="T1007" s="820"/>
      <c r="U1007" s="819"/>
      <c r="V1007" s="820"/>
      <c r="W1007" s="788"/>
      <c r="X1007" s="803"/>
      <c r="Y1007" s="803"/>
      <c r="Z1007" s="803"/>
      <c r="AA1007" s="711"/>
      <c r="AB1007" s="711"/>
      <c r="AC1007" s="711"/>
      <c r="AD1007" s="736"/>
      <c r="AE1007" s="736"/>
      <c r="AF1007" s="624"/>
      <c r="AG1007" s="624"/>
      <c r="AH1007" s="624"/>
      <c r="AI1007" s="624"/>
      <c r="AJ1007" s="984"/>
      <c r="AK1007" s="985">
        <v>0.9974</v>
      </c>
      <c r="AL1007" s="986">
        <v>8249.0</v>
      </c>
      <c r="AM1007" s="987">
        <v>-0.3286753409671648</v>
      </c>
      <c r="AN1007" s="988">
        <v>-0.0026000000000000467</v>
      </c>
      <c r="AO1007" s="986">
        <v>8249.0</v>
      </c>
      <c r="AP1007" s="989">
        <v>-0.3223360572517223</v>
      </c>
      <c r="AQ1007" s="986">
        <v>8249.0</v>
      </c>
      <c r="AR1007" s="990">
        <v>-0.3162331273046761</v>
      </c>
      <c r="AS1007" s="624"/>
      <c r="AT1007" s="624"/>
      <c r="AU1007" s="624"/>
      <c r="AV1007" s="624"/>
      <c r="AW1007" s="624"/>
      <c r="AX1007" s="624"/>
      <c r="AY1007" s="624"/>
      <c r="AZ1007" s="624"/>
      <c r="BA1007" s="624"/>
      <c r="BB1007" s="624"/>
      <c r="BC1007" s="624"/>
      <c r="BD1007" s="624"/>
      <c r="BE1007" s="624"/>
    </row>
    <row r="1008" ht="16.5" customHeight="1">
      <c r="A1008" s="711"/>
      <c r="B1008" s="711"/>
      <c r="C1008" s="711"/>
      <c r="D1008" s="711"/>
      <c r="E1008" s="711"/>
      <c r="F1008" s="711"/>
      <c r="G1008" s="711"/>
      <c r="H1008" s="711"/>
      <c r="I1008" s="711"/>
      <c r="J1008" s="711"/>
      <c r="K1008" s="741"/>
      <c r="L1008" s="741"/>
      <c r="M1008" s="788"/>
      <c r="N1008" s="741"/>
      <c r="O1008" s="741"/>
      <c r="P1008" s="741"/>
      <c r="Q1008" s="741"/>
      <c r="R1008" s="788"/>
      <c r="S1008" s="819"/>
      <c r="T1008" s="820"/>
      <c r="U1008" s="819"/>
      <c r="V1008" s="820"/>
      <c r="W1008" s="788"/>
      <c r="X1008" s="803"/>
      <c r="Y1008" s="803"/>
      <c r="Z1008" s="803"/>
      <c r="AA1008" s="711"/>
      <c r="AB1008" s="711"/>
      <c r="AC1008" s="711"/>
      <c r="AD1008" s="736"/>
      <c r="AE1008" s="736"/>
      <c r="AF1008" s="624"/>
      <c r="AG1008" s="624"/>
      <c r="AH1008" s="624"/>
      <c r="AI1008" s="624"/>
      <c r="AJ1008" s="984"/>
      <c r="AK1008" s="985">
        <v>1.0059</v>
      </c>
      <c r="AL1008" s="986">
        <v>8200.0</v>
      </c>
      <c r="AM1008" s="987">
        <v>-0.3270843326281092</v>
      </c>
      <c r="AN1008" s="988">
        <v>0.005900000000000016</v>
      </c>
      <c r="AO1008" s="986">
        <v>8200.0</v>
      </c>
      <c r="AP1008" s="989">
        <v>-0.3207679470113497</v>
      </c>
      <c r="AQ1008" s="986">
        <v>8200.0</v>
      </c>
      <c r="AR1008" s="990">
        <v>-0.31468739306510896</v>
      </c>
      <c r="AS1008" s="624"/>
      <c r="AT1008" s="624"/>
      <c r="AU1008" s="624"/>
      <c r="AV1008" s="624"/>
      <c r="AW1008" s="624"/>
      <c r="AX1008" s="624"/>
      <c r="AY1008" s="624"/>
      <c r="AZ1008" s="624"/>
      <c r="BA1008" s="624"/>
      <c r="BB1008" s="624"/>
      <c r="BC1008" s="624"/>
      <c r="BD1008" s="624"/>
      <c r="BE1008" s="624"/>
    </row>
    <row r="1009" ht="16.5" customHeight="1">
      <c r="A1009" s="711"/>
      <c r="B1009" s="711"/>
      <c r="C1009" s="711"/>
      <c r="D1009" s="711"/>
      <c r="E1009" s="711"/>
      <c r="F1009" s="711"/>
      <c r="G1009" s="711"/>
      <c r="H1009" s="711"/>
      <c r="I1009" s="711"/>
      <c r="J1009" s="711"/>
      <c r="K1009" s="741"/>
      <c r="L1009" s="741"/>
      <c r="M1009" s="788"/>
      <c r="N1009" s="741"/>
      <c r="O1009" s="741"/>
      <c r="P1009" s="741"/>
      <c r="Q1009" s="741"/>
      <c r="R1009" s="788"/>
      <c r="S1009" s="819"/>
      <c r="T1009" s="820"/>
      <c r="U1009" s="819"/>
      <c r="V1009" s="820"/>
      <c r="W1009" s="788"/>
      <c r="X1009" s="803"/>
      <c r="Y1009" s="803"/>
      <c r="Z1009" s="803"/>
      <c r="AA1009" s="711"/>
      <c r="AB1009" s="711"/>
      <c r="AC1009" s="711"/>
      <c r="AD1009" s="736"/>
      <c r="AE1009" s="736"/>
      <c r="AF1009" s="624"/>
      <c r="AG1009" s="624"/>
      <c r="AH1009" s="624"/>
      <c r="AI1009" s="624"/>
      <c r="AJ1009" s="984"/>
      <c r="AK1009" s="985">
        <v>0.9974</v>
      </c>
      <c r="AL1009" s="986">
        <v>8192.0</v>
      </c>
      <c r="AM1009" s="987">
        <v>-0.3268242183416791</v>
      </c>
      <c r="AN1009" s="988">
        <v>-0.0026000000000000467</v>
      </c>
      <c r="AO1009" s="986">
        <v>8192.0</v>
      </c>
      <c r="AP1009" s="989">
        <v>-0.32051158466187735</v>
      </c>
      <c r="AQ1009" s="986">
        <v>8192.0</v>
      </c>
      <c r="AR1009" s="990">
        <v>-0.3144346966789838</v>
      </c>
      <c r="AS1009" s="624"/>
      <c r="AT1009" s="624"/>
      <c r="AU1009" s="624"/>
      <c r="AV1009" s="624"/>
      <c r="AW1009" s="624"/>
      <c r="AX1009" s="624"/>
      <c r="AY1009" s="624"/>
      <c r="AZ1009" s="624"/>
      <c r="BA1009" s="624"/>
      <c r="BB1009" s="624"/>
      <c r="BC1009" s="624"/>
      <c r="BD1009" s="624"/>
      <c r="BE1009" s="624"/>
    </row>
    <row r="1010" ht="16.5" customHeight="1">
      <c r="A1010" s="711"/>
      <c r="B1010" s="711"/>
      <c r="C1010" s="711"/>
      <c r="D1010" s="711"/>
      <c r="E1010" s="711"/>
      <c r="F1010" s="711"/>
      <c r="G1010" s="711"/>
      <c r="H1010" s="711"/>
      <c r="I1010" s="711"/>
      <c r="J1010" s="711"/>
      <c r="K1010" s="741"/>
      <c r="L1010" s="741"/>
      <c r="M1010" s="788"/>
      <c r="N1010" s="741"/>
      <c r="O1010" s="741"/>
      <c r="P1010" s="741"/>
      <c r="Q1010" s="741"/>
      <c r="R1010" s="788"/>
      <c r="S1010" s="819"/>
      <c r="T1010" s="820"/>
      <c r="U1010" s="819"/>
      <c r="V1010" s="820"/>
      <c r="W1010" s="788"/>
      <c r="X1010" s="803"/>
      <c r="Y1010" s="803"/>
      <c r="Z1010" s="803"/>
      <c r="AA1010" s="711"/>
      <c r="AB1010" s="711"/>
      <c r="AC1010" s="711"/>
      <c r="AD1010" s="736"/>
      <c r="AE1010" s="736"/>
      <c r="AF1010" s="624"/>
      <c r="AG1010" s="624"/>
      <c r="AH1010" s="624"/>
      <c r="AI1010" s="624"/>
      <c r="AJ1010" s="984"/>
      <c r="AK1010" s="985">
        <v>0.9989</v>
      </c>
      <c r="AL1010" s="986">
        <v>8047.0</v>
      </c>
      <c r="AM1010" s="987">
        <v>-0.32209218160367803</v>
      </c>
      <c r="AN1010" s="988">
        <v>-0.0010999999999999899</v>
      </c>
      <c r="AO1010" s="986">
        <v>8047.0</v>
      </c>
      <c r="AP1010" s="989">
        <v>-0.31584821063192925</v>
      </c>
      <c r="AQ1010" s="986">
        <v>8047.0</v>
      </c>
      <c r="AR1010" s="990">
        <v>-0.3098383911480278</v>
      </c>
      <c r="AS1010" s="624"/>
      <c r="AT1010" s="624"/>
      <c r="AU1010" s="624"/>
      <c r="AV1010" s="624"/>
      <c r="AW1010" s="624"/>
      <c r="AX1010" s="624"/>
      <c r="AY1010" s="624"/>
      <c r="AZ1010" s="624"/>
      <c r="BA1010" s="624"/>
      <c r="BB1010" s="624"/>
      <c r="BC1010" s="624"/>
      <c r="BD1010" s="624"/>
      <c r="BE1010" s="624"/>
    </row>
    <row r="1011" ht="16.5" customHeight="1">
      <c r="A1011" s="711"/>
      <c r="B1011" s="711"/>
      <c r="C1011" s="711"/>
      <c r="D1011" s="711"/>
      <c r="E1011" s="711"/>
      <c r="F1011" s="711"/>
      <c r="G1011" s="711"/>
      <c r="H1011" s="711"/>
      <c r="I1011" s="711"/>
      <c r="J1011" s="711"/>
      <c r="K1011" s="741"/>
      <c r="L1011" s="741"/>
      <c r="M1011" s="788"/>
      <c r="N1011" s="741"/>
      <c r="O1011" s="741"/>
      <c r="P1011" s="741"/>
      <c r="Q1011" s="741"/>
      <c r="R1011" s="788"/>
      <c r="S1011" s="819"/>
      <c r="T1011" s="820"/>
      <c r="U1011" s="819"/>
      <c r="V1011" s="820"/>
      <c r="W1011" s="788"/>
      <c r="X1011" s="803"/>
      <c r="Y1011" s="803"/>
      <c r="Z1011" s="803"/>
      <c r="AA1011" s="711"/>
      <c r="AB1011" s="711"/>
      <c r="AC1011" s="711"/>
      <c r="AD1011" s="736"/>
      <c r="AE1011" s="736"/>
      <c r="AF1011" s="624"/>
      <c r="AG1011" s="624"/>
      <c r="AH1011" s="624"/>
      <c r="AI1011" s="624"/>
      <c r="AJ1011" s="984"/>
      <c r="AK1011" s="985">
        <v>0.9847</v>
      </c>
      <c r="AL1011" s="986">
        <v>8000.0</v>
      </c>
      <c r="AM1011" s="987">
        <v>-0.3205512218783374</v>
      </c>
      <c r="AN1011" s="988">
        <v>-0.01529999999999998</v>
      </c>
      <c r="AO1011" s="986">
        <v>8000.0</v>
      </c>
      <c r="AP1011" s="989">
        <v>-0.3143297764754128</v>
      </c>
      <c r="AQ1011" s="986">
        <v>8000.0</v>
      </c>
      <c r="AR1011" s="990">
        <v>-0.3083419510898271</v>
      </c>
      <c r="AS1011" s="624"/>
      <c r="AT1011" s="624"/>
      <c r="AU1011" s="624"/>
      <c r="AV1011" s="624"/>
      <c r="AW1011" s="624"/>
      <c r="AX1011" s="624"/>
      <c r="AY1011" s="624"/>
      <c r="AZ1011" s="624"/>
      <c r="BA1011" s="624"/>
      <c r="BB1011" s="624"/>
      <c r="BC1011" s="624"/>
      <c r="BD1011" s="624"/>
      <c r="BE1011" s="624"/>
    </row>
    <row r="1012" ht="16.5" customHeight="1">
      <c r="A1012" s="711"/>
      <c r="B1012" s="711"/>
      <c r="C1012" s="711"/>
      <c r="D1012" s="711"/>
      <c r="E1012" s="711"/>
      <c r="F1012" s="711"/>
      <c r="G1012" s="711"/>
      <c r="H1012" s="711"/>
      <c r="I1012" s="711"/>
      <c r="J1012" s="711"/>
      <c r="K1012" s="741"/>
      <c r="L1012" s="741"/>
      <c r="M1012" s="788"/>
      <c r="N1012" s="741"/>
      <c r="O1012" s="741"/>
      <c r="P1012" s="741"/>
      <c r="Q1012" s="741"/>
      <c r="R1012" s="788"/>
      <c r="S1012" s="819"/>
      <c r="T1012" s="820"/>
      <c r="U1012" s="819"/>
      <c r="V1012" s="820"/>
      <c r="W1012" s="788"/>
      <c r="X1012" s="803"/>
      <c r="Y1012" s="803"/>
      <c r="Z1012" s="803"/>
      <c r="AA1012" s="711"/>
      <c r="AB1012" s="711"/>
      <c r="AC1012" s="711"/>
      <c r="AD1012" s="736"/>
      <c r="AE1012" s="736"/>
      <c r="AF1012" s="624"/>
      <c r="AG1012" s="624"/>
      <c r="AH1012" s="624"/>
      <c r="AI1012" s="624"/>
      <c r="AJ1012" s="984"/>
      <c r="AK1012" s="985">
        <v>0.9947</v>
      </c>
      <c r="AL1012" s="986">
        <v>8000.0</v>
      </c>
      <c r="AM1012" s="987">
        <v>-0.3205512218783374</v>
      </c>
      <c r="AN1012" s="988">
        <v>-0.005299999999999971</v>
      </c>
      <c r="AO1012" s="986">
        <v>8000.0</v>
      </c>
      <c r="AP1012" s="989">
        <v>-0.3143297764754128</v>
      </c>
      <c r="AQ1012" s="986">
        <v>8000.0</v>
      </c>
      <c r="AR1012" s="990">
        <v>-0.3083419510898271</v>
      </c>
      <c r="AS1012" s="624"/>
      <c r="AT1012" s="624"/>
      <c r="AU1012" s="624"/>
      <c r="AV1012" s="624"/>
      <c r="AW1012" s="624"/>
      <c r="AX1012" s="624"/>
      <c r="AY1012" s="624"/>
      <c r="AZ1012" s="624"/>
      <c r="BA1012" s="624"/>
      <c r="BB1012" s="624"/>
      <c r="BC1012" s="624"/>
      <c r="BD1012" s="624"/>
      <c r="BE1012" s="624"/>
    </row>
    <row r="1013" ht="16.5" customHeight="1">
      <c r="A1013" s="711"/>
      <c r="B1013" s="711"/>
      <c r="C1013" s="711"/>
      <c r="D1013" s="711"/>
      <c r="E1013" s="711"/>
      <c r="F1013" s="711"/>
      <c r="G1013" s="711"/>
      <c r="H1013" s="711"/>
      <c r="I1013" s="711"/>
      <c r="J1013" s="711"/>
      <c r="K1013" s="741"/>
      <c r="L1013" s="741"/>
      <c r="M1013" s="788"/>
      <c r="N1013" s="741"/>
      <c r="O1013" s="741"/>
      <c r="P1013" s="741"/>
      <c r="Q1013" s="741"/>
      <c r="R1013" s="788"/>
      <c r="S1013" s="819"/>
      <c r="T1013" s="820"/>
      <c r="U1013" s="819"/>
      <c r="V1013" s="820"/>
      <c r="W1013" s="788"/>
      <c r="X1013" s="803"/>
      <c r="Y1013" s="803"/>
      <c r="Z1013" s="803"/>
      <c r="AA1013" s="711"/>
      <c r="AB1013" s="711"/>
      <c r="AC1013" s="711"/>
      <c r="AD1013" s="736"/>
      <c r="AE1013" s="736"/>
      <c r="AF1013" s="624"/>
      <c r="AG1013" s="624"/>
      <c r="AH1013" s="624"/>
      <c r="AI1013" s="624"/>
      <c r="AJ1013" s="984"/>
      <c r="AK1013" s="985">
        <v>0.9819</v>
      </c>
      <c r="AL1013" s="986">
        <v>8000.0</v>
      </c>
      <c r="AM1013" s="987">
        <v>-0.3205512218783374</v>
      </c>
      <c r="AN1013" s="988">
        <v>-0.018100000000000005</v>
      </c>
      <c r="AO1013" s="986">
        <v>8000.0</v>
      </c>
      <c r="AP1013" s="989">
        <v>-0.3143297764754128</v>
      </c>
      <c r="AQ1013" s="986">
        <v>8000.0</v>
      </c>
      <c r="AR1013" s="990">
        <v>-0.3083419510898271</v>
      </c>
      <c r="AS1013" s="624"/>
      <c r="AT1013" s="624"/>
      <c r="AU1013" s="624"/>
      <c r="AV1013" s="624"/>
      <c r="AW1013" s="624"/>
      <c r="AX1013" s="624"/>
      <c r="AY1013" s="624"/>
      <c r="AZ1013" s="624"/>
      <c r="BA1013" s="624"/>
      <c r="BB1013" s="624"/>
      <c r="BC1013" s="624"/>
      <c r="BD1013" s="624"/>
      <c r="BE1013" s="624"/>
    </row>
    <row r="1014" ht="16.5" customHeight="1">
      <c r="A1014" s="711"/>
      <c r="B1014" s="711"/>
      <c r="C1014" s="711"/>
      <c r="D1014" s="711"/>
      <c r="E1014" s="711"/>
      <c r="F1014" s="711"/>
      <c r="G1014" s="711"/>
      <c r="H1014" s="711"/>
      <c r="I1014" s="711"/>
      <c r="J1014" s="711"/>
      <c r="K1014" s="741"/>
      <c r="L1014" s="741"/>
      <c r="M1014" s="788"/>
      <c r="N1014" s="741"/>
      <c r="O1014" s="741"/>
      <c r="P1014" s="741"/>
      <c r="Q1014" s="741"/>
      <c r="R1014" s="788"/>
      <c r="S1014" s="819"/>
      <c r="T1014" s="820"/>
      <c r="U1014" s="819"/>
      <c r="V1014" s="820"/>
      <c r="W1014" s="788"/>
      <c r="X1014" s="803"/>
      <c r="Y1014" s="803"/>
      <c r="Z1014" s="803"/>
      <c r="AA1014" s="711"/>
      <c r="AB1014" s="711"/>
      <c r="AC1014" s="711"/>
      <c r="AD1014" s="736"/>
      <c r="AE1014" s="736"/>
      <c r="AF1014" s="624"/>
      <c r="AG1014" s="624"/>
      <c r="AH1014" s="624"/>
      <c r="AI1014" s="624"/>
      <c r="AJ1014" s="984"/>
      <c r="AK1014" s="985">
        <v>0.9823</v>
      </c>
      <c r="AL1014" s="986">
        <v>8000.0</v>
      </c>
      <c r="AM1014" s="987">
        <v>-0.3205512218783374</v>
      </c>
      <c r="AN1014" s="988">
        <v>-0.01770000000000005</v>
      </c>
      <c r="AO1014" s="986">
        <v>8000.0</v>
      </c>
      <c r="AP1014" s="989">
        <v>-0.3143297764754128</v>
      </c>
      <c r="AQ1014" s="986">
        <v>8000.0</v>
      </c>
      <c r="AR1014" s="990">
        <v>-0.3083419510898271</v>
      </c>
      <c r="AS1014" s="624"/>
      <c r="AT1014" s="624"/>
      <c r="AU1014" s="624"/>
      <c r="AV1014" s="624"/>
      <c r="AW1014" s="624"/>
      <c r="AX1014" s="624"/>
      <c r="AY1014" s="624"/>
      <c r="AZ1014" s="624"/>
      <c r="BA1014" s="624"/>
      <c r="BB1014" s="624"/>
      <c r="BC1014" s="624"/>
      <c r="BD1014" s="624"/>
      <c r="BE1014" s="624"/>
    </row>
    <row r="1015" ht="16.5" customHeight="1">
      <c r="A1015" s="711"/>
      <c r="B1015" s="711"/>
      <c r="C1015" s="711"/>
      <c r="D1015" s="711"/>
      <c r="E1015" s="711"/>
      <c r="F1015" s="711"/>
      <c r="G1015" s="711"/>
      <c r="H1015" s="711"/>
      <c r="I1015" s="711"/>
      <c r="J1015" s="711"/>
      <c r="K1015" s="741"/>
      <c r="L1015" s="741"/>
      <c r="M1015" s="788"/>
      <c r="N1015" s="741"/>
      <c r="O1015" s="741"/>
      <c r="P1015" s="741"/>
      <c r="Q1015" s="741"/>
      <c r="R1015" s="788"/>
      <c r="S1015" s="819"/>
      <c r="T1015" s="820"/>
      <c r="U1015" s="819"/>
      <c r="V1015" s="820"/>
      <c r="W1015" s="788"/>
      <c r="X1015" s="803"/>
      <c r="Y1015" s="803"/>
      <c r="Z1015" s="803"/>
      <c r="AA1015" s="711"/>
      <c r="AB1015" s="711"/>
      <c r="AC1015" s="711"/>
      <c r="AD1015" s="736"/>
      <c r="AE1015" s="736"/>
      <c r="AF1015" s="624"/>
      <c r="AG1015" s="624"/>
      <c r="AH1015" s="624"/>
      <c r="AI1015" s="624"/>
      <c r="AJ1015" s="984"/>
      <c r="AK1015" s="985">
        <v>1.0018</v>
      </c>
      <c r="AL1015" s="986">
        <v>7942.0</v>
      </c>
      <c r="AM1015" s="987">
        <v>-0.3186447827456018</v>
      </c>
      <c r="AN1015" s="988">
        <v>0.0018000000000000238</v>
      </c>
      <c r="AO1015" s="986">
        <v>7942.0</v>
      </c>
      <c r="AP1015" s="989">
        <v>-0.3124513178232442</v>
      </c>
      <c r="AQ1015" s="986">
        <v>7942.0</v>
      </c>
      <c r="AR1015" s="990">
        <v>-0.3064908070299024</v>
      </c>
      <c r="AS1015" s="624"/>
      <c r="AT1015" s="624"/>
      <c r="AU1015" s="624"/>
      <c r="AV1015" s="624"/>
      <c r="AW1015" s="624"/>
      <c r="AX1015" s="624"/>
      <c r="AY1015" s="624"/>
      <c r="AZ1015" s="624"/>
      <c r="BA1015" s="624"/>
      <c r="BB1015" s="624"/>
      <c r="BC1015" s="624"/>
      <c r="BD1015" s="624"/>
      <c r="BE1015" s="624"/>
    </row>
    <row r="1016" ht="16.5" customHeight="1">
      <c r="A1016" s="711"/>
      <c r="B1016" s="711"/>
      <c r="C1016" s="711"/>
      <c r="D1016" s="711"/>
      <c r="E1016" s="711"/>
      <c r="F1016" s="711"/>
      <c r="G1016" s="711"/>
      <c r="H1016" s="711"/>
      <c r="I1016" s="711"/>
      <c r="J1016" s="711"/>
      <c r="K1016" s="741"/>
      <c r="L1016" s="741"/>
      <c r="M1016" s="788"/>
      <c r="N1016" s="741"/>
      <c r="O1016" s="741"/>
      <c r="P1016" s="741"/>
      <c r="Q1016" s="741"/>
      <c r="R1016" s="788"/>
      <c r="S1016" s="819"/>
      <c r="T1016" s="820"/>
      <c r="U1016" s="819"/>
      <c r="V1016" s="820"/>
      <c r="W1016" s="788"/>
      <c r="X1016" s="803"/>
      <c r="Y1016" s="803"/>
      <c r="Z1016" s="803"/>
      <c r="AA1016" s="711"/>
      <c r="AB1016" s="711"/>
      <c r="AC1016" s="711"/>
      <c r="AD1016" s="736"/>
      <c r="AE1016" s="736"/>
      <c r="AF1016" s="624"/>
      <c r="AG1016" s="624"/>
      <c r="AH1016" s="624"/>
      <c r="AI1016" s="624"/>
      <c r="AJ1016" s="984"/>
      <c r="AK1016" s="985">
        <v>0.9877</v>
      </c>
      <c r="AL1016" s="986">
        <v>7882.0</v>
      </c>
      <c r="AM1016" s="987">
        <v>-0.3166669750837059</v>
      </c>
      <c r="AN1016" s="988">
        <v>-0.012299999999999978</v>
      </c>
      <c r="AO1016" s="986">
        <v>7882.0</v>
      </c>
      <c r="AP1016" s="989">
        <v>-0.31050266910546476</v>
      </c>
      <c r="AQ1016" s="986">
        <v>7882.0</v>
      </c>
      <c r="AR1016" s="990">
        <v>-0.30457061667310503</v>
      </c>
      <c r="AS1016" s="624"/>
      <c r="AT1016" s="624"/>
      <c r="AU1016" s="624"/>
      <c r="AV1016" s="624"/>
      <c r="AW1016" s="624"/>
      <c r="AX1016" s="624"/>
      <c r="AY1016" s="624"/>
      <c r="AZ1016" s="624"/>
      <c r="BA1016" s="624"/>
      <c r="BB1016" s="624"/>
      <c r="BC1016" s="624"/>
      <c r="BD1016" s="624"/>
      <c r="BE1016" s="624"/>
    </row>
    <row r="1017" ht="16.5" customHeight="1">
      <c r="A1017" s="711"/>
      <c r="B1017" s="711"/>
      <c r="C1017" s="711"/>
      <c r="D1017" s="711"/>
      <c r="E1017" s="711"/>
      <c r="F1017" s="711"/>
      <c r="G1017" s="711"/>
      <c r="H1017" s="711"/>
      <c r="I1017" s="711"/>
      <c r="J1017" s="711"/>
      <c r="K1017" s="741"/>
      <c r="L1017" s="741"/>
      <c r="M1017" s="788"/>
      <c r="N1017" s="741"/>
      <c r="O1017" s="741"/>
      <c r="P1017" s="741"/>
      <c r="Q1017" s="741"/>
      <c r="R1017" s="788"/>
      <c r="S1017" s="819"/>
      <c r="T1017" s="820"/>
      <c r="U1017" s="819"/>
      <c r="V1017" s="820"/>
      <c r="W1017" s="788"/>
      <c r="X1017" s="803"/>
      <c r="Y1017" s="803"/>
      <c r="Z1017" s="803"/>
      <c r="AA1017" s="711"/>
      <c r="AB1017" s="711"/>
      <c r="AC1017" s="711"/>
      <c r="AD1017" s="736"/>
      <c r="AE1017" s="736"/>
      <c r="AF1017" s="624"/>
      <c r="AG1017" s="624"/>
      <c r="AH1017" s="624"/>
      <c r="AI1017" s="624"/>
      <c r="AJ1017" s="984"/>
      <c r="AK1017" s="985">
        <v>0.9932</v>
      </c>
      <c r="AL1017" s="986">
        <v>7800.0</v>
      </c>
      <c r="AM1017" s="987">
        <v>-0.31395468336467447</v>
      </c>
      <c r="AN1017" s="988">
        <v>-0.006800000000000028</v>
      </c>
      <c r="AO1017" s="986">
        <v>7800.0</v>
      </c>
      <c r="AP1017" s="989">
        <v>-0.30783058108108274</v>
      </c>
      <c r="AQ1017" s="986">
        <v>7800.0</v>
      </c>
      <c r="AR1017" s="990">
        <v>-0.30193775544001156</v>
      </c>
      <c r="AS1017" s="624"/>
      <c r="AT1017" s="624"/>
      <c r="AU1017" s="624"/>
      <c r="AV1017" s="624"/>
      <c r="AW1017" s="624"/>
      <c r="AX1017" s="624"/>
      <c r="AY1017" s="624"/>
      <c r="AZ1017" s="624"/>
      <c r="BA1017" s="624"/>
      <c r="BB1017" s="624"/>
      <c r="BC1017" s="624"/>
      <c r="BD1017" s="624"/>
      <c r="BE1017" s="624"/>
    </row>
    <row r="1018" ht="16.5" customHeight="1">
      <c r="A1018" s="711"/>
      <c r="B1018" s="711"/>
      <c r="C1018" s="711"/>
      <c r="D1018" s="711"/>
      <c r="E1018" s="711"/>
      <c r="F1018" s="711"/>
      <c r="G1018" s="711"/>
      <c r="H1018" s="711"/>
      <c r="I1018" s="711"/>
      <c r="J1018" s="711"/>
      <c r="K1018" s="741"/>
      <c r="L1018" s="741"/>
      <c r="M1018" s="788"/>
      <c r="N1018" s="741"/>
      <c r="O1018" s="741"/>
      <c r="P1018" s="741"/>
      <c r="Q1018" s="741"/>
      <c r="R1018" s="788"/>
      <c r="S1018" s="819"/>
      <c r="T1018" s="820"/>
      <c r="U1018" s="819"/>
      <c r="V1018" s="820"/>
      <c r="W1018" s="788"/>
      <c r="X1018" s="803"/>
      <c r="Y1018" s="803"/>
      <c r="Z1018" s="803"/>
      <c r="AA1018" s="711"/>
      <c r="AB1018" s="711"/>
      <c r="AC1018" s="711"/>
      <c r="AD1018" s="736"/>
      <c r="AE1018" s="736"/>
      <c r="AF1018" s="624"/>
      <c r="AG1018" s="624"/>
      <c r="AH1018" s="624"/>
      <c r="AI1018" s="624"/>
      <c r="AJ1018" s="984"/>
      <c r="AK1018" s="985">
        <v>0.9693</v>
      </c>
      <c r="AL1018" s="986">
        <v>7557.0</v>
      </c>
      <c r="AM1018" s="987">
        <v>-0.30585365140458876</v>
      </c>
      <c r="AN1018" s="988">
        <v>-0.03069999999999995</v>
      </c>
      <c r="AO1018" s="986">
        <v>7557.0</v>
      </c>
      <c r="AP1018" s="989">
        <v>-0.29985110831598305</v>
      </c>
      <c r="AQ1018" s="986">
        <v>7557.0</v>
      </c>
      <c r="AR1018" s="990">
        <v>-0.29407681316582557</v>
      </c>
      <c r="AS1018" s="624"/>
      <c r="AT1018" s="624"/>
      <c r="AU1018" s="624"/>
      <c r="AV1018" s="624"/>
      <c r="AW1018" s="624"/>
      <c r="AX1018" s="624"/>
      <c r="AY1018" s="624"/>
      <c r="AZ1018" s="624"/>
      <c r="BA1018" s="624"/>
      <c r="BB1018" s="624"/>
      <c r="BC1018" s="624"/>
      <c r="BD1018" s="624"/>
      <c r="BE1018" s="624"/>
    </row>
    <row r="1019" ht="16.5" customHeight="1">
      <c r="A1019" s="711"/>
      <c r="B1019" s="711"/>
      <c r="C1019" s="711"/>
      <c r="D1019" s="711"/>
      <c r="E1019" s="711"/>
      <c r="F1019" s="711"/>
      <c r="G1019" s="711"/>
      <c r="H1019" s="711"/>
      <c r="I1019" s="711"/>
      <c r="J1019" s="711"/>
      <c r="K1019" s="741"/>
      <c r="L1019" s="741"/>
      <c r="M1019" s="788"/>
      <c r="N1019" s="741"/>
      <c r="O1019" s="741"/>
      <c r="P1019" s="741"/>
      <c r="Q1019" s="741"/>
      <c r="R1019" s="788"/>
      <c r="S1019" s="819"/>
      <c r="T1019" s="820"/>
      <c r="U1019" s="819"/>
      <c r="V1019" s="820"/>
      <c r="W1019" s="788"/>
      <c r="X1019" s="803"/>
      <c r="Y1019" s="803"/>
      <c r="Z1019" s="803"/>
      <c r="AA1019" s="711"/>
      <c r="AB1019" s="711"/>
      <c r="AC1019" s="711"/>
      <c r="AD1019" s="736"/>
      <c r="AE1019" s="736"/>
      <c r="AF1019" s="624"/>
      <c r="AG1019" s="624"/>
      <c r="AH1019" s="624"/>
      <c r="AI1019" s="624"/>
      <c r="AJ1019" s="984"/>
      <c r="AK1019" s="985">
        <v>0.9753</v>
      </c>
      <c r="AL1019" s="986">
        <v>7522.0</v>
      </c>
      <c r="AM1019" s="987">
        <v>-0.3046789812047638</v>
      </c>
      <c r="AN1019" s="988">
        <v>-0.024700000000000055</v>
      </c>
      <c r="AO1019" s="986">
        <v>7522.0</v>
      </c>
      <c r="AP1019" s="989">
        <v>-0.2986942474337282</v>
      </c>
      <c r="AQ1019" s="986">
        <v>7522.0</v>
      </c>
      <c r="AR1019" s="990">
        <v>-0.29293730867240353</v>
      </c>
      <c r="AS1019" s="624"/>
      <c r="AT1019" s="624"/>
      <c r="AU1019" s="624"/>
      <c r="AV1019" s="624"/>
      <c r="AW1019" s="624"/>
      <c r="AX1019" s="624"/>
      <c r="AY1019" s="624"/>
      <c r="AZ1019" s="624"/>
      <c r="BA1019" s="624"/>
      <c r="BB1019" s="624"/>
      <c r="BC1019" s="624"/>
      <c r="BD1019" s="624"/>
      <c r="BE1019" s="624"/>
    </row>
    <row r="1020" ht="16.5" customHeight="1">
      <c r="A1020" s="711"/>
      <c r="B1020" s="711"/>
      <c r="C1020" s="711"/>
      <c r="D1020" s="711"/>
      <c r="E1020" s="711"/>
      <c r="F1020" s="711"/>
      <c r="G1020" s="711"/>
      <c r="H1020" s="711"/>
      <c r="I1020" s="711"/>
      <c r="J1020" s="711"/>
      <c r="K1020" s="741"/>
      <c r="L1020" s="741"/>
      <c r="M1020" s="788"/>
      <c r="N1020" s="741"/>
      <c r="O1020" s="741"/>
      <c r="P1020" s="741"/>
      <c r="Q1020" s="741"/>
      <c r="R1020" s="788"/>
      <c r="S1020" s="819"/>
      <c r="T1020" s="820"/>
      <c r="U1020" s="819"/>
      <c r="V1020" s="820"/>
      <c r="W1020" s="788"/>
      <c r="X1020" s="803"/>
      <c r="Y1020" s="803"/>
      <c r="Z1020" s="803"/>
      <c r="AA1020" s="711"/>
      <c r="AB1020" s="711"/>
      <c r="AC1020" s="711"/>
      <c r="AD1020" s="736"/>
      <c r="AE1020" s="736"/>
      <c r="AF1020" s="624"/>
      <c r="AG1020" s="624"/>
      <c r="AH1020" s="624"/>
      <c r="AI1020" s="624"/>
      <c r="AJ1020" s="984"/>
      <c r="AK1020" s="985">
        <v>0.9785</v>
      </c>
      <c r="AL1020" s="986">
        <v>7500.0</v>
      </c>
      <c r="AM1020" s="987">
        <v>-0.30393959984400043</v>
      </c>
      <c r="AN1020" s="988">
        <v>-0.021499999999999964</v>
      </c>
      <c r="AO1020" s="986">
        <v>7500.0</v>
      </c>
      <c r="AP1020" s="989">
        <v>-0.29796609956591247</v>
      </c>
      <c r="AQ1020" s="986">
        <v>7500.0</v>
      </c>
      <c r="AR1020" s="990">
        <v>-0.2922201074240214</v>
      </c>
      <c r="AS1020" s="624"/>
      <c r="AT1020" s="624"/>
      <c r="AU1020" s="624"/>
      <c r="AV1020" s="624"/>
      <c r="AW1020" s="624"/>
      <c r="AX1020" s="624"/>
      <c r="AY1020" s="624"/>
      <c r="AZ1020" s="624"/>
      <c r="BA1020" s="624"/>
      <c r="BB1020" s="624"/>
      <c r="BC1020" s="624"/>
      <c r="BD1020" s="624"/>
      <c r="BE1020" s="624"/>
    </row>
    <row r="1021" ht="16.5" customHeight="1">
      <c r="A1021" s="711"/>
      <c r="B1021" s="711"/>
      <c r="C1021" s="711"/>
      <c r="D1021" s="711"/>
      <c r="E1021" s="711"/>
      <c r="F1021" s="711"/>
      <c r="G1021" s="711"/>
      <c r="H1021" s="711"/>
      <c r="I1021" s="711"/>
      <c r="J1021" s="711"/>
      <c r="K1021" s="741"/>
      <c r="L1021" s="741"/>
      <c r="M1021" s="788"/>
      <c r="N1021" s="741"/>
      <c r="O1021" s="741"/>
      <c r="P1021" s="741"/>
      <c r="Q1021" s="741"/>
      <c r="R1021" s="788"/>
      <c r="S1021" s="819"/>
      <c r="T1021" s="820"/>
      <c r="U1021" s="819"/>
      <c r="V1021" s="820"/>
      <c r="W1021" s="788"/>
      <c r="X1021" s="803"/>
      <c r="Y1021" s="803"/>
      <c r="Z1021" s="803"/>
      <c r="AA1021" s="711"/>
      <c r="AB1021" s="711"/>
      <c r="AC1021" s="711"/>
      <c r="AD1021" s="736"/>
      <c r="AE1021" s="736"/>
      <c r="AF1021" s="624"/>
      <c r="AG1021" s="624"/>
      <c r="AH1021" s="624"/>
      <c r="AI1021" s="624"/>
      <c r="AJ1021" s="984"/>
      <c r="AK1021" s="985">
        <v>0.9632</v>
      </c>
      <c r="AL1021" s="986">
        <v>7400.0</v>
      </c>
      <c r="AM1021" s="987">
        <v>-0.3005688538722162</v>
      </c>
      <c r="AN1021" s="988">
        <v>-0.036800000000000055</v>
      </c>
      <c r="AO1021" s="986">
        <v>7400.0</v>
      </c>
      <c r="AP1021" s="989">
        <v>-0.2946467965130658</v>
      </c>
      <c r="AQ1021" s="986">
        <v>7400.0</v>
      </c>
      <c r="AR1021" s="990">
        <v>-0.2889509220331259</v>
      </c>
      <c r="AS1021" s="624"/>
      <c r="AT1021" s="624"/>
      <c r="AU1021" s="624"/>
      <c r="AV1021" s="624"/>
      <c r="AW1021" s="624"/>
      <c r="AX1021" s="624"/>
      <c r="AY1021" s="624"/>
      <c r="AZ1021" s="624"/>
      <c r="BA1021" s="624"/>
      <c r="BB1021" s="624"/>
      <c r="BC1021" s="624"/>
      <c r="BD1021" s="624"/>
      <c r="BE1021" s="624"/>
    </row>
    <row r="1022" ht="16.5" customHeight="1">
      <c r="A1022" s="711"/>
      <c r="B1022" s="711"/>
      <c r="C1022" s="711"/>
      <c r="D1022" s="711"/>
      <c r="E1022" s="711"/>
      <c r="F1022" s="711"/>
      <c r="G1022" s="711"/>
      <c r="H1022" s="711"/>
      <c r="I1022" s="711"/>
      <c r="J1022" s="711"/>
      <c r="K1022" s="741"/>
      <c r="L1022" s="741"/>
      <c r="M1022" s="788"/>
      <c r="N1022" s="741"/>
      <c r="O1022" s="741"/>
      <c r="P1022" s="741"/>
      <c r="Q1022" s="741"/>
      <c r="R1022" s="788"/>
      <c r="S1022" s="819"/>
      <c r="T1022" s="820"/>
      <c r="U1022" s="819"/>
      <c r="V1022" s="820"/>
      <c r="W1022" s="788"/>
      <c r="X1022" s="803"/>
      <c r="Y1022" s="803"/>
      <c r="Z1022" s="803"/>
      <c r="AA1022" s="711"/>
      <c r="AB1022" s="711"/>
      <c r="AC1022" s="711"/>
      <c r="AD1022" s="736"/>
      <c r="AE1022" s="736"/>
      <c r="AF1022" s="624"/>
      <c r="AG1022" s="624"/>
      <c r="AH1022" s="624"/>
      <c r="AI1022" s="624"/>
      <c r="AJ1022" s="984"/>
      <c r="AK1022" s="985">
        <v>1.0049</v>
      </c>
      <c r="AL1022" s="986">
        <v>7339.0</v>
      </c>
      <c r="AM1022" s="987">
        <v>-0.29850468836299415</v>
      </c>
      <c r="AN1022" s="988">
        <v>0.004899999999999904</v>
      </c>
      <c r="AO1022" s="986">
        <v>7339.0</v>
      </c>
      <c r="AP1022" s="989">
        <v>-0.29261431980437924</v>
      </c>
      <c r="AQ1022" s="986">
        <v>7339.0</v>
      </c>
      <c r="AR1022" s="990">
        <v>-0.28694930846780053</v>
      </c>
      <c r="AS1022" s="624"/>
      <c r="AT1022" s="624"/>
      <c r="AU1022" s="624"/>
      <c r="AV1022" s="624"/>
      <c r="AW1022" s="624"/>
      <c r="AX1022" s="624"/>
      <c r="AY1022" s="624"/>
      <c r="AZ1022" s="624"/>
      <c r="BA1022" s="624"/>
      <c r="BB1022" s="624"/>
      <c r="BC1022" s="624"/>
      <c r="BD1022" s="624"/>
      <c r="BE1022" s="624"/>
    </row>
    <row r="1023" ht="16.5" customHeight="1">
      <c r="A1023" s="711"/>
      <c r="B1023" s="711"/>
      <c r="C1023" s="711"/>
      <c r="D1023" s="711"/>
      <c r="E1023" s="711"/>
      <c r="F1023" s="711"/>
      <c r="G1023" s="711"/>
      <c r="H1023" s="711"/>
      <c r="I1023" s="711"/>
      <c r="J1023" s="711"/>
      <c r="K1023" s="741"/>
      <c r="L1023" s="741"/>
      <c r="M1023" s="788"/>
      <c r="N1023" s="741"/>
      <c r="O1023" s="741"/>
      <c r="P1023" s="741"/>
      <c r="Q1023" s="741"/>
      <c r="R1023" s="788"/>
      <c r="S1023" s="819"/>
      <c r="T1023" s="820"/>
      <c r="U1023" s="819"/>
      <c r="V1023" s="820"/>
      <c r="W1023" s="788"/>
      <c r="X1023" s="803"/>
      <c r="Y1023" s="803"/>
      <c r="Z1023" s="803"/>
      <c r="AA1023" s="711"/>
      <c r="AB1023" s="711"/>
      <c r="AC1023" s="711"/>
      <c r="AD1023" s="736"/>
      <c r="AE1023" s="736"/>
      <c r="AF1023" s="624"/>
      <c r="AG1023" s="624"/>
      <c r="AH1023" s="624"/>
      <c r="AI1023" s="624"/>
      <c r="AJ1023" s="984"/>
      <c r="AK1023" s="985">
        <v>0.9924</v>
      </c>
      <c r="AL1023" s="986">
        <v>7330.0</v>
      </c>
      <c r="AM1023" s="987">
        <v>-0.2981996240878978</v>
      </c>
      <c r="AN1023" s="988">
        <v>-0.007600000000000051</v>
      </c>
      <c r="AO1023" s="986">
        <v>7330.0</v>
      </c>
      <c r="AP1023" s="989">
        <v>-0.29231395080972833</v>
      </c>
      <c r="AQ1023" s="986">
        <v>7330.0</v>
      </c>
      <c r="AR1023" s="990">
        <v>-0.28665351182187027</v>
      </c>
      <c r="AS1023" s="624"/>
      <c r="AT1023" s="624"/>
      <c r="AU1023" s="624"/>
      <c r="AV1023" s="624"/>
      <c r="AW1023" s="624"/>
      <c r="AX1023" s="624"/>
      <c r="AY1023" s="624"/>
      <c r="AZ1023" s="624"/>
      <c r="BA1023" s="624"/>
      <c r="BB1023" s="624"/>
      <c r="BC1023" s="624"/>
      <c r="BD1023" s="624"/>
      <c r="BE1023" s="624"/>
    </row>
    <row r="1024" ht="16.5" customHeight="1">
      <c r="A1024" s="711"/>
      <c r="B1024" s="711"/>
      <c r="C1024" s="711"/>
      <c r="D1024" s="711"/>
      <c r="E1024" s="711"/>
      <c r="F1024" s="711"/>
      <c r="G1024" s="711"/>
      <c r="H1024" s="711"/>
      <c r="I1024" s="711"/>
      <c r="J1024" s="711"/>
      <c r="K1024" s="741"/>
      <c r="L1024" s="741"/>
      <c r="M1024" s="788"/>
      <c r="N1024" s="741"/>
      <c r="O1024" s="741"/>
      <c r="P1024" s="741"/>
      <c r="Q1024" s="741"/>
      <c r="R1024" s="788"/>
      <c r="S1024" s="819"/>
      <c r="T1024" s="820"/>
      <c r="U1024" s="819"/>
      <c r="V1024" s="820"/>
      <c r="W1024" s="788"/>
      <c r="X1024" s="803"/>
      <c r="Y1024" s="803"/>
      <c r="Z1024" s="803"/>
      <c r="AA1024" s="711"/>
      <c r="AB1024" s="711"/>
      <c r="AC1024" s="711"/>
      <c r="AD1024" s="736"/>
      <c r="AE1024" s="736"/>
      <c r="AF1024" s="624"/>
      <c r="AG1024" s="624"/>
      <c r="AH1024" s="624"/>
      <c r="AI1024" s="624"/>
      <c r="AJ1024" s="984"/>
      <c r="AK1024" s="985">
        <v>0.9934</v>
      </c>
      <c r="AL1024" s="986">
        <v>7170.0</v>
      </c>
      <c r="AM1024" s="987">
        <v>-0.2927540615792119</v>
      </c>
      <c r="AN1024" s="988">
        <v>-0.00660000000000005</v>
      </c>
      <c r="AO1024" s="986">
        <v>7170.0</v>
      </c>
      <c r="AP1024" s="989">
        <v>-0.2869527184055678</v>
      </c>
      <c r="AQ1024" s="986">
        <v>7170.0</v>
      </c>
      <c r="AR1024" s="990">
        <v>-0.2813743758775791</v>
      </c>
      <c r="AS1024" s="624"/>
      <c r="AT1024" s="624"/>
      <c r="AU1024" s="624"/>
      <c r="AV1024" s="624"/>
      <c r="AW1024" s="624"/>
      <c r="AX1024" s="624"/>
      <c r="AY1024" s="624"/>
      <c r="AZ1024" s="624"/>
      <c r="BA1024" s="624"/>
      <c r="BB1024" s="624"/>
      <c r="BC1024" s="624"/>
      <c r="BD1024" s="624"/>
      <c r="BE1024" s="624"/>
    </row>
    <row r="1025" ht="16.5" customHeight="1">
      <c r="A1025" s="711"/>
      <c r="B1025" s="711"/>
      <c r="C1025" s="711"/>
      <c r="D1025" s="711"/>
      <c r="E1025" s="711"/>
      <c r="F1025" s="711"/>
      <c r="G1025" s="711"/>
      <c r="H1025" s="711"/>
      <c r="I1025" s="711"/>
      <c r="J1025" s="711"/>
      <c r="K1025" s="741"/>
      <c r="L1025" s="741"/>
      <c r="M1025" s="788"/>
      <c r="N1025" s="741"/>
      <c r="O1025" s="741"/>
      <c r="P1025" s="741"/>
      <c r="Q1025" s="741"/>
      <c r="R1025" s="788"/>
      <c r="S1025" s="819"/>
      <c r="T1025" s="820"/>
      <c r="U1025" s="819"/>
      <c r="V1025" s="820"/>
      <c r="W1025" s="788"/>
      <c r="X1025" s="803"/>
      <c r="Y1025" s="803"/>
      <c r="Z1025" s="803"/>
      <c r="AA1025" s="711"/>
      <c r="AB1025" s="711"/>
      <c r="AC1025" s="711"/>
      <c r="AD1025" s="736"/>
      <c r="AE1025" s="736"/>
      <c r="AF1025" s="624"/>
      <c r="AG1025" s="624"/>
      <c r="AH1025" s="624"/>
      <c r="AI1025" s="624"/>
      <c r="AJ1025" s="984"/>
      <c r="AK1025" s="985">
        <v>1.0037</v>
      </c>
      <c r="AL1025" s="986">
        <v>7133.0</v>
      </c>
      <c r="AM1025" s="987">
        <v>-0.29148877169461884</v>
      </c>
      <c r="AN1025" s="988">
        <v>0.0037000000000000366</v>
      </c>
      <c r="AO1025" s="986">
        <v>7133.0</v>
      </c>
      <c r="AP1025" s="989">
        <v>-0.28570716248571804</v>
      </c>
      <c r="AQ1025" s="986">
        <v>7133.0</v>
      </c>
      <c r="AR1025" s="990">
        <v>-0.2801480243038764</v>
      </c>
      <c r="AS1025" s="624"/>
      <c r="AT1025" s="624"/>
      <c r="AU1025" s="624"/>
      <c r="AV1025" s="624"/>
      <c r="AW1025" s="624"/>
      <c r="AX1025" s="624"/>
      <c r="AY1025" s="624"/>
      <c r="AZ1025" s="624"/>
      <c r="BA1025" s="624"/>
      <c r="BB1025" s="624"/>
      <c r="BC1025" s="624"/>
      <c r="BD1025" s="624"/>
      <c r="BE1025" s="624"/>
    </row>
    <row r="1026" ht="16.5" customHeight="1">
      <c r="A1026" s="711"/>
      <c r="B1026" s="711"/>
      <c r="C1026" s="711"/>
      <c r="D1026" s="711"/>
      <c r="E1026" s="711"/>
      <c r="F1026" s="711"/>
      <c r="G1026" s="711"/>
      <c r="H1026" s="711"/>
      <c r="I1026" s="711"/>
      <c r="J1026" s="711"/>
      <c r="K1026" s="741"/>
      <c r="L1026" s="741"/>
      <c r="M1026" s="788"/>
      <c r="N1026" s="741"/>
      <c r="O1026" s="741"/>
      <c r="P1026" s="741"/>
      <c r="Q1026" s="741"/>
      <c r="R1026" s="788"/>
      <c r="S1026" s="819"/>
      <c r="T1026" s="820"/>
      <c r="U1026" s="819"/>
      <c r="V1026" s="820"/>
      <c r="W1026" s="788"/>
      <c r="X1026" s="803"/>
      <c r="Y1026" s="803"/>
      <c r="Z1026" s="803"/>
      <c r="AA1026" s="711"/>
      <c r="AB1026" s="711"/>
      <c r="AC1026" s="711"/>
      <c r="AD1026" s="736"/>
      <c r="AE1026" s="736"/>
      <c r="AF1026" s="624"/>
      <c r="AG1026" s="624"/>
      <c r="AH1026" s="624"/>
      <c r="AI1026" s="624"/>
      <c r="AJ1026" s="984"/>
      <c r="AK1026" s="985">
        <v>0.9799</v>
      </c>
      <c r="AL1026" s="986">
        <v>7100.0</v>
      </c>
      <c r="AM1026" s="987">
        <v>-0.2903583602275901</v>
      </c>
      <c r="AN1026" s="988">
        <v>-0.020100000000000007</v>
      </c>
      <c r="AO1026" s="986">
        <v>7100.0</v>
      </c>
      <c r="AP1026" s="989">
        <v>-0.28459442573897065</v>
      </c>
      <c r="AQ1026" s="986">
        <v>7100.0</v>
      </c>
      <c r="AR1026" s="990">
        <v>-0.27905248573231733</v>
      </c>
      <c r="AS1026" s="624"/>
      <c r="AT1026" s="624"/>
      <c r="AU1026" s="624"/>
      <c r="AV1026" s="624"/>
      <c r="AW1026" s="624"/>
      <c r="AX1026" s="624"/>
      <c r="AY1026" s="624"/>
      <c r="AZ1026" s="624"/>
      <c r="BA1026" s="624"/>
      <c r="BB1026" s="624"/>
      <c r="BC1026" s="624"/>
      <c r="BD1026" s="624"/>
      <c r="BE1026" s="624"/>
    </row>
    <row r="1027" ht="16.5" customHeight="1">
      <c r="A1027" s="711"/>
      <c r="B1027" s="711"/>
      <c r="C1027" s="711"/>
      <c r="D1027" s="711"/>
      <c r="E1027" s="711"/>
      <c r="F1027" s="711"/>
      <c r="G1027" s="711"/>
      <c r="H1027" s="711"/>
      <c r="I1027" s="711"/>
      <c r="J1027" s="711"/>
      <c r="K1027" s="741"/>
      <c r="L1027" s="741"/>
      <c r="M1027" s="788"/>
      <c r="N1027" s="741"/>
      <c r="O1027" s="741"/>
      <c r="P1027" s="741"/>
      <c r="Q1027" s="741"/>
      <c r="R1027" s="788"/>
      <c r="S1027" s="819"/>
      <c r="T1027" s="820"/>
      <c r="U1027" s="819"/>
      <c r="V1027" s="820"/>
      <c r="W1027" s="788"/>
      <c r="X1027" s="803"/>
      <c r="Y1027" s="803"/>
      <c r="Z1027" s="803"/>
      <c r="AA1027" s="711"/>
      <c r="AB1027" s="711"/>
      <c r="AC1027" s="711"/>
      <c r="AD1027" s="736"/>
      <c r="AE1027" s="736"/>
      <c r="AF1027" s="624"/>
      <c r="AG1027" s="624"/>
      <c r="AH1027" s="624"/>
      <c r="AI1027" s="624"/>
      <c r="AJ1027" s="984"/>
      <c r="AK1027" s="985">
        <v>1.0194</v>
      </c>
      <c r="AL1027" s="986">
        <v>7080.0</v>
      </c>
      <c r="AM1027" s="987">
        <v>-0.28967238479545776</v>
      </c>
      <c r="AN1027" s="988">
        <v>0.019400000000000084</v>
      </c>
      <c r="AO1027" s="986">
        <v>7080.0</v>
      </c>
      <c r="AP1027" s="989">
        <v>-0.2839191963655143</v>
      </c>
      <c r="AQ1027" s="986">
        <v>7080.0</v>
      </c>
      <c r="AR1027" s="990">
        <v>-0.2783877116767989</v>
      </c>
      <c r="AS1027" s="624"/>
      <c r="AT1027" s="624"/>
      <c r="AU1027" s="624"/>
      <c r="AV1027" s="624"/>
      <c r="AW1027" s="624"/>
      <c r="AX1027" s="624"/>
      <c r="AY1027" s="624"/>
      <c r="AZ1027" s="624"/>
      <c r="BA1027" s="624"/>
      <c r="BB1027" s="624"/>
      <c r="BC1027" s="624"/>
      <c r="BD1027" s="624"/>
      <c r="BE1027" s="624"/>
    </row>
    <row r="1028" ht="16.5" customHeight="1">
      <c r="A1028" s="711"/>
      <c r="B1028" s="711"/>
      <c r="C1028" s="711"/>
      <c r="D1028" s="711"/>
      <c r="E1028" s="711"/>
      <c r="F1028" s="711"/>
      <c r="G1028" s="711"/>
      <c r="H1028" s="711"/>
      <c r="I1028" s="711"/>
      <c r="J1028" s="711"/>
      <c r="K1028" s="741"/>
      <c r="L1028" s="741"/>
      <c r="M1028" s="788"/>
      <c r="N1028" s="741"/>
      <c r="O1028" s="741"/>
      <c r="P1028" s="741"/>
      <c r="Q1028" s="741"/>
      <c r="R1028" s="788"/>
      <c r="S1028" s="819"/>
      <c r="T1028" s="820"/>
      <c r="U1028" s="819"/>
      <c r="V1028" s="820"/>
      <c r="W1028" s="788"/>
      <c r="X1028" s="803"/>
      <c r="Y1028" s="803"/>
      <c r="Z1028" s="803"/>
      <c r="AA1028" s="711"/>
      <c r="AB1028" s="711"/>
      <c r="AC1028" s="711"/>
      <c r="AD1028" s="736"/>
      <c r="AE1028" s="736"/>
      <c r="AF1028" s="624"/>
      <c r="AG1028" s="624"/>
      <c r="AH1028" s="624"/>
      <c r="AI1028" s="624"/>
      <c r="AJ1028" s="984"/>
      <c r="AK1028" s="985">
        <v>0.9974</v>
      </c>
      <c r="AL1028" s="986">
        <v>7024.0</v>
      </c>
      <c r="AM1028" s="987">
        <v>-0.2877481238551496</v>
      </c>
      <c r="AN1028" s="988">
        <v>-0.0026000000000000467</v>
      </c>
      <c r="AO1028" s="986">
        <v>7024.0</v>
      </c>
      <c r="AP1028" s="989">
        <v>-0.282025161713347</v>
      </c>
      <c r="AQ1028" s="986">
        <v>7024.0</v>
      </c>
      <c r="AR1028" s="990">
        <v>-0.27652308147698623</v>
      </c>
      <c r="AS1028" s="624"/>
      <c r="AT1028" s="624"/>
      <c r="AU1028" s="624"/>
      <c r="AV1028" s="624"/>
      <c r="AW1028" s="624"/>
      <c r="AX1028" s="624"/>
      <c r="AY1028" s="624"/>
      <c r="AZ1028" s="624"/>
      <c r="BA1028" s="624"/>
      <c r="BB1028" s="624"/>
      <c r="BC1028" s="624"/>
      <c r="BD1028" s="624"/>
      <c r="BE1028" s="624"/>
    </row>
    <row r="1029" ht="16.5" customHeight="1">
      <c r="A1029" s="711"/>
      <c r="B1029" s="711"/>
      <c r="C1029" s="711"/>
      <c r="D1029" s="711"/>
      <c r="E1029" s="711"/>
      <c r="F1029" s="711"/>
      <c r="G1029" s="711"/>
      <c r="H1029" s="711"/>
      <c r="I1029" s="711"/>
      <c r="J1029" s="711"/>
      <c r="K1029" s="741"/>
      <c r="L1029" s="741"/>
      <c r="M1029" s="788"/>
      <c r="N1029" s="741"/>
      <c r="O1029" s="741"/>
      <c r="P1029" s="741"/>
      <c r="Q1029" s="741"/>
      <c r="R1029" s="788"/>
      <c r="S1029" s="819"/>
      <c r="T1029" s="820"/>
      <c r="U1029" s="819"/>
      <c r="V1029" s="820"/>
      <c r="W1029" s="788"/>
      <c r="X1029" s="803"/>
      <c r="Y1029" s="803"/>
      <c r="Z1029" s="803"/>
      <c r="AA1029" s="711"/>
      <c r="AB1029" s="711"/>
      <c r="AC1029" s="711"/>
      <c r="AD1029" s="736"/>
      <c r="AE1029" s="736"/>
      <c r="AF1029" s="624"/>
      <c r="AG1029" s="624"/>
      <c r="AH1029" s="624"/>
      <c r="AI1029" s="624"/>
      <c r="AJ1029" s="984"/>
      <c r="AK1029" s="985">
        <v>1.0169</v>
      </c>
      <c r="AL1029" s="986">
        <v>6968.0</v>
      </c>
      <c r="AM1029" s="987">
        <v>-0.28581865013683994</v>
      </c>
      <c r="AN1029" s="988">
        <v>0.016899999999999915</v>
      </c>
      <c r="AO1029" s="986">
        <v>6968.0</v>
      </c>
      <c r="AP1029" s="989">
        <v>-0.28012611733707404</v>
      </c>
      <c r="AQ1029" s="986">
        <v>6968.0</v>
      </c>
      <c r="AR1029" s="990">
        <v>-0.27465363311395996</v>
      </c>
      <c r="AS1029" s="624"/>
      <c r="AT1029" s="624"/>
      <c r="AU1029" s="624"/>
      <c r="AV1029" s="624"/>
      <c r="AW1029" s="624"/>
      <c r="AX1029" s="624"/>
      <c r="AY1029" s="624"/>
      <c r="AZ1029" s="624"/>
      <c r="BA1029" s="624"/>
      <c r="BB1029" s="624"/>
      <c r="BC1029" s="624"/>
      <c r="BD1029" s="624"/>
      <c r="BE1029" s="624"/>
    </row>
    <row r="1030" ht="16.5" customHeight="1">
      <c r="A1030" s="711"/>
      <c r="B1030" s="711"/>
      <c r="C1030" s="711"/>
      <c r="D1030" s="711"/>
      <c r="E1030" s="711"/>
      <c r="F1030" s="711"/>
      <c r="G1030" s="711"/>
      <c r="H1030" s="711"/>
      <c r="I1030" s="711"/>
      <c r="J1030" s="711"/>
      <c r="K1030" s="741"/>
      <c r="L1030" s="741"/>
      <c r="M1030" s="788"/>
      <c r="N1030" s="741"/>
      <c r="O1030" s="741"/>
      <c r="P1030" s="741"/>
      <c r="Q1030" s="741"/>
      <c r="R1030" s="788"/>
      <c r="S1030" s="819"/>
      <c r="T1030" s="820"/>
      <c r="U1030" s="819"/>
      <c r="V1030" s="820"/>
      <c r="W1030" s="788"/>
      <c r="X1030" s="803"/>
      <c r="Y1030" s="803"/>
      <c r="Z1030" s="803"/>
      <c r="AA1030" s="711"/>
      <c r="AB1030" s="711"/>
      <c r="AC1030" s="711"/>
      <c r="AD1030" s="736"/>
      <c r="AE1030" s="736"/>
      <c r="AF1030" s="624"/>
      <c r="AG1030" s="624"/>
      <c r="AH1030" s="624"/>
      <c r="AI1030" s="624"/>
      <c r="AJ1030" s="984"/>
      <c r="AK1030" s="985">
        <v>0.9372</v>
      </c>
      <c r="AL1030" s="986">
        <v>6950.0</v>
      </c>
      <c r="AM1030" s="987">
        <v>-0.2851973527859555</v>
      </c>
      <c r="AN1030" s="988">
        <v>-0.06279999999999997</v>
      </c>
      <c r="AO1030" s="986">
        <v>6950.0</v>
      </c>
      <c r="AP1030" s="989">
        <v>-0.2795146441121593</v>
      </c>
      <c r="AQ1030" s="986">
        <v>6950.0</v>
      </c>
      <c r="AR1030" s="990">
        <v>-0.2740517137070624</v>
      </c>
      <c r="AS1030" s="624"/>
      <c r="AT1030" s="624"/>
      <c r="AU1030" s="624"/>
      <c r="AV1030" s="624"/>
      <c r="AW1030" s="624"/>
      <c r="AX1030" s="624"/>
      <c r="AY1030" s="624"/>
      <c r="AZ1030" s="624"/>
      <c r="BA1030" s="624"/>
      <c r="BB1030" s="624"/>
      <c r="BC1030" s="624"/>
      <c r="BD1030" s="624"/>
      <c r="BE1030" s="624"/>
    </row>
    <row r="1031" ht="16.5" customHeight="1">
      <c r="A1031" s="711"/>
      <c r="B1031" s="711"/>
      <c r="C1031" s="711"/>
      <c r="D1031" s="711"/>
      <c r="E1031" s="711"/>
      <c r="F1031" s="711"/>
      <c r="G1031" s="711"/>
      <c r="H1031" s="711"/>
      <c r="I1031" s="711"/>
      <c r="J1031" s="711"/>
      <c r="K1031" s="741"/>
      <c r="L1031" s="741"/>
      <c r="M1031" s="788"/>
      <c r="N1031" s="741"/>
      <c r="O1031" s="741"/>
      <c r="P1031" s="741"/>
      <c r="Q1031" s="741"/>
      <c r="R1031" s="788"/>
      <c r="S1031" s="819"/>
      <c r="T1031" s="820"/>
      <c r="U1031" s="819"/>
      <c r="V1031" s="820"/>
      <c r="W1031" s="788"/>
      <c r="X1031" s="803"/>
      <c r="Y1031" s="803"/>
      <c r="Z1031" s="803"/>
      <c r="AA1031" s="711"/>
      <c r="AB1031" s="711"/>
      <c r="AC1031" s="711"/>
      <c r="AD1031" s="736"/>
      <c r="AE1031" s="736"/>
      <c r="AF1031" s="624"/>
      <c r="AG1031" s="624"/>
      <c r="AH1031" s="624"/>
      <c r="AI1031" s="624"/>
      <c r="AJ1031" s="984"/>
      <c r="AK1031" s="985">
        <v>0.9962</v>
      </c>
      <c r="AL1031" s="986">
        <v>6900.0</v>
      </c>
      <c r="AM1031" s="987">
        <v>-0.28346868942621073</v>
      </c>
      <c r="AN1031" s="988">
        <v>-0.0038000000000000256</v>
      </c>
      <c r="AO1031" s="986">
        <v>6900.0</v>
      </c>
      <c r="AP1031" s="989">
        <v>-0.27781338077917206</v>
      </c>
      <c r="AQ1031" s="986">
        <v>6900.0</v>
      </c>
      <c r="AR1031" s="990">
        <v>-0.272377093257823</v>
      </c>
      <c r="AS1031" s="624"/>
      <c r="AT1031" s="624"/>
      <c r="AU1031" s="624"/>
      <c r="AV1031" s="624"/>
      <c r="AW1031" s="624"/>
      <c r="AX1031" s="624"/>
      <c r="AY1031" s="624"/>
      <c r="AZ1031" s="624"/>
      <c r="BA1031" s="624"/>
      <c r="BB1031" s="624"/>
      <c r="BC1031" s="624"/>
      <c r="BD1031" s="624"/>
      <c r="BE1031" s="624"/>
    </row>
    <row r="1032" ht="16.5" customHeight="1">
      <c r="A1032" s="711"/>
      <c r="B1032" s="711"/>
      <c r="C1032" s="711"/>
      <c r="D1032" s="711"/>
      <c r="E1032" s="711"/>
      <c r="F1032" s="711"/>
      <c r="G1032" s="711"/>
      <c r="H1032" s="711"/>
      <c r="I1032" s="711"/>
      <c r="J1032" s="711"/>
      <c r="K1032" s="741"/>
      <c r="L1032" s="741"/>
      <c r="M1032" s="788"/>
      <c r="N1032" s="741"/>
      <c r="O1032" s="741"/>
      <c r="P1032" s="741"/>
      <c r="Q1032" s="741"/>
      <c r="R1032" s="788"/>
      <c r="S1032" s="819"/>
      <c r="T1032" s="820"/>
      <c r="U1032" s="819"/>
      <c r="V1032" s="820"/>
      <c r="W1032" s="788"/>
      <c r="X1032" s="803"/>
      <c r="Y1032" s="803"/>
      <c r="Z1032" s="803"/>
      <c r="AA1032" s="711"/>
      <c r="AB1032" s="711"/>
      <c r="AC1032" s="711"/>
      <c r="AD1032" s="736"/>
      <c r="AE1032" s="736"/>
      <c r="AF1032" s="624"/>
      <c r="AG1032" s="624"/>
      <c r="AH1032" s="624"/>
      <c r="AI1032" s="624"/>
      <c r="AJ1032" s="984"/>
      <c r="AK1032" s="985">
        <v>0.9873</v>
      </c>
      <c r="AL1032" s="986">
        <v>6900.0</v>
      </c>
      <c r="AM1032" s="987">
        <v>-0.28346868942621073</v>
      </c>
      <c r="AN1032" s="988">
        <v>-0.012700000000000045</v>
      </c>
      <c r="AO1032" s="986">
        <v>6900.0</v>
      </c>
      <c r="AP1032" s="989">
        <v>-0.27781338077917206</v>
      </c>
      <c r="AQ1032" s="986">
        <v>6900.0</v>
      </c>
      <c r="AR1032" s="990">
        <v>-0.272377093257823</v>
      </c>
      <c r="AS1032" s="624"/>
      <c r="AT1032" s="624"/>
      <c r="AU1032" s="624"/>
      <c r="AV1032" s="624"/>
      <c r="AW1032" s="624"/>
      <c r="AX1032" s="624"/>
      <c r="AY1032" s="624"/>
      <c r="AZ1032" s="624"/>
      <c r="BA1032" s="624"/>
      <c r="BB1032" s="624"/>
      <c r="BC1032" s="624"/>
      <c r="BD1032" s="624"/>
      <c r="BE1032" s="624"/>
    </row>
    <row r="1033" ht="16.5" customHeight="1">
      <c r="A1033" s="711"/>
      <c r="B1033" s="711"/>
      <c r="C1033" s="711"/>
      <c r="D1033" s="711"/>
      <c r="E1033" s="711"/>
      <c r="F1033" s="711"/>
      <c r="G1033" s="711"/>
      <c r="H1033" s="711"/>
      <c r="I1033" s="711"/>
      <c r="J1033" s="711"/>
      <c r="K1033" s="741"/>
      <c r="L1033" s="741"/>
      <c r="M1033" s="788"/>
      <c r="N1033" s="741"/>
      <c r="O1033" s="741"/>
      <c r="P1033" s="741"/>
      <c r="Q1033" s="741"/>
      <c r="R1033" s="788"/>
      <c r="S1033" s="819"/>
      <c r="T1033" s="820"/>
      <c r="U1033" s="819"/>
      <c r="V1033" s="820"/>
      <c r="W1033" s="788"/>
      <c r="X1033" s="803"/>
      <c r="Y1033" s="803"/>
      <c r="Z1033" s="803"/>
      <c r="AA1033" s="711"/>
      <c r="AB1033" s="711"/>
      <c r="AC1033" s="711"/>
      <c r="AD1033" s="736"/>
      <c r="AE1033" s="736"/>
      <c r="AF1033" s="624"/>
      <c r="AG1033" s="624"/>
      <c r="AH1033" s="624"/>
      <c r="AI1033" s="624"/>
      <c r="AJ1033" s="984"/>
      <c r="AK1033" s="985">
        <v>0.9877</v>
      </c>
      <c r="AL1033" s="986">
        <v>6832.0</v>
      </c>
      <c r="AM1033" s="987">
        <v>-0.28111099634432524</v>
      </c>
      <c r="AN1033" s="988">
        <v>-0.012299999999999978</v>
      </c>
      <c r="AO1033" s="986">
        <v>6832.0</v>
      </c>
      <c r="AP1033" s="989">
        <v>-0.275493214099807</v>
      </c>
      <c r="AQ1033" s="986">
        <v>6832.0</v>
      </c>
      <c r="AR1033" s="990">
        <v>-0.270093408354915</v>
      </c>
      <c r="AS1033" s="624"/>
      <c r="AT1033" s="624"/>
      <c r="AU1033" s="624"/>
      <c r="AV1033" s="624"/>
      <c r="AW1033" s="624"/>
      <c r="AX1033" s="624"/>
      <c r="AY1033" s="624"/>
      <c r="AZ1033" s="624"/>
      <c r="BA1033" s="624"/>
      <c r="BB1033" s="624"/>
      <c r="BC1033" s="624"/>
      <c r="BD1033" s="624"/>
      <c r="BE1033" s="624"/>
    </row>
    <row r="1034" ht="16.5" customHeight="1">
      <c r="A1034" s="711"/>
      <c r="B1034" s="711"/>
      <c r="C1034" s="711"/>
      <c r="D1034" s="711"/>
      <c r="E1034" s="711"/>
      <c r="F1034" s="711"/>
      <c r="G1034" s="711"/>
      <c r="H1034" s="711"/>
      <c r="I1034" s="711"/>
      <c r="J1034" s="711"/>
      <c r="K1034" s="741"/>
      <c r="L1034" s="741"/>
      <c r="M1034" s="788"/>
      <c r="N1034" s="741"/>
      <c r="O1034" s="741"/>
      <c r="P1034" s="741"/>
      <c r="Q1034" s="741"/>
      <c r="R1034" s="788"/>
      <c r="S1034" s="819"/>
      <c r="T1034" s="820"/>
      <c r="U1034" s="819"/>
      <c r="V1034" s="820"/>
      <c r="W1034" s="788"/>
      <c r="X1034" s="803"/>
      <c r="Y1034" s="803"/>
      <c r="Z1034" s="803"/>
      <c r="AA1034" s="711"/>
      <c r="AB1034" s="711"/>
      <c r="AC1034" s="711"/>
      <c r="AD1034" s="736"/>
      <c r="AE1034" s="736"/>
      <c r="AF1034" s="624"/>
      <c r="AG1034" s="624"/>
      <c r="AH1034" s="624"/>
      <c r="AI1034" s="624"/>
      <c r="AJ1034" s="984"/>
      <c r="AK1034" s="985">
        <v>0.9747</v>
      </c>
      <c r="AL1034" s="986">
        <v>6548.0</v>
      </c>
      <c r="AM1034" s="987">
        <v>-0.27118000828927524</v>
      </c>
      <c r="AN1034" s="988">
        <v>-0.02529999999999999</v>
      </c>
      <c r="AO1034" s="986">
        <v>6548.0</v>
      </c>
      <c r="AP1034" s="989">
        <v>-0.2657222562984427</v>
      </c>
      <c r="AQ1034" s="986">
        <v>6548.0</v>
      </c>
      <c r="AR1034" s="990">
        <v>-0.26047792947244874</v>
      </c>
      <c r="AS1034" s="624"/>
      <c r="AT1034" s="624"/>
      <c r="AU1034" s="624"/>
      <c r="AV1034" s="624"/>
      <c r="AW1034" s="624"/>
      <c r="AX1034" s="624"/>
      <c r="AY1034" s="624"/>
      <c r="AZ1034" s="624"/>
      <c r="BA1034" s="624"/>
      <c r="BB1034" s="624"/>
      <c r="BC1034" s="624"/>
      <c r="BD1034" s="624"/>
      <c r="BE1034" s="624"/>
    </row>
    <row r="1035" ht="16.5" customHeight="1">
      <c r="A1035" s="711"/>
      <c r="B1035" s="711"/>
      <c r="C1035" s="711"/>
      <c r="D1035" s="711"/>
      <c r="E1035" s="711"/>
      <c r="F1035" s="711"/>
      <c r="G1035" s="711"/>
      <c r="H1035" s="711"/>
      <c r="I1035" s="711"/>
      <c r="J1035" s="711"/>
      <c r="K1035" s="741"/>
      <c r="L1035" s="741"/>
      <c r="M1035" s="788"/>
      <c r="N1035" s="741"/>
      <c r="O1035" s="741"/>
      <c r="P1035" s="741"/>
      <c r="Q1035" s="741"/>
      <c r="R1035" s="788"/>
      <c r="S1035" s="819"/>
      <c r="T1035" s="820"/>
      <c r="U1035" s="819"/>
      <c r="V1035" s="820"/>
      <c r="W1035" s="788"/>
      <c r="X1035" s="803"/>
      <c r="Y1035" s="803"/>
      <c r="Z1035" s="803"/>
      <c r="AA1035" s="711"/>
      <c r="AB1035" s="711"/>
      <c r="AC1035" s="711"/>
      <c r="AD1035" s="736"/>
      <c r="AE1035" s="736"/>
      <c r="AF1035" s="624"/>
      <c r="AG1035" s="624"/>
      <c r="AH1035" s="624"/>
      <c r="AI1035" s="624"/>
      <c r="AJ1035" s="984"/>
      <c r="AK1035" s="985">
        <v>0.9996</v>
      </c>
      <c r="AL1035" s="986">
        <v>6548.0</v>
      </c>
      <c r="AM1035" s="987">
        <v>-0.27118000828927524</v>
      </c>
      <c r="AN1035" s="988">
        <v>-3.9999999999995595E-4</v>
      </c>
      <c r="AO1035" s="986">
        <v>6548.0</v>
      </c>
      <c r="AP1035" s="989">
        <v>-0.2657222562984427</v>
      </c>
      <c r="AQ1035" s="986">
        <v>6548.0</v>
      </c>
      <c r="AR1035" s="990">
        <v>-0.26047792947244874</v>
      </c>
      <c r="AS1035" s="624"/>
      <c r="AT1035" s="624"/>
      <c r="AU1035" s="624"/>
      <c r="AV1035" s="624"/>
      <c r="AW1035" s="624"/>
      <c r="AX1035" s="624"/>
      <c r="AY1035" s="624"/>
      <c r="AZ1035" s="624"/>
      <c r="BA1035" s="624"/>
      <c r="BB1035" s="624"/>
      <c r="BC1035" s="624"/>
      <c r="BD1035" s="624"/>
      <c r="BE1035" s="624"/>
    </row>
    <row r="1036" ht="16.5" customHeight="1">
      <c r="A1036" s="711"/>
      <c r="B1036" s="711"/>
      <c r="C1036" s="711"/>
      <c r="D1036" s="711"/>
      <c r="E1036" s="711"/>
      <c r="F1036" s="711"/>
      <c r="G1036" s="711"/>
      <c r="H1036" s="711"/>
      <c r="I1036" s="711"/>
      <c r="J1036" s="711"/>
      <c r="K1036" s="741"/>
      <c r="L1036" s="741"/>
      <c r="M1036" s="788"/>
      <c r="N1036" s="741"/>
      <c r="O1036" s="741"/>
      <c r="P1036" s="741"/>
      <c r="Q1036" s="741"/>
      <c r="R1036" s="788"/>
      <c r="S1036" s="819"/>
      <c r="T1036" s="820"/>
      <c r="U1036" s="819"/>
      <c r="V1036" s="820"/>
      <c r="W1036" s="788"/>
      <c r="X1036" s="803"/>
      <c r="Y1036" s="803"/>
      <c r="Z1036" s="803"/>
      <c r="AA1036" s="711"/>
      <c r="AB1036" s="711"/>
      <c r="AC1036" s="711"/>
      <c r="AD1036" s="736"/>
      <c r="AE1036" s="736"/>
      <c r="AF1036" s="624"/>
      <c r="AG1036" s="624"/>
      <c r="AH1036" s="624"/>
      <c r="AI1036" s="624"/>
      <c r="AJ1036" s="984"/>
      <c r="AK1036" s="985">
        <v>0.9896</v>
      </c>
      <c r="AL1036" s="986">
        <v>6500.0</v>
      </c>
      <c r="AM1036" s="987">
        <v>-0.26948802996133936</v>
      </c>
      <c r="AN1036" s="988">
        <v>-0.010399999999999965</v>
      </c>
      <c r="AO1036" s="986">
        <v>6500.0</v>
      </c>
      <c r="AP1036" s="989">
        <v>-0.26405785713788965</v>
      </c>
      <c r="AQ1036" s="986">
        <v>6500.0</v>
      </c>
      <c r="AR1036" s="990">
        <v>-0.2588403097595965</v>
      </c>
      <c r="AS1036" s="624"/>
      <c r="AT1036" s="624"/>
      <c r="AU1036" s="624"/>
      <c r="AV1036" s="624"/>
      <c r="AW1036" s="624"/>
      <c r="AX1036" s="624"/>
      <c r="AY1036" s="624"/>
      <c r="AZ1036" s="624"/>
      <c r="BA1036" s="624"/>
      <c r="BB1036" s="624"/>
      <c r="BC1036" s="624"/>
      <c r="BD1036" s="624"/>
      <c r="BE1036" s="624"/>
    </row>
    <row r="1037" ht="16.5" customHeight="1">
      <c r="A1037" s="711"/>
      <c r="B1037" s="711"/>
      <c r="C1037" s="711"/>
      <c r="D1037" s="711"/>
      <c r="E1037" s="711"/>
      <c r="F1037" s="711"/>
      <c r="G1037" s="711"/>
      <c r="H1037" s="711"/>
      <c r="I1037" s="711"/>
      <c r="J1037" s="711"/>
      <c r="K1037" s="741"/>
      <c r="L1037" s="741"/>
      <c r="M1037" s="788"/>
      <c r="N1037" s="741"/>
      <c r="O1037" s="741"/>
      <c r="P1037" s="741"/>
      <c r="Q1037" s="741"/>
      <c r="R1037" s="788"/>
      <c r="S1037" s="819"/>
      <c r="T1037" s="820"/>
      <c r="U1037" s="819"/>
      <c r="V1037" s="820"/>
      <c r="W1037" s="788"/>
      <c r="X1037" s="803"/>
      <c r="Y1037" s="803"/>
      <c r="Z1037" s="803"/>
      <c r="AA1037" s="711"/>
      <c r="AB1037" s="711"/>
      <c r="AC1037" s="711"/>
      <c r="AD1037" s="736"/>
      <c r="AE1037" s="736"/>
      <c r="AF1037" s="624"/>
      <c r="AG1037" s="624"/>
      <c r="AH1037" s="624"/>
      <c r="AI1037" s="624"/>
      <c r="AJ1037" s="984"/>
      <c r="AK1037" s="985">
        <v>0.9919</v>
      </c>
      <c r="AL1037" s="986">
        <v>6472.0</v>
      </c>
      <c r="AM1037" s="987">
        <v>-0.268499229224598</v>
      </c>
      <c r="AN1037" s="988">
        <v>-0.008099999999999996</v>
      </c>
      <c r="AO1037" s="986">
        <v>6472.0</v>
      </c>
      <c r="AP1037" s="989">
        <v>-0.26308521591242506</v>
      </c>
      <c r="AQ1037" s="986">
        <v>6472.0</v>
      </c>
      <c r="AR1037" s="990">
        <v>-0.25788335741958057</v>
      </c>
      <c r="AS1037" s="624"/>
      <c r="AT1037" s="624"/>
      <c r="AU1037" s="624"/>
      <c r="AV1037" s="624"/>
      <c r="AW1037" s="624"/>
      <c r="AX1037" s="624"/>
      <c r="AY1037" s="624"/>
      <c r="AZ1037" s="624"/>
      <c r="BA1037" s="624"/>
      <c r="BB1037" s="624"/>
      <c r="BC1037" s="624"/>
      <c r="BD1037" s="624"/>
      <c r="BE1037" s="624"/>
    </row>
    <row r="1038" ht="16.5" customHeight="1">
      <c r="A1038" s="711"/>
      <c r="B1038" s="711"/>
      <c r="C1038" s="711"/>
      <c r="D1038" s="711"/>
      <c r="E1038" s="711"/>
      <c r="F1038" s="711"/>
      <c r="G1038" s="711"/>
      <c r="H1038" s="711"/>
      <c r="I1038" s="711"/>
      <c r="J1038" s="711"/>
      <c r="K1038" s="741"/>
      <c r="L1038" s="741"/>
      <c r="M1038" s="788"/>
      <c r="N1038" s="741"/>
      <c r="O1038" s="741"/>
      <c r="P1038" s="741"/>
      <c r="Q1038" s="741"/>
      <c r="R1038" s="788"/>
      <c r="S1038" s="819"/>
      <c r="T1038" s="820"/>
      <c r="U1038" s="819"/>
      <c r="V1038" s="820"/>
      <c r="W1038" s="788"/>
      <c r="X1038" s="803"/>
      <c r="Y1038" s="803"/>
      <c r="Z1038" s="803"/>
      <c r="AA1038" s="711"/>
      <c r="AB1038" s="711"/>
      <c r="AC1038" s="711"/>
      <c r="AD1038" s="736"/>
      <c r="AE1038" s="736"/>
      <c r="AF1038" s="624"/>
      <c r="AG1038" s="624"/>
      <c r="AH1038" s="624"/>
      <c r="AI1038" s="624"/>
      <c r="AJ1038" s="984"/>
      <c r="AK1038" s="985">
        <v>0.9944</v>
      </c>
      <c r="AL1038" s="986">
        <v>6463.0</v>
      </c>
      <c r="AM1038" s="987">
        <v>-0.26818111626123664</v>
      </c>
      <c r="AN1038" s="988">
        <v>-0.005600000000000049</v>
      </c>
      <c r="AO1038" s="986">
        <v>6463.0</v>
      </c>
      <c r="AP1038" s="989">
        <v>-0.2627723083161354</v>
      </c>
      <c r="AQ1038" s="986">
        <v>6463.0</v>
      </c>
      <c r="AR1038" s="990">
        <v>-0.2575755032706806</v>
      </c>
      <c r="AS1038" s="624"/>
      <c r="AT1038" s="624"/>
      <c r="AU1038" s="624"/>
      <c r="AV1038" s="624"/>
      <c r="AW1038" s="624"/>
      <c r="AX1038" s="624"/>
      <c r="AY1038" s="624"/>
      <c r="AZ1038" s="624"/>
      <c r="BA1038" s="624"/>
      <c r="BB1038" s="624"/>
      <c r="BC1038" s="624"/>
      <c r="BD1038" s="624"/>
      <c r="BE1038" s="624"/>
    </row>
    <row r="1039" ht="16.5" customHeight="1">
      <c r="A1039" s="711"/>
      <c r="B1039" s="711"/>
      <c r="C1039" s="711"/>
      <c r="D1039" s="711"/>
      <c r="E1039" s="711"/>
      <c r="F1039" s="711"/>
      <c r="G1039" s="711"/>
      <c r="H1039" s="711"/>
      <c r="I1039" s="711"/>
      <c r="J1039" s="711"/>
      <c r="K1039" s="741"/>
      <c r="L1039" s="741"/>
      <c r="M1039" s="788"/>
      <c r="N1039" s="741"/>
      <c r="O1039" s="741"/>
      <c r="P1039" s="741"/>
      <c r="Q1039" s="741"/>
      <c r="R1039" s="788"/>
      <c r="S1039" s="819"/>
      <c r="T1039" s="820"/>
      <c r="U1039" s="819"/>
      <c r="V1039" s="820"/>
      <c r="W1039" s="788"/>
      <c r="X1039" s="803"/>
      <c r="Y1039" s="803"/>
      <c r="Z1039" s="803"/>
      <c r="AA1039" s="711"/>
      <c r="AB1039" s="711"/>
      <c r="AC1039" s="711"/>
      <c r="AD1039" s="736"/>
      <c r="AE1039" s="736"/>
      <c r="AF1039" s="624"/>
      <c r="AG1039" s="624"/>
      <c r="AH1039" s="624"/>
      <c r="AI1039" s="624"/>
      <c r="AJ1039" s="984"/>
      <c r="AK1039" s="985">
        <v>1.0016</v>
      </c>
      <c r="AL1039" s="986">
        <v>6455.0</v>
      </c>
      <c r="AM1039" s="987">
        <v>-0.2678982330472327</v>
      </c>
      <c r="AN1039" s="988">
        <v>0.0016000000000000458</v>
      </c>
      <c r="AO1039" s="986">
        <v>6455.0</v>
      </c>
      <c r="AP1039" s="989">
        <v>-0.2624940566901931</v>
      </c>
      <c r="AQ1039" s="986">
        <v>6455.0</v>
      </c>
      <c r="AR1039" s="990">
        <v>-0.25730174792838</v>
      </c>
      <c r="AS1039" s="624"/>
      <c r="AT1039" s="624"/>
      <c r="AU1039" s="624"/>
      <c r="AV1039" s="624"/>
      <c r="AW1039" s="624"/>
      <c r="AX1039" s="624"/>
      <c r="AY1039" s="624"/>
      <c r="AZ1039" s="624"/>
      <c r="BA1039" s="624"/>
      <c r="BB1039" s="624"/>
      <c r="BC1039" s="624"/>
      <c r="BD1039" s="624"/>
      <c r="BE1039" s="624"/>
    </row>
    <row r="1040" ht="16.5" customHeight="1">
      <c r="A1040" s="711"/>
      <c r="B1040" s="711"/>
      <c r="C1040" s="711"/>
      <c r="D1040" s="711"/>
      <c r="E1040" s="711"/>
      <c r="F1040" s="711"/>
      <c r="G1040" s="711"/>
      <c r="H1040" s="711"/>
      <c r="I1040" s="711"/>
      <c r="J1040" s="711"/>
      <c r="K1040" s="741"/>
      <c r="L1040" s="741"/>
      <c r="M1040" s="788"/>
      <c r="N1040" s="741"/>
      <c r="O1040" s="741"/>
      <c r="P1040" s="741"/>
      <c r="Q1040" s="741"/>
      <c r="R1040" s="788"/>
      <c r="S1040" s="819"/>
      <c r="T1040" s="820"/>
      <c r="U1040" s="819"/>
      <c r="V1040" s="820"/>
      <c r="W1040" s="788"/>
      <c r="X1040" s="803"/>
      <c r="Y1040" s="803"/>
      <c r="Z1040" s="803"/>
      <c r="AA1040" s="711"/>
      <c r="AB1040" s="711"/>
      <c r="AC1040" s="711"/>
      <c r="AD1040" s="736"/>
      <c r="AE1040" s="736"/>
      <c r="AF1040" s="624"/>
      <c r="AG1040" s="624"/>
      <c r="AH1040" s="624"/>
      <c r="AI1040" s="624"/>
      <c r="AJ1040" s="984"/>
      <c r="AK1040" s="985">
        <v>0.9905</v>
      </c>
      <c r="AL1040" s="986">
        <v>6316.0</v>
      </c>
      <c r="AM1040" s="987">
        <v>-0.262965644794834</v>
      </c>
      <c r="AN1040" s="988">
        <v>-0.009499999999999953</v>
      </c>
      <c r="AO1040" s="986">
        <v>6316.0</v>
      </c>
      <c r="AP1040" s="989">
        <v>-0.25764263539548427</v>
      </c>
      <c r="AQ1040" s="986">
        <v>6316.0</v>
      </c>
      <c r="AR1040" s="990">
        <v>-0.252529102685765</v>
      </c>
      <c r="AS1040" s="624"/>
      <c r="AT1040" s="624"/>
      <c r="AU1040" s="624"/>
      <c r="AV1040" s="624"/>
      <c r="AW1040" s="624"/>
      <c r="AX1040" s="624"/>
      <c r="AY1040" s="624"/>
      <c r="AZ1040" s="624"/>
      <c r="BA1040" s="624"/>
      <c r="BB1040" s="624"/>
      <c r="BC1040" s="624"/>
      <c r="BD1040" s="624"/>
      <c r="BE1040" s="624"/>
    </row>
    <row r="1041" ht="16.5" customHeight="1">
      <c r="A1041" s="711"/>
      <c r="B1041" s="711"/>
      <c r="C1041" s="711"/>
      <c r="D1041" s="711"/>
      <c r="E1041" s="711"/>
      <c r="F1041" s="711"/>
      <c r="G1041" s="711"/>
      <c r="H1041" s="711"/>
      <c r="I1041" s="711"/>
      <c r="J1041" s="711"/>
      <c r="K1041" s="741"/>
      <c r="L1041" s="741"/>
      <c r="M1041" s="788"/>
      <c r="N1041" s="741"/>
      <c r="O1041" s="741"/>
      <c r="P1041" s="741"/>
      <c r="Q1041" s="741"/>
      <c r="R1041" s="788"/>
      <c r="S1041" s="819"/>
      <c r="T1041" s="820"/>
      <c r="U1041" s="819"/>
      <c r="V1041" s="820"/>
      <c r="W1041" s="788"/>
      <c r="X1041" s="803"/>
      <c r="Y1041" s="803"/>
      <c r="Z1041" s="803"/>
      <c r="AA1041" s="711"/>
      <c r="AB1041" s="711"/>
      <c r="AC1041" s="711"/>
      <c r="AD1041" s="736"/>
      <c r="AE1041" s="736"/>
      <c r="AF1041" s="624"/>
      <c r="AG1041" s="624"/>
      <c r="AH1041" s="624"/>
      <c r="AI1041" s="624"/>
      <c r="AJ1041" s="984"/>
      <c r="AK1041" s="985">
        <v>1.0182</v>
      </c>
      <c r="AL1041" s="986">
        <v>6300.0</v>
      </c>
      <c r="AM1041" s="987">
        <v>-0.26239573617817347</v>
      </c>
      <c r="AN1041" s="988">
        <v>0.018199999999999994</v>
      </c>
      <c r="AO1041" s="986">
        <v>6300.0</v>
      </c>
      <c r="AP1041" s="989">
        <v>-0.25708215421061886</v>
      </c>
      <c r="AQ1041" s="986">
        <v>6300.0</v>
      </c>
      <c r="AR1041" s="990">
        <v>-0.25197776883849365</v>
      </c>
      <c r="AS1041" s="624"/>
      <c r="AT1041" s="624"/>
      <c r="AU1041" s="624"/>
      <c r="AV1041" s="624"/>
      <c r="AW1041" s="624"/>
      <c r="AX1041" s="624"/>
      <c r="AY1041" s="624"/>
      <c r="AZ1041" s="624"/>
      <c r="BA1041" s="624"/>
      <c r="BB1041" s="624"/>
      <c r="BC1041" s="624"/>
      <c r="BD1041" s="624"/>
      <c r="BE1041" s="624"/>
    </row>
    <row r="1042" ht="16.5" customHeight="1">
      <c r="A1042" s="711"/>
      <c r="B1042" s="711"/>
      <c r="C1042" s="711"/>
      <c r="D1042" s="711"/>
      <c r="E1042" s="711"/>
      <c r="F1042" s="711"/>
      <c r="G1042" s="711"/>
      <c r="H1042" s="711"/>
      <c r="I1042" s="711"/>
      <c r="J1042" s="711"/>
      <c r="K1042" s="741"/>
      <c r="L1042" s="741"/>
      <c r="M1042" s="788"/>
      <c r="N1042" s="741"/>
      <c r="O1042" s="741"/>
      <c r="P1042" s="741"/>
      <c r="Q1042" s="741"/>
      <c r="R1042" s="788"/>
      <c r="S1042" s="819"/>
      <c r="T1042" s="820"/>
      <c r="U1042" s="819"/>
      <c r="V1042" s="820"/>
      <c r="W1042" s="788"/>
      <c r="X1042" s="803"/>
      <c r="Y1042" s="803"/>
      <c r="Z1042" s="803"/>
      <c r="AA1042" s="711"/>
      <c r="AB1042" s="711"/>
      <c r="AC1042" s="711"/>
      <c r="AD1042" s="736"/>
      <c r="AE1042" s="736"/>
      <c r="AF1042" s="624"/>
      <c r="AG1042" s="624"/>
      <c r="AH1042" s="624"/>
      <c r="AI1042" s="624"/>
      <c r="AJ1042" s="984"/>
      <c r="AK1042" s="985">
        <v>0.9514</v>
      </c>
      <c r="AL1042" s="986">
        <v>6204.0</v>
      </c>
      <c r="AM1042" s="987">
        <v>-0.2589670182759588</v>
      </c>
      <c r="AN1042" s="988">
        <v>-0.04859999999999998</v>
      </c>
      <c r="AO1042" s="986">
        <v>6204.0</v>
      </c>
      <c r="AP1042" s="989">
        <v>-0.2537103694598555</v>
      </c>
      <c r="AQ1042" s="986">
        <v>6204.0</v>
      </c>
      <c r="AR1042" s="990">
        <v>-0.2486612153185852</v>
      </c>
      <c r="AS1042" s="624"/>
      <c r="AT1042" s="624"/>
      <c r="AU1042" s="624"/>
      <c r="AV1042" s="624"/>
      <c r="AW1042" s="624"/>
      <c r="AX1042" s="624"/>
      <c r="AY1042" s="624"/>
      <c r="AZ1042" s="624"/>
      <c r="BA1042" s="624"/>
      <c r="BB1042" s="624"/>
      <c r="BC1042" s="624"/>
      <c r="BD1042" s="624"/>
      <c r="BE1042" s="624"/>
    </row>
    <row r="1043" ht="16.5" customHeight="1">
      <c r="A1043" s="711"/>
      <c r="B1043" s="711"/>
      <c r="C1043" s="711"/>
      <c r="D1043" s="711"/>
      <c r="E1043" s="711"/>
      <c r="F1043" s="711"/>
      <c r="G1043" s="711"/>
      <c r="H1043" s="711"/>
      <c r="I1043" s="711"/>
      <c r="J1043" s="711"/>
      <c r="K1043" s="741"/>
      <c r="L1043" s="741"/>
      <c r="M1043" s="788"/>
      <c r="N1043" s="741"/>
      <c r="O1043" s="741"/>
      <c r="P1043" s="741"/>
      <c r="Q1043" s="741"/>
      <c r="R1043" s="788"/>
      <c r="S1043" s="819"/>
      <c r="T1043" s="820"/>
      <c r="U1043" s="819"/>
      <c r="V1043" s="820"/>
      <c r="W1043" s="788"/>
      <c r="X1043" s="803"/>
      <c r="Y1043" s="803"/>
      <c r="Z1043" s="803"/>
      <c r="AA1043" s="711"/>
      <c r="AB1043" s="711"/>
      <c r="AC1043" s="711"/>
      <c r="AD1043" s="736"/>
      <c r="AE1043" s="736"/>
      <c r="AF1043" s="624"/>
      <c r="AG1043" s="624"/>
      <c r="AH1043" s="624"/>
      <c r="AI1043" s="624"/>
      <c r="AJ1043" s="984"/>
      <c r="AK1043" s="985">
        <v>1.0016</v>
      </c>
      <c r="AL1043" s="986">
        <v>6076.0</v>
      </c>
      <c r="AM1043" s="987">
        <v>-0.2543705888085732</v>
      </c>
      <c r="AN1043" s="988">
        <v>0.0016000000000000458</v>
      </c>
      <c r="AO1043" s="986">
        <v>6076.0</v>
      </c>
      <c r="AP1043" s="989">
        <v>-0.24919083966991284</v>
      </c>
      <c r="AQ1043" s="986">
        <v>6076.0</v>
      </c>
      <c r="AR1043" s="990">
        <v>-0.24421625854427453</v>
      </c>
      <c r="AS1043" s="624"/>
      <c r="AT1043" s="624"/>
      <c r="AU1043" s="624"/>
      <c r="AV1043" s="624"/>
      <c r="AW1043" s="624"/>
      <c r="AX1043" s="624"/>
      <c r="AY1043" s="624"/>
      <c r="AZ1043" s="624"/>
      <c r="BA1043" s="624"/>
      <c r="BB1043" s="624"/>
      <c r="BC1043" s="624"/>
      <c r="BD1043" s="624"/>
      <c r="BE1043" s="624"/>
    </row>
    <row r="1044" ht="16.5" customHeight="1">
      <c r="A1044" s="711"/>
      <c r="B1044" s="711"/>
      <c r="C1044" s="711"/>
      <c r="D1044" s="711"/>
      <c r="E1044" s="711"/>
      <c r="F1044" s="711"/>
      <c r="G1044" s="711"/>
      <c r="H1044" s="711"/>
      <c r="I1044" s="711"/>
      <c r="J1044" s="711"/>
      <c r="K1044" s="741"/>
      <c r="L1044" s="741"/>
      <c r="M1044" s="788"/>
      <c r="N1044" s="741"/>
      <c r="O1044" s="741"/>
      <c r="P1044" s="741"/>
      <c r="Q1044" s="741"/>
      <c r="R1044" s="788"/>
      <c r="S1044" s="819"/>
      <c r="T1044" s="820"/>
      <c r="U1044" s="819"/>
      <c r="V1044" s="820"/>
      <c r="W1044" s="788"/>
      <c r="X1044" s="803"/>
      <c r="Y1044" s="803"/>
      <c r="Z1044" s="803"/>
      <c r="AA1044" s="711"/>
      <c r="AB1044" s="711"/>
      <c r="AC1044" s="711"/>
      <c r="AD1044" s="736"/>
      <c r="AE1044" s="736"/>
      <c r="AF1044" s="624"/>
      <c r="AG1044" s="624"/>
      <c r="AH1044" s="624"/>
      <c r="AI1044" s="624"/>
      <c r="AJ1044" s="984"/>
      <c r="AK1044" s="985">
        <v>0.9949</v>
      </c>
      <c r="AL1044" s="986">
        <v>6053.0</v>
      </c>
      <c r="AM1044" s="987">
        <v>-0.2535416512494427</v>
      </c>
      <c r="AN1044" s="988">
        <v>-0.005099999999999993</v>
      </c>
      <c r="AO1044" s="986">
        <v>6053.0</v>
      </c>
      <c r="AP1044" s="989">
        <v>-0.24837584054336392</v>
      </c>
      <c r="AQ1044" s="986">
        <v>6053.0</v>
      </c>
      <c r="AR1044" s="990">
        <v>-0.2434147727603212</v>
      </c>
      <c r="AS1044" s="624"/>
      <c r="AT1044" s="624"/>
      <c r="AU1044" s="624"/>
      <c r="AV1044" s="624"/>
      <c r="AW1044" s="624"/>
      <c r="AX1044" s="624"/>
      <c r="AY1044" s="624"/>
      <c r="AZ1044" s="624"/>
      <c r="BA1044" s="624"/>
      <c r="BB1044" s="624"/>
      <c r="BC1044" s="624"/>
      <c r="BD1044" s="624"/>
      <c r="BE1044" s="624"/>
    </row>
    <row r="1045" ht="16.5" customHeight="1">
      <c r="A1045" s="711"/>
      <c r="B1045" s="711"/>
      <c r="C1045" s="711"/>
      <c r="D1045" s="711"/>
      <c r="E1045" s="711"/>
      <c r="F1045" s="711"/>
      <c r="G1045" s="711"/>
      <c r="H1045" s="711"/>
      <c r="I1045" s="711"/>
      <c r="J1045" s="711"/>
      <c r="K1045" s="741"/>
      <c r="L1045" s="741"/>
      <c r="M1045" s="788"/>
      <c r="N1045" s="741"/>
      <c r="O1045" s="741"/>
      <c r="P1045" s="741"/>
      <c r="Q1045" s="741"/>
      <c r="R1045" s="788"/>
      <c r="S1045" s="819"/>
      <c r="T1045" s="820"/>
      <c r="U1045" s="819"/>
      <c r="V1045" s="820"/>
      <c r="W1045" s="788"/>
      <c r="X1045" s="803"/>
      <c r="Y1045" s="803"/>
      <c r="Z1045" s="803"/>
      <c r="AA1045" s="711"/>
      <c r="AB1045" s="711"/>
      <c r="AC1045" s="711"/>
      <c r="AD1045" s="736"/>
      <c r="AE1045" s="736"/>
      <c r="AF1045" s="624"/>
      <c r="AG1045" s="624"/>
      <c r="AH1045" s="624"/>
      <c r="AI1045" s="624"/>
      <c r="AJ1045" s="984"/>
      <c r="AK1045" s="985">
        <v>0.9974</v>
      </c>
      <c r="AL1045" s="986">
        <v>6000.0</v>
      </c>
      <c r="AM1045" s="987">
        <v>-0.25162798056749336</v>
      </c>
      <c r="AN1045" s="988">
        <v>-0.0026000000000000467</v>
      </c>
      <c r="AO1045" s="986">
        <v>6000.0</v>
      </c>
      <c r="AP1045" s="989">
        <v>-0.24649442936064547</v>
      </c>
      <c r="AQ1045" s="986">
        <v>6000.0</v>
      </c>
      <c r="AR1045" s="990">
        <v>-0.24156463332341493</v>
      </c>
      <c r="AS1045" s="624"/>
      <c r="AT1045" s="624"/>
      <c r="AU1045" s="624"/>
      <c r="AV1045" s="624"/>
      <c r="AW1045" s="624"/>
      <c r="AX1045" s="624"/>
      <c r="AY1045" s="624"/>
      <c r="AZ1045" s="624"/>
      <c r="BA1045" s="624"/>
      <c r="BB1045" s="624"/>
      <c r="BC1045" s="624"/>
      <c r="BD1045" s="624"/>
      <c r="BE1045" s="624"/>
    </row>
    <row r="1046" ht="16.5" customHeight="1">
      <c r="A1046" s="711"/>
      <c r="B1046" s="711"/>
      <c r="C1046" s="711"/>
      <c r="D1046" s="711"/>
      <c r="E1046" s="711"/>
      <c r="F1046" s="711"/>
      <c r="G1046" s="711"/>
      <c r="H1046" s="711"/>
      <c r="I1046" s="711"/>
      <c r="J1046" s="711"/>
      <c r="K1046" s="741"/>
      <c r="L1046" s="741"/>
      <c r="M1046" s="788"/>
      <c r="N1046" s="741"/>
      <c r="O1046" s="741"/>
      <c r="P1046" s="741"/>
      <c r="Q1046" s="741"/>
      <c r="R1046" s="788"/>
      <c r="S1046" s="819"/>
      <c r="T1046" s="820"/>
      <c r="U1046" s="819"/>
      <c r="V1046" s="820"/>
      <c r="W1046" s="788"/>
      <c r="X1046" s="803"/>
      <c r="Y1046" s="803"/>
      <c r="Z1046" s="803"/>
      <c r="AA1046" s="711"/>
      <c r="AB1046" s="711"/>
      <c r="AC1046" s="711"/>
      <c r="AD1046" s="736"/>
      <c r="AE1046" s="736"/>
      <c r="AF1046" s="624"/>
      <c r="AG1046" s="624"/>
      <c r="AH1046" s="624"/>
      <c r="AI1046" s="624"/>
      <c r="AJ1046" s="984"/>
      <c r="AK1046" s="985">
        <v>0.9951</v>
      </c>
      <c r="AL1046" s="986">
        <v>5903.0</v>
      </c>
      <c r="AM1046" s="987">
        <v>-0.24811288710024848</v>
      </c>
      <c r="AN1046" s="988">
        <v>-0.0049000000000000155</v>
      </c>
      <c r="AO1046" s="986">
        <v>5903.0</v>
      </c>
      <c r="AP1046" s="989">
        <v>-0.24303888660724293</v>
      </c>
      <c r="AQ1046" s="986">
        <v>5903.0</v>
      </c>
      <c r="AR1046" s="990">
        <v>-0.23816680371371934</v>
      </c>
      <c r="AS1046" s="624"/>
      <c r="AT1046" s="624"/>
      <c r="AU1046" s="624"/>
      <c r="AV1046" s="624"/>
      <c r="AW1046" s="624"/>
      <c r="AX1046" s="624"/>
      <c r="AY1046" s="624"/>
      <c r="AZ1046" s="624"/>
      <c r="BA1046" s="624"/>
      <c r="BB1046" s="624"/>
      <c r="BC1046" s="624"/>
      <c r="BD1046" s="624"/>
      <c r="BE1046" s="624"/>
    </row>
    <row r="1047" ht="16.5" customHeight="1">
      <c r="A1047" s="711"/>
      <c r="B1047" s="711"/>
      <c r="C1047" s="711"/>
      <c r="D1047" s="711"/>
      <c r="E1047" s="711"/>
      <c r="F1047" s="711"/>
      <c r="G1047" s="711"/>
      <c r="H1047" s="711"/>
      <c r="I1047" s="711"/>
      <c r="J1047" s="711"/>
      <c r="K1047" s="741"/>
      <c r="L1047" s="741"/>
      <c r="M1047" s="788"/>
      <c r="N1047" s="741"/>
      <c r="O1047" s="741"/>
      <c r="P1047" s="741"/>
      <c r="Q1047" s="741"/>
      <c r="R1047" s="788"/>
      <c r="S1047" s="819"/>
      <c r="T1047" s="820"/>
      <c r="U1047" s="819"/>
      <c r="V1047" s="820"/>
      <c r="W1047" s="788"/>
      <c r="X1047" s="803"/>
      <c r="Y1047" s="803"/>
      <c r="Z1047" s="803"/>
      <c r="AA1047" s="711"/>
      <c r="AB1047" s="711"/>
      <c r="AC1047" s="711"/>
      <c r="AD1047" s="736"/>
      <c r="AE1047" s="736"/>
      <c r="AF1047" s="624"/>
      <c r="AG1047" s="624"/>
      <c r="AH1047" s="624"/>
      <c r="AI1047" s="624"/>
      <c r="AJ1047" s="984"/>
      <c r="AK1047" s="985">
        <v>0.9999</v>
      </c>
      <c r="AL1047" s="986">
        <v>5704.0</v>
      </c>
      <c r="AM1047" s="987">
        <v>-0.240849744091718</v>
      </c>
      <c r="AN1047" s="988">
        <v>-9.999999999998899E-5</v>
      </c>
      <c r="AO1047" s="986">
        <v>5704.0</v>
      </c>
      <c r="AP1047" s="989">
        <v>-0.23589999651950067</v>
      </c>
      <c r="AQ1047" s="986">
        <v>5704.0</v>
      </c>
      <c r="AR1047" s="990">
        <v>-0.2311482745731166</v>
      </c>
      <c r="AS1047" s="624"/>
      <c r="AT1047" s="624"/>
      <c r="AU1047" s="624"/>
      <c r="AV1047" s="624"/>
      <c r="AW1047" s="624"/>
      <c r="AX1047" s="624"/>
      <c r="AY1047" s="624"/>
      <c r="AZ1047" s="624"/>
      <c r="BA1047" s="624"/>
      <c r="BB1047" s="624"/>
      <c r="BC1047" s="624"/>
      <c r="BD1047" s="624"/>
      <c r="BE1047" s="624"/>
    </row>
    <row r="1048" ht="16.5" customHeight="1">
      <c r="A1048" s="711"/>
      <c r="B1048" s="711"/>
      <c r="C1048" s="711"/>
      <c r="D1048" s="711"/>
      <c r="E1048" s="711"/>
      <c r="F1048" s="711"/>
      <c r="G1048" s="711"/>
      <c r="H1048" s="711"/>
      <c r="I1048" s="711"/>
      <c r="J1048" s="711"/>
      <c r="K1048" s="741"/>
      <c r="L1048" s="741"/>
      <c r="M1048" s="788"/>
      <c r="N1048" s="741"/>
      <c r="O1048" s="741"/>
      <c r="P1048" s="741"/>
      <c r="Q1048" s="741"/>
      <c r="R1048" s="788"/>
      <c r="S1048" s="819"/>
      <c r="T1048" s="820"/>
      <c r="U1048" s="819"/>
      <c r="V1048" s="820"/>
      <c r="W1048" s="788"/>
      <c r="X1048" s="803"/>
      <c r="Y1048" s="803"/>
      <c r="Z1048" s="803"/>
      <c r="AA1048" s="711"/>
      <c r="AB1048" s="711"/>
      <c r="AC1048" s="711"/>
      <c r="AD1048" s="736"/>
      <c r="AE1048" s="736"/>
      <c r="AF1048" s="624"/>
      <c r="AG1048" s="624"/>
      <c r="AH1048" s="624"/>
      <c r="AI1048" s="624"/>
      <c r="AJ1048" s="984"/>
      <c r="AK1048" s="985">
        <v>1.0127</v>
      </c>
      <c r="AL1048" s="986">
        <v>5650.0</v>
      </c>
      <c r="AM1048" s="987">
        <v>-0.238866766752163</v>
      </c>
      <c r="AN1048" s="988">
        <v>0.012699999999999934</v>
      </c>
      <c r="AO1048" s="986">
        <v>5650.0</v>
      </c>
      <c r="AP1048" s="989">
        <v>-0.2339512231831481</v>
      </c>
      <c r="AQ1048" s="986">
        <v>5650.0</v>
      </c>
      <c r="AR1048" s="990">
        <v>-0.22923262045410864</v>
      </c>
      <c r="AS1048" s="624"/>
      <c r="AT1048" s="624"/>
      <c r="AU1048" s="624"/>
      <c r="AV1048" s="624"/>
      <c r="AW1048" s="624"/>
      <c r="AX1048" s="624"/>
      <c r="AY1048" s="624"/>
      <c r="AZ1048" s="624"/>
      <c r="BA1048" s="624"/>
      <c r="BB1048" s="624"/>
      <c r="BC1048" s="624"/>
      <c r="BD1048" s="624"/>
      <c r="BE1048" s="624"/>
    </row>
    <row r="1049" ht="16.5" customHeight="1">
      <c r="A1049" s="711"/>
      <c r="B1049" s="711"/>
      <c r="C1049" s="711"/>
      <c r="D1049" s="711"/>
      <c r="E1049" s="711"/>
      <c r="F1049" s="711"/>
      <c r="G1049" s="711"/>
      <c r="H1049" s="711"/>
      <c r="I1049" s="711"/>
      <c r="J1049" s="711"/>
      <c r="K1049" s="741"/>
      <c r="L1049" s="741"/>
      <c r="M1049" s="788"/>
      <c r="N1049" s="741"/>
      <c r="O1049" s="741"/>
      <c r="P1049" s="741"/>
      <c r="Q1049" s="741"/>
      <c r="R1049" s="788"/>
      <c r="S1049" s="819"/>
      <c r="T1049" s="820"/>
      <c r="U1049" s="819"/>
      <c r="V1049" s="820"/>
      <c r="W1049" s="788"/>
      <c r="X1049" s="803"/>
      <c r="Y1049" s="803"/>
      <c r="Z1049" s="803"/>
      <c r="AA1049" s="711"/>
      <c r="AB1049" s="711"/>
      <c r="AC1049" s="711"/>
      <c r="AD1049" s="736"/>
      <c r="AE1049" s="736"/>
      <c r="AF1049" s="624"/>
      <c r="AG1049" s="624"/>
      <c r="AH1049" s="624"/>
      <c r="AI1049" s="624"/>
      <c r="AJ1049" s="984"/>
      <c r="AK1049" s="985">
        <v>1.0049</v>
      </c>
      <c r="AL1049" s="986">
        <v>5579.0</v>
      </c>
      <c r="AM1049" s="987">
        <v>-0.23625163420652107</v>
      </c>
      <c r="AN1049" s="988">
        <v>0.004899999999999904</v>
      </c>
      <c r="AO1049" s="986">
        <v>5579.0</v>
      </c>
      <c r="AP1049" s="989">
        <v>-0.23138138159785437</v>
      </c>
      <c r="AQ1049" s="986">
        <v>5579.0</v>
      </c>
      <c r="AR1049" s="990">
        <v>-0.22670662469847958</v>
      </c>
      <c r="AS1049" s="624"/>
      <c r="AT1049" s="624"/>
      <c r="AU1049" s="624"/>
      <c r="AV1049" s="624"/>
      <c r="AW1049" s="624"/>
      <c r="AX1049" s="624"/>
      <c r="AY1049" s="624"/>
      <c r="AZ1049" s="624"/>
      <c r="BA1049" s="624"/>
      <c r="BB1049" s="624"/>
      <c r="BC1049" s="624"/>
      <c r="BD1049" s="624"/>
      <c r="BE1049" s="624"/>
    </row>
    <row r="1050" ht="16.5" customHeight="1">
      <c r="A1050" s="711"/>
      <c r="B1050" s="711"/>
      <c r="C1050" s="711"/>
      <c r="D1050" s="711"/>
      <c r="E1050" s="711"/>
      <c r="F1050" s="711"/>
      <c r="G1050" s="711"/>
      <c r="H1050" s="711"/>
      <c r="I1050" s="711"/>
      <c r="J1050" s="711"/>
      <c r="K1050" s="741"/>
      <c r="L1050" s="741"/>
      <c r="M1050" s="788"/>
      <c r="N1050" s="741"/>
      <c r="O1050" s="741"/>
      <c r="P1050" s="741"/>
      <c r="Q1050" s="741"/>
      <c r="R1050" s="788"/>
      <c r="S1050" s="819"/>
      <c r="T1050" s="820"/>
      <c r="U1050" s="819"/>
      <c r="V1050" s="820"/>
      <c r="W1050" s="788"/>
      <c r="X1050" s="803"/>
      <c r="Y1050" s="803"/>
      <c r="Z1050" s="803"/>
      <c r="AA1050" s="711"/>
      <c r="AB1050" s="711"/>
      <c r="AC1050" s="711"/>
      <c r="AD1050" s="736"/>
      <c r="AE1050" s="736"/>
      <c r="AF1050" s="624"/>
      <c r="AG1050" s="624"/>
      <c r="AH1050" s="624"/>
      <c r="AI1050" s="624"/>
      <c r="AJ1050" s="984"/>
      <c r="AK1050" s="985">
        <v>1.0025</v>
      </c>
      <c r="AL1050" s="986">
        <v>5500.0</v>
      </c>
      <c r="AM1050" s="987">
        <v>-0.23333127663897402</v>
      </c>
      <c r="AN1050" s="988">
        <v>0.0024999999999999467</v>
      </c>
      <c r="AO1050" s="986">
        <v>5500.0</v>
      </c>
      <c r="AP1050" s="989">
        <v>-0.22851184635730337</v>
      </c>
      <c r="AQ1050" s="986">
        <v>5500.0</v>
      </c>
      <c r="AR1050" s="990">
        <v>-0.22388627848977383</v>
      </c>
      <c r="AS1050" s="624"/>
      <c r="AT1050" s="624"/>
      <c r="AU1050" s="624"/>
      <c r="AV1050" s="624"/>
      <c r="AW1050" s="624"/>
      <c r="AX1050" s="624"/>
      <c r="AY1050" s="624"/>
      <c r="AZ1050" s="624"/>
      <c r="BA1050" s="624"/>
      <c r="BB1050" s="624"/>
      <c r="BC1050" s="624"/>
      <c r="BD1050" s="624"/>
      <c r="BE1050" s="624"/>
    </row>
    <row r="1051" ht="16.5" customHeight="1">
      <c r="A1051" s="711"/>
      <c r="B1051" s="711"/>
      <c r="C1051" s="711"/>
      <c r="D1051" s="711"/>
      <c r="E1051" s="711"/>
      <c r="F1051" s="711"/>
      <c r="G1051" s="711"/>
      <c r="H1051" s="711"/>
      <c r="I1051" s="711"/>
      <c r="J1051" s="711"/>
      <c r="K1051" s="741"/>
      <c r="L1051" s="741"/>
      <c r="M1051" s="788"/>
      <c r="N1051" s="741"/>
      <c r="O1051" s="741"/>
      <c r="P1051" s="741"/>
      <c r="Q1051" s="741"/>
      <c r="R1051" s="788"/>
      <c r="S1051" s="819"/>
      <c r="T1051" s="820"/>
      <c r="U1051" s="819"/>
      <c r="V1051" s="820"/>
      <c r="W1051" s="788"/>
      <c r="X1051" s="803"/>
      <c r="Y1051" s="803"/>
      <c r="Z1051" s="803"/>
      <c r="AA1051" s="711"/>
      <c r="AB1051" s="711"/>
      <c r="AC1051" s="711"/>
      <c r="AD1051" s="736"/>
      <c r="AE1051" s="736"/>
      <c r="AF1051" s="624"/>
      <c r="AG1051" s="624"/>
      <c r="AH1051" s="624"/>
      <c r="AI1051" s="624"/>
      <c r="AJ1051" s="984"/>
      <c r="AK1051" s="985">
        <v>1.0127</v>
      </c>
      <c r="AL1051" s="986">
        <v>5500.0</v>
      </c>
      <c r="AM1051" s="987">
        <v>-0.23333127663897402</v>
      </c>
      <c r="AN1051" s="988">
        <v>0.012699999999999934</v>
      </c>
      <c r="AO1051" s="986">
        <v>5500.0</v>
      </c>
      <c r="AP1051" s="989">
        <v>-0.22851184635730337</v>
      </c>
      <c r="AQ1051" s="986">
        <v>5500.0</v>
      </c>
      <c r="AR1051" s="990">
        <v>-0.22388627848977383</v>
      </c>
      <c r="AS1051" s="624"/>
      <c r="AT1051" s="624"/>
      <c r="AU1051" s="624"/>
      <c r="AV1051" s="624"/>
      <c r="AW1051" s="624"/>
      <c r="AX1051" s="624"/>
      <c r="AY1051" s="624"/>
      <c r="AZ1051" s="624"/>
      <c r="BA1051" s="624"/>
      <c r="BB1051" s="624"/>
      <c r="BC1051" s="624"/>
      <c r="BD1051" s="624"/>
      <c r="BE1051" s="624"/>
    </row>
    <row r="1052" ht="16.5" customHeight="1">
      <c r="A1052" s="711"/>
      <c r="B1052" s="711"/>
      <c r="C1052" s="711"/>
      <c r="D1052" s="711"/>
      <c r="E1052" s="711"/>
      <c r="F1052" s="711"/>
      <c r="G1052" s="711"/>
      <c r="H1052" s="711"/>
      <c r="I1052" s="711"/>
      <c r="J1052" s="711"/>
      <c r="K1052" s="741"/>
      <c r="L1052" s="741"/>
      <c r="M1052" s="788"/>
      <c r="N1052" s="741"/>
      <c r="O1052" s="741"/>
      <c r="P1052" s="741"/>
      <c r="Q1052" s="741"/>
      <c r="R1052" s="788"/>
      <c r="S1052" s="819"/>
      <c r="T1052" s="820"/>
      <c r="U1052" s="819"/>
      <c r="V1052" s="820"/>
      <c r="W1052" s="788"/>
      <c r="X1052" s="803"/>
      <c r="Y1052" s="803"/>
      <c r="Z1052" s="803"/>
      <c r="AA1052" s="711"/>
      <c r="AB1052" s="711"/>
      <c r="AC1052" s="711"/>
      <c r="AD1052" s="736"/>
      <c r="AE1052" s="736"/>
      <c r="AF1052" s="624"/>
      <c r="AG1052" s="624"/>
      <c r="AH1052" s="624"/>
      <c r="AI1052" s="624"/>
      <c r="AJ1052" s="984"/>
      <c r="AK1052" s="985">
        <v>1.0082</v>
      </c>
      <c r="AL1052" s="986">
        <v>5500.0</v>
      </c>
      <c r="AM1052" s="987">
        <v>-0.23333127663897402</v>
      </c>
      <c r="AN1052" s="988">
        <v>0.008199999999999985</v>
      </c>
      <c r="AO1052" s="986">
        <v>5500.0</v>
      </c>
      <c r="AP1052" s="989">
        <v>-0.22851184635730337</v>
      </c>
      <c r="AQ1052" s="986">
        <v>5500.0</v>
      </c>
      <c r="AR1052" s="990">
        <v>-0.22388627848977383</v>
      </c>
      <c r="AS1052" s="624"/>
      <c r="AT1052" s="624"/>
      <c r="AU1052" s="624"/>
      <c r="AV1052" s="624"/>
      <c r="AW1052" s="624"/>
      <c r="AX1052" s="624"/>
      <c r="AY1052" s="624"/>
      <c r="AZ1052" s="624"/>
      <c r="BA1052" s="624"/>
      <c r="BB1052" s="624"/>
      <c r="BC1052" s="624"/>
      <c r="BD1052" s="624"/>
      <c r="BE1052" s="624"/>
    </row>
    <row r="1053" ht="16.5" customHeight="1">
      <c r="A1053" s="711"/>
      <c r="B1053" s="711"/>
      <c r="C1053" s="711"/>
      <c r="D1053" s="711"/>
      <c r="E1053" s="711"/>
      <c r="F1053" s="711"/>
      <c r="G1053" s="711"/>
      <c r="H1053" s="711"/>
      <c r="I1053" s="711"/>
      <c r="J1053" s="711"/>
      <c r="K1053" s="741"/>
      <c r="L1053" s="741"/>
      <c r="M1053" s="788"/>
      <c r="N1053" s="741"/>
      <c r="O1053" s="741"/>
      <c r="P1053" s="741"/>
      <c r="Q1053" s="741"/>
      <c r="R1053" s="788"/>
      <c r="S1053" s="819"/>
      <c r="T1053" s="820"/>
      <c r="U1053" s="819"/>
      <c r="V1053" s="820"/>
      <c r="W1053" s="788"/>
      <c r="X1053" s="803"/>
      <c r="Y1053" s="803"/>
      <c r="Z1053" s="803"/>
      <c r="AA1053" s="711"/>
      <c r="AB1053" s="711"/>
      <c r="AC1053" s="711"/>
      <c r="AD1053" s="736"/>
      <c r="AE1053" s="736"/>
      <c r="AF1053" s="624"/>
      <c r="AG1053" s="624"/>
      <c r="AH1053" s="624"/>
      <c r="AI1053" s="624"/>
      <c r="AJ1053" s="984"/>
      <c r="AK1053" s="985">
        <v>0.9538</v>
      </c>
      <c r="AL1053" s="986">
        <v>5488.0</v>
      </c>
      <c r="AM1053" s="987">
        <v>-0.2328867021525235</v>
      </c>
      <c r="AN1053" s="988">
        <v>-0.04620000000000002</v>
      </c>
      <c r="AO1053" s="986">
        <v>5488.0</v>
      </c>
      <c r="AP1053" s="989">
        <v>-0.2280750313343507</v>
      </c>
      <c r="AQ1053" s="986">
        <v>5488.0</v>
      </c>
      <c r="AR1053" s="990">
        <v>-0.22345697248715934</v>
      </c>
      <c r="AS1053" s="624"/>
      <c r="AT1053" s="624"/>
      <c r="AU1053" s="624"/>
      <c r="AV1053" s="624"/>
      <c r="AW1053" s="624"/>
      <c r="AX1053" s="624"/>
      <c r="AY1053" s="624"/>
      <c r="AZ1053" s="624"/>
      <c r="BA1053" s="624"/>
      <c r="BB1053" s="624"/>
      <c r="BC1053" s="624"/>
      <c r="BD1053" s="624"/>
      <c r="BE1053" s="624"/>
    </row>
    <row r="1054" ht="16.5" customHeight="1">
      <c r="A1054" s="711"/>
      <c r="B1054" s="711"/>
      <c r="C1054" s="711"/>
      <c r="D1054" s="711"/>
      <c r="E1054" s="711"/>
      <c r="F1054" s="711"/>
      <c r="G1054" s="711"/>
      <c r="H1054" s="711"/>
      <c r="I1054" s="711"/>
      <c r="J1054" s="711"/>
      <c r="K1054" s="741"/>
      <c r="L1054" s="741"/>
      <c r="M1054" s="788"/>
      <c r="N1054" s="741"/>
      <c r="O1054" s="741"/>
      <c r="P1054" s="741"/>
      <c r="Q1054" s="741"/>
      <c r="R1054" s="788"/>
      <c r="S1054" s="819"/>
      <c r="T1054" s="820"/>
      <c r="U1054" s="819"/>
      <c r="V1054" s="820"/>
      <c r="W1054" s="788"/>
      <c r="X1054" s="803"/>
      <c r="Y1054" s="803"/>
      <c r="Z1054" s="803"/>
      <c r="AA1054" s="711"/>
      <c r="AB1054" s="711"/>
      <c r="AC1054" s="711"/>
      <c r="AD1054" s="736"/>
      <c r="AE1054" s="736"/>
      <c r="AF1054" s="624"/>
      <c r="AG1054" s="624"/>
      <c r="AH1054" s="624"/>
      <c r="AI1054" s="624"/>
      <c r="AJ1054" s="984"/>
      <c r="AK1054" s="985">
        <v>0.9992</v>
      </c>
      <c r="AL1054" s="986">
        <v>5444.0</v>
      </c>
      <c r="AM1054" s="987">
        <v>-0.23125438895089678</v>
      </c>
      <c r="AN1054" s="988">
        <v>-8.000000000000229E-4</v>
      </c>
      <c r="AO1054" s="986">
        <v>5444.0</v>
      </c>
      <c r="AP1054" s="989">
        <v>-0.22647125919267153</v>
      </c>
      <c r="AQ1054" s="986">
        <v>5444.0</v>
      </c>
      <c r="AR1054" s="990">
        <v>-0.22188081779150925</v>
      </c>
      <c r="AS1054" s="624"/>
      <c r="AT1054" s="624"/>
      <c r="AU1054" s="624"/>
      <c r="AV1054" s="624"/>
      <c r="AW1054" s="624"/>
      <c r="AX1054" s="624"/>
      <c r="AY1054" s="624"/>
      <c r="AZ1054" s="624"/>
      <c r="BA1054" s="624"/>
      <c r="BB1054" s="624"/>
      <c r="BC1054" s="624"/>
      <c r="BD1054" s="624"/>
      <c r="BE1054" s="624"/>
    </row>
    <row r="1055" ht="16.5" customHeight="1">
      <c r="A1055" s="711"/>
      <c r="B1055" s="711"/>
      <c r="C1055" s="711"/>
      <c r="D1055" s="711"/>
      <c r="E1055" s="711"/>
      <c r="F1055" s="711"/>
      <c r="G1055" s="711"/>
      <c r="H1055" s="711"/>
      <c r="I1055" s="711"/>
      <c r="J1055" s="711"/>
      <c r="K1055" s="741"/>
      <c r="L1055" s="741"/>
      <c r="M1055" s="788"/>
      <c r="N1055" s="741"/>
      <c r="O1055" s="741"/>
      <c r="P1055" s="741"/>
      <c r="Q1055" s="741"/>
      <c r="R1055" s="788"/>
      <c r="S1055" s="819"/>
      <c r="T1055" s="820"/>
      <c r="U1055" s="819"/>
      <c r="V1055" s="820"/>
      <c r="W1055" s="788"/>
      <c r="X1055" s="803"/>
      <c r="Y1055" s="803"/>
      <c r="Z1055" s="803"/>
      <c r="AA1055" s="711"/>
      <c r="AB1055" s="711"/>
      <c r="AC1055" s="711"/>
      <c r="AD1055" s="736"/>
      <c r="AE1055" s="736"/>
      <c r="AF1055" s="624"/>
      <c r="AG1055" s="624"/>
      <c r="AH1055" s="624"/>
      <c r="AI1055" s="624"/>
      <c r="AJ1055" s="984"/>
      <c r="AK1055" s="985">
        <v>0.9974</v>
      </c>
      <c r="AL1055" s="986">
        <v>5249.0</v>
      </c>
      <c r="AM1055" s="987">
        <v>-0.22397836515064884</v>
      </c>
      <c r="AN1055" s="988">
        <v>-0.0026000000000000467</v>
      </c>
      <c r="AO1055" s="986">
        <v>5249.0</v>
      </c>
      <c r="AP1055" s="989">
        <v>-0.21932343139606747</v>
      </c>
      <c r="AQ1055" s="986">
        <v>5249.0</v>
      </c>
      <c r="AR1055" s="990">
        <v>-0.21485699115684542</v>
      </c>
      <c r="AS1055" s="624"/>
      <c r="AT1055" s="624"/>
      <c r="AU1055" s="624"/>
      <c r="AV1055" s="624"/>
      <c r="AW1055" s="624"/>
      <c r="AX1055" s="624"/>
      <c r="AY1055" s="624"/>
      <c r="AZ1055" s="624"/>
      <c r="BA1055" s="624"/>
      <c r="BB1055" s="624"/>
      <c r="BC1055" s="624"/>
      <c r="BD1055" s="624"/>
      <c r="BE1055" s="624"/>
    </row>
    <row r="1056" ht="16.5" customHeight="1">
      <c r="A1056" s="711"/>
      <c r="B1056" s="711"/>
      <c r="C1056" s="711"/>
      <c r="D1056" s="711"/>
      <c r="E1056" s="711"/>
      <c r="F1056" s="711"/>
      <c r="G1056" s="711"/>
      <c r="H1056" s="711"/>
      <c r="I1056" s="711"/>
      <c r="J1056" s="711"/>
      <c r="K1056" s="741"/>
      <c r="L1056" s="741"/>
      <c r="M1056" s="788"/>
      <c r="N1056" s="741"/>
      <c r="O1056" s="741"/>
      <c r="P1056" s="741"/>
      <c r="Q1056" s="741"/>
      <c r="R1056" s="788"/>
      <c r="S1056" s="819"/>
      <c r="T1056" s="820"/>
      <c r="U1056" s="819"/>
      <c r="V1056" s="820"/>
      <c r="W1056" s="788"/>
      <c r="X1056" s="803"/>
      <c r="Y1056" s="803"/>
      <c r="Z1056" s="803"/>
      <c r="AA1056" s="711"/>
      <c r="AB1056" s="711"/>
      <c r="AC1056" s="711"/>
      <c r="AD1056" s="736"/>
      <c r="AE1056" s="736"/>
      <c r="AF1056" s="624"/>
      <c r="AG1056" s="624"/>
      <c r="AH1056" s="624"/>
      <c r="AI1056" s="624"/>
      <c r="AJ1056" s="984"/>
      <c r="AK1056" s="985">
        <v>0.9585</v>
      </c>
      <c r="AL1056" s="986">
        <v>5165.0</v>
      </c>
      <c r="AM1056" s="987">
        <v>-0.2208228937742479</v>
      </c>
      <c r="AN1056" s="988">
        <v>-0.04149999999999998</v>
      </c>
      <c r="AO1056" s="986">
        <v>5165.0</v>
      </c>
      <c r="AP1056" s="989">
        <v>-0.21622404838261</v>
      </c>
      <c r="AQ1056" s="986">
        <v>5165.0</v>
      </c>
      <c r="AR1056" s="990">
        <v>-0.21181183785418534</v>
      </c>
      <c r="AS1056" s="624"/>
      <c r="AT1056" s="624"/>
      <c r="AU1056" s="624"/>
      <c r="AV1056" s="624"/>
      <c r="AW1056" s="624"/>
      <c r="AX1056" s="624"/>
      <c r="AY1056" s="624"/>
      <c r="AZ1056" s="624"/>
      <c r="BA1056" s="624"/>
      <c r="BB1056" s="624"/>
      <c r="BC1056" s="624"/>
      <c r="BD1056" s="624"/>
      <c r="BE1056" s="624"/>
    </row>
    <row r="1057" ht="16.5" customHeight="1">
      <c r="A1057" s="711"/>
      <c r="B1057" s="711"/>
      <c r="C1057" s="711"/>
      <c r="D1057" s="711"/>
      <c r="E1057" s="711"/>
      <c r="F1057" s="711"/>
      <c r="G1057" s="711"/>
      <c r="H1057" s="711"/>
      <c r="I1057" s="711"/>
      <c r="J1057" s="711"/>
      <c r="K1057" s="741"/>
      <c r="L1057" s="741"/>
      <c r="M1057" s="788"/>
      <c r="N1057" s="741"/>
      <c r="O1057" s="741"/>
      <c r="P1057" s="741"/>
      <c r="Q1057" s="741"/>
      <c r="R1057" s="788"/>
      <c r="S1057" s="819"/>
      <c r="T1057" s="820"/>
      <c r="U1057" s="819"/>
      <c r="V1057" s="820"/>
      <c r="W1057" s="788"/>
      <c r="X1057" s="803"/>
      <c r="Y1057" s="803"/>
      <c r="Z1057" s="803"/>
      <c r="AA1057" s="711"/>
      <c r="AB1057" s="711"/>
      <c r="AC1057" s="711"/>
      <c r="AD1057" s="736"/>
      <c r="AE1057" s="736"/>
      <c r="AF1057" s="624"/>
      <c r="AG1057" s="624"/>
      <c r="AH1057" s="624"/>
      <c r="AI1057" s="624"/>
      <c r="AJ1057" s="984"/>
      <c r="AK1057" s="985">
        <v>1.0049</v>
      </c>
      <c r="AL1057" s="986">
        <v>5012.0</v>
      </c>
      <c r="AM1057" s="987">
        <v>-0.2150424223457108</v>
      </c>
      <c r="AN1057" s="988">
        <v>0.004899999999999904</v>
      </c>
      <c r="AO1057" s="986">
        <v>5012.0</v>
      </c>
      <c r="AP1057" s="989">
        <v>-0.21054709152299111</v>
      </c>
      <c r="AQ1057" s="986">
        <v>5012.0</v>
      </c>
      <c r="AR1057" s="990">
        <v>-0.20623492905287266</v>
      </c>
      <c r="AS1057" s="624"/>
      <c r="AT1057" s="624"/>
      <c r="AU1057" s="624"/>
      <c r="AV1057" s="624"/>
      <c r="AW1057" s="624"/>
      <c r="AX1057" s="624"/>
      <c r="AY1057" s="624"/>
      <c r="AZ1057" s="624"/>
      <c r="BA1057" s="624"/>
      <c r="BB1057" s="624"/>
      <c r="BC1057" s="624"/>
      <c r="BD1057" s="624"/>
      <c r="BE1057" s="624"/>
    </row>
    <row r="1058" ht="16.5" customHeight="1">
      <c r="A1058" s="711"/>
      <c r="B1058" s="711"/>
      <c r="C1058" s="711"/>
      <c r="D1058" s="711"/>
      <c r="E1058" s="711"/>
      <c r="F1058" s="711"/>
      <c r="G1058" s="711"/>
      <c r="H1058" s="711"/>
      <c r="I1058" s="711"/>
      <c r="J1058" s="711"/>
      <c r="K1058" s="741"/>
      <c r="L1058" s="741"/>
      <c r="M1058" s="788"/>
      <c r="N1058" s="741"/>
      <c r="O1058" s="741"/>
      <c r="P1058" s="741"/>
      <c r="Q1058" s="741"/>
      <c r="R1058" s="788"/>
      <c r="S1058" s="819"/>
      <c r="T1058" s="820"/>
      <c r="U1058" s="819"/>
      <c r="V1058" s="820"/>
      <c r="W1058" s="788"/>
      <c r="X1058" s="803"/>
      <c r="Y1058" s="803"/>
      <c r="Z1058" s="803"/>
      <c r="AA1058" s="711"/>
      <c r="AB1058" s="711"/>
      <c r="AC1058" s="711"/>
      <c r="AD1058" s="736"/>
      <c r="AE1058" s="736"/>
      <c r="AF1058" s="624"/>
      <c r="AG1058" s="624"/>
      <c r="AH1058" s="624"/>
      <c r="AI1058" s="624"/>
      <c r="AJ1058" s="984"/>
      <c r="AK1058" s="985">
        <v>0.997</v>
      </c>
      <c r="AL1058" s="986">
        <v>4900.0</v>
      </c>
      <c r="AM1058" s="987">
        <v>-0.21078379835615924</v>
      </c>
      <c r="AN1058" s="988">
        <v>-0.0030000000000000027</v>
      </c>
      <c r="AO1058" s="986">
        <v>4900.0</v>
      </c>
      <c r="AP1058" s="989">
        <v>-0.20636536055647614</v>
      </c>
      <c r="AQ1058" s="986">
        <v>4900.0</v>
      </c>
      <c r="AR1058" s="990">
        <v>-0.20212748633977617</v>
      </c>
      <c r="AS1058" s="624"/>
      <c r="AT1058" s="624"/>
      <c r="AU1058" s="624"/>
      <c r="AV1058" s="624"/>
      <c r="AW1058" s="624"/>
      <c r="AX1058" s="624"/>
      <c r="AY1058" s="624"/>
      <c r="AZ1058" s="624"/>
      <c r="BA1058" s="624"/>
      <c r="BB1058" s="624"/>
      <c r="BC1058" s="624"/>
      <c r="BD1058" s="624"/>
      <c r="BE1058" s="624"/>
    </row>
    <row r="1059" ht="16.5" customHeight="1">
      <c r="A1059" s="711"/>
      <c r="B1059" s="711"/>
      <c r="C1059" s="711"/>
      <c r="D1059" s="711"/>
      <c r="E1059" s="711"/>
      <c r="F1059" s="711"/>
      <c r="G1059" s="711"/>
      <c r="H1059" s="711"/>
      <c r="I1059" s="711"/>
      <c r="J1059" s="711"/>
      <c r="K1059" s="741"/>
      <c r="L1059" s="741"/>
      <c r="M1059" s="788"/>
      <c r="N1059" s="741"/>
      <c r="O1059" s="741"/>
      <c r="P1059" s="741"/>
      <c r="Q1059" s="741"/>
      <c r="R1059" s="788"/>
      <c r="S1059" s="819"/>
      <c r="T1059" s="820"/>
      <c r="U1059" s="819"/>
      <c r="V1059" s="820"/>
      <c r="W1059" s="788"/>
      <c r="X1059" s="803"/>
      <c r="Y1059" s="803"/>
      <c r="Z1059" s="803"/>
      <c r="AA1059" s="711"/>
      <c r="AB1059" s="711"/>
      <c r="AC1059" s="711"/>
      <c r="AD1059" s="736"/>
      <c r="AE1059" s="736"/>
      <c r="AF1059" s="624"/>
      <c r="AG1059" s="624"/>
      <c r="AH1059" s="624"/>
      <c r="AI1059" s="624"/>
      <c r="AJ1059" s="984"/>
      <c r="AK1059" s="985">
        <v>0.9905</v>
      </c>
      <c r="AL1059" s="986">
        <v>4828.0</v>
      </c>
      <c r="AM1059" s="987">
        <v>-0.20803391889770106</v>
      </c>
      <c r="AN1059" s="988">
        <v>-0.009499999999999953</v>
      </c>
      <c r="AO1059" s="986">
        <v>4828.0</v>
      </c>
      <c r="AP1059" s="989">
        <v>-0.2036654154127323</v>
      </c>
      <c r="AQ1059" s="986">
        <v>4828.0</v>
      </c>
      <c r="AR1059" s="990">
        <v>-0.19947577067352673</v>
      </c>
      <c r="AS1059" s="624"/>
      <c r="AT1059" s="624"/>
      <c r="AU1059" s="624"/>
      <c r="AV1059" s="624"/>
      <c r="AW1059" s="624"/>
      <c r="AX1059" s="624"/>
      <c r="AY1059" s="624"/>
      <c r="AZ1059" s="624"/>
      <c r="BA1059" s="624"/>
      <c r="BB1059" s="624"/>
      <c r="BC1059" s="624"/>
      <c r="BD1059" s="624"/>
      <c r="BE1059" s="624"/>
    </row>
    <row r="1060" ht="16.5" customHeight="1">
      <c r="A1060" s="711"/>
      <c r="B1060" s="711"/>
      <c r="C1060" s="711"/>
      <c r="D1060" s="711"/>
      <c r="E1060" s="711"/>
      <c r="F1060" s="711"/>
      <c r="G1060" s="711"/>
      <c r="H1060" s="711"/>
      <c r="I1060" s="711"/>
      <c r="J1060" s="711"/>
      <c r="K1060" s="741"/>
      <c r="L1060" s="741"/>
      <c r="M1060" s="788"/>
      <c r="N1060" s="741"/>
      <c r="O1060" s="741"/>
      <c r="P1060" s="741"/>
      <c r="Q1060" s="741"/>
      <c r="R1060" s="788"/>
      <c r="S1060" s="819"/>
      <c r="T1060" s="820"/>
      <c r="U1060" s="819"/>
      <c r="V1060" s="820"/>
      <c r="W1060" s="788"/>
      <c r="X1060" s="803"/>
      <c r="Y1060" s="803"/>
      <c r="Z1060" s="803"/>
      <c r="AA1060" s="711"/>
      <c r="AB1060" s="711"/>
      <c r="AC1060" s="711"/>
      <c r="AD1060" s="736"/>
      <c r="AE1060" s="736"/>
      <c r="AF1060" s="624"/>
      <c r="AG1060" s="624"/>
      <c r="AH1060" s="624"/>
      <c r="AI1060" s="624"/>
      <c r="AJ1060" s="984"/>
      <c r="AK1060" s="985">
        <v>0.9679</v>
      </c>
      <c r="AL1060" s="986">
        <v>4828.0</v>
      </c>
      <c r="AM1060" s="987">
        <v>-0.20803391889770106</v>
      </c>
      <c r="AN1060" s="988">
        <v>-0.03210000000000002</v>
      </c>
      <c r="AO1060" s="986">
        <v>4828.0</v>
      </c>
      <c r="AP1060" s="989">
        <v>-0.2036654154127323</v>
      </c>
      <c r="AQ1060" s="986">
        <v>4828.0</v>
      </c>
      <c r="AR1060" s="990">
        <v>-0.19947577067352673</v>
      </c>
      <c r="AS1060" s="624"/>
      <c r="AT1060" s="624"/>
      <c r="AU1060" s="624"/>
      <c r="AV1060" s="624"/>
      <c r="AW1060" s="624"/>
      <c r="AX1060" s="624"/>
      <c r="AY1060" s="624"/>
      <c r="AZ1060" s="624"/>
      <c r="BA1060" s="624"/>
      <c r="BB1060" s="624"/>
      <c r="BC1060" s="624"/>
      <c r="BD1060" s="624"/>
      <c r="BE1060" s="624"/>
    </row>
    <row r="1061" ht="16.5" customHeight="1">
      <c r="A1061" s="711"/>
      <c r="B1061" s="711"/>
      <c r="C1061" s="711"/>
      <c r="D1061" s="711"/>
      <c r="E1061" s="711"/>
      <c r="F1061" s="711"/>
      <c r="G1061" s="711"/>
      <c r="H1061" s="711"/>
      <c r="I1061" s="711"/>
      <c r="J1061" s="711"/>
      <c r="K1061" s="741"/>
      <c r="L1061" s="741"/>
      <c r="M1061" s="788"/>
      <c r="N1061" s="741"/>
      <c r="O1061" s="741"/>
      <c r="P1061" s="741"/>
      <c r="Q1061" s="741"/>
      <c r="R1061" s="788"/>
      <c r="S1061" s="819"/>
      <c r="T1061" s="820"/>
      <c r="U1061" s="819"/>
      <c r="V1061" s="820"/>
      <c r="W1061" s="788"/>
      <c r="X1061" s="803"/>
      <c r="Y1061" s="803"/>
      <c r="Z1061" s="803"/>
      <c r="AA1061" s="711"/>
      <c r="AB1061" s="711"/>
      <c r="AC1061" s="711"/>
      <c r="AD1061" s="736"/>
      <c r="AE1061" s="736"/>
      <c r="AF1061" s="624"/>
      <c r="AG1061" s="624"/>
      <c r="AH1061" s="624"/>
      <c r="AI1061" s="624"/>
      <c r="AJ1061" s="984"/>
      <c r="AK1061" s="985">
        <v>1.0025</v>
      </c>
      <c r="AL1061" s="986">
        <v>4815.0</v>
      </c>
      <c r="AM1061" s="987">
        <v>-0.20753639268339052</v>
      </c>
      <c r="AN1061" s="988">
        <v>0.0024999999999999467</v>
      </c>
      <c r="AO1061" s="986">
        <v>4815.0</v>
      </c>
      <c r="AP1061" s="989">
        <v>-0.20317694728452595</v>
      </c>
      <c r="AQ1061" s="986">
        <v>4815.0</v>
      </c>
      <c r="AR1061" s="990">
        <v>-0.19899605026557476</v>
      </c>
      <c r="AS1061" s="624"/>
      <c r="AT1061" s="624"/>
      <c r="AU1061" s="624"/>
      <c r="AV1061" s="624"/>
      <c r="AW1061" s="624"/>
      <c r="AX1061" s="624"/>
      <c r="AY1061" s="624"/>
      <c r="AZ1061" s="624"/>
      <c r="BA1061" s="624"/>
      <c r="BB1061" s="624"/>
      <c r="BC1061" s="624"/>
      <c r="BD1061" s="624"/>
      <c r="BE1061" s="624"/>
    </row>
    <row r="1062" ht="16.5" customHeight="1">
      <c r="A1062" s="711"/>
      <c r="B1062" s="711"/>
      <c r="C1062" s="711"/>
      <c r="D1062" s="711"/>
      <c r="E1062" s="711"/>
      <c r="F1062" s="711"/>
      <c r="G1062" s="711"/>
      <c r="H1062" s="711"/>
      <c r="I1062" s="711"/>
      <c r="J1062" s="711"/>
      <c r="K1062" s="741"/>
      <c r="L1062" s="741"/>
      <c r="M1062" s="788"/>
      <c r="N1062" s="741"/>
      <c r="O1062" s="741"/>
      <c r="P1062" s="741"/>
      <c r="Q1062" s="741"/>
      <c r="R1062" s="788"/>
      <c r="S1062" s="819"/>
      <c r="T1062" s="820"/>
      <c r="U1062" s="819"/>
      <c r="V1062" s="820"/>
      <c r="W1062" s="788"/>
      <c r="X1062" s="803"/>
      <c r="Y1062" s="803"/>
      <c r="Z1062" s="803"/>
      <c r="AA1062" s="711"/>
      <c r="AB1062" s="711"/>
      <c r="AC1062" s="711"/>
      <c r="AD1062" s="736"/>
      <c r="AE1062" s="736"/>
      <c r="AF1062" s="624"/>
      <c r="AG1062" s="624"/>
      <c r="AH1062" s="624"/>
      <c r="AI1062" s="624"/>
      <c r="AJ1062" s="984"/>
      <c r="AK1062" s="985">
        <v>1.0002</v>
      </c>
      <c r="AL1062" s="986">
        <v>4781.0</v>
      </c>
      <c r="AM1062" s="987">
        <v>-0.2062336920796929</v>
      </c>
      <c r="AN1062" s="988">
        <v>1.9999999999997797E-4</v>
      </c>
      <c r="AO1062" s="986">
        <v>4781.0</v>
      </c>
      <c r="AP1062" s="989">
        <v>-0.20189799822250687</v>
      </c>
      <c r="AQ1062" s="986">
        <v>4781.0</v>
      </c>
      <c r="AR1062" s="990">
        <v>-0.19774003731925172</v>
      </c>
      <c r="AS1062" s="624"/>
      <c r="AT1062" s="624"/>
      <c r="AU1062" s="624"/>
      <c r="AV1062" s="624"/>
      <c r="AW1062" s="624"/>
      <c r="AX1062" s="624"/>
      <c r="AY1062" s="624"/>
      <c r="AZ1062" s="624"/>
      <c r="BA1062" s="624"/>
      <c r="BB1062" s="624"/>
      <c r="BC1062" s="624"/>
      <c r="BD1062" s="624"/>
      <c r="BE1062" s="624"/>
    </row>
    <row r="1063" ht="16.5" customHeight="1">
      <c r="A1063" s="711"/>
      <c r="B1063" s="711"/>
      <c r="C1063" s="711"/>
      <c r="D1063" s="711"/>
      <c r="E1063" s="711"/>
      <c r="F1063" s="711"/>
      <c r="G1063" s="711"/>
      <c r="H1063" s="711"/>
      <c r="I1063" s="711"/>
      <c r="J1063" s="711"/>
      <c r="K1063" s="741"/>
      <c r="L1063" s="741"/>
      <c r="M1063" s="788"/>
      <c r="N1063" s="741"/>
      <c r="O1063" s="741"/>
      <c r="P1063" s="741"/>
      <c r="Q1063" s="741"/>
      <c r="R1063" s="788"/>
      <c r="S1063" s="819"/>
      <c r="T1063" s="820"/>
      <c r="U1063" s="819"/>
      <c r="V1063" s="820"/>
      <c r="W1063" s="788"/>
      <c r="X1063" s="803"/>
      <c r="Y1063" s="803"/>
      <c r="Z1063" s="803"/>
      <c r="AA1063" s="711"/>
      <c r="AB1063" s="711"/>
      <c r="AC1063" s="711"/>
      <c r="AD1063" s="736"/>
      <c r="AE1063" s="736"/>
      <c r="AF1063" s="624"/>
      <c r="AG1063" s="624"/>
      <c r="AH1063" s="624"/>
      <c r="AI1063" s="624"/>
      <c r="AJ1063" s="984"/>
      <c r="AK1063" s="985">
        <v>0.9467</v>
      </c>
      <c r="AL1063" s="986">
        <v>4761.0</v>
      </c>
      <c r="AM1063" s="987">
        <v>-0.20546639749666595</v>
      </c>
      <c r="AN1063" s="988">
        <v>-0.053300000000000014</v>
      </c>
      <c r="AO1063" s="986">
        <v>4761.0</v>
      </c>
      <c r="AP1063" s="989">
        <v>-0.2011447165400555</v>
      </c>
      <c r="AQ1063" s="986">
        <v>4761.0</v>
      </c>
      <c r="AR1063" s="990">
        <v>-0.19700028636870837</v>
      </c>
      <c r="AS1063" s="624"/>
      <c r="AT1063" s="624"/>
      <c r="AU1063" s="624"/>
      <c r="AV1063" s="624"/>
      <c r="AW1063" s="624"/>
      <c r="AX1063" s="624"/>
      <c r="AY1063" s="624"/>
      <c r="AZ1063" s="624"/>
      <c r="BA1063" s="624"/>
      <c r="BB1063" s="624"/>
      <c r="BC1063" s="624"/>
      <c r="BD1063" s="624"/>
      <c r="BE1063" s="624"/>
    </row>
    <row r="1064" ht="16.5" customHeight="1">
      <c r="A1064" s="711"/>
      <c r="B1064" s="711"/>
      <c r="C1064" s="711"/>
      <c r="D1064" s="711"/>
      <c r="E1064" s="711"/>
      <c r="F1064" s="711"/>
      <c r="G1064" s="711"/>
      <c r="H1064" s="711"/>
      <c r="I1064" s="711"/>
      <c r="J1064" s="711"/>
      <c r="K1064" s="741"/>
      <c r="L1064" s="741"/>
      <c r="M1064" s="788"/>
      <c r="N1064" s="741"/>
      <c r="O1064" s="741"/>
      <c r="P1064" s="741"/>
      <c r="Q1064" s="741"/>
      <c r="R1064" s="788"/>
      <c r="S1064" s="819"/>
      <c r="T1064" s="820"/>
      <c r="U1064" s="819"/>
      <c r="V1064" s="820"/>
      <c r="W1064" s="788"/>
      <c r="X1064" s="803"/>
      <c r="Y1064" s="803"/>
      <c r="Z1064" s="803"/>
      <c r="AA1064" s="711"/>
      <c r="AB1064" s="711"/>
      <c r="AC1064" s="711"/>
      <c r="AD1064" s="736"/>
      <c r="AE1064" s="736"/>
      <c r="AF1064" s="624"/>
      <c r="AG1064" s="624"/>
      <c r="AH1064" s="624"/>
      <c r="AI1064" s="624"/>
      <c r="AJ1064" s="984"/>
      <c r="AK1064" s="985">
        <v>1.0048</v>
      </c>
      <c r="AL1064" s="986">
        <v>4752.0</v>
      </c>
      <c r="AM1064" s="987">
        <v>-0.20512087299569437</v>
      </c>
      <c r="AN1064" s="988">
        <v>0.0047999999999999154</v>
      </c>
      <c r="AO1064" s="986">
        <v>4752.0</v>
      </c>
      <c r="AP1064" s="989">
        <v>-0.2008055078663683</v>
      </c>
      <c r="AQ1064" s="986">
        <v>4752.0</v>
      </c>
      <c r="AR1064" s="990">
        <v>-0.19666717593939986</v>
      </c>
      <c r="AS1064" s="624"/>
      <c r="AT1064" s="624"/>
      <c r="AU1064" s="624"/>
      <c r="AV1064" s="624"/>
      <c r="AW1064" s="624"/>
      <c r="AX1064" s="624"/>
      <c r="AY1064" s="624"/>
      <c r="AZ1064" s="624"/>
      <c r="BA1064" s="624"/>
      <c r="BB1064" s="624"/>
      <c r="BC1064" s="624"/>
      <c r="BD1064" s="624"/>
      <c r="BE1064" s="624"/>
    </row>
    <row r="1065" ht="16.5" customHeight="1">
      <c r="A1065" s="711"/>
      <c r="B1065" s="711"/>
      <c r="C1065" s="711"/>
      <c r="D1065" s="711"/>
      <c r="E1065" s="711"/>
      <c r="F1065" s="711"/>
      <c r="G1065" s="711"/>
      <c r="H1065" s="711"/>
      <c r="I1065" s="711"/>
      <c r="J1065" s="711"/>
      <c r="K1065" s="741"/>
      <c r="L1065" s="741"/>
      <c r="M1065" s="788"/>
      <c r="N1065" s="741"/>
      <c r="O1065" s="741"/>
      <c r="P1065" s="741"/>
      <c r="Q1065" s="741"/>
      <c r="R1065" s="788"/>
      <c r="S1065" s="819"/>
      <c r="T1065" s="820"/>
      <c r="U1065" s="819"/>
      <c r="V1065" s="820"/>
      <c r="W1065" s="788"/>
      <c r="X1065" s="803"/>
      <c r="Y1065" s="803"/>
      <c r="Z1065" s="803"/>
      <c r="AA1065" s="711"/>
      <c r="AB1065" s="711"/>
      <c r="AC1065" s="711"/>
      <c r="AD1065" s="736"/>
      <c r="AE1065" s="736"/>
      <c r="AF1065" s="624"/>
      <c r="AG1065" s="624"/>
      <c r="AH1065" s="624"/>
      <c r="AI1065" s="624"/>
      <c r="AJ1065" s="984"/>
      <c r="AK1065" s="985">
        <v>0.9419</v>
      </c>
      <c r="AL1065" s="986">
        <v>4700.0</v>
      </c>
      <c r="AM1065" s="987">
        <v>-0.20312156503204803</v>
      </c>
      <c r="AN1065" s="988">
        <v>-0.05810000000000004</v>
      </c>
      <c r="AO1065" s="986">
        <v>4700.0</v>
      </c>
      <c r="AP1065" s="989">
        <v>-0.1988428133953375</v>
      </c>
      <c r="AQ1065" s="986">
        <v>4700.0</v>
      </c>
      <c r="AR1065" s="990">
        <v>-0.1947398304176895</v>
      </c>
      <c r="AS1065" s="624"/>
      <c r="AT1065" s="624"/>
      <c r="AU1065" s="624"/>
      <c r="AV1065" s="624"/>
      <c r="AW1065" s="624"/>
      <c r="AX1065" s="624"/>
      <c r="AY1065" s="624"/>
      <c r="AZ1065" s="624"/>
      <c r="BA1065" s="624"/>
      <c r="BB1065" s="624"/>
      <c r="BC1065" s="624"/>
      <c r="BD1065" s="624"/>
      <c r="BE1065" s="624"/>
    </row>
    <row r="1066" ht="16.5" customHeight="1">
      <c r="A1066" s="711"/>
      <c r="B1066" s="711"/>
      <c r="C1066" s="711"/>
      <c r="D1066" s="711"/>
      <c r="E1066" s="711"/>
      <c r="F1066" s="711"/>
      <c r="G1066" s="711"/>
      <c r="H1066" s="711"/>
      <c r="I1066" s="711"/>
      <c r="J1066" s="711"/>
      <c r="K1066" s="741"/>
      <c r="L1066" s="741"/>
      <c r="M1066" s="788"/>
      <c r="N1066" s="741"/>
      <c r="O1066" s="741"/>
      <c r="P1066" s="741"/>
      <c r="Q1066" s="741"/>
      <c r="R1066" s="788"/>
      <c r="S1066" s="819"/>
      <c r="T1066" s="820"/>
      <c r="U1066" s="819"/>
      <c r="V1066" s="820"/>
      <c r="W1066" s="788"/>
      <c r="X1066" s="803"/>
      <c r="Y1066" s="803"/>
      <c r="Z1066" s="803"/>
      <c r="AA1066" s="711"/>
      <c r="AB1066" s="711"/>
      <c r="AC1066" s="711"/>
      <c r="AD1066" s="736"/>
      <c r="AE1066" s="736"/>
      <c r="AF1066" s="624"/>
      <c r="AG1066" s="624"/>
      <c r="AH1066" s="624"/>
      <c r="AI1066" s="624"/>
      <c r="AJ1066" s="984"/>
      <c r="AK1066" s="985">
        <v>1.0</v>
      </c>
      <c r="AL1066" s="986">
        <v>4517.0</v>
      </c>
      <c r="AM1066" s="987">
        <v>-0.19604546538341627</v>
      </c>
      <c r="AN1066" s="988">
        <v>0.0</v>
      </c>
      <c r="AO1066" s="986">
        <v>4517.0</v>
      </c>
      <c r="AP1066" s="989">
        <v>-0.19189722982288726</v>
      </c>
      <c r="AQ1066" s="986">
        <v>4517.0</v>
      </c>
      <c r="AR1066" s="990">
        <v>-0.18792021156442518</v>
      </c>
      <c r="AS1066" s="624"/>
      <c r="AT1066" s="624"/>
      <c r="AU1066" s="624"/>
      <c r="AV1066" s="624"/>
      <c r="AW1066" s="624"/>
      <c r="AX1066" s="624"/>
      <c r="AY1066" s="624"/>
      <c r="AZ1066" s="624"/>
      <c r="BA1066" s="624"/>
      <c r="BB1066" s="624"/>
      <c r="BC1066" s="624"/>
      <c r="BD1066" s="624"/>
      <c r="BE1066" s="624"/>
    </row>
    <row r="1067" ht="16.5" customHeight="1">
      <c r="A1067" s="711"/>
      <c r="B1067" s="711"/>
      <c r="C1067" s="711"/>
      <c r="D1067" s="711"/>
      <c r="E1067" s="711"/>
      <c r="F1067" s="711"/>
      <c r="G1067" s="711"/>
      <c r="H1067" s="711"/>
      <c r="I1067" s="711"/>
      <c r="J1067" s="711"/>
      <c r="K1067" s="741"/>
      <c r="L1067" s="741"/>
      <c r="M1067" s="788"/>
      <c r="N1067" s="741"/>
      <c r="O1067" s="741"/>
      <c r="P1067" s="741"/>
      <c r="Q1067" s="741"/>
      <c r="R1067" s="788"/>
      <c r="S1067" s="819"/>
      <c r="T1067" s="820"/>
      <c r="U1067" s="819"/>
      <c r="V1067" s="820"/>
      <c r="W1067" s="788"/>
      <c r="X1067" s="803"/>
      <c r="Y1067" s="803"/>
      <c r="Z1067" s="803"/>
      <c r="AA1067" s="711"/>
      <c r="AB1067" s="711"/>
      <c r="AC1067" s="711"/>
      <c r="AD1067" s="736"/>
      <c r="AE1067" s="736"/>
      <c r="AF1067" s="624"/>
      <c r="AG1067" s="624"/>
      <c r="AH1067" s="624"/>
      <c r="AI1067" s="624"/>
      <c r="AJ1067" s="984"/>
      <c r="AK1067" s="985">
        <v>0.9919</v>
      </c>
      <c r="AL1067" s="986">
        <v>4506.0</v>
      </c>
      <c r="AM1067" s="987">
        <v>-0.1956181296336944</v>
      </c>
      <c r="AN1067" s="988">
        <v>-0.008099999999999996</v>
      </c>
      <c r="AO1067" s="986">
        <v>4506.0</v>
      </c>
      <c r="AP1067" s="989">
        <v>-0.19147782241660427</v>
      </c>
      <c r="AQ1067" s="986">
        <v>4506.0</v>
      </c>
      <c r="AR1067" s="990">
        <v>-0.18750845386171433</v>
      </c>
      <c r="AS1067" s="624"/>
      <c r="AT1067" s="624"/>
      <c r="AU1067" s="624"/>
      <c r="AV1067" s="624"/>
      <c r="AW1067" s="624"/>
      <c r="AX1067" s="624"/>
      <c r="AY1067" s="624"/>
      <c r="AZ1067" s="624"/>
      <c r="BA1067" s="624"/>
      <c r="BB1067" s="624"/>
      <c r="BC1067" s="624"/>
      <c r="BD1067" s="624"/>
      <c r="BE1067" s="624"/>
    </row>
    <row r="1068" ht="16.5" customHeight="1">
      <c r="A1068" s="711"/>
      <c r="B1068" s="711"/>
      <c r="C1068" s="711"/>
      <c r="D1068" s="711"/>
      <c r="E1068" s="711"/>
      <c r="F1068" s="711"/>
      <c r="G1068" s="711"/>
      <c r="H1068" s="711"/>
      <c r="I1068" s="711"/>
      <c r="J1068" s="711"/>
      <c r="K1068" s="741"/>
      <c r="L1068" s="741"/>
      <c r="M1068" s="788"/>
      <c r="N1068" s="741"/>
      <c r="O1068" s="741"/>
      <c r="P1068" s="741"/>
      <c r="Q1068" s="741"/>
      <c r="R1068" s="788"/>
      <c r="S1068" s="819"/>
      <c r="T1068" s="820"/>
      <c r="U1068" s="819"/>
      <c r="V1068" s="820"/>
      <c r="W1068" s="788"/>
      <c r="X1068" s="803"/>
      <c r="Y1068" s="803"/>
      <c r="Z1068" s="803"/>
      <c r="AA1068" s="711"/>
      <c r="AB1068" s="711"/>
      <c r="AC1068" s="711"/>
      <c r="AD1068" s="736"/>
      <c r="AE1068" s="736"/>
      <c r="AF1068" s="624"/>
      <c r="AG1068" s="624"/>
      <c r="AH1068" s="624"/>
      <c r="AI1068" s="624"/>
      <c r="AJ1068" s="984"/>
      <c r="AK1068" s="985">
        <v>1.0127</v>
      </c>
      <c r="AL1068" s="986">
        <v>4501.0</v>
      </c>
      <c r="AM1068" s="987">
        <v>-0.19542381102843898</v>
      </c>
      <c r="AN1068" s="988">
        <v>0.012699999999999934</v>
      </c>
      <c r="AO1068" s="986">
        <v>4501.0</v>
      </c>
      <c r="AP1068" s="989">
        <v>-0.19128711073507687</v>
      </c>
      <c r="AQ1068" s="986">
        <v>4501.0</v>
      </c>
      <c r="AR1068" s="990">
        <v>-0.18732122225840908</v>
      </c>
      <c r="AS1068" s="624"/>
      <c r="AT1068" s="624"/>
      <c r="AU1068" s="624"/>
      <c r="AV1068" s="624"/>
      <c r="AW1068" s="624"/>
      <c r="AX1068" s="624"/>
      <c r="AY1068" s="624"/>
      <c r="AZ1068" s="624"/>
      <c r="BA1068" s="624"/>
      <c r="BB1068" s="624"/>
      <c r="BC1068" s="624"/>
      <c r="BD1068" s="624"/>
      <c r="BE1068" s="624"/>
    </row>
    <row r="1069" ht="16.5" customHeight="1">
      <c r="A1069" s="711"/>
      <c r="B1069" s="711"/>
      <c r="C1069" s="711"/>
      <c r="D1069" s="711"/>
      <c r="E1069" s="711"/>
      <c r="F1069" s="711"/>
      <c r="G1069" s="711"/>
      <c r="H1069" s="711"/>
      <c r="I1069" s="711"/>
      <c r="J1069" s="711"/>
      <c r="K1069" s="741"/>
      <c r="L1069" s="741"/>
      <c r="M1069" s="788"/>
      <c r="N1069" s="741"/>
      <c r="O1069" s="741"/>
      <c r="P1069" s="741"/>
      <c r="Q1069" s="741"/>
      <c r="R1069" s="788"/>
      <c r="S1069" s="819"/>
      <c r="T1069" s="820"/>
      <c r="U1069" s="819"/>
      <c r="V1069" s="820"/>
      <c r="W1069" s="788"/>
      <c r="X1069" s="803"/>
      <c r="Y1069" s="803"/>
      <c r="Z1069" s="803"/>
      <c r="AA1069" s="711"/>
      <c r="AB1069" s="711"/>
      <c r="AC1069" s="711"/>
      <c r="AD1069" s="736"/>
      <c r="AE1069" s="736"/>
      <c r="AF1069" s="624"/>
      <c r="AG1069" s="624"/>
      <c r="AH1069" s="624"/>
      <c r="AI1069" s="624"/>
      <c r="AJ1069" s="984"/>
      <c r="AK1069" s="985">
        <v>1.0</v>
      </c>
      <c r="AL1069" s="986">
        <v>4400.0</v>
      </c>
      <c r="AM1069" s="987">
        <v>-0.19148850831041708</v>
      </c>
      <c r="AN1069" s="988">
        <v>0.0</v>
      </c>
      <c r="AO1069" s="986">
        <v>4400.0</v>
      </c>
      <c r="AP1069" s="989">
        <v>-0.18742508813617909</v>
      </c>
      <c r="AQ1069" s="986">
        <v>4400.0</v>
      </c>
      <c r="AR1069" s="990">
        <v>-0.18352989183373136</v>
      </c>
      <c r="AS1069" s="624"/>
      <c r="AT1069" s="624"/>
      <c r="AU1069" s="624"/>
      <c r="AV1069" s="624"/>
      <c r="AW1069" s="624"/>
      <c r="AX1069" s="624"/>
      <c r="AY1069" s="624"/>
      <c r="AZ1069" s="624"/>
      <c r="BA1069" s="624"/>
      <c r="BB1069" s="624"/>
      <c r="BC1069" s="624"/>
      <c r="BD1069" s="624"/>
      <c r="BE1069" s="624"/>
    </row>
    <row r="1070" ht="16.5" customHeight="1">
      <c r="A1070" s="711"/>
      <c r="B1070" s="711"/>
      <c r="C1070" s="711"/>
      <c r="D1070" s="711"/>
      <c r="E1070" s="711"/>
      <c r="F1070" s="711"/>
      <c r="G1070" s="711"/>
      <c r="H1070" s="711"/>
      <c r="I1070" s="711"/>
      <c r="J1070" s="711"/>
      <c r="K1070" s="741"/>
      <c r="L1070" s="741"/>
      <c r="M1070" s="788"/>
      <c r="N1070" s="741"/>
      <c r="O1070" s="741"/>
      <c r="P1070" s="741"/>
      <c r="Q1070" s="741"/>
      <c r="R1070" s="788"/>
      <c r="S1070" s="819"/>
      <c r="T1070" s="820"/>
      <c r="U1070" s="819"/>
      <c r="V1070" s="820"/>
      <c r="W1070" s="788"/>
      <c r="X1070" s="803"/>
      <c r="Y1070" s="803"/>
      <c r="Z1070" s="803"/>
      <c r="AA1070" s="711"/>
      <c r="AB1070" s="711"/>
      <c r="AC1070" s="711"/>
      <c r="AD1070" s="736"/>
      <c r="AE1070" s="736"/>
      <c r="AF1070" s="624"/>
      <c r="AG1070" s="624"/>
      <c r="AH1070" s="624"/>
      <c r="AI1070" s="624"/>
      <c r="AJ1070" s="984"/>
      <c r="AK1070" s="985">
        <v>0.971</v>
      </c>
      <c r="AL1070" s="986">
        <v>4400.0</v>
      </c>
      <c r="AM1070" s="987">
        <v>-0.19148850831041708</v>
      </c>
      <c r="AN1070" s="988">
        <v>-0.029000000000000026</v>
      </c>
      <c r="AO1070" s="986">
        <v>4400.0</v>
      </c>
      <c r="AP1070" s="989">
        <v>-0.18742508813617909</v>
      </c>
      <c r="AQ1070" s="986">
        <v>4400.0</v>
      </c>
      <c r="AR1070" s="990">
        <v>-0.18352989183373136</v>
      </c>
      <c r="AS1070" s="624"/>
      <c r="AT1070" s="624"/>
      <c r="AU1070" s="624"/>
      <c r="AV1070" s="624"/>
      <c r="AW1070" s="624"/>
      <c r="AX1070" s="624"/>
      <c r="AY1070" s="624"/>
      <c r="AZ1070" s="624"/>
      <c r="BA1070" s="624"/>
      <c r="BB1070" s="624"/>
      <c r="BC1070" s="624"/>
      <c r="BD1070" s="624"/>
      <c r="BE1070" s="624"/>
    </row>
    <row r="1071" ht="16.5" customHeight="1">
      <c r="A1071" s="711"/>
      <c r="B1071" s="711"/>
      <c r="C1071" s="711"/>
      <c r="D1071" s="711"/>
      <c r="E1071" s="711"/>
      <c r="F1071" s="711"/>
      <c r="G1071" s="711"/>
      <c r="H1071" s="711"/>
      <c r="I1071" s="711"/>
      <c r="J1071" s="711"/>
      <c r="K1071" s="741"/>
      <c r="L1071" s="741"/>
      <c r="M1071" s="788"/>
      <c r="N1071" s="741"/>
      <c r="O1071" s="741"/>
      <c r="P1071" s="741"/>
      <c r="Q1071" s="741"/>
      <c r="R1071" s="788"/>
      <c r="S1071" s="819"/>
      <c r="T1071" s="820"/>
      <c r="U1071" s="819"/>
      <c r="V1071" s="820"/>
      <c r="W1071" s="788"/>
      <c r="X1071" s="803"/>
      <c r="Y1071" s="803"/>
      <c r="Z1071" s="803"/>
      <c r="AA1071" s="711"/>
      <c r="AB1071" s="711"/>
      <c r="AC1071" s="711"/>
      <c r="AD1071" s="736"/>
      <c r="AE1071" s="736"/>
      <c r="AF1071" s="624"/>
      <c r="AG1071" s="624"/>
      <c r="AH1071" s="624"/>
      <c r="AI1071" s="624"/>
      <c r="AJ1071" s="984"/>
      <c r="AK1071" s="985">
        <v>0.9949</v>
      </c>
      <c r="AL1071" s="986">
        <v>4397.0</v>
      </c>
      <c r="AM1071" s="987">
        <v>-0.19137132424051717</v>
      </c>
      <c r="AN1071" s="988">
        <v>-0.005099999999999993</v>
      </c>
      <c r="AO1071" s="986">
        <v>4397.0</v>
      </c>
      <c r="AP1071" s="989">
        <v>-0.18731009298409174</v>
      </c>
      <c r="AQ1071" s="986">
        <v>4397.0</v>
      </c>
      <c r="AR1071" s="990">
        <v>-0.18341700797905947</v>
      </c>
      <c r="AS1071" s="624"/>
      <c r="AT1071" s="624"/>
      <c r="AU1071" s="624"/>
      <c r="AV1071" s="624"/>
      <c r="AW1071" s="624"/>
      <c r="AX1071" s="624"/>
      <c r="AY1071" s="624"/>
      <c r="AZ1071" s="624"/>
      <c r="BA1071" s="624"/>
      <c r="BB1071" s="624"/>
      <c r="BC1071" s="624"/>
      <c r="BD1071" s="624"/>
      <c r="BE1071" s="624"/>
    </row>
    <row r="1072" ht="16.5" customHeight="1">
      <c r="A1072" s="711"/>
      <c r="B1072" s="711"/>
      <c r="C1072" s="711"/>
      <c r="D1072" s="711"/>
      <c r="E1072" s="711"/>
      <c r="F1072" s="711"/>
      <c r="G1072" s="711"/>
      <c r="H1072" s="711"/>
      <c r="I1072" s="711"/>
      <c r="J1072" s="711"/>
      <c r="K1072" s="741"/>
      <c r="L1072" s="741"/>
      <c r="M1072" s="788"/>
      <c r="N1072" s="741"/>
      <c r="O1072" s="741"/>
      <c r="P1072" s="741"/>
      <c r="Q1072" s="741"/>
      <c r="R1072" s="788"/>
      <c r="S1072" s="819"/>
      <c r="T1072" s="820"/>
      <c r="U1072" s="819"/>
      <c r="V1072" s="820"/>
      <c r="W1072" s="788"/>
      <c r="X1072" s="803"/>
      <c r="Y1072" s="803"/>
      <c r="Z1072" s="803"/>
      <c r="AA1072" s="711"/>
      <c r="AB1072" s="711"/>
      <c r="AC1072" s="711"/>
      <c r="AD1072" s="736"/>
      <c r="AE1072" s="736"/>
      <c r="AF1072" s="624"/>
      <c r="AG1072" s="624"/>
      <c r="AH1072" s="624"/>
      <c r="AI1072" s="624"/>
      <c r="AJ1072" s="984"/>
      <c r="AK1072" s="985">
        <v>1.0015</v>
      </c>
      <c r="AL1072" s="986">
        <v>4362.0</v>
      </c>
      <c r="AM1072" s="987">
        <v>-0.1900029211507932</v>
      </c>
      <c r="AN1072" s="988">
        <v>0.0015000000000000568</v>
      </c>
      <c r="AO1072" s="986">
        <v>4362.0</v>
      </c>
      <c r="AP1072" s="989">
        <v>-0.18596727979964356</v>
      </c>
      <c r="AQ1072" s="986">
        <v>4362.0</v>
      </c>
      <c r="AR1072" s="990">
        <v>-0.1820988759131149</v>
      </c>
      <c r="AS1072" s="624"/>
      <c r="AT1072" s="624"/>
      <c r="AU1072" s="624"/>
      <c r="AV1072" s="624"/>
      <c r="AW1072" s="624"/>
      <c r="AX1072" s="624"/>
      <c r="AY1072" s="624"/>
      <c r="AZ1072" s="624"/>
      <c r="BA1072" s="624"/>
      <c r="BB1072" s="624"/>
      <c r="BC1072" s="624"/>
      <c r="BD1072" s="624"/>
      <c r="BE1072" s="624"/>
    </row>
    <row r="1073" ht="16.5" customHeight="1">
      <c r="A1073" s="711"/>
      <c r="B1073" s="711"/>
      <c r="C1073" s="711"/>
      <c r="D1073" s="711"/>
      <c r="E1073" s="711"/>
      <c r="F1073" s="711"/>
      <c r="G1073" s="711"/>
      <c r="H1073" s="711"/>
      <c r="I1073" s="711"/>
      <c r="J1073" s="711"/>
      <c r="K1073" s="741"/>
      <c r="L1073" s="741"/>
      <c r="M1073" s="788"/>
      <c r="N1073" s="741"/>
      <c r="O1073" s="741"/>
      <c r="P1073" s="741"/>
      <c r="Q1073" s="741"/>
      <c r="R1073" s="788"/>
      <c r="S1073" s="819"/>
      <c r="T1073" s="820"/>
      <c r="U1073" s="819"/>
      <c r="V1073" s="820"/>
      <c r="W1073" s="788"/>
      <c r="X1073" s="803"/>
      <c r="Y1073" s="803"/>
      <c r="Z1073" s="803"/>
      <c r="AA1073" s="711"/>
      <c r="AB1073" s="711"/>
      <c r="AC1073" s="711"/>
      <c r="AD1073" s="736"/>
      <c r="AE1073" s="736"/>
      <c r="AF1073" s="624"/>
      <c r="AG1073" s="624"/>
      <c r="AH1073" s="624"/>
      <c r="AI1073" s="624"/>
      <c r="AJ1073" s="984"/>
      <c r="AK1073" s="985">
        <v>0.9975</v>
      </c>
      <c r="AL1073" s="986">
        <v>4178.0</v>
      </c>
      <c r="AM1073" s="987">
        <v>-0.18277085220643463</v>
      </c>
      <c r="AN1073" s="988">
        <v>-0.0024999999999999467</v>
      </c>
      <c r="AO1073" s="986">
        <v>4178.0</v>
      </c>
      <c r="AP1073" s="989">
        <v>-0.17887134100023017</v>
      </c>
      <c r="AQ1073" s="986">
        <v>4178.0</v>
      </c>
      <c r="AR1073" s="990">
        <v>-0.17513419147600318</v>
      </c>
      <c r="AS1073" s="624"/>
      <c r="AT1073" s="624"/>
      <c r="AU1073" s="624"/>
      <c r="AV1073" s="624"/>
      <c r="AW1073" s="624"/>
      <c r="AX1073" s="624"/>
      <c r="AY1073" s="624"/>
      <c r="AZ1073" s="624"/>
      <c r="BA1073" s="624"/>
      <c r="BB1073" s="624"/>
      <c r="BC1073" s="624"/>
      <c r="BD1073" s="624"/>
      <c r="BE1073" s="624"/>
    </row>
    <row r="1074" ht="16.5" customHeight="1">
      <c r="A1074" s="711"/>
      <c r="B1074" s="711"/>
      <c r="C1074" s="711"/>
      <c r="D1074" s="711"/>
      <c r="E1074" s="711"/>
      <c r="F1074" s="711"/>
      <c r="G1074" s="711"/>
      <c r="H1074" s="711"/>
      <c r="I1074" s="711"/>
      <c r="J1074" s="711"/>
      <c r="K1074" s="741"/>
      <c r="L1074" s="741"/>
      <c r="M1074" s="788"/>
      <c r="N1074" s="741"/>
      <c r="O1074" s="741"/>
      <c r="P1074" s="741"/>
      <c r="Q1074" s="741"/>
      <c r="R1074" s="788"/>
      <c r="S1074" s="819"/>
      <c r="T1074" s="820"/>
      <c r="U1074" s="819"/>
      <c r="V1074" s="820"/>
      <c r="W1074" s="788"/>
      <c r="X1074" s="803"/>
      <c r="Y1074" s="803"/>
      <c r="Z1074" s="803"/>
      <c r="AA1074" s="711"/>
      <c r="AB1074" s="711"/>
      <c r="AC1074" s="711"/>
      <c r="AD1074" s="736"/>
      <c r="AE1074" s="736"/>
      <c r="AF1074" s="624"/>
      <c r="AG1074" s="624"/>
      <c r="AH1074" s="624"/>
      <c r="AI1074" s="624"/>
      <c r="AJ1074" s="984"/>
      <c r="AK1074" s="985">
        <v>0.9951</v>
      </c>
      <c r="AL1074" s="986">
        <v>4144.0</v>
      </c>
      <c r="AM1074" s="987">
        <v>-0.18142744047829884</v>
      </c>
      <c r="AN1074" s="988">
        <v>-0.0049000000000000155</v>
      </c>
      <c r="AO1074" s="986">
        <v>4144.0</v>
      </c>
      <c r="AP1074" s="989">
        <v>-0.17755337997407028</v>
      </c>
      <c r="AQ1074" s="986">
        <v>4144.0</v>
      </c>
      <c r="AR1074" s="990">
        <v>-0.17384076198064446</v>
      </c>
      <c r="AS1074" s="624"/>
      <c r="AT1074" s="624"/>
      <c r="AU1074" s="624"/>
      <c r="AV1074" s="624"/>
      <c r="AW1074" s="624"/>
      <c r="AX1074" s="624"/>
      <c r="AY1074" s="624"/>
      <c r="AZ1074" s="624"/>
      <c r="BA1074" s="624"/>
      <c r="BB1074" s="624"/>
      <c r="BC1074" s="624"/>
      <c r="BD1074" s="624"/>
      <c r="BE1074" s="624"/>
    </row>
    <row r="1075" ht="16.5" customHeight="1">
      <c r="A1075" s="711"/>
      <c r="B1075" s="711"/>
      <c r="C1075" s="711"/>
      <c r="D1075" s="711"/>
      <c r="E1075" s="711"/>
      <c r="F1075" s="711"/>
      <c r="G1075" s="711"/>
      <c r="H1075" s="711"/>
      <c r="I1075" s="711"/>
      <c r="J1075" s="711"/>
      <c r="K1075" s="741"/>
      <c r="L1075" s="741"/>
      <c r="M1075" s="788"/>
      <c r="N1075" s="741"/>
      <c r="O1075" s="741"/>
      <c r="P1075" s="741"/>
      <c r="Q1075" s="741"/>
      <c r="R1075" s="788"/>
      <c r="S1075" s="819"/>
      <c r="T1075" s="820"/>
      <c r="U1075" s="819"/>
      <c r="V1075" s="820"/>
      <c r="W1075" s="788"/>
      <c r="X1075" s="803"/>
      <c r="Y1075" s="803"/>
      <c r="Z1075" s="803"/>
      <c r="AA1075" s="711"/>
      <c r="AB1075" s="711"/>
      <c r="AC1075" s="711"/>
      <c r="AD1075" s="736"/>
      <c r="AE1075" s="736"/>
      <c r="AF1075" s="624"/>
      <c r="AG1075" s="624"/>
      <c r="AH1075" s="624"/>
      <c r="AI1075" s="624"/>
      <c r="AJ1075" s="984"/>
      <c r="AK1075" s="985">
        <v>1.0016</v>
      </c>
      <c r="AL1075" s="986">
        <v>4093.0</v>
      </c>
      <c r="AM1075" s="987">
        <v>-0.17940818103347966</v>
      </c>
      <c r="AN1075" s="988">
        <v>0.0016000000000000458</v>
      </c>
      <c r="AO1075" s="986">
        <v>4093.0</v>
      </c>
      <c r="AP1075" s="989">
        <v>-0.17557247098597617</v>
      </c>
      <c r="AQ1075" s="986">
        <v>4093.0</v>
      </c>
      <c r="AR1075" s="990">
        <v>-0.17189681394392364</v>
      </c>
      <c r="AS1075" s="624"/>
      <c r="AT1075" s="624"/>
      <c r="AU1075" s="624"/>
      <c r="AV1075" s="624"/>
      <c r="AW1075" s="624"/>
      <c r="AX1075" s="624"/>
      <c r="AY1075" s="624"/>
      <c r="AZ1075" s="624"/>
      <c r="BA1075" s="624"/>
      <c r="BB1075" s="624"/>
      <c r="BC1075" s="624"/>
      <c r="BD1075" s="624"/>
      <c r="BE1075" s="624"/>
    </row>
    <row r="1076" ht="16.5" customHeight="1">
      <c r="A1076" s="711"/>
      <c r="B1076" s="711"/>
      <c r="C1076" s="711"/>
      <c r="D1076" s="711"/>
      <c r="E1076" s="711"/>
      <c r="F1076" s="711"/>
      <c r="G1076" s="711"/>
      <c r="H1076" s="711"/>
      <c r="I1076" s="711"/>
      <c r="J1076" s="711"/>
      <c r="K1076" s="741"/>
      <c r="L1076" s="741"/>
      <c r="M1076" s="788"/>
      <c r="N1076" s="741"/>
      <c r="O1076" s="741"/>
      <c r="P1076" s="741"/>
      <c r="Q1076" s="741"/>
      <c r="R1076" s="788"/>
      <c r="S1076" s="819"/>
      <c r="T1076" s="820"/>
      <c r="U1076" s="819"/>
      <c r="V1076" s="820"/>
      <c r="W1076" s="788"/>
      <c r="X1076" s="803"/>
      <c r="Y1076" s="803"/>
      <c r="Z1076" s="803"/>
      <c r="AA1076" s="711"/>
      <c r="AB1076" s="711"/>
      <c r="AC1076" s="711"/>
      <c r="AD1076" s="736"/>
      <c r="AE1076" s="736"/>
      <c r="AF1076" s="624"/>
      <c r="AG1076" s="624"/>
      <c r="AH1076" s="624"/>
      <c r="AI1076" s="624"/>
      <c r="AJ1076" s="984"/>
      <c r="AK1076" s="985">
        <v>0.9585</v>
      </c>
      <c r="AL1076" s="986">
        <v>4021.0</v>
      </c>
      <c r="AM1076" s="987">
        <v>-0.17654897897699018</v>
      </c>
      <c r="AN1076" s="988">
        <v>-0.04149999999999998</v>
      </c>
      <c r="AO1076" s="986">
        <v>4021.0</v>
      </c>
      <c r="AP1076" s="989">
        <v>-0.17276776842801966</v>
      </c>
      <c r="AQ1076" s="986">
        <v>4021.0</v>
      </c>
      <c r="AR1076" s="990">
        <v>-0.16914462715450485</v>
      </c>
      <c r="AS1076" s="624"/>
      <c r="AT1076" s="624"/>
      <c r="AU1076" s="624"/>
      <c r="AV1076" s="624"/>
      <c r="AW1076" s="624"/>
      <c r="AX1076" s="624"/>
      <c r="AY1076" s="624"/>
      <c r="AZ1076" s="624"/>
      <c r="BA1076" s="624"/>
      <c r="BB1076" s="624"/>
      <c r="BC1076" s="624"/>
      <c r="BD1076" s="624"/>
      <c r="BE1076" s="624"/>
    </row>
    <row r="1077" ht="16.5" customHeight="1">
      <c r="A1077" s="711"/>
      <c r="B1077" s="711"/>
      <c r="C1077" s="711"/>
      <c r="D1077" s="711"/>
      <c r="E1077" s="711"/>
      <c r="F1077" s="711"/>
      <c r="G1077" s="711"/>
      <c r="H1077" s="711"/>
      <c r="I1077" s="711"/>
      <c r="J1077" s="711"/>
      <c r="K1077" s="741"/>
      <c r="L1077" s="741"/>
      <c r="M1077" s="788"/>
      <c r="N1077" s="741"/>
      <c r="O1077" s="741"/>
      <c r="P1077" s="741"/>
      <c r="Q1077" s="741"/>
      <c r="R1077" s="788"/>
      <c r="S1077" s="819"/>
      <c r="T1077" s="820"/>
      <c r="U1077" s="819"/>
      <c r="V1077" s="820"/>
      <c r="W1077" s="788"/>
      <c r="X1077" s="803"/>
      <c r="Y1077" s="803"/>
      <c r="Z1077" s="803"/>
      <c r="AA1077" s="711"/>
      <c r="AB1077" s="711"/>
      <c r="AC1077" s="711"/>
      <c r="AD1077" s="736"/>
      <c r="AE1077" s="736"/>
      <c r="AF1077" s="624"/>
      <c r="AG1077" s="624"/>
      <c r="AH1077" s="624"/>
      <c r="AI1077" s="624"/>
      <c r="AJ1077" s="984"/>
      <c r="AK1077" s="985">
        <v>0.9699</v>
      </c>
      <c r="AL1077" s="986">
        <v>4000.0</v>
      </c>
      <c r="AM1077" s="987">
        <v>-0.1757131699938046</v>
      </c>
      <c r="AN1077" s="988">
        <v>-0.030100000000000016</v>
      </c>
      <c r="AO1077" s="986">
        <v>4000.0</v>
      </c>
      <c r="AP1077" s="989">
        <v>-0.17194793429121435</v>
      </c>
      <c r="AQ1077" s="986">
        <v>4000.0</v>
      </c>
      <c r="AR1077" s="990">
        <v>-0.1683401843841601</v>
      </c>
      <c r="AS1077" s="624"/>
      <c r="AT1077" s="624"/>
      <c r="AU1077" s="624"/>
      <c r="AV1077" s="624"/>
      <c r="AW1077" s="624"/>
      <c r="AX1077" s="624"/>
      <c r="AY1077" s="624"/>
      <c r="AZ1077" s="624"/>
      <c r="BA1077" s="624"/>
      <c r="BB1077" s="624"/>
      <c r="BC1077" s="624"/>
      <c r="BD1077" s="624"/>
      <c r="BE1077" s="624"/>
    </row>
    <row r="1078" ht="16.5" customHeight="1">
      <c r="A1078" s="711"/>
      <c r="B1078" s="711"/>
      <c r="C1078" s="711"/>
      <c r="D1078" s="711"/>
      <c r="E1078" s="711"/>
      <c r="F1078" s="711"/>
      <c r="G1078" s="711"/>
      <c r="H1078" s="711"/>
      <c r="I1078" s="711"/>
      <c r="J1078" s="711"/>
      <c r="K1078" s="741"/>
      <c r="L1078" s="741"/>
      <c r="M1078" s="788"/>
      <c r="N1078" s="741"/>
      <c r="O1078" s="741"/>
      <c r="P1078" s="741"/>
      <c r="Q1078" s="741"/>
      <c r="R1078" s="788"/>
      <c r="S1078" s="819"/>
      <c r="T1078" s="820"/>
      <c r="U1078" s="819"/>
      <c r="V1078" s="820"/>
      <c r="W1078" s="788"/>
      <c r="X1078" s="803"/>
      <c r="Y1078" s="803"/>
      <c r="Z1078" s="803"/>
      <c r="AA1078" s="711"/>
      <c r="AB1078" s="711"/>
      <c r="AC1078" s="711"/>
      <c r="AD1078" s="736"/>
      <c r="AE1078" s="736"/>
      <c r="AF1078" s="624"/>
      <c r="AG1078" s="624"/>
      <c r="AH1078" s="624"/>
      <c r="AI1078" s="624"/>
      <c r="AJ1078" s="984"/>
      <c r="AK1078" s="985">
        <v>0.9915</v>
      </c>
      <c r="AL1078" s="986">
        <v>3856.0</v>
      </c>
      <c r="AM1078" s="987">
        <v>-0.16995900947538456</v>
      </c>
      <c r="AN1078" s="988">
        <v>-0.008499999999999952</v>
      </c>
      <c r="AO1078" s="986">
        <v>3856.0</v>
      </c>
      <c r="AP1078" s="989">
        <v>-0.1663042842793011</v>
      </c>
      <c r="AQ1078" s="986">
        <v>3856.0</v>
      </c>
      <c r="AR1078" s="990">
        <v>-0.1628029838795212</v>
      </c>
      <c r="AS1078" s="624"/>
      <c r="AT1078" s="624"/>
      <c r="AU1078" s="624"/>
      <c r="AV1078" s="624"/>
      <c r="AW1078" s="624"/>
      <c r="AX1078" s="624"/>
      <c r="AY1078" s="624"/>
      <c r="AZ1078" s="624"/>
      <c r="BA1078" s="624"/>
      <c r="BB1078" s="624"/>
      <c r="BC1078" s="624"/>
      <c r="BD1078" s="624"/>
      <c r="BE1078" s="624"/>
    </row>
    <row r="1079" ht="16.5" customHeight="1">
      <c r="A1079" s="711"/>
      <c r="B1079" s="711"/>
      <c r="C1079" s="711"/>
      <c r="D1079" s="711"/>
      <c r="E1079" s="711"/>
      <c r="F1079" s="711"/>
      <c r="G1079" s="711"/>
      <c r="H1079" s="711"/>
      <c r="I1079" s="711"/>
      <c r="J1079" s="711"/>
      <c r="K1079" s="741"/>
      <c r="L1079" s="741"/>
      <c r="M1079" s="788"/>
      <c r="N1079" s="741"/>
      <c r="O1079" s="741"/>
      <c r="P1079" s="741"/>
      <c r="Q1079" s="741"/>
      <c r="R1079" s="788"/>
      <c r="S1079" s="819"/>
      <c r="T1079" s="820"/>
      <c r="U1079" s="819"/>
      <c r="V1079" s="820"/>
      <c r="W1079" s="788"/>
      <c r="X1079" s="803"/>
      <c r="Y1079" s="803"/>
      <c r="Z1079" s="803"/>
      <c r="AA1079" s="711"/>
      <c r="AB1079" s="711"/>
      <c r="AC1079" s="711"/>
      <c r="AD1079" s="736"/>
      <c r="AE1079" s="736"/>
      <c r="AF1079" s="624"/>
      <c r="AG1079" s="624"/>
      <c r="AH1079" s="624"/>
      <c r="AI1079" s="624"/>
      <c r="AJ1079" s="984"/>
      <c r="AK1079" s="985">
        <v>1.0031</v>
      </c>
      <c r="AL1079" s="986">
        <v>3800.0</v>
      </c>
      <c r="AM1079" s="987">
        <v>-0.16771044779379873</v>
      </c>
      <c r="AN1079" s="988">
        <v>0.0031000000000001027</v>
      </c>
      <c r="AO1079" s="986">
        <v>3800.0</v>
      </c>
      <c r="AP1079" s="989">
        <v>-0.1640991580324811</v>
      </c>
      <c r="AQ1079" s="986">
        <v>3800.0</v>
      </c>
      <c r="AR1079" s="990">
        <v>-0.16063968529839712</v>
      </c>
      <c r="AS1079" s="624"/>
      <c r="AT1079" s="624"/>
      <c r="AU1079" s="624"/>
      <c r="AV1079" s="624"/>
      <c r="AW1079" s="624"/>
      <c r="AX1079" s="624"/>
      <c r="AY1079" s="624"/>
      <c r="AZ1079" s="624"/>
      <c r="BA1079" s="624"/>
      <c r="BB1079" s="624"/>
      <c r="BC1079" s="624"/>
      <c r="BD1079" s="624"/>
      <c r="BE1079" s="624"/>
    </row>
    <row r="1080" ht="16.5" customHeight="1">
      <c r="A1080" s="711"/>
      <c r="B1080" s="711"/>
      <c r="C1080" s="711"/>
      <c r="D1080" s="711"/>
      <c r="E1080" s="711"/>
      <c r="F1080" s="711"/>
      <c r="G1080" s="711"/>
      <c r="H1080" s="711"/>
      <c r="I1080" s="711"/>
      <c r="J1080" s="711"/>
      <c r="K1080" s="741"/>
      <c r="L1080" s="741"/>
      <c r="M1080" s="788"/>
      <c r="N1080" s="741"/>
      <c r="O1080" s="741"/>
      <c r="P1080" s="741"/>
      <c r="Q1080" s="741"/>
      <c r="R1080" s="788"/>
      <c r="S1080" s="819"/>
      <c r="T1080" s="820"/>
      <c r="U1080" s="819"/>
      <c r="V1080" s="820"/>
      <c r="W1080" s="788"/>
      <c r="X1080" s="803"/>
      <c r="Y1080" s="803"/>
      <c r="Z1080" s="803"/>
      <c r="AA1080" s="711"/>
      <c r="AB1080" s="711"/>
      <c r="AC1080" s="711"/>
      <c r="AD1080" s="736"/>
      <c r="AE1080" s="736"/>
      <c r="AF1080" s="624"/>
      <c r="AG1080" s="624"/>
      <c r="AH1080" s="624"/>
      <c r="AI1080" s="624"/>
      <c r="AJ1080" s="984"/>
      <c r="AK1080" s="985">
        <v>1.0049</v>
      </c>
      <c r="AL1080" s="986">
        <v>3772.0</v>
      </c>
      <c r="AM1080" s="987">
        <v>-0.1665838837453547</v>
      </c>
      <c r="AN1080" s="988">
        <v>0.004899999999999904</v>
      </c>
      <c r="AO1080" s="986">
        <v>3772.0</v>
      </c>
      <c r="AP1080" s="989">
        <v>-0.16299440866164583</v>
      </c>
      <c r="AQ1080" s="986">
        <v>3772.0</v>
      </c>
      <c r="AR1080" s="990">
        <v>-0.1595559406913346</v>
      </c>
      <c r="AS1080" s="624"/>
      <c r="AT1080" s="624"/>
      <c r="AU1080" s="624"/>
      <c r="AV1080" s="624"/>
      <c r="AW1080" s="624"/>
      <c r="AX1080" s="624"/>
      <c r="AY1080" s="624"/>
      <c r="AZ1080" s="624"/>
      <c r="BA1080" s="624"/>
      <c r="BB1080" s="624"/>
      <c r="BC1080" s="624"/>
      <c r="BD1080" s="624"/>
      <c r="BE1080" s="624"/>
    </row>
    <row r="1081" ht="16.5" customHeight="1">
      <c r="A1081" s="711"/>
      <c r="B1081" s="711"/>
      <c r="C1081" s="711"/>
      <c r="D1081" s="711"/>
      <c r="E1081" s="711"/>
      <c r="F1081" s="711"/>
      <c r="G1081" s="711"/>
      <c r="H1081" s="711"/>
      <c r="I1081" s="711"/>
      <c r="J1081" s="711"/>
      <c r="K1081" s="741"/>
      <c r="L1081" s="741"/>
      <c r="M1081" s="788"/>
      <c r="N1081" s="741"/>
      <c r="O1081" s="741"/>
      <c r="P1081" s="741"/>
      <c r="Q1081" s="741"/>
      <c r="R1081" s="788"/>
      <c r="S1081" s="819"/>
      <c r="T1081" s="820"/>
      <c r="U1081" s="819"/>
      <c r="V1081" s="820"/>
      <c r="W1081" s="788"/>
      <c r="X1081" s="803"/>
      <c r="Y1081" s="803"/>
      <c r="Z1081" s="803"/>
      <c r="AA1081" s="711"/>
      <c r="AB1081" s="711"/>
      <c r="AC1081" s="711"/>
      <c r="AD1081" s="736"/>
      <c r="AE1081" s="736"/>
      <c r="AF1081" s="624"/>
      <c r="AG1081" s="624"/>
      <c r="AH1081" s="624"/>
      <c r="AI1081" s="624"/>
      <c r="AJ1081" s="984"/>
      <c r="AK1081" s="985">
        <v>0.9766</v>
      </c>
      <c r="AL1081" s="986">
        <v>3700.0</v>
      </c>
      <c r="AM1081" s="987">
        <v>-0.16367999777131725</v>
      </c>
      <c r="AN1081" s="988">
        <v>-0.023399999999999976</v>
      </c>
      <c r="AO1081" s="986">
        <v>3700.0</v>
      </c>
      <c r="AP1081" s="989">
        <v>-0.16014691553407134</v>
      </c>
      <c r="AQ1081" s="986">
        <v>3700.0</v>
      </c>
      <c r="AR1081" s="990">
        <v>-0.15676273922052397</v>
      </c>
      <c r="AS1081" s="624"/>
      <c r="AT1081" s="624"/>
      <c r="AU1081" s="624"/>
      <c r="AV1081" s="624"/>
      <c r="AW1081" s="624"/>
      <c r="AX1081" s="624"/>
      <c r="AY1081" s="624"/>
      <c r="AZ1081" s="624"/>
      <c r="BA1081" s="624"/>
      <c r="BB1081" s="624"/>
      <c r="BC1081" s="624"/>
      <c r="BD1081" s="624"/>
      <c r="BE1081" s="624"/>
    </row>
    <row r="1082" ht="16.5" customHeight="1">
      <c r="A1082" s="711"/>
      <c r="B1082" s="711"/>
      <c r="C1082" s="711"/>
      <c r="D1082" s="711"/>
      <c r="E1082" s="711"/>
      <c r="F1082" s="711"/>
      <c r="G1082" s="711"/>
      <c r="H1082" s="711"/>
      <c r="I1082" s="711"/>
      <c r="J1082" s="711"/>
      <c r="K1082" s="741"/>
      <c r="L1082" s="741"/>
      <c r="M1082" s="788"/>
      <c r="N1082" s="741"/>
      <c r="O1082" s="741"/>
      <c r="P1082" s="741"/>
      <c r="Q1082" s="741"/>
      <c r="R1082" s="788"/>
      <c r="S1082" s="819"/>
      <c r="T1082" s="820"/>
      <c r="U1082" s="819"/>
      <c r="V1082" s="820"/>
      <c r="W1082" s="788"/>
      <c r="X1082" s="803"/>
      <c r="Y1082" s="803"/>
      <c r="Z1082" s="803"/>
      <c r="AA1082" s="711"/>
      <c r="AB1082" s="711"/>
      <c r="AC1082" s="711"/>
      <c r="AD1082" s="736"/>
      <c r="AE1082" s="736"/>
      <c r="AF1082" s="624"/>
      <c r="AG1082" s="624"/>
      <c r="AH1082" s="624"/>
      <c r="AI1082" s="624"/>
      <c r="AJ1082" s="984"/>
      <c r="AK1082" s="985">
        <v>1.0029</v>
      </c>
      <c r="AL1082" s="986">
        <v>3655.0</v>
      </c>
      <c r="AM1082" s="987">
        <v>-0.1618599331956767</v>
      </c>
      <c r="AN1082" s="988">
        <v>0.0028999999999999027</v>
      </c>
      <c r="AO1082" s="986">
        <v>3655.0</v>
      </c>
      <c r="AP1082" s="989">
        <v>-0.15836231515179222</v>
      </c>
      <c r="AQ1082" s="986">
        <v>3655.0</v>
      </c>
      <c r="AR1082" s="990">
        <v>-0.15501227615409074</v>
      </c>
      <c r="AS1082" s="624"/>
      <c r="AT1082" s="624"/>
      <c r="AU1082" s="624"/>
      <c r="AV1082" s="624"/>
      <c r="AW1082" s="624"/>
      <c r="AX1082" s="624"/>
      <c r="AY1082" s="624"/>
      <c r="AZ1082" s="624"/>
      <c r="BA1082" s="624"/>
      <c r="BB1082" s="624"/>
      <c r="BC1082" s="624"/>
      <c r="BD1082" s="624"/>
      <c r="BE1082" s="624"/>
    </row>
    <row r="1083" ht="16.5" customHeight="1">
      <c r="A1083" s="711"/>
      <c r="B1083" s="711"/>
      <c r="C1083" s="711"/>
      <c r="D1083" s="711"/>
      <c r="E1083" s="711"/>
      <c r="F1083" s="711"/>
      <c r="G1083" s="711"/>
      <c r="H1083" s="711"/>
      <c r="I1083" s="711"/>
      <c r="J1083" s="711"/>
      <c r="K1083" s="741"/>
      <c r="L1083" s="741"/>
      <c r="M1083" s="788"/>
      <c r="N1083" s="741"/>
      <c r="O1083" s="741"/>
      <c r="P1083" s="741"/>
      <c r="Q1083" s="741"/>
      <c r="R1083" s="788"/>
      <c r="S1083" s="819"/>
      <c r="T1083" s="820"/>
      <c r="U1083" s="819"/>
      <c r="V1083" s="820"/>
      <c r="W1083" s="788"/>
      <c r="X1083" s="803"/>
      <c r="Y1083" s="803"/>
      <c r="Z1083" s="803"/>
      <c r="AA1083" s="711"/>
      <c r="AB1083" s="711"/>
      <c r="AC1083" s="711"/>
      <c r="AD1083" s="736"/>
      <c r="AE1083" s="736"/>
      <c r="AF1083" s="624"/>
      <c r="AG1083" s="624"/>
      <c r="AH1083" s="624"/>
      <c r="AI1083" s="624"/>
      <c r="AJ1083" s="984"/>
      <c r="AK1083" s="985">
        <v>1.0</v>
      </c>
      <c r="AL1083" s="986">
        <v>3600.0</v>
      </c>
      <c r="AM1083" s="987">
        <v>-0.15963002986910202</v>
      </c>
      <c r="AN1083" s="988">
        <v>0.0</v>
      </c>
      <c r="AO1083" s="986">
        <v>3600.0</v>
      </c>
      <c r="AP1083" s="989">
        <v>-0.15617598634463092</v>
      </c>
      <c r="AQ1083" s="986">
        <v>3600.0</v>
      </c>
      <c r="AR1083" s="990">
        <v>-0.15286788580223032</v>
      </c>
      <c r="AS1083" s="624"/>
      <c r="AT1083" s="624"/>
      <c r="AU1083" s="624"/>
      <c r="AV1083" s="624"/>
      <c r="AW1083" s="624"/>
      <c r="AX1083" s="624"/>
      <c r="AY1083" s="624"/>
      <c r="AZ1083" s="624"/>
      <c r="BA1083" s="624"/>
      <c r="BB1083" s="624"/>
      <c r="BC1083" s="624"/>
      <c r="BD1083" s="624"/>
      <c r="BE1083" s="624"/>
    </row>
    <row r="1084" ht="16.5" customHeight="1">
      <c r="A1084" s="711"/>
      <c r="B1084" s="711"/>
      <c r="C1084" s="711"/>
      <c r="D1084" s="711"/>
      <c r="E1084" s="711"/>
      <c r="F1084" s="711"/>
      <c r="G1084" s="711"/>
      <c r="H1084" s="711"/>
      <c r="I1084" s="711"/>
      <c r="J1084" s="711"/>
      <c r="K1084" s="741"/>
      <c r="L1084" s="741"/>
      <c r="M1084" s="788"/>
      <c r="N1084" s="741"/>
      <c r="O1084" s="741"/>
      <c r="P1084" s="741"/>
      <c r="Q1084" s="741"/>
      <c r="R1084" s="788"/>
      <c r="S1084" s="819"/>
      <c r="T1084" s="820"/>
      <c r="U1084" s="819"/>
      <c r="V1084" s="820"/>
      <c r="W1084" s="788"/>
      <c r="X1084" s="803"/>
      <c r="Y1084" s="803"/>
      <c r="Z1084" s="803"/>
      <c r="AA1084" s="711"/>
      <c r="AB1084" s="711"/>
      <c r="AC1084" s="711"/>
      <c r="AD1084" s="736"/>
      <c r="AE1084" s="736"/>
      <c r="AF1084" s="624"/>
      <c r="AG1084" s="624"/>
      <c r="AH1084" s="624"/>
      <c r="AI1084" s="624"/>
      <c r="AJ1084" s="984"/>
      <c r="AK1084" s="985">
        <v>1.0154</v>
      </c>
      <c r="AL1084" s="986">
        <v>3567.0</v>
      </c>
      <c r="AM1084" s="987">
        <v>-0.158289241166212</v>
      </c>
      <c r="AN1084" s="988">
        <v>0.01540000000000008</v>
      </c>
      <c r="AO1084" s="986">
        <v>3567.0</v>
      </c>
      <c r="AP1084" s="989">
        <v>-0.15486146387083743</v>
      </c>
      <c r="AQ1084" s="986">
        <v>3567.0</v>
      </c>
      <c r="AR1084" s="990">
        <v>-0.15157864032170976</v>
      </c>
      <c r="AS1084" s="624"/>
      <c r="AT1084" s="624"/>
      <c r="AU1084" s="624"/>
      <c r="AV1084" s="624"/>
      <c r="AW1084" s="624"/>
      <c r="AX1084" s="624"/>
      <c r="AY1084" s="624"/>
      <c r="AZ1084" s="624"/>
      <c r="BA1084" s="624"/>
      <c r="BB1084" s="624"/>
      <c r="BC1084" s="624"/>
      <c r="BD1084" s="624"/>
      <c r="BE1084" s="624"/>
    </row>
    <row r="1085" ht="16.5" customHeight="1">
      <c r="A1085" s="711"/>
      <c r="B1085" s="711"/>
      <c r="C1085" s="711"/>
      <c r="D1085" s="711"/>
      <c r="E1085" s="711"/>
      <c r="F1085" s="711"/>
      <c r="G1085" s="711"/>
      <c r="H1085" s="711"/>
      <c r="I1085" s="711"/>
      <c r="J1085" s="711"/>
      <c r="K1085" s="741"/>
      <c r="L1085" s="741"/>
      <c r="M1085" s="788"/>
      <c r="N1085" s="741"/>
      <c r="O1085" s="741"/>
      <c r="P1085" s="741"/>
      <c r="Q1085" s="741"/>
      <c r="R1085" s="788"/>
      <c r="S1085" s="819"/>
      <c r="T1085" s="820"/>
      <c r="U1085" s="819"/>
      <c r="V1085" s="820"/>
      <c r="W1085" s="788"/>
      <c r="X1085" s="803"/>
      <c r="Y1085" s="803"/>
      <c r="Z1085" s="803"/>
      <c r="AA1085" s="711"/>
      <c r="AB1085" s="711"/>
      <c r="AC1085" s="711"/>
      <c r="AD1085" s="736"/>
      <c r="AE1085" s="736"/>
      <c r="AF1085" s="624"/>
      <c r="AG1085" s="624"/>
      <c r="AH1085" s="624"/>
      <c r="AI1085" s="624"/>
      <c r="AJ1085" s="984"/>
      <c r="AK1085" s="985">
        <v>1.0052</v>
      </c>
      <c r="AL1085" s="986">
        <v>3503.0</v>
      </c>
      <c r="AM1085" s="987">
        <v>-0.15568282324542848</v>
      </c>
      <c r="AN1085" s="988">
        <v>0.0052000000000000934</v>
      </c>
      <c r="AO1085" s="986">
        <v>3503.0</v>
      </c>
      <c r="AP1085" s="989">
        <v>-0.1523062472621981</v>
      </c>
      <c r="AQ1085" s="986">
        <v>3503.0</v>
      </c>
      <c r="AR1085" s="990">
        <v>-0.14907269018317804</v>
      </c>
      <c r="AS1085" s="624"/>
      <c r="AT1085" s="624"/>
      <c r="AU1085" s="624"/>
      <c r="AV1085" s="624"/>
      <c r="AW1085" s="624"/>
      <c r="AX1085" s="624"/>
      <c r="AY1085" s="624"/>
      <c r="AZ1085" s="624"/>
      <c r="BA1085" s="624"/>
      <c r="BB1085" s="624"/>
      <c r="BC1085" s="624"/>
      <c r="BD1085" s="624"/>
      <c r="BE1085" s="624"/>
    </row>
    <row r="1086" ht="16.5" customHeight="1">
      <c r="A1086" s="711"/>
      <c r="B1086" s="711"/>
      <c r="C1086" s="711"/>
      <c r="D1086" s="711"/>
      <c r="E1086" s="711"/>
      <c r="F1086" s="711"/>
      <c r="G1086" s="711"/>
      <c r="H1086" s="711"/>
      <c r="I1086" s="711"/>
      <c r="J1086" s="711"/>
      <c r="K1086" s="741"/>
      <c r="L1086" s="741"/>
      <c r="M1086" s="788"/>
      <c r="N1086" s="741"/>
      <c r="O1086" s="741"/>
      <c r="P1086" s="741"/>
      <c r="Q1086" s="741"/>
      <c r="R1086" s="788"/>
      <c r="S1086" s="819"/>
      <c r="T1086" s="820"/>
      <c r="U1086" s="819"/>
      <c r="V1086" s="820"/>
      <c r="W1086" s="788"/>
      <c r="X1086" s="803"/>
      <c r="Y1086" s="803"/>
      <c r="Z1086" s="803"/>
      <c r="AA1086" s="711"/>
      <c r="AB1086" s="711"/>
      <c r="AC1086" s="711"/>
      <c r="AD1086" s="736"/>
      <c r="AE1086" s="736"/>
      <c r="AF1086" s="624"/>
      <c r="AG1086" s="624"/>
      <c r="AH1086" s="624"/>
      <c r="AI1086" s="624"/>
      <c r="AJ1086" s="984"/>
      <c r="AK1086" s="985">
        <v>0.9929</v>
      </c>
      <c r="AL1086" s="986">
        <v>3436.0</v>
      </c>
      <c r="AM1086" s="987">
        <v>-0.15294558174947748</v>
      </c>
      <c r="AN1086" s="988">
        <v>-0.007099999999999995</v>
      </c>
      <c r="AO1086" s="986">
        <v>3436.0</v>
      </c>
      <c r="AP1086" s="989">
        <v>-0.14962297727963314</v>
      </c>
      <c r="AQ1086" s="986">
        <v>3436.0</v>
      </c>
      <c r="AR1086" s="990">
        <v>-0.14644134296990874</v>
      </c>
      <c r="AS1086" s="624"/>
      <c r="AT1086" s="624"/>
      <c r="AU1086" s="624"/>
      <c r="AV1086" s="624"/>
      <c r="AW1086" s="624"/>
      <c r="AX1086" s="624"/>
      <c r="AY1086" s="624"/>
      <c r="AZ1086" s="624"/>
      <c r="BA1086" s="624"/>
      <c r="BB1086" s="624"/>
      <c r="BC1086" s="624"/>
      <c r="BD1086" s="624"/>
      <c r="BE1086" s="624"/>
    </row>
    <row r="1087" ht="16.5" customHeight="1">
      <c r="A1087" s="711"/>
      <c r="B1087" s="711"/>
      <c r="C1087" s="711"/>
      <c r="D1087" s="711"/>
      <c r="E1087" s="711"/>
      <c r="F1087" s="711"/>
      <c r="G1087" s="711"/>
      <c r="H1087" s="711"/>
      <c r="I1087" s="711"/>
      <c r="J1087" s="711"/>
      <c r="K1087" s="741"/>
      <c r="L1087" s="741"/>
      <c r="M1087" s="788"/>
      <c r="N1087" s="741"/>
      <c r="O1087" s="741"/>
      <c r="P1087" s="741"/>
      <c r="Q1087" s="741"/>
      <c r="R1087" s="788"/>
      <c r="S1087" s="819"/>
      <c r="T1087" s="820"/>
      <c r="U1087" s="819"/>
      <c r="V1087" s="820"/>
      <c r="W1087" s="788"/>
      <c r="X1087" s="803"/>
      <c r="Y1087" s="803"/>
      <c r="Z1087" s="803"/>
      <c r="AA1087" s="711"/>
      <c r="AB1087" s="711"/>
      <c r="AC1087" s="711"/>
      <c r="AD1087" s="736"/>
      <c r="AE1087" s="736"/>
      <c r="AF1087" s="624"/>
      <c r="AG1087" s="624"/>
      <c r="AH1087" s="624"/>
      <c r="AI1087" s="624"/>
      <c r="AJ1087" s="984"/>
      <c r="AK1087" s="985">
        <v>0.9974</v>
      </c>
      <c r="AL1087" s="986">
        <v>3434.0</v>
      </c>
      <c r="AM1087" s="987">
        <v>-0.15286373678908416</v>
      </c>
      <c r="AN1087" s="988">
        <v>-0.0026000000000000467</v>
      </c>
      <c r="AO1087" s="986">
        <v>3434.0</v>
      </c>
      <c r="AP1087" s="989">
        <v>-0.1495427492479251</v>
      </c>
      <c r="AQ1087" s="986">
        <v>3434.0</v>
      </c>
      <c r="AR1087" s="990">
        <v>-0.14636267034384987</v>
      </c>
      <c r="AS1087" s="624"/>
      <c r="AT1087" s="624"/>
      <c r="AU1087" s="624"/>
      <c r="AV1087" s="624"/>
      <c r="AW1087" s="624"/>
      <c r="AX1087" s="624"/>
      <c r="AY1087" s="624"/>
      <c r="AZ1087" s="624"/>
      <c r="BA1087" s="624"/>
      <c r="BB1087" s="624"/>
      <c r="BC1087" s="624"/>
      <c r="BD1087" s="624"/>
      <c r="BE1087" s="624"/>
    </row>
    <row r="1088" ht="16.5" customHeight="1">
      <c r="A1088" s="711"/>
      <c r="B1088" s="711"/>
      <c r="C1088" s="711"/>
      <c r="D1088" s="711"/>
      <c r="E1088" s="711"/>
      <c r="F1088" s="711"/>
      <c r="G1088" s="711"/>
      <c r="H1088" s="711"/>
      <c r="I1088" s="711"/>
      <c r="J1088" s="711"/>
      <c r="K1088" s="741"/>
      <c r="L1088" s="741"/>
      <c r="M1088" s="788"/>
      <c r="N1088" s="741"/>
      <c r="O1088" s="741"/>
      <c r="P1088" s="741"/>
      <c r="Q1088" s="741"/>
      <c r="R1088" s="788"/>
      <c r="S1088" s="819"/>
      <c r="T1088" s="820"/>
      <c r="U1088" s="819"/>
      <c r="V1088" s="820"/>
      <c r="W1088" s="788"/>
      <c r="X1088" s="803"/>
      <c r="Y1088" s="803"/>
      <c r="Z1088" s="803"/>
      <c r="AA1088" s="711"/>
      <c r="AB1088" s="711"/>
      <c r="AC1088" s="711"/>
      <c r="AD1088" s="736"/>
      <c r="AE1088" s="736"/>
      <c r="AF1088" s="624"/>
      <c r="AG1088" s="624"/>
      <c r="AH1088" s="624"/>
      <c r="AI1088" s="624"/>
      <c r="AJ1088" s="984"/>
      <c r="AK1088" s="985">
        <v>0.991</v>
      </c>
      <c r="AL1088" s="986">
        <v>3431.0</v>
      </c>
      <c r="AM1088" s="987">
        <v>-0.15274095452055336</v>
      </c>
      <c r="AN1088" s="988">
        <v>-0.009000000000000008</v>
      </c>
      <c r="AO1088" s="986">
        <v>3431.0</v>
      </c>
      <c r="AP1088" s="989">
        <v>-0.14942239300819127</v>
      </c>
      <c r="AQ1088" s="986">
        <v>3431.0</v>
      </c>
      <c r="AR1088" s="990">
        <v>-0.14624464780842628</v>
      </c>
      <c r="AS1088" s="624"/>
      <c r="AT1088" s="624"/>
      <c r="AU1088" s="624"/>
      <c r="AV1088" s="624"/>
      <c r="AW1088" s="624"/>
      <c r="AX1088" s="624"/>
      <c r="AY1088" s="624"/>
      <c r="AZ1088" s="624"/>
      <c r="BA1088" s="624"/>
      <c r="BB1088" s="624"/>
      <c r="BC1088" s="624"/>
      <c r="BD1088" s="624"/>
      <c r="BE1088" s="624"/>
    </row>
    <row r="1089" ht="16.5" customHeight="1">
      <c r="A1089" s="711"/>
      <c r="B1089" s="711"/>
      <c r="C1089" s="711"/>
      <c r="D1089" s="711"/>
      <c r="E1089" s="711"/>
      <c r="F1089" s="711"/>
      <c r="G1089" s="711"/>
      <c r="H1089" s="711"/>
      <c r="I1089" s="711"/>
      <c r="J1089" s="711"/>
      <c r="K1089" s="741"/>
      <c r="L1089" s="741"/>
      <c r="M1089" s="788"/>
      <c r="N1089" s="741"/>
      <c r="O1089" s="741"/>
      <c r="P1089" s="741"/>
      <c r="Q1089" s="741"/>
      <c r="R1089" s="788"/>
      <c r="S1089" s="819"/>
      <c r="T1089" s="820"/>
      <c r="U1089" s="819"/>
      <c r="V1089" s="820"/>
      <c r="W1089" s="788"/>
      <c r="X1089" s="803"/>
      <c r="Y1089" s="803"/>
      <c r="Z1089" s="803"/>
      <c r="AA1089" s="711"/>
      <c r="AB1089" s="711"/>
      <c r="AC1089" s="711"/>
      <c r="AD1089" s="736"/>
      <c r="AE1089" s="736"/>
      <c r="AF1089" s="624"/>
      <c r="AG1089" s="624"/>
      <c r="AH1089" s="624"/>
      <c r="AI1089" s="624"/>
      <c r="AJ1089" s="984"/>
      <c r="AK1089" s="985">
        <v>1.0177</v>
      </c>
      <c r="AL1089" s="986">
        <v>3400.0</v>
      </c>
      <c r="AM1089" s="987">
        <v>-0.15147116189818688</v>
      </c>
      <c r="AN1089" s="988">
        <v>0.01770000000000005</v>
      </c>
      <c r="AO1089" s="986">
        <v>3400.0</v>
      </c>
      <c r="AP1089" s="989">
        <v>-0.1481777140629741</v>
      </c>
      <c r="AQ1089" s="986">
        <v>3400.0</v>
      </c>
      <c r="AR1089" s="990">
        <v>-0.14502412571136936</v>
      </c>
      <c r="AS1089" s="624"/>
      <c r="AT1089" s="624"/>
      <c r="AU1089" s="624"/>
      <c r="AV1089" s="624"/>
      <c r="AW1089" s="624"/>
      <c r="AX1089" s="624"/>
      <c r="AY1089" s="624"/>
      <c r="AZ1089" s="624"/>
      <c r="BA1089" s="624"/>
      <c r="BB1089" s="624"/>
      <c r="BC1089" s="624"/>
      <c r="BD1089" s="624"/>
      <c r="BE1089" s="624"/>
    </row>
    <row r="1090" ht="16.5" customHeight="1">
      <c r="A1090" s="711"/>
      <c r="B1090" s="711"/>
      <c r="C1090" s="711"/>
      <c r="D1090" s="711"/>
      <c r="E1090" s="711"/>
      <c r="F1090" s="711"/>
      <c r="G1090" s="711"/>
      <c r="H1090" s="711"/>
      <c r="I1090" s="711"/>
      <c r="J1090" s="711"/>
      <c r="K1090" s="741"/>
      <c r="L1090" s="741"/>
      <c r="M1090" s="788"/>
      <c r="N1090" s="741"/>
      <c r="O1090" s="741"/>
      <c r="P1090" s="741"/>
      <c r="Q1090" s="741"/>
      <c r="R1090" s="788"/>
      <c r="S1090" s="819"/>
      <c r="T1090" s="820"/>
      <c r="U1090" s="819"/>
      <c r="V1090" s="820"/>
      <c r="W1090" s="788"/>
      <c r="X1090" s="803"/>
      <c r="Y1090" s="803"/>
      <c r="Z1090" s="803"/>
      <c r="AA1090" s="711"/>
      <c r="AB1090" s="711"/>
      <c r="AC1090" s="711"/>
      <c r="AD1090" s="736"/>
      <c r="AE1090" s="736"/>
      <c r="AF1090" s="624"/>
      <c r="AG1090" s="624"/>
      <c r="AH1090" s="624"/>
      <c r="AI1090" s="624"/>
      <c r="AJ1090" s="984"/>
      <c r="AK1090" s="985">
        <v>1.0059</v>
      </c>
      <c r="AL1090" s="986">
        <v>3323.0</v>
      </c>
      <c r="AM1090" s="987">
        <v>-0.14830892077072355</v>
      </c>
      <c r="AN1090" s="988">
        <v>0.005900000000000016</v>
      </c>
      <c r="AO1090" s="986">
        <v>3323.0</v>
      </c>
      <c r="AP1090" s="989">
        <v>-0.14507820581542108</v>
      </c>
      <c r="AQ1090" s="986">
        <v>3323.0</v>
      </c>
      <c r="AR1090" s="990">
        <v>-0.1419849514565007</v>
      </c>
      <c r="AS1090" s="624"/>
      <c r="AT1090" s="624"/>
      <c r="AU1090" s="624"/>
      <c r="AV1090" s="624"/>
      <c r="AW1090" s="624"/>
      <c r="AX1090" s="624"/>
      <c r="AY1090" s="624"/>
      <c r="AZ1090" s="624"/>
      <c r="BA1090" s="624"/>
      <c r="BB1090" s="624"/>
      <c r="BC1090" s="624"/>
      <c r="BD1090" s="624"/>
      <c r="BE1090" s="624"/>
    </row>
    <row r="1091" ht="16.5" customHeight="1">
      <c r="A1091" s="711"/>
      <c r="B1091" s="711"/>
      <c r="C1091" s="711"/>
      <c r="D1091" s="711"/>
      <c r="E1091" s="711"/>
      <c r="F1091" s="711"/>
      <c r="G1091" s="711"/>
      <c r="H1091" s="711"/>
      <c r="I1091" s="711"/>
      <c r="J1091" s="711"/>
      <c r="K1091" s="741"/>
      <c r="L1091" s="741"/>
      <c r="M1091" s="788"/>
      <c r="N1091" s="741"/>
      <c r="O1091" s="741"/>
      <c r="P1091" s="741"/>
      <c r="Q1091" s="741"/>
      <c r="R1091" s="788"/>
      <c r="S1091" s="819"/>
      <c r="T1091" s="820"/>
      <c r="U1091" s="819"/>
      <c r="V1091" s="820"/>
      <c r="W1091" s="788"/>
      <c r="X1091" s="803"/>
      <c r="Y1091" s="803"/>
      <c r="Z1091" s="803"/>
      <c r="AA1091" s="711"/>
      <c r="AB1091" s="711"/>
      <c r="AC1091" s="711"/>
      <c r="AD1091" s="736"/>
      <c r="AE1091" s="736"/>
      <c r="AF1091" s="624"/>
      <c r="AG1091" s="624"/>
      <c r="AH1091" s="624"/>
      <c r="AI1091" s="624"/>
      <c r="AJ1091" s="984"/>
      <c r="AK1091" s="985">
        <v>0.9951</v>
      </c>
      <c r="AL1091" s="986">
        <v>3272.0</v>
      </c>
      <c r="AM1091" s="987">
        <v>-0.1462079643731541</v>
      </c>
      <c r="AN1091" s="988">
        <v>-0.0049000000000000155</v>
      </c>
      <c r="AO1091" s="986">
        <v>3272.0</v>
      </c>
      <c r="AP1091" s="989">
        <v>-0.1430190785420129</v>
      </c>
      <c r="AQ1091" s="986">
        <v>3272.0</v>
      </c>
      <c r="AR1091" s="990">
        <v>-0.1399660468769287</v>
      </c>
      <c r="AS1091" s="624"/>
      <c r="AT1091" s="624"/>
      <c r="AU1091" s="624"/>
      <c r="AV1091" s="624"/>
      <c r="AW1091" s="624"/>
      <c r="AX1091" s="624"/>
      <c r="AY1091" s="624"/>
      <c r="AZ1091" s="624"/>
      <c r="BA1091" s="624"/>
      <c r="BB1091" s="624"/>
      <c r="BC1091" s="624"/>
      <c r="BD1091" s="624"/>
      <c r="BE1091" s="624"/>
    </row>
    <row r="1092" ht="16.5" customHeight="1">
      <c r="A1092" s="711"/>
      <c r="B1092" s="711"/>
      <c r="C1092" s="711"/>
      <c r="D1092" s="711"/>
      <c r="E1092" s="711"/>
      <c r="F1092" s="711"/>
      <c r="G1092" s="711"/>
      <c r="H1092" s="711"/>
      <c r="I1092" s="711"/>
      <c r="J1092" s="711"/>
      <c r="K1092" s="741"/>
      <c r="L1092" s="741"/>
      <c r="M1092" s="788"/>
      <c r="N1092" s="741"/>
      <c r="O1092" s="741"/>
      <c r="P1092" s="741"/>
      <c r="Q1092" s="741"/>
      <c r="R1092" s="788"/>
      <c r="S1092" s="819"/>
      <c r="T1092" s="820"/>
      <c r="U1092" s="819"/>
      <c r="V1092" s="820"/>
      <c r="W1092" s="788"/>
      <c r="X1092" s="803"/>
      <c r="Y1092" s="803"/>
      <c r="Z1092" s="803"/>
      <c r="AA1092" s="711"/>
      <c r="AB1092" s="711"/>
      <c r="AC1092" s="711"/>
      <c r="AD1092" s="736"/>
      <c r="AE1092" s="736"/>
      <c r="AF1092" s="624"/>
      <c r="AG1092" s="624"/>
      <c r="AH1092" s="624"/>
      <c r="AI1092" s="624"/>
      <c r="AJ1092" s="984"/>
      <c r="AK1092" s="985">
        <v>1.0</v>
      </c>
      <c r="AL1092" s="986">
        <v>3272.0</v>
      </c>
      <c r="AM1092" s="987">
        <v>-0.1462079643731541</v>
      </c>
      <c r="AN1092" s="988">
        <v>0.0</v>
      </c>
      <c r="AO1092" s="986">
        <v>3272.0</v>
      </c>
      <c r="AP1092" s="989">
        <v>-0.1430190785420129</v>
      </c>
      <c r="AQ1092" s="986">
        <v>3272.0</v>
      </c>
      <c r="AR1092" s="990">
        <v>-0.1399660468769287</v>
      </c>
      <c r="AS1092" s="624"/>
      <c r="AT1092" s="624"/>
      <c r="AU1092" s="624"/>
      <c r="AV1092" s="624"/>
      <c r="AW1092" s="624"/>
      <c r="AX1092" s="624"/>
      <c r="AY1092" s="624"/>
      <c r="AZ1092" s="624"/>
      <c r="BA1092" s="624"/>
      <c r="BB1092" s="624"/>
      <c r="BC1092" s="624"/>
      <c r="BD1092" s="624"/>
      <c r="BE1092" s="624"/>
    </row>
    <row r="1093" ht="16.5" customHeight="1">
      <c r="A1093" s="711"/>
      <c r="B1093" s="711"/>
      <c r="C1093" s="711"/>
      <c r="D1093" s="711"/>
      <c r="E1093" s="711"/>
      <c r="F1093" s="711"/>
      <c r="G1093" s="711"/>
      <c r="H1093" s="711"/>
      <c r="I1093" s="711"/>
      <c r="J1093" s="711"/>
      <c r="K1093" s="741"/>
      <c r="L1093" s="741"/>
      <c r="M1093" s="788"/>
      <c r="N1093" s="741"/>
      <c r="O1093" s="741"/>
      <c r="P1093" s="741"/>
      <c r="Q1093" s="741"/>
      <c r="R1093" s="788"/>
      <c r="S1093" s="819"/>
      <c r="T1093" s="820"/>
      <c r="U1093" s="819"/>
      <c r="V1093" s="820"/>
      <c r="W1093" s="788"/>
      <c r="X1093" s="803"/>
      <c r="Y1093" s="803"/>
      <c r="Z1093" s="803"/>
      <c r="AA1093" s="711"/>
      <c r="AB1093" s="711"/>
      <c r="AC1093" s="711"/>
      <c r="AD1093" s="736"/>
      <c r="AE1093" s="736"/>
      <c r="AF1093" s="624"/>
      <c r="AG1093" s="624"/>
      <c r="AH1093" s="624"/>
      <c r="AI1093" s="624"/>
      <c r="AJ1093" s="984"/>
      <c r="AK1093" s="985">
        <v>1.0074</v>
      </c>
      <c r="AL1093" s="986">
        <v>3219.0</v>
      </c>
      <c r="AM1093" s="987">
        <v>-0.1440191258535023</v>
      </c>
      <c r="AN1093" s="988">
        <v>0.007400000000000073</v>
      </c>
      <c r="AO1093" s="986">
        <v>3219.0</v>
      </c>
      <c r="AP1093" s="989">
        <v>-0.14087394593987168</v>
      </c>
      <c r="AQ1093" s="986">
        <v>3219.0</v>
      </c>
      <c r="AR1093" s="990">
        <v>-0.13786293585061826</v>
      </c>
      <c r="AS1093" s="624"/>
      <c r="AT1093" s="624"/>
      <c r="AU1093" s="624"/>
      <c r="AV1093" s="624"/>
      <c r="AW1093" s="624"/>
      <c r="AX1093" s="624"/>
      <c r="AY1093" s="624"/>
      <c r="AZ1093" s="624"/>
      <c r="BA1093" s="624"/>
      <c r="BB1093" s="624"/>
      <c r="BC1093" s="624"/>
      <c r="BD1093" s="624"/>
      <c r="BE1093" s="624"/>
    </row>
    <row r="1094" ht="16.5" customHeight="1">
      <c r="A1094" s="711"/>
      <c r="B1094" s="711"/>
      <c r="C1094" s="711"/>
      <c r="D1094" s="711"/>
      <c r="E1094" s="711"/>
      <c r="F1094" s="711"/>
      <c r="G1094" s="711"/>
      <c r="H1094" s="711"/>
      <c r="I1094" s="711"/>
      <c r="J1094" s="711"/>
      <c r="K1094" s="741"/>
      <c r="L1094" s="741"/>
      <c r="M1094" s="788"/>
      <c r="N1094" s="741"/>
      <c r="O1094" s="741"/>
      <c r="P1094" s="741"/>
      <c r="Q1094" s="741"/>
      <c r="R1094" s="788"/>
      <c r="S1094" s="819"/>
      <c r="T1094" s="820"/>
      <c r="U1094" s="819"/>
      <c r="V1094" s="820"/>
      <c r="W1094" s="788"/>
      <c r="X1094" s="803"/>
      <c r="Y1094" s="803"/>
      <c r="Z1094" s="803"/>
      <c r="AA1094" s="711"/>
      <c r="AB1094" s="711"/>
      <c r="AC1094" s="711"/>
      <c r="AD1094" s="736"/>
      <c r="AE1094" s="736"/>
      <c r="AF1094" s="624"/>
      <c r="AG1094" s="624"/>
      <c r="AH1094" s="624"/>
      <c r="AI1094" s="624"/>
      <c r="AJ1094" s="984"/>
      <c r="AK1094" s="985">
        <v>1.0101</v>
      </c>
      <c r="AL1094" s="986">
        <v>3200.0</v>
      </c>
      <c r="AM1094" s="987">
        <v>-0.14323308223607267</v>
      </c>
      <c r="AN1094" s="988">
        <v>0.010099999999999998</v>
      </c>
      <c r="AO1094" s="986">
        <v>3200.0</v>
      </c>
      <c r="AP1094" s="989">
        <v>-0.14010362933884557</v>
      </c>
      <c r="AQ1094" s="986">
        <v>3200.0</v>
      </c>
      <c r="AR1094" s="990">
        <v>-0.13710773872874982</v>
      </c>
      <c r="AS1094" s="624"/>
      <c r="AT1094" s="624"/>
      <c r="AU1094" s="624"/>
      <c r="AV1094" s="624"/>
      <c r="AW1094" s="624"/>
      <c r="AX1094" s="624"/>
      <c r="AY1094" s="624"/>
      <c r="AZ1094" s="624"/>
      <c r="BA1094" s="624"/>
      <c r="BB1094" s="624"/>
      <c r="BC1094" s="624"/>
      <c r="BD1094" s="624"/>
      <c r="BE1094" s="624"/>
    </row>
    <row r="1095" ht="16.5" customHeight="1">
      <c r="A1095" s="711"/>
      <c r="B1095" s="711"/>
      <c r="C1095" s="711"/>
      <c r="D1095" s="711"/>
      <c r="E1095" s="711"/>
      <c r="F1095" s="711"/>
      <c r="G1095" s="711"/>
      <c r="H1095" s="711"/>
      <c r="I1095" s="711"/>
      <c r="J1095" s="711"/>
      <c r="K1095" s="741"/>
      <c r="L1095" s="741"/>
      <c r="M1095" s="788"/>
      <c r="N1095" s="741"/>
      <c r="O1095" s="741"/>
      <c r="P1095" s="741"/>
      <c r="Q1095" s="741"/>
      <c r="R1095" s="788"/>
      <c r="S1095" s="819"/>
      <c r="T1095" s="820"/>
      <c r="U1095" s="819"/>
      <c r="V1095" s="820"/>
      <c r="W1095" s="788"/>
      <c r="X1095" s="803"/>
      <c r="Y1095" s="803"/>
      <c r="Z1095" s="803"/>
      <c r="AA1095" s="711"/>
      <c r="AB1095" s="711"/>
      <c r="AC1095" s="711"/>
      <c r="AD1095" s="736"/>
      <c r="AE1095" s="736"/>
      <c r="AF1095" s="624"/>
      <c r="AG1095" s="624"/>
      <c r="AH1095" s="624"/>
      <c r="AI1095" s="624"/>
      <c r="AJ1095" s="984"/>
      <c r="AK1095" s="985">
        <v>0.9488</v>
      </c>
      <c r="AL1095" s="986">
        <v>3200.0</v>
      </c>
      <c r="AM1095" s="987">
        <v>-0.14323308223607267</v>
      </c>
      <c r="AN1095" s="988">
        <v>-0.05120000000000002</v>
      </c>
      <c r="AO1095" s="986">
        <v>3200.0</v>
      </c>
      <c r="AP1095" s="989">
        <v>-0.14010362933884557</v>
      </c>
      <c r="AQ1095" s="986">
        <v>3200.0</v>
      </c>
      <c r="AR1095" s="990">
        <v>-0.13710773872874982</v>
      </c>
      <c r="AS1095" s="624"/>
      <c r="AT1095" s="624"/>
      <c r="AU1095" s="624"/>
      <c r="AV1095" s="624"/>
      <c r="AW1095" s="624"/>
      <c r="AX1095" s="624"/>
      <c r="AY1095" s="624"/>
      <c r="AZ1095" s="624"/>
      <c r="BA1095" s="624"/>
      <c r="BB1095" s="624"/>
      <c r="BC1095" s="624"/>
      <c r="BD1095" s="624"/>
      <c r="BE1095" s="624"/>
    </row>
    <row r="1096" ht="16.5" customHeight="1">
      <c r="A1096" s="711"/>
      <c r="B1096" s="711"/>
      <c r="C1096" s="711"/>
      <c r="D1096" s="711"/>
      <c r="E1096" s="711"/>
      <c r="F1096" s="711"/>
      <c r="G1096" s="711"/>
      <c r="H1096" s="711"/>
      <c r="I1096" s="711"/>
      <c r="J1096" s="711"/>
      <c r="K1096" s="741"/>
      <c r="L1096" s="741"/>
      <c r="M1096" s="788"/>
      <c r="N1096" s="741"/>
      <c r="O1096" s="741"/>
      <c r="P1096" s="741"/>
      <c r="Q1096" s="741"/>
      <c r="R1096" s="788"/>
      <c r="S1096" s="819"/>
      <c r="T1096" s="820"/>
      <c r="U1096" s="819"/>
      <c r="V1096" s="820"/>
      <c r="W1096" s="788"/>
      <c r="X1096" s="803"/>
      <c r="Y1096" s="803"/>
      <c r="Z1096" s="803"/>
      <c r="AA1096" s="711"/>
      <c r="AB1096" s="711"/>
      <c r="AC1096" s="711"/>
      <c r="AD1096" s="736"/>
      <c r="AE1096" s="736"/>
      <c r="AF1096" s="624"/>
      <c r="AG1096" s="624"/>
      <c r="AH1096" s="624"/>
      <c r="AI1096" s="624"/>
      <c r="AJ1096" s="984"/>
      <c r="AK1096" s="985">
        <v>1.0026</v>
      </c>
      <c r="AL1096" s="986">
        <v>3200.0</v>
      </c>
      <c r="AM1096" s="987">
        <v>-0.14323308223607267</v>
      </c>
      <c r="AN1096" s="988">
        <v>0.0025999999999999357</v>
      </c>
      <c r="AO1096" s="986">
        <v>3200.0</v>
      </c>
      <c r="AP1096" s="989">
        <v>-0.14010362933884557</v>
      </c>
      <c r="AQ1096" s="986">
        <v>3200.0</v>
      </c>
      <c r="AR1096" s="990">
        <v>-0.13710773872874982</v>
      </c>
      <c r="AS1096" s="624"/>
      <c r="AT1096" s="624"/>
      <c r="AU1096" s="624"/>
      <c r="AV1096" s="624"/>
      <c r="AW1096" s="624"/>
      <c r="AX1096" s="624"/>
      <c r="AY1096" s="624"/>
      <c r="AZ1096" s="624"/>
      <c r="BA1096" s="624"/>
      <c r="BB1096" s="624"/>
      <c r="BC1096" s="624"/>
      <c r="BD1096" s="624"/>
      <c r="BE1096" s="624"/>
    </row>
    <row r="1097" ht="16.5" customHeight="1">
      <c r="A1097" s="711"/>
      <c r="B1097" s="711"/>
      <c r="C1097" s="711"/>
      <c r="D1097" s="711"/>
      <c r="E1097" s="711"/>
      <c r="F1097" s="711"/>
      <c r="G1097" s="711"/>
      <c r="H1097" s="711"/>
      <c r="I1097" s="711"/>
      <c r="J1097" s="711"/>
      <c r="K1097" s="741"/>
      <c r="L1097" s="741"/>
      <c r="M1097" s="788"/>
      <c r="N1097" s="741"/>
      <c r="O1097" s="741"/>
      <c r="P1097" s="741"/>
      <c r="Q1097" s="741"/>
      <c r="R1097" s="788"/>
      <c r="S1097" s="819"/>
      <c r="T1097" s="820"/>
      <c r="U1097" s="819"/>
      <c r="V1097" s="820"/>
      <c r="W1097" s="788"/>
      <c r="X1097" s="803"/>
      <c r="Y1097" s="803"/>
      <c r="Z1097" s="803"/>
      <c r="AA1097" s="711"/>
      <c r="AB1097" s="711"/>
      <c r="AC1097" s="711"/>
      <c r="AD1097" s="736"/>
      <c r="AE1097" s="736"/>
      <c r="AF1097" s="624"/>
      <c r="AG1097" s="624"/>
      <c r="AH1097" s="624"/>
      <c r="AI1097" s="624"/>
      <c r="AJ1097" s="984"/>
      <c r="AK1097" s="985">
        <v>1.0099</v>
      </c>
      <c r="AL1097" s="986">
        <v>3177.0</v>
      </c>
      <c r="AM1097" s="987">
        <v>-0.14228058992971349</v>
      </c>
      <c r="AN1097" s="988">
        <v>0.00990000000000002</v>
      </c>
      <c r="AO1097" s="986">
        <v>3177.0</v>
      </c>
      <c r="AP1097" s="989">
        <v>-0.13917021665818086</v>
      </c>
      <c r="AQ1097" s="986">
        <v>3177.0</v>
      </c>
      <c r="AR1097" s="990">
        <v>-0.13619266760118076</v>
      </c>
      <c r="AS1097" s="624"/>
      <c r="AT1097" s="624"/>
      <c r="AU1097" s="624"/>
      <c r="AV1097" s="624"/>
      <c r="AW1097" s="624"/>
      <c r="AX1097" s="624"/>
      <c r="AY1097" s="624"/>
      <c r="AZ1097" s="624"/>
      <c r="BA1097" s="624"/>
      <c r="BB1097" s="624"/>
      <c r="BC1097" s="624"/>
      <c r="BD1097" s="624"/>
      <c r="BE1097" s="624"/>
    </row>
    <row r="1098" ht="16.5" customHeight="1">
      <c r="A1098" s="711"/>
      <c r="B1098" s="711"/>
      <c r="C1098" s="711"/>
      <c r="D1098" s="711"/>
      <c r="E1098" s="711"/>
      <c r="F1098" s="711"/>
      <c r="G1098" s="711"/>
      <c r="H1098" s="711"/>
      <c r="I1098" s="711"/>
      <c r="J1098" s="711"/>
      <c r="K1098" s="741"/>
      <c r="L1098" s="741"/>
      <c r="M1098" s="788"/>
      <c r="N1098" s="741"/>
      <c r="O1098" s="741"/>
      <c r="P1098" s="741"/>
      <c r="Q1098" s="741"/>
      <c r="R1098" s="788"/>
      <c r="S1098" s="819"/>
      <c r="T1098" s="820"/>
      <c r="U1098" s="819"/>
      <c r="V1098" s="820"/>
      <c r="W1098" s="788"/>
      <c r="X1098" s="803"/>
      <c r="Y1098" s="803"/>
      <c r="Z1098" s="803"/>
      <c r="AA1098" s="711"/>
      <c r="AB1098" s="711"/>
      <c r="AC1098" s="711"/>
      <c r="AD1098" s="736"/>
      <c r="AE1098" s="736"/>
      <c r="AF1098" s="624"/>
      <c r="AG1098" s="624"/>
      <c r="AH1098" s="624"/>
      <c r="AI1098" s="624"/>
      <c r="AJ1098" s="984"/>
      <c r="AK1098" s="985">
        <v>0.9995</v>
      </c>
      <c r="AL1098" s="986">
        <v>3164.0</v>
      </c>
      <c r="AM1098" s="987">
        <v>-0.1417417563846719</v>
      </c>
      <c r="AN1098" s="988">
        <v>-4.999999999999449E-4</v>
      </c>
      <c r="AO1098" s="986">
        <v>3164.0</v>
      </c>
      <c r="AP1098" s="989">
        <v>-0.13864218745900803</v>
      </c>
      <c r="AQ1098" s="986">
        <v>3164.0</v>
      </c>
      <c r="AR1098" s="990">
        <v>-0.13567502429856793</v>
      </c>
      <c r="AS1098" s="624"/>
      <c r="AT1098" s="624"/>
      <c r="AU1098" s="624"/>
      <c r="AV1098" s="624"/>
      <c r="AW1098" s="624"/>
      <c r="AX1098" s="624"/>
      <c r="AY1098" s="624"/>
      <c r="AZ1098" s="624"/>
      <c r="BA1098" s="624"/>
      <c r="BB1098" s="624"/>
      <c r="BC1098" s="624"/>
      <c r="BD1098" s="624"/>
      <c r="BE1098" s="624"/>
    </row>
    <row r="1099" ht="16.5" customHeight="1">
      <c r="A1099" s="711"/>
      <c r="B1099" s="711"/>
      <c r="C1099" s="711"/>
      <c r="D1099" s="711"/>
      <c r="E1099" s="711"/>
      <c r="F1099" s="711"/>
      <c r="G1099" s="711"/>
      <c r="H1099" s="711"/>
      <c r="I1099" s="711"/>
      <c r="J1099" s="711"/>
      <c r="K1099" s="741"/>
      <c r="L1099" s="741"/>
      <c r="M1099" s="788"/>
      <c r="N1099" s="741"/>
      <c r="O1099" s="741"/>
      <c r="P1099" s="741"/>
      <c r="Q1099" s="741"/>
      <c r="R1099" s="788"/>
      <c r="S1099" s="819"/>
      <c r="T1099" s="820"/>
      <c r="U1099" s="819"/>
      <c r="V1099" s="820"/>
      <c r="W1099" s="788"/>
      <c r="X1099" s="803"/>
      <c r="Y1099" s="803"/>
      <c r="Z1099" s="803"/>
      <c r="AA1099" s="711"/>
      <c r="AB1099" s="711"/>
      <c r="AC1099" s="711"/>
      <c r="AD1099" s="736"/>
      <c r="AE1099" s="736"/>
      <c r="AF1099" s="624"/>
      <c r="AG1099" s="624"/>
      <c r="AH1099" s="624"/>
      <c r="AI1099" s="624"/>
      <c r="AJ1099" s="984"/>
      <c r="AK1099" s="985">
        <v>1.0016</v>
      </c>
      <c r="AL1099" s="986">
        <v>3032.0</v>
      </c>
      <c r="AM1099" s="987">
        <v>-0.13625131812591984</v>
      </c>
      <c r="AN1099" s="988">
        <v>0.0016000000000000458</v>
      </c>
      <c r="AO1099" s="986">
        <v>3032.0</v>
      </c>
      <c r="AP1099" s="989">
        <v>-0.13326228480058688</v>
      </c>
      <c r="AQ1099" s="986">
        <v>3032.0</v>
      </c>
      <c r="AR1099" s="990">
        <v>-0.1304013558175302</v>
      </c>
      <c r="AS1099" s="624"/>
      <c r="AT1099" s="624"/>
      <c r="AU1099" s="624"/>
      <c r="AV1099" s="624"/>
      <c r="AW1099" s="624"/>
      <c r="AX1099" s="624"/>
      <c r="AY1099" s="624"/>
      <c r="AZ1099" s="624"/>
      <c r="BA1099" s="624"/>
      <c r="BB1099" s="624"/>
      <c r="BC1099" s="624"/>
      <c r="BD1099" s="624"/>
      <c r="BE1099" s="624"/>
    </row>
    <row r="1100" ht="16.5" customHeight="1">
      <c r="A1100" s="711"/>
      <c r="B1100" s="711"/>
      <c r="C1100" s="711"/>
      <c r="D1100" s="711"/>
      <c r="E1100" s="711"/>
      <c r="F1100" s="711"/>
      <c r="G1100" s="711"/>
      <c r="H1100" s="711"/>
      <c r="I1100" s="711"/>
      <c r="J1100" s="711"/>
      <c r="K1100" s="741"/>
      <c r="L1100" s="741"/>
      <c r="M1100" s="788"/>
      <c r="N1100" s="741"/>
      <c r="O1100" s="741"/>
      <c r="P1100" s="741"/>
      <c r="Q1100" s="741"/>
      <c r="R1100" s="788"/>
      <c r="S1100" s="819"/>
      <c r="T1100" s="820"/>
      <c r="U1100" s="819"/>
      <c r="V1100" s="820"/>
      <c r="W1100" s="788"/>
      <c r="X1100" s="803"/>
      <c r="Y1100" s="803"/>
      <c r="Z1100" s="803"/>
      <c r="AA1100" s="711"/>
      <c r="AB1100" s="711"/>
      <c r="AC1100" s="711"/>
      <c r="AD1100" s="736"/>
      <c r="AE1100" s="736"/>
      <c r="AF1100" s="624"/>
      <c r="AG1100" s="624"/>
      <c r="AH1100" s="624"/>
      <c r="AI1100" s="624"/>
      <c r="AJ1100" s="984"/>
      <c r="AK1100" s="985">
        <v>1.0082</v>
      </c>
      <c r="AL1100" s="986">
        <v>3000.0</v>
      </c>
      <c r="AM1100" s="987">
        <v>-0.13491502184322568</v>
      </c>
      <c r="AN1100" s="988">
        <v>0.008199999999999985</v>
      </c>
      <c r="AO1100" s="986">
        <v>3000.0</v>
      </c>
      <c r="AP1100" s="989">
        <v>-0.13195301357624978</v>
      </c>
      <c r="AQ1100" s="986">
        <v>3000.0</v>
      </c>
      <c r="AR1100" s="990">
        <v>-0.12911805238793417</v>
      </c>
      <c r="AS1100" s="624"/>
      <c r="AT1100" s="624"/>
      <c r="AU1100" s="624"/>
      <c r="AV1100" s="624"/>
      <c r="AW1100" s="624"/>
      <c r="AX1100" s="624"/>
      <c r="AY1100" s="624"/>
      <c r="AZ1100" s="624"/>
      <c r="BA1100" s="624"/>
      <c r="BB1100" s="624"/>
      <c r="BC1100" s="624"/>
      <c r="BD1100" s="624"/>
      <c r="BE1100" s="624"/>
    </row>
    <row r="1101" ht="16.5" customHeight="1">
      <c r="A1101" s="711"/>
      <c r="B1101" s="711"/>
      <c r="C1101" s="711"/>
      <c r="D1101" s="711"/>
      <c r="E1101" s="711"/>
      <c r="F1101" s="711"/>
      <c r="G1101" s="711"/>
      <c r="H1101" s="711"/>
      <c r="I1101" s="711"/>
      <c r="J1101" s="711"/>
      <c r="K1101" s="741"/>
      <c r="L1101" s="741"/>
      <c r="M1101" s="788"/>
      <c r="N1101" s="741"/>
      <c r="O1101" s="741"/>
      <c r="P1101" s="741"/>
      <c r="Q1101" s="741"/>
      <c r="R1101" s="788"/>
      <c r="S1101" s="819"/>
      <c r="T1101" s="820"/>
      <c r="U1101" s="819"/>
      <c r="V1101" s="820"/>
      <c r="W1101" s="788"/>
      <c r="X1101" s="803"/>
      <c r="Y1101" s="803"/>
      <c r="Z1101" s="803"/>
      <c r="AA1101" s="711"/>
      <c r="AB1101" s="711"/>
      <c r="AC1101" s="711"/>
      <c r="AD1101" s="736"/>
      <c r="AE1101" s="736"/>
      <c r="AF1101" s="624"/>
      <c r="AG1101" s="624"/>
      <c r="AH1101" s="624"/>
      <c r="AI1101" s="624"/>
      <c r="AJ1101" s="984"/>
      <c r="AK1101" s="985">
        <v>0.9561</v>
      </c>
      <c r="AL1101" s="986">
        <v>2908.0</v>
      </c>
      <c r="AM1101" s="987">
        <v>-0.13106164299699008</v>
      </c>
      <c r="AN1101" s="988">
        <v>-0.04390000000000005</v>
      </c>
      <c r="AO1101" s="986">
        <v>2908.0</v>
      </c>
      <c r="AP1101" s="989">
        <v>-0.12817783171234398</v>
      </c>
      <c r="AQ1101" s="986">
        <v>2908.0</v>
      </c>
      <c r="AR1101" s="990">
        <v>-0.12541799609744242</v>
      </c>
      <c r="AS1101" s="624"/>
      <c r="AT1101" s="624"/>
      <c r="AU1101" s="624"/>
      <c r="AV1101" s="624"/>
      <c r="AW1101" s="624"/>
      <c r="AX1101" s="624"/>
      <c r="AY1101" s="624"/>
      <c r="AZ1101" s="624"/>
      <c r="BA1101" s="624"/>
      <c r="BB1101" s="624"/>
      <c r="BC1101" s="624"/>
      <c r="BD1101" s="624"/>
      <c r="BE1101" s="624"/>
    </row>
    <row r="1102" ht="16.5" customHeight="1">
      <c r="A1102" s="711"/>
      <c r="B1102" s="711"/>
      <c r="C1102" s="711"/>
      <c r="D1102" s="711"/>
      <c r="E1102" s="711"/>
      <c r="F1102" s="711"/>
      <c r="G1102" s="711"/>
      <c r="H1102" s="711"/>
      <c r="I1102" s="711"/>
      <c r="J1102" s="711"/>
      <c r="K1102" s="741"/>
      <c r="L1102" s="741"/>
      <c r="M1102" s="788"/>
      <c r="N1102" s="741"/>
      <c r="O1102" s="741"/>
      <c r="P1102" s="741"/>
      <c r="Q1102" s="741"/>
      <c r="R1102" s="788"/>
      <c r="S1102" s="819"/>
      <c r="T1102" s="820"/>
      <c r="U1102" s="819"/>
      <c r="V1102" s="820"/>
      <c r="W1102" s="788"/>
      <c r="X1102" s="803"/>
      <c r="Y1102" s="803"/>
      <c r="Z1102" s="803"/>
      <c r="AA1102" s="711"/>
      <c r="AB1102" s="711"/>
      <c r="AC1102" s="711"/>
      <c r="AD1102" s="736"/>
      <c r="AE1102" s="736"/>
      <c r="AF1102" s="624"/>
      <c r="AG1102" s="624"/>
      <c r="AH1102" s="624"/>
      <c r="AI1102" s="624"/>
      <c r="AJ1102" s="984"/>
      <c r="AK1102" s="985">
        <v>0.9988</v>
      </c>
      <c r="AL1102" s="986">
        <v>2787.0</v>
      </c>
      <c r="AM1102" s="987">
        <v>-0.12596746722041707</v>
      </c>
      <c r="AN1102" s="988">
        <v>-0.0011999999999999789</v>
      </c>
      <c r="AO1102" s="986">
        <v>2787.0</v>
      </c>
      <c r="AP1102" s="989">
        <v>-0.12318763822754852</v>
      </c>
      <c r="AQ1102" s="986">
        <v>2787.0</v>
      </c>
      <c r="AR1102" s="990">
        <v>-0.12052767296087519</v>
      </c>
      <c r="AS1102" s="624"/>
      <c r="AT1102" s="624"/>
      <c r="AU1102" s="624"/>
      <c r="AV1102" s="624"/>
      <c r="AW1102" s="624"/>
      <c r="AX1102" s="624"/>
      <c r="AY1102" s="624"/>
      <c r="AZ1102" s="624"/>
      <c r="BA1102" s="624"/>
      <c r="BB1102" s="624"/>
      <c r="BC1102" s="624"/>
      <c r="BD1102" s="624"/>
      <c r="BE1102" s="624"/>
    </row>
    <row r="1103" ht="16.5" customHeight="1">
      <c r="A1103" s="711"/>
      <c r="B1103" s="711"/>
      <c r="C1103" s="711"/>
      <c r="D1103" s="711"/>
      <c r="E1103" s="711"/>
      <c r="F1103" s="711"/>
      <c r="G1103" s="711"/>
      <c r="H1103" s="711"/>
      <c r="I1103" s="711"/>
      <c r="J1103" s="711"/>
      <c r="K1103" s="741"/>
      <c r="L1103" s="741"/>
      <c r="M1103" s="788"/>
      <c r="N1103" s="741"/>
      <c r="O1103" s="741"/>
      <c r="P1103" s="741"/>
      <c r="Q1103" s="741"/>
      <c r="R1103" s="788"/>
      <c r="S1103" s="819"/>
      <c r="T1103" s="820"/>
      <c r="U1103" s="819"/>
      <c r="V1103" s="820"/>
      <c r="W1103" s="788"/>
      <c r="X1103" s="803"/>
      <c r="Y1103" s="803"/>
      <c r="Z1103" s="803"/>
      <c r="AA1103" s="711"/>
      <c r="AB1103" s="711"/>
      <c r="AC1103" s="711"/>
      <c r="AD1103" s="736"/>
      <c r="AE1103" s="736"/>
      <c r="AF1103" s="624"/>
      <c r="AG1103" s="624"/>
      <c r="AH1103" s="624"/>
      <c r="AI1103" s="624"/>
      <c r="AJ1103" s="984"/>
      <c r="AK1103" s="985">
        <v>0.9968</v>
      </c>
      <c r="AL1103" s="986">
        <v>2746.0</v>
      </c>
      <c r="AM1103" s="987">
        <v>-0.12423457609070154</v>
      </c>
      <c r="AN1103" s="988">
        <v>-0.0031999999999999806</v>
      </c>
      <c r="AO1103" s="986">
        <v>2746.0</v>
      </c>
      <c r="AP1103" s="989">
        <v>-0.12149027541836988</v>
      </c>
      <c r="AQ1103" s="986">
        <v>2746.0</v>
      </c>
      <c r="AR1103" s="990">
        <v>-0.11886442636055716</v>
      </c>
      <c r="AS1103" s="624"/>
      <c r="AT1103" s="624"/>
      <c r="AU1103" s="624"/>
      <c r="AV1103" s="624"/>
      <c r="AW1103" s="624"/>
      <c r="AX1103" s="624"/>
      <c r="AY1103" s="624"/>
      <c r="AZ1103" s="624"/>
      <c r="BA1103" s="624"/>
      <c r="BB1103" s="624"/>
      <c r="BC1103" s="624"/>
      <c r="BD1103" s="624"/>
      <c r="BE1103" s="624"/>
    </row>
    <row r="1104" ht="16.5" customHeight="1">
      <c r="A1104" s="711"/>
      <c r="B1104" s="711"/>
      <c r="C1104" s="711"/>
      <c r="D1104" s="711"/>
      <c r="E1104" s="711"/>
      <c r="F1104" s="711"/>
      <c r="G1104" s="711"/>
      <c r="H1104" s="711"/>
      <c r="I1104" s="711"/>
      <c r="J1104" s="711"/>
      <c r="K1104" s="741"/>
      <c r="L1104" s="741"/>
      <c r="M1104" s="788"/>
      <c r="N1104" s="741"/>
      <c r="O1104" s="741"/>
      <c r="P1104" s="741"/>
      <c r="Q1104" s="741"/>
      <c r="R1104" s="788"/>
      <c r="S1104" s="819"/>
      <c r="T1104" s="820"/>
      <c r="U1104" s="819"/>
      <c r="V1104" s="820"/>
      <c r="W1104" s="788"/>
      <c r="X1104" s="803"/>
      <c r="Y1104" s="803"/>
      <c r="Z1104" s="803"/>
      <c r="AA1104" s="711"/>
      <c r="AB1104" s="711"/>
      <c r="AC1104" s="711"/>
      <c r="AD1104" s="736"/>
      <c r="AE1104" s="736"/>
      <c r="AF1104" s="624"/>
      <c r="AG1104" s="624"/>
      <c r="AH1104" s="624"/>
      <c r="AI1104" s="624"/>
      <c r="AJ1104" s="984"/>
      <c r="AK1104" s="985">
        <v>0.9974</v>
      </c>
      <c r="AL1104" s="986">
        <v>2650.0</v>
      </c>
      <c r="AM1104" s="987">
        <v>-0.12016362268875136</v>
      </c>
      <c r="AN1104" s="988">
        <v>-0.0026000000000000467</v>
      </c>
      <c r="AO1104" s="986">
        <v>2650.0</v>
      </c>
      <c r="AP1104" s="989">
        <v>-0.11750309741540454</v>
      </c>
      <c r="AQ1104" s="986">
        <v>2650.0</v>
      </c>
      <c r="AR1104" s="990">
        <v>-0.11495767978735338</v>
      </c>
      <c r="AS1104" s="624"/>
      <c r="AT1104" s="624"/>
      <c r="AU1104" s="624"/>
      <c r="AV1104" s="624"/>
      <c r="AW1104" s="624"/>
      <c r="AX1104" s="624"/>
      <c r="AY1104" s="624"/>
      <c r="AZ1104" s="624"/>
      <c r="BA1104" s="624"/>
      <c r="BB1104" s="624"/>
      <c r="BC1104" s="624"/>
      <c r="BD1104" s="624"/>
      <c r="BE1104" s="624"/>
    </row>
    <row r="1105" ht="16.5" customHeight="1">
      <c r="A1105" s="711"/>
      <c r="B1105" s="711"/>
      <c r="C1105" s="711"/>
      <c r="D1105" s="711"/>
      <c r="E1105" s="711"/>
      <c r="F1105" s="711"/>
      <c r="G1105" s="711"/>
      <c r="H1105" s="711"/>
      <c r="I1105" s="711"/>
      <c r="J1105" s="711"/>
      <c r="K1105" s="741"/>
      <c r="L1105" s="741"/>
      <c r="M1105" s="788"/>
      <c r="N1105" s="741"/>
      <c r="O1105" s="741"/>
      <c r="P1105" s="741"/>
      <c r="Q1105" s="741"/>
      <c r="R1105" s="788"/>
      <c r="S1105" s="819"/>
      <c r="T1105" s="820"/>
      <c r="U1105" s="819"/>
      <c r="V1105" s="820"/>
      <c r="W1105" s="788"/>
      <c r="X1105" s="803"/>
      <c r="Y1105" s="803"/>
      <c r="Z1105" s="803"/>
      <c r="AA1105" s="711"/>
      <c r="AB1105" s="711"/>
      <c r="AC1105" s="711"/>
      <c r="AD1105" s="736"/>
      <c r="AE1105" s="736"/>
      <c r="AF1105" s="624"/>
      <c r="AG1105" s="624"/>
      <c r="AH1105" s="624"/>
      <c r="AI1105" s="624"/>
      <c r="AJ1105" s="984"/>
      <c r="AK1105" s="985">
        <v>1.0063</v>
      </c>
      <c r="AL1105" s="986">
        <v>2647.0</v>
      </c>
      <c r="AM1105" s="987">
        <v>-0.12003610092981642</v>
      </c>
      <c r="AN1105" s="988">
        <v>0.006299999999999972</v>
      </c>
      <c r="AO1105" s="986">
        <v>2647.0</v>
      </c>
      <c r="AP1105" s="989">
        <v>-0.11737820694186474</v>
      </c>
      <c r="AQ1105" s="986">
        <v>2647.0</v>
      </c>
      <c r="AR1105" s="990">
        <v>-0.11483531524803459</v>
      </c>
      <c r="AS1105" s="624"/>
      <c r="AT1105" s="624"/>
      <c r="AU1105" s="624"/>
      <c r="AV1105" s="624"/>
      <c r="AW1105" s="624"/>
      <c r="AX1105" s="624"/>
      <c r="AY1105" s="624"/>
      <c r="AZ1105" s="624"/>
      <c r="BA1105" s="624"/>
      <c r="BB1105" s="624"/>
      <c r="BC1105" s="624"/>
      <c r="BD1105" s="624"/>
      <c r="BE1105" s="624"/>
    </row>
    <row r="1106" ht="16.5" customHeight="1">
      <c r="A1106" s="711"/>
      <c r="B1106" s="711"/>
      <c r="C1106" s="711"/>
      <c r="D1106" s="711"/>
      <c r="E1106" s="711"/>
      <c r="F1106" s="711"/>
      <c r="G1106" s="711"/>
      <c r="H1106" s="711"/>
      <c r="I1106" s="711"/>
      <c r="J1106" s="711"/>
      <c r="K1106" s="741"/>
      <c r="L1106" s="741"/>
      <c r="M1106" s="788"/>
      <c r="N1106" s="741"/>
      <c r="O1106" s="741"/>
      <c r="P1106" s="741"/>
      <c r="Q1106" s="741"/>
      <c r="R1106" s="788"/>
      <c r="S1106" s="819"/>
      <c r="T1106" s="820"/>
      <c r="U1106" s="819"/>
      <c r="V1106" s="820"/>
      <c r="W1106" s="788"/>
      <c r="X1106" s="803"/>
      <c r="Y1106" s="803"/>
      <c r="Z1106" s="803"/>
      <c r="AA1106" s="711"/>
      <c r="AB1106" s="711"/>
      <c r="AC1106" s="711"/>
      <c r="AD1106" s="736"/>
      <c r="AE1106" s="736"/>
      <c r="AF1106" s="624"/>
      <c r="AG1106" s="624"/>
      <c r="AH1106" s="624"/>
      <c r="AI1106" s="624"/>
      <c r="AJ1106" s="984"/>
      <c r="AK1106" s="985">
        <v>0.9738</v>
      </c>
      <c r="AL1106" s="986">
        <v>2611.0</v>
      </c>
      <c r="AM1106" s="987">
        <v>-0.11850439740138452</v>
      </c>
      <c r="AN1106" s="988">
        <v>-0.0262</v>
      </c>
      <c r="AO1106" s="986">
        <v>2611.0</v>
      </c>
      <c r="AP1106" s="989">
        <v>-0.11587814193817036</v>
      </c>
      <c r="AQ1106" s="986">
        <v>2611.0</v>
      </c>
      <c r="AR1106" s="990">
        <v>-0.11336562050878263</v>
      </c>
      <c r="AS1106" s="624"/>
      <c r="AT1106" s="624"/>
      <c r="AU1106" s="624"/>
      <c r="AV1106" s="624"/>
      <c r="AW1106" s="624"/>
      <c r="AX1106" s="624"/>
      <c r="AY1106" s="624"/>
      <c r="AZ1106" s="624"/>
      <c r="BA1106" s="624"/>
      <c r="BB1106" s="624"/>
      <c r="BC1106" s="624"/>
      <c r="BD1106" s="624"/>
      <c r="BE1106" s="624"/>
    </row>
    <row r="1107" ht="16.5" customHeight="1">
      <c r="A1107" s="711"/>
      <c r="B1107" s="711"/>
      <c r="C1107" s="711"/>
      <c r="D1107" s="711"/>
      <c r="E1107" s="711"/>
      <c r="F1107" s="711"/>
      <c r="G1107" s="711"/>
      <c r="H1107" s="711"/>
      <c r="I1107" s="711"/>
      <c r="J1107" s="711"/>
      <c r="K1107" s="741"/>
      <c r="L1107" s="741"/>
      <c r="M1107" s="788"/>
      <c r="N1107" s="741"/>
      <c r="O1107" s="741"/>
      <c r="P1107" s="741"/>
      <c r="Q1107" s="741"/>
      <c r="R1107" s="788"/>
      <c r="S1107" s="819"/>
      <c r="T1107" s="820"/>
      <c r="U1107" s="819"/>
      <c r="V1107" s="820"/>
      <c r="W1107" s="788"/>
      <c r="X1107" s="803"/>
      <c r="Y1107" s="803"/>
      <c r="Z1107" s="803"/>
      <c r="AA1107" s="711"/>
      <c r="AB1107" s="711"/>
      <c r="AC1107" s="711"/>
      <c r="AD1107" s="736"/>
      <c r="AE1107" s="736"/>
      <c r="AF1107" s="624"/>
      <c r="AG1107" s="624"/>
      <c r="AH1107" s="624"/>
      <c r="AI1107" s="624"/>
      <c r="AJ1107" s="984"/>
      <c r="AK1107" s="985">
        <v>1.0082</v>
      </c>
      <c r="AL1107" s="986">
        <v>2500.0</v>
      </c>
      <c r="AM1107" s="987">
        <v>-0.11376484077372673</v>
      </c>
      <c r="AN1107" s="988">
        <v>0.008199999999999985</v>
      </c>
      <c r="AO1107" s="986">
        <v>2500.0</v>
      </c>
      <c r="AP1107" s="989">
        <v>-0.11123687345412536</v>
      </c>
      <c r="AQ1107" s="986">
        <v>2500.0</v>
      </c>
      <c r="AR1107" s="990">
        <v>-0.10881868244219728</v>
      </c>
      <c r="AS1107" s="624"/>
      <c r="AT1107" s="624"/>
      <c r="AU1107" s="624"/>
      <c r="AV1107" s="624"/>
      <c r="AW1107" s="624"/>
      <c r="AX1107" s="624"/>
      <c r="AY1107" s="624"/>
      <c r="AZ1107" s="624"/>
      <c r="BA1107" s="624"/>
      <c r="BB1107" s="624"/>
      <c r="BC1107" s="624"/>
      <c r="BD1107" s="624"/>
      <c r="BE1107" s="624"/>
    </row>
    <row r="1108" ht="16.5" customHeight="1">
      <c r="A1108" s="711"/>
      <c r="B1108" s="711"/>
      <c r="C1108" s="711"/>
      <c r="D1108" s="711"/>
      <c r="E1108" s="711"/>
      <c r="F1108" s="711"/>
      <c r="G1108" s="711"/>
      <c r="H1108" s="711"/>
      <c r="I1108" s="711"/>
      <c r="J1108" s="711"/>
      <c r="K1108" s="741"/>
      <c r="L1108" s="741"/>
      <c r="M1108" s="788"/>
      <c r="N1108" s="741"/>
      <c r="O1108" s="741"/>
      <c r="P1108" s="741"/>
      <c r="Q1108" s="741"/>
      <c r="R1108" s="788"/>
      <c r="S1108" s="819"/>
      <c r="T1108" s="820"/>
      <c r="U1108" s="819"/>
      <c r="V1108" s="820"/>
      <c r="W1108" s="788"/>
      <c r="X1108" s="803"/>
      <c r="Y1108" s="803"/>
      <c r="Z1108" s="803"/>
      <c r="AA1108" s="711"/>
      <c r="AB1108" s="711"/>
      <c r="AC1108" s="711"/>
      <c r="AD1108" s="736"/>
      <c r="AE1108" s="736"/>
      <c r="AF1108" s="624"/>
      <c r="AG1108" s="624"/>
      <c r="AH1108" s="624"/>
      <c r="AI1108" s="624"/>
      <c r="AJ1108" s="984"/>
      <c r="AK1108" s="985">
        <v>1.0015</v>
      </c>
      <c r="AL1108" s="986">
        <v>2361.0</v>
      </c>
      <c r="AM1108" s="987">
        <v>-0.10779376771723415</v>
      </c>
      <c r="AN1108" s="988">
        <v>0.0015000000000000568</v>
      </c>
      <c r="AO1108" s="986">
        <v>2361.0</v>
      </c>
      <c r="AP1108" s="989">
        <v>-0.10539046042221645</v>
      </c>
      <c r="AQ1108" s="986">
        <v>2361.0</v>
      </c>
      <c r="AR1108" s="990">
        <v>-0.10309187177085688</v>
      </c>
      <c r="AS1108" s="624"/>
      <c r="AT1108" s="624"/>
      <c r="AU1108" s="624"/>
      <c r="AV1108" s="624"/>
      <c r="AW1108" s="624"/>
      <c r="AX1108" s="624"/>
      <c r="AY1108" s="624"/>
      <c r="AZ1108" s="624"/>
      <c r="BA1108" s="624"/>
      <c r="BB1108" s="624"/>
      <c r="BC1108" s="624"/>
      <c r="BD1108" s="624"/>
      <c r="BE1108" s="624"/>
    </row>
    <row r="1109" ht="16.5" customHeight="1">
      <c r="A1109" s="711"/>
      <c r="B1109" s="711"/>
      <c r="C1109" s="711"/>
      <c r="D1109" s="711"/>
      <c r="E1109" s="711"/>
      <c r="F1109" s="711"/>
      <c r="G1109" s="711"/>
      <c r="H1109" s="711"/>
      <c r="I1109" s="711"/>
      <c r="J1109" s="711"/>
      <c r="K1109" s="741"/>
      <c r="L1109" s="741"/>
      <c r="M1109" s="788"/>
      <c r="N1109" s="741"/>
      <c r="O1109" s="741"/>
      <c r="P1109" s="741"/>
      <c r="Q1109" s="741"/>
      <c r="R1109" s="788"/>
      <c r="S1109" s="819"/>
      <c r="T1109" s="820"/>
      <c r="U1109" s="819"/>
      <c r="V1109" s="820"/>
      <c r="W1109" s="788"/>
      <c r="X1109" s="803"/>
      <c r="Y1109" s="803"/>
      <c r="Z1109" s="803"/>
      <c r="AA1109" s="711"/>
      <c r="AB1109" s="711"/>
      <c r="AC1109" s="711"/>
      <c r="AD1109" s="736"/>
      <c r="AE1109" s="736"/>
      <c r="AF1109" s="624"/>
      <c r="AG1109" s="624"/>
      <c r="AH1109" s="624"/>
      <c r="AI1109" s="624"/>
      <c r="AJ1109" s="984"/>
      <c r="AK1109" s="985">
        <v>1.0043</v>
      </c>
      <c r="AL1109" s="986">
        <v>2359.0</v>
      </c>
      <c r="AM1109" s="987">
        <v>-0.10770756005197601</v>
      </c>
      <c r="AN1109" s="988">
        <v>0.0042999999999999705</v>
      </c>
      <c r="AO1109" s="986">
        <v>2359.0</v>
      </c>
      <c r="AP1109" s="989">
        <v>-0.10530605931471948</v>
      </c>
      <c r="AQ1109" s="986">
        <v>2359.0</v>
      </c>
      <c r="AR1109" s="990">
        <v>-0.1030092036177076</v>
      </c>
      <c r="AS1109" s="624"/>
      <c r="AT1109" s="624"/>
      <c r="AU1109" s="624"/>
      <c r="AV1109" s="624"/>
      <c r="AW1109" s="624"/>
      <c r="AX1109" s="624"/>
      <c r="AY1109" s="624"/>
      <c r="AZ1109" s="624"/>
      <c r="BA1109" s="624"/>
      <c r="BB1109" s="624"/>
      <c r="BC1109" s="624"/>
      <c r="BD1109" s="624"/>
      <c r="BE1109" s="624"/>
    </row>
    <row r="1110" ht="16.5" customHeight="1">
      <c r="A1110" s="711"/>
      <c r="B1110" s="711"/>
      <c r="C1110" s="711"/>
      <c r="D1110" s="711"/>
      <c r="E1110" s="711"/>
      <c r="F1110" s="711"/>
      <c r="G1110" s="711"/>
      <c r="H1110" s="711"/>
      <c r="I1110" s="711"/>
      <c r="J1110" s="711"/>
      <c r="K1110" s="741"/>
      <c r="L1110" s="741"/>
      <c r="M1110" s="788"/>
      <c r="N1110" s="741"/>
      <c r="O1110" s="741"/>
      <c r="P1110" s="741"/>
      <c r="Q1110" s="741"/>
      <c r="R1110" s="788"/>
      <c r="S1110" s="819"/>
      <c r="T1110" s="820"/>
      <c r="U1110" s="819"/>
      <c r="V1110" s="820"/>
      <c r="W1110" s="788"/>
      <c r="X1110" s="803"/>
      <c r="Y1110" s="803"/>
      <c r="Z1110" s="803"/>
      <c r="AA1110" s="711"/>
      <c r="AB1110" s="711"/>
      <c r="AC1110" s="711"/>
      <c r="AD1110" s="736"/>
      <c r="AE1110" s="736"/>
      <c r="AF1110" s="624"/>
      <c r="AG1110" s="624"/>
      <c r="AH1110" s="624"/>
      <c r="AI1110" s="624"/>
      <c r="AJ1110" s="984"/>
      <c r="AK1110" s="985">
        <v>1.0021</v>
      </c>
      <c r="AL1110" s="986">
        <v>2300.0</v>
      </c>
      <c r="AM1110" s="987">
        <v>-0.10516068318563021</v>
      </c>
      <c r="AN1110" s="988">
        <v>0.0020999999999999908</v>
      </c>
      <c r="AO1110" s="986">
        <v>2300.0</v>
      </c>
      <c r="AP1110" s="989">
        <v>-0.10281264119126665</v>
      </c>
      <c r="AQ1110" s="986">
        <v>2300.0</v>
      </c>
      <c r="AR1110" s="990">
        <v>-0.10056706225778189</v>
      </c>
      <c r="AS1110" s="624"/>
      <c r="AT1110" s="624"/>
      <c r="AU1110" s="624"/>
      <c r="AV1110" s="624"/>
      <c r="AW1110" s="624"/>
      <c r="AX1110" s="624"/>
      <c r="AY1110" s="624"/>
      <c r="AZ1110" s="624"/>
      <c r="BA1110" s="624"/>
      <c r="BB1110" s="624"/>
      <c r="BC1110" s="624"/>
      <c r="BD1110" s="624"/>
      <c r="BE1110" s="624"/>
    </row>
    <row r="1111" ht="16.5" customHeight="1">
      <c r="A1111" s="711"/>
      <c r="B1111" s="711"/>
      <c r="C1111" s="711"/>
      <c r="D1111" s="711"/>
      <c r="E1111" s="711"/>
      <c r="F1111" s="711"/>
      <c r="G1111" s="711"/>
      <c r="H1111" s="711"/>
      <c r="I1111" s="711"/>
      <c r="J1111" s="711"/>
      <c r="K1111" s="741"/>
      <c r="L1111" s="741"/>
      <c r="M1111" s="788"/>
      <c r="N1111" s="741"/>
      <c r="O1111" s="741"/>
      <c r="P1111" s="741"/>
      <c r="Q1111" s="741"/>
      <c r="R1111" s="788"/>
      <c r="S1111" s="819"/>
      <c r="T1111" s="820"/>
      <c r="U1111" s="819"/>
      <c r="V1111" s="820"/>
      <c r="W1111" s="788"/>
      <c r="X1111" s="803"/>
      <c r="Y1111" s="803"/>
      <c r="Z1111" s="803"/>
      <c r="AA1111" s="711"/>
      <c r="AB1111" s="711"/>
      <c r="AC1111" s="711"/>
      <c r="AD1111" s="736"/>
      <c r="AE1111" s="736"/>
      <c r="AF1111" s="624"/>
      <c r="AG1111" s="624"/>
      <c r="AH1111" s="624"/>
      <c r="AI1111" s="624"/>
      <c r="AJ1111" s="984"/>
      <c r="AK1111" s="985">
        <v>0.9395</v>
      </c>
      <c r="AL1111" s="986">
        <v>2200.0</v>
      </c>
      <c r="AM1111" s="987">
        <v>-0.10082732932457128</v>
      </c>
      <c r="AN1111" s="988">
        <v>-0.0605</v>
      </c>
      <c r="AO1111" s="986">
        <v>2200.0</v>
      </c>
      <c r="AP1111" s="989">
        <v>-0.09857062846620046</v>
      </c>
      <c r="AQ1111" s="986">
        <v>2200.0</v>
      </c>
      <c r="AR1111" s="990">
        <v>-0.09641264497212632</v>
      </c>
      <c r="AS1111" s="624"/>
      <c r="AT1111" s="624"/>
      <c r="AU1111" s="624"/>
      <c r="AV1111" s="624"/>
      <c r="AW1111" s="624"/>
      <c r="AX1111" s="624"/>
      <c r="AY1111" s="624"/>
      <c r="AZ1111" s="624"/>
      <c r="BA1111" s="624"/>
      <c r="BB1111" s="624"/>
      <c r="BC1111" s="624"/>
      <c r="BD1111" s="624"/>
      <c r="BE1111" s="624"/>
    </row>
    <row r="1112" ht="16.5" customHeight="1">
      <c r="A1112" s="711"/>
      <c r="B1112" s="711"/>
      <c r="C1112" s="711"/>
      <c r="D1112" s="711"/>
      <c r="E1112" s="711"/>
      <c r="F1112" s="711"/>
      <c r="G1112" s="711"/>
      <c r="H1112" s="711"/>
      <c r="I1112" s="711"/>
      <c r="J1112" s="711"/>
      <c r="K1112" s="741"/>
      <c r="L1112" s="741"/>
      <c r="M1112" s="788"/>
      <c r="N1112" s="741"/>
      <c r="O1112" s="741"/>
      <c r="P1112" s="741"/>
      <c r="Q1112" s="741"/>
      <c r="R1112" s="788"/>
      <c r="S1112" s="819"/>
      <c r="T1112" s="820"/>
      <c r="U1112" s="819"/>
      <c r="V1112" s="820"/>
      <c r="W1112" s="788"/>
      <c r="X1112" s="803"/>
      <c r="Y1112" s="803"/>
      <c r="Z1112" s="803"/>
      <c r="AA1112" s="711"/>
      <c r="AB1112" s="711"/>
      <c r="AC1112" s="711"/>
      <c r="AD1112" s="736"/>
      <c r="AE1112" s="736"/>
      <c r="AF1112" s="624"/>
      <c r="AG1112" s="624"/>
      <c r="AH1112" s="624"/>
      <c r="AI1112" s="624"/>
      <c r="AJ1112" s="984"/>
      <c r="AK1112" s="985">
        <v>1.0092</v>
      </c>
      <c r="AL1112" s="986">
        <v>2185.0</v>
      </c>
      <c r="AM1112" s="987">
        <v>-0.10017551879081643</v>
      </c>
      <c r="AN1112" s="988">
        <v>0.009200000000000097</v>
      </c>
      <c r="AO1112" s="986">
        <v>2185.0</v>
      </c>
      <c r="AP1112" s="989">
        <v>-0.0979325989742239</v>
      </c>
      <c r="AQ1112" s="986">
        <v>2185.0</v>
      </c>
      <c r="AR1112" s="990">
        <v>-0.09578782949278819</v>
      </c>
      <c r="AS1112" s="624"/>
      <c r="AT1112" s="624"/>
      <c r="AU1112" s="624"/>
      <c r="AV1112" s="624"/>
      <c r="AW1112" s="624"/>
      <c r="AX1112" s="624"/>
      <c r="AY1112" s="624"/>
      <c r="AZ1112" s="624"/>
      <c r="BA1112" s="624"/>
      <c r="BB1112" s="624"/>
      <c r="BC1112" s="624"/>
      <c r="BD1112" s="624"/>
      <c r="BE1112" s="624"/>
    </row>
    <row r="1113" ht="16.5" customHeight="1">
      <c r="A1113" s="711"/>
      <c r="B1113" s="711"/>
      <c r="C1113" s="711"/>
      <c r="D1113" s="711"/>
      <c r="E1113" s="711"/>
      <c r="F1113" s="711"/>
      <c r="G1113" s="711"/>
      <c r="H1113" s="711"/>
      <c r="I1113" s="711"/>
      <c r="J1113" s="711"/>
      <c r="K1113" s="741"/>
      <c r="L1113" s="741"/>
      <c r="M1113" s="788"/>
      <c r="N1113" s="741"/>
      <c r="O1113" s="741"/>
      <c r="P1113" s="741"/>
      <c r="Q1113" s="741"/>
      <c r="R1113" s="788"/>
      <c r="S1113" s="819"/>
      <c r="T1113" s="820"/>
      <c r="U1113" s="819"/>
      <c r="V1113" s="820"/>
      <c r="W1113" s="788"/>
      <c r="X1113" s="803"/>
      <c r="Y1113" s="803"/>
      <c r="Z1113" s="803"/>
      <c r="AA1113" s="711"/>
      <c r="AB1113" s="711"/>
      <c r="AC1113" s="711"/>
      <c r="AD1113" s="736"/>
      <c r="AE1113" s="736"/>
      <c r="AF1113" s="624"/>
      <c r="AG1113" s="624"/>
      <c r="AH1113" s="624"/>
      <c r="AI1113" s="624"/>
      <c r="AJ1113" s="984"/>
      <c r="AK1113" s="985">
        <v>1.0037</v>
      </c>
      <c r="AL1113" s="986">
        <v>2062.0</v>
      </c>
      <c r="AM1113" s="987">
        <v>-0.0948128187608045</v>
      </c>
      <c r="AN1113" s="988">
        <v>0.0037000000000000366</v>
      </c>
      <c r="AO1113" s="986">
        <v>2062.0</v>
      </c>
      <c r="AP1113" s="989">
        <v>-0.0926836939820328</v>
      </c>
      <c r="AQ1113" s="986">
        <v>2062.0</v>
      </c>
      <c r="AR1113" s="990">
        <v>-0.09064801858379401</v>
      </c>
      <c r="AS1113" s="624"/>
      <c r="AT1113" s="624"/>
      <c r="AU1113" s="624"/>
      <c r="AV1113" s="624"/>
      <c r="AW1113" s="624"/>
      <c r="AX1113" s="624"/>
      <c r="AY1113" s="624"/>
      <c r="AZ1113" s="624"/>
      <c r="BA1113" s="624"/>
      <c r="BB1113" s="624"/>
      <c r="BC1113" s="624"/>
      <c r="BD1113" s="624"/>
      <c r="BE1113" s="624"/>
    </row>
    <row r="1114" ht="16.5" customHeight="1">
      <c r="A1114" s="711"/>
      <c r="B1114" s="711"/>
      <c r="C1114" s="711"/>
      <c r="D1114" s="711"/>
      <c r="E1114" s="711"/>
      <c r="F1114" s="711"/>
      <c r="G1114" s="711"/>
      <c r="H1114" s="711"/>
      <c r="I1114" s="711"/>
      <c r="J1114" s="711"/>
      <c r="K1114" s="741"/>
      <c r="L1114" s="741"/>
      <c r="M1114" s="788"/>
      <c r="N1114" s="741"/>
      <c r="O1114" s="741"/>
      <c r="P1114" s="741"/>
      <c r="Q1114" s="741"/>
      <c r="R1114" s="788"/>
      <c r="S1114" s="819"/>
      <c r="T1114" s="820"/>
      <c r="U1114" s="819"/>
      <c r="V1114" s="820"/>
      <c r="W1114" s="788"/>
      <c r="X1114" s="803"/>
      <c r="Y1114" s="803"/>
      <c r="Z1114" s="803"/>
      <c r="AA1114" s="711"/>
      <c r="AB1114" s="711"/>
      <c r="AC1114" s="711"/>
      <c r="AD1114" s="736"/>
      <c r="AE1114" s="736"/>
      <c r="AF1114" s="624"/>
      <c r="AG1114" s="624"/>
      <c r="AH1114" s="624"/>
      <c r="AI1114" s="624"/>
      <c r="AJ1114" s="984"/>
      <c r="AK1114" s="985">
        <v>1.0</v>
      </c>
      <c r="AL1114" s="986">
        <v>2000.0</v>
      </c>
      <c r="AM1114" s="987">
        <v>-0.09209756581106388</v>
      </c>
      <c r="AN1114" s="988">
        <v>0.0</v>
      </c>
      <c r="AO1114" s="986">
        <v>2000.0</v>
      </c>
      <c r="AP1114" s="989">
        <v>-0.09002633790379089</v>
      </c>
      <c r="AQ1114" s="986">
        <v>2000.0</v>
      </c>
      <c r="AR1114" s="990">
        <v>-0.08804615488729917</v>
      </c>
      <c r="AS1114" s="624"/>
      <c r="AT1114" s="624"/>
      <c r="AU1114" s="624"/>
      <c r="AV1114" s="624"/>
      <c r="AW1114" s="624"/>
      <c r="AX1114" s="624"/>
      <c r="AY1114" s="624"/>
      <c r="AZ1114" s="624"/>
      <c r="BA1114" s="624"/>
      <c r="BB1114" s="624"/>
      <c r="BC1114" s="624"/>
      <c r="BD1114" s="624"/>
      <c r="BE1114" s="624"/>
    </row>
    <row r="1115" ht="16.5" customHeight="1">
      <c r="A1115" s="711"/>
      <c r="B1115" s="711"/>
      <c r="C1115" s="711"/>
      <c r="D1115" s="711"/>
      <c r="E1115" s="711"/>
      <c r="F1115" s="711"/>
      <c r="G1115" s="711"/>
      <c r="H1115" s="711"/>
      <c r="I1115" s="711"/>
      <c r="J1115" s="711"/>
      <c r="K1115" s="741"/>
      <c r="L1115" s="741"/>
      <c r="M1115" s="788"/>
      <c r="N1115" s="741"/>
      <c r="O1115" s="741"/>
      <c r="P1115" s="741"/>
      <c r="Q1115" s="741"/>
      <c r="R1115" s="788"/>
      <c r="S1115" s="819"/>
      <c r="T1115" s="820"/>
      <c r="U1115" s="819"/>
      <c r="V1115" s="820"/>
      <c r="W1115" s="788"/>
      <c r="X1115" s="803"/>
      <c r="Y1115" s="803"/>
      <c r="Z1115" s="803"/>
      <c r="AA1115" s="711"/>
      <c r="AB1115" s="711"/>
      <c r="AC1115" s="711"/>
      <c r="AD1115" s="736"/>
      <c r="AE1115" s="736"/>
      <c r="AF1115" s="624"/>
      <c r="AG1115" s="624"/>
      <c r="AH1115" s="624"/>
      <c r="AI1115" s="624"/>
      <c r="AJ1115" s="984"/>
      <c r="AK1115" s="985">
        <v>0.997</v>
      </c>
      <c r="AL1115" s="986">
        <v>1980.0</v>
      </c>
      <c r="AM1115" s="987">
        <v>-0.09121994148672674</v>
      </c>
      <c r="AN1115" s="988">
        <v>-0.0030000000000000027</v>
      </c>
      <c r="AO1115" s="986">
        <v>1980.0</v>
      </c>
      <c r="AP1115" s="989">
        <v>-0.0891674671208037</v>
      </c>
      <c r="AQ1115" s="986">
        <v>1980.0</v>
      </c>
      <c r="AR1115" s="990">
        <v>-0.08720525697994319</v>
      </c>
      <c r="AS1115" s="624"/>
      <c r="AT1115" s="624"/>
      <c r="AU1115" s="624"/>
      <c r="AV1115" s="624"/>
      <c r="AW1115" s="624"/>
      <c r="AX1115" s="624"/>
      <c r="AY1115" s="624"/>
      <c r="AZ1115" s="624"/>
      <c r="BA1115" s="624"/>
      <c r="BB1115" s="624"/>
      <c r="BC1115" s="624"/>
      <c r="BD1115" s="624"/>
      <c r="BE1115" s="624"/>
    </row>
    <row r="1116" ht="16.5" customHeight="1">
      <c r="A1116" s="711"/>
      <c r="B1116" s="711"/>
      <c r="C1116" s="711"/>
      <c r="D1116" s="711"/>
      <c r="E1116" s="711"/>
      <c r="F1116" s="711"/>
      <c r="G1116" s="711"/>
      <c r="H1116" s="711"/>
      <c r="I1116" s="711"/>
      <c r="J1116" s="711"/>
      <c r="K1116" s="741"/>
      <c r="L1116" s="741"/>
      <c r="M1116" s="788"/>
      <c r="N1116" s="741"/>
      <c r="O1116" s="741"/>
      <c r="P1116" s="741"/>
      <c r="Q1116" s="741"/>
      <c r="R1116" s="788"/>
      <c r="S1116" s="819"/>
      <c r="T1116" s="820"/>
      <c r="U1116" s="819"/>
      <c r="V1116" s="820"/>
      <c r="W1116" s="788"/>
      <c r="X1116" s="803"/>
      <c r="Y1116" s="803"/>
      <c r="Z1116" s="803"/>
      <c r="AA1116" s="711"/>
      <c r="AB1116" s="711"/>
      <c r="AC1116" s="711"/>
      <c r="AD1116" s="736"/>
      <c r="AE1116" s="736"/>
      <c r="AF1116" s="624"/>
      <c r="AG1116" s="624"/>
      <c r="AH1116" s="624"/>
      <c r="AI1116" s="624"/>
      <c r="AJ1116" s="984"/>
      <c r="AK1116" s="985">
        <v>1.0002</v>
      </c>
      <c r="AL1116" s="986">
        <v>1904.0</v>
      </c>
      <c r="AM1116" s="987">
        <v>-0.08787722506433548</v>
      </c>
      <c r="AN1116" s="988">
        <v>1.9999999999997797E-4</v>
      </c>
      <c r="AO1116" s="986">
        <v>1904.0</v>
      </c>
      <c r="AP1116" s="989">
        <v>-0.08589635861356104</v>
      </c>
      <c r="AQ1116" s="986">
        <v>1904.0</v>
      </c>
      <c r="AR1116" s="990">
        <v>-0.08400276739291124</v>
      </c>
      <c r="AS1116" s="624"/>
      <c r="AT1116" s="624"/>
      <c r="AU1116" s="624"/>
      <c r="AV1116" s="624"/>
      <c r="AW1116" s="624"/>
      <c r="AX1116" s="624"/>
      <c r="AY1116" s="624"/>
      <c r="AZ1116" s="624"/>
      <c r="BA1116" s="624"/>
      <c r="BB1116" s="624"/>
      <c r="BC1116" s="624"/>
      <c r="BD1116" s="624"/>
      <c r="BE1116" s="624"/>
    </row>
    <row r="1117" ht="16.5" customHeight="1">
      <c r="A1117" s="711"/>
      <c r="B1117" s="711"/>
      <c r="C1117" s="711"/>
      <c r="D1117" s="711"/>
      <c r="E1117" s="711"/>
      <c r="F1117" s="711"/>
      <c r="G1117" s="711"/>
      <c r="H1117" s="711"/>
      <c r="I1117" s="711"/>
      <c r="J1117" s="711"/>
      <c r="K1117" s="741"/>
      <c r="L1117" s="741"/>
      <c r="M1117" s="788"/>
      <c r="N1117" s="741"/>
      <c r="O1117" s="741"/>
      <c r="P1117" s="741"/>
      <c r="Q1117" s="741"/>
      <c r="R1117" s="788"/>
      <c r="S1117" s="819"/>
      <c r="T1117" s="820"/>
      <c r="U1117" s="819"/>
      <c r="V1117" s="820"/>
      <c r="W1117" s="788"/>
      <c r="X1117" s="803"/>
      <c r="Y1117" s="803"/>
      <c r="Z1117" s="803"/>
      <c r="AA1117" s="711"/>
      <c r="AB1117" s="711"/>
      <c r="AC1117" s="711"/>
      <c r="AD1117" s="736"/>
      <c r="AE1117" s="736"/>
      <c r="AF1117" s="624"/>
      <c r="AG1117" s="624"/>
      <c r="AH1117" s="624"/>
      <c r="AI1117" s="624"/>
      <c r="AJ1117" s="984"/>
      <c r="AK1117" s="985">
        <v>1.0052</v>
      </c>
      <c r="AL1117" s="986">
        <v>1875.0</v>
      </c>
      <c r="AM1117" s="987">
        <v>-0.08659847636869278</v>
      </c>
      <c r="AN1117" s="988">
        <v>0.0052000000000000934</v>
      </c>
      <c r="AO1117" s="986">
        <v>1875.0</v>
      </c>
      <c r="AP1117" s="989">
        <v>-0.08464507818762335</v>
      </c>
      <c r="AQ1117" s="986">
        <v>1875.0</v>
      </c>
      <c r="AR1117" s="990">
        <v>-0.08277780528507828</v>
      </c>
      <c r="AS1117" s="624"/>
      <c r="AT1117" s="624"/>
      <c r="AU1117" s="624"/>
      <c r="AV1117" s="624"/>
      <c r="AW1117" s="624"/>
      <c r="AX1117" s="624"/>
      <c r="AY1117" s="624"/>
      <c r="AZ1117" s="624"/>
      <c r="BA1117" s="624"/>
      <c r="BB1117" s="624"/>
      <c r="BC1117" s="624"/>
      <c r="BD1117" s="624"/>
      <c r="BE1117" s="624"/>
    </row>
    <row r="1118" ht="16.5" customHeight="1">
      <c r="A1118" s="711"/>
      <c r="B1118" s="711"/>
      <c r="C1118" s="711"/>
      <c r="D1118" s="711"/>
      <c r="E1118" s="711"/>
      <c r="F1118" s="711"/>
      <c r="G1118" s="711"/>
      <c r="H1118" s="711"/>
      <c r="I1118" s="711"/>
      <c r="J1118" s="711"/>
      <c r="K1118" s="741"/>
      <c r="L1118" s="741"/>
      <c r="M1118" s="788"/>
      <c r="N1118" s="741"/>
      <c r="O1118" s="741"/>
      <c r="P1118" s="741"/>
      <c r="Q1118" s="741"/>
      <c r="R1118" s="788"/>
      <c r="S1118" s="819"/>
      <c r="T1118" s="820"/>
      <c r="U1118" s="819"/>
      <c r="V1118" s="820"/>
      <c r="W1118" s="788"/>
      <c r="X1118" s="803"/>
      <c r="Y1118" s="803"/>
      <c r="Z1118" s="803"/>
      <c r="AA1118" s="711"/>
      <c r="AB1118" s="711"/>
      <c r="AC1118" s="711"/>
      <c r="AD1118" s="736"/>
      <c r="AE1118" s="736"/>
      <c r="AF1118" s="624"/>
      <c r="AG1118" s="624"/>
      <c r="AH1118" s="624"/>
      <c r="AI1118" s="624"/>
      <c r="AJ1118" s="984"/>
      <c r="AK1118" s="985">
        <v>0.9883</v>
      </c>
      <c r="AL1118" s="986">
        <v>1708.0</v>
      </c>
      <c r="AM1118" s="987">
        <v>-0.07919968298712565</v>
      </c>
      <c r="AN1118" s="988">
        <v>-0.011700000000000044</v>
      </c>
      <c r="AO1118" s="986">
        <v>1708.0</v>
      </c>
      <c r="AP1118" s="989">
        <v>-0.07740602444524947</v>
      </c>
      <c r="AQ1118" s="986">
        <v>1708.0</v>
      </c>
      <c r="AR1118" s="990">
        <v>-0.07569176695329094</v>
      </c>
      <c r="AS1118" s="624"/>
      <c r="AT1118" s="624"/>
      <c r="AU1118" s="624"/>
      <c r="AV1118" s="624"/>
      <c r="AW1118" s="624"/>
      <c r="AX1118" s="624"/>
      <c r="AY1118" s="624"/>
      <c r="AZ1118" s="624"/>
      <c r="BA1118" s="624"/>
      <c r="BB1118" s="624"/>
      <c r="BC1118" s="624"/>
      <c r="BD1118" s="624"/>
      <c r="BE1118" s="624"/>
    </row>
    <row r="1119" ht="16.5" customHeight="1">
      <c r="A1119" s="711"/>
      <c r="B1119" s="711"/>
      <c r="C1119" s="711"/>
      <c r="D1119" s="711"/>
      <c r="E1119" s="711"/>
      <c r="F1119" s="711"/>
      <c r="G1119" s="711"/>
      <c r="H1119" s="711"/>
      <c r="I1119" s="711"/>
      <c r="J1119" s="711"/>
      <c r="K1119" s="741"/>
      <c r="L1119" s="741"/>
      <c r="M1119" s="788"/>
      <c r="N1119" s="741"/>
      <c r="O1119" s="741"/>
      <c r="P1119" s="741"/>
      <c r="Q1119" s="741"/>
      <c r="R1119" s="788"/>
      <c r="S1119" s="819"/>
      <c r="T1119" s="820"/>
      <c r="U1119" s="819"/>
      <c r="V1119" s="820"/>
      <c r="W1119" s="788"/>
      <c r="X1119" s="803"/>
      <c r="Y1119" s="803"/>
      <c r="Z1119" s="803"/>
      <c r="AA1119" s="711"/>
      <c r="AB1119" s="711"/>
      <c r="AC1119" s="711"/>
      <c r="AD1119" s="736"/>
      <c r="AE1119" s="736"/>
      <c r="AF1119" s="624"/>
      <c r="AG1119" s="624"/>
      <c r="AH1119" s="624"/>
      <c r="AI1119" s="624"/>
      <c r="AJ1119" s="984"/>
      <c r="AK1119" s="985">
        <v>0.9945</v>
      </c>
      <c r="AL1119" s="986">
        <v>1700.0</v>
      </c>
      <c r="AM1119" s="987">
        <v>-0.07884374935529359</v>
      </c>
      <c r="AN1119" s="988">
        <v>-0.005499999999999949</v>
      </c>
      <c r="AO1119" s="986">
        <v>1700.0</v>
      </c>
      <c r="AP1119" s="989">
        <v>-0.07705781007853696</v>
      </c>
      <c r="AQ1119" s="986">
        <v>1700.0</v>
      </c>
      <c r="AR1119" s="990">
        <v>-0.0753509453372968</v>
      </c>
      <c r="AS1119" s="624"/>
      <c r="AT1119" s="624"/>
      <c r="AU1119" s="624"/>
      <c r="AV1119" s="624"/>
      <c r="AW1119" s="624"/>
      <c r="AX1119" s="624"/>
      <c r="AY1119" s="624"/>
      <c r="AZ1119" s="624"/>
      <c r="BA1119" s="624"/>
      <c r="BB1119" s="624"/>
      <c r="BC1119" s="624"/>
      <c r="BD1119" s="624"/>
      <c r="BE1119" s="624"/>
    </row>
    <row r="1120" ht="16.5" customHeight="1">
      <c r="A1120" s="711"/>
      <c r="B1120" s="711"/>
      <c r="C1120" s="711"/>
      <c r="D1120" s="711"/>
      <c r="E1120" s="711"/>
      <c r="F1120" s="711"/>
      <c r="G1120" s="711"/>
      <c r="H1120" s="711"/>
      <c r="I1120" s="711"/>
      <c r="J1120" s="711"/>
      <c r="K1120" s="741"/>
      <c r="L1120" s="741"/>
      <c r="M1120" s="788"/>
      <c r="N1120" s="741"/>
      <c r="O1120" s="741"/>
      <c r="P1120" s="741"/>
      <c r="Q1120" s="741"/>
      <c r="R1120" s="788"/>
      <c r="S1120" s="819"/>
      <c r="T1120" s="820"/>
      <c r="U1120" s="819"/>
      <c r="V1120" s="820"/>
      <c r="W1120" s="788"/>
      <c r="X1120" s="803"/>
      <c r="Y1120" s="803"/>
      <c r="Z1120" s="803"/>
      <c r="AA1120" s="711"/>
      <c r="AB1120" s="711"/>
      <c r="AC1120" s="711"/>
      <c r="AD1120" s="736"/>
      <c r="AE1120" s="736"/>
      <c r="AF1120" s="624"/>
      <c r="AG1120" s="624"/>
      <c r="AH1120" s="624"/>
      <c r="AI1120" s="624"/>
      <c r="AJ1120" s="984"/>
      <c r="AK1120" s="985">
        <v>1.0107</v>
      </c>
      <c r="AL1120" s="986">
        <v>1569.0</v>
      </c>
      <c r="AM1120" s="987">
        <v>-0.07299572469672622</v>
      </c>
      <c r="AN1120" s="988">
        <v>0.010699999999999932</v>
      </c>
      <c r="AO1120" s="986">
        <v>1569.0</v>
      </c>
      <c r="AP1120" s="989">
        <v>-0.07133706717110266</v>
      </c>
      <c r="AQ1120" s="986">
        <v>1569.0</v>
      </c>
      <c r="AR1120" s="990">
        <v>-0.06975207976693298</v>
      </c>
      <c r="AS1120" s="624"/>
      <c r="AT1120" s="624"/>
      <c r="AU1120" s="624"/>
      <c r="AV1120" s="624"/>
      <c r="AW1120" s="624"/>
      <c r="AX1120" s="624"/>
      <c r="AY1120" s="624"/>
      <c r="AZ1120" s="624"/>
      <c r="BA1120" s="624"/>
      <c r="BB1120" s="624"/>
      <c r="BC1120" s="624"/>
      <c r="BD1120" s="624"/>
      <c r="BE1120" s="624"/>
    </row>
    <row r="1121" ht="16.5" customHeight="1">
      <c r="A1121" s="711"/>
      <c r="B1121" s="711"/>
      <c r="C1121" s="711"/>
      <c r="D1121" s="711"/>
      <c r="E1121" s="711"/>
      <c r="F1121" s="711"/>
      <c r="G1121" s="711"/>
      <c r="H1121" s="711"/>
      <c r="I1121" s="711"/>
      <c r="J1121" s="711"/>
      <c r="K1121" s="741"/>
      <c r="L1121" s="741"/>
      <c r="M1121" s="788"/>
      <c r="N1121" s="741"/>
      <c r="O1121" s="741"/>
      <c r="P1121" s="741"/>
      <c r="Q1121" s="741"/>
      <c r="R1121" s="788"/>
      <c r="S1121" s="819"/>
      <c r="T1121" s="820"/>
      <c r="U1121" s="819"/>
      <c r="V1121" s="820"/>
      <c r="W1121" s="788"/>
      <c r="X1121" s="803"/>
      <c r="Y1121" s="803"/>
      <c r="Z1121" s="803"/>
      <c r="AA1121" s="711"/>
      <c r="AB1121" s="711"/>
      <c r="AC1121" s="711"/>
      <c r="AD1121" s="736"/>
      <c r="AE1121" s="736"/>
      <c r="AF1121" s="624"/>
      <c r="AG1121" s="624"/>
      <c r="AH1121" s="624"/>
      <c r="AI1121" s="624"/>
      <c r="AJ1121" s="984"/>
      <c r="AK1121" s="985">
        <v>1.0216</v>
      </c>
      <c r="AL1121" s="986">
        <v>1512.0</v>
      </c>
      <c r="AM1121" s="987">
        <v>-0.07043958652297277</v>
      </c>
      <c r="AN1121" s="988">
        <v>0.021600000000000064</v>
      </c>
      <c r="AO1121" s="986">
        <v>1512.0</v>
      </c>
      <c r="AP1121" s="989">
        <v>-0.06883683075704772</v>
      </c>
      <c r="AQ1121" s="986">
        <v>1512.0</v>
      </c>
      <c r="AR1121" s="990">
        <v>-0.06730535937722026</v>
      </c>
      <c r="AS1121" s="624"/>
      <c r="AT1121" s="624"/>
      <c r="AU1121" s="624"/>
      <c r="AV1121" s="624"/>
      <c r="AW1121" s="624"/>
      <c r="AX1121" s="624"/>
      <c r="AY1121" s="624"/>
      <c r="AZ1121" s="624"/>
      <c r="BA1121" s="624"/>
      <c r="BB1121" s="624"/>
      <c r="BC1121" s="624"/>
      <c r="BD1121" s="624"/>
      <c r="BE1121" s="624"/>
    </row>
    <row r="1122" ht="16.5" customHeight="1">
      <c r="A1122" s="711"/>
      <c r="B1122" s="711"/>
      <c r="C1122" s="711"/>
      <c r="D1122" s="711"/>
      <c r="E1122" s="711"/>
      <c r="F1122" s="711"/>
      <c r="G1122" s="711"/>
      <c r="H1122" s="711"/>
      <c r="I1122" s="711"/>
      <c r="J1122" s="711"/>
      <c r="K1122" s="741"/>
      <c r="L1122" s="741"/>
      <c r="M1122" s="788"/>
      <c r="N1122" s="741"/>
      <c r="O1122" s="741"/>
      <c r="P1122" s="741"/>
      <c r="Q1122" s="741"/>
      <c r="R1122" s="788"/>
      <c r="S1122" s="819"/>
      <c r="T1122" s="820"/>
      <c r="U1122" s="819"/>
      <c r="V1122" s="820"/>
      <c r="W1122" s="788"/>
      <c r="X1122" s="803"/>
      <c r="Y1122" s="803"/>
      <c r="Z1122" s="803"/>
      <c r="AA1122" s="711"/>
      <c r="AB1122" s="711"/>
      <c r="AC1122" s="711"/>
      <c r="AD1122" s="736"/>
      <c r="AE1122" s="736"/>
      <c r="AF1122" s="624"/>
      <c r="AG1122" s="624"/>
      <c r="AH1122" s="624"/>
      <c r="AI1122" s="624"/>
      <c r="AJ1122" s="984"/>
      <c r="AK1122" s="985">
        <v>1.0235</v>
      </c>
      <c r="AL1122" s="986">
        <v>1390.0</v>
      </c>
      <c r="AM1122" s="987">
        <v>-0.06494484156429736</v>
      </c>
      <c r="AN1122" s="988">
        <v>0.023500000000000076</v>
      </c>
      <c r="AO1122" s="986">
        <v>1390.0</v>
      </c>
      <c r="AP1122" s="989">
        <v>-0.06346280207861743</v>
      </c>
      <c r="AQ1122" s="986">
        <v>1390.0</v>
      </c>
      <c r="AR1122" s="990">
        <v>-0.062046870279282684</v>
      </c>
      <c r="AS1122" s="624"/>
      <c r="AT1122" s="624"/>
      <c r="AU1122" s="624"/>
      <c r="AV1122" s="624"/>
      <c r="AW1122" s="624"/>
      <c r="AX1122" s="624"/>
      <c r="AY1122" s="624"/>
      <c r="AZ1122" s="624"/>
      <c r="BA1122" s="624"/>
      <c r="BB1122" s="624"/>
      <c r="BC1122" s="624"/>
      <c r="BD1122" s="624"/>
      <c r="BE1122" s="624"/>
    </row>
    <row r="1123" ht="16.5" customHeight="1">
      <c r="A1123" s="711"/>
      <c r="B1123" s="711"/>
      <c r="C1123" s="711"/>
      <c r="D1123" s="711"/>
      <c r="E1123" s="711"/>
      <c r="F1123" s="711"/>
      <c r="G1123" s="711"/>
      <c r="H1123" s="711"/>
      <c r="I1123" s="711"/>
      <c r="J1123" s="711"/>
      <c r="K1123" s="741"/>
      <c r="L1123" s="741"/>
      <c r="M1123" s="788"/>
      <c r="N1123" s="741"/>
      <c r="O1123" s="741"/>
      <c r="P1123" s="741"/>
      <c r="Q1123" s="741"/>
      <c r="R1123" s="788"/>
      <c r="S1123" s="819"/>
      <c r="T1123" s="820"/>
      <c r="U1123" s="819"/>
      <c r="V1123" s="820"/>
      <c r="W1123" s="788"/>
      <c r="X1123" s="803"/>
      <c r="Y1123" s="803"/>
      <c r="Z1123" s="803"/>
      <c r="AA1123" s="711"/>
      <c r="AB1123" s="711"/>
      <c r="AC1123" s="711"/>
      <c r="AD1123" s="736"/>
      <c r="AE1123" s="736"/>
      <c r="AF1123" s="624"/>
      <c r="AG1123" s="624"/>
      <c r="AH1123" s="624"/>
      <c r="AI1123" s="624"/>
      <c r="AJ1123" s="984"/>
      <c r="AK1123" s="985">
        <v>1.0</v>
      </c>
      <c r="AL1123" s="986">
        <v>1364.0</v>
      </c>
      <c r="AM1123" s="987">
        <v>-0.06376963825201865</v>
      </c>
      <c r="AN1123" s="988">
        <v>0.0</v>
      </c>
      <c r="AO1123" s="986">
        <v>1364.0</v>
      </c>
      <c r="AP1123" s="989">
        <v>-0.062313514114675894</v>
      </c>
      <c r="AQ1123" s="986">
        <v>1364.0</v>
      </c>
      <c r="AR1123" s="990">
        <v>-0.060922381947399074</v>
      </c>
      <c r="AS1123" s="624"/>
      <c r="AT1123" s="624"/>
      <c r="AU1123" s="624"/>
      <c r="AV1123" s="624"/>
      <c r="AW1123" s="624"/>
      <c r="AX1123" s="624"/>
      <c r="AY1123" s="624"/>
      <c r="AZ1123" s="624"/>
      <c r="BA1123" s="624"/>
      <c r="BB1123" s="624"/>
      <c r="BC1123" s="624"/>
      <c r="BD1123" s="624"/>
      <c r="BE1123" s="624"/>
    </row>
    <row r="1124" ht="16.5" customHeight="1">
      <c r="A1124" s="711"/>
      <c r="B1124" s="711"/>
      <c r="C1124" s="711"/>
      <c r="D1124" s="711"/>
      <c r="E1124" s="711"/>
      <c r="F1124" s="711"/>
      <c r="G1124" s="711"/>
      <c r="H1124" s="711"/>
      <c r="I1124" s="711"/>
      <c r="J1124" s="711"/>
      <c r="K1124" s="741"/>
      <c r="L1124" s="741"/>
      <c r="M1124" s="788"/>
      <c r="N1124" s="741"/>
      <c r="O1124" s="741"/>
      <c r="P1124" s="741"/>
      <c r="Q1124" s="741"/>
      <c r="R1124" s="788"/>
      <c r="S1124" s="819"/>
      <c r="T1124" s="820"/>
      <c r="U1124" s="819"/>
      <c r="V1124" s="820"/>
      <c r="W1124" s="788"/>
      <c r="X1124" s="803"/>
      <c r="Y1124" s="803"/>
      <c r="Z1124" s="803"/>
      <c r="AA1124" s="711"/>
      <c r="AB1124" s="711"/>
      <c r="AC1124" s="711"/>
      <c r="AD1124" s="736"/>
      <c r="AE1124" s="736"/>
      <c r="AF1124" s="624"/>
      <c r="AG1124" s="624"/>
      <c r="AH1124" s="624"/>
      <c r="AI1124" s="624"/>
      <c r="AJ1124" s="984"/>
      <c r="AK1124" s="985">
        <v>0.9973</v>
      </c>
      <c r="AL1124" s="986">
        <v>1340.0</v>
      </c>
      <c r="AM1124" s="987">
        <v>-0.06268352426500068</v>
      </c>
      <c r="AN1124" s="988">
        <v>-0.0027000000000000357</v>
      </c>
      <c r="AO1124" s="986">
        <v>1340.0</v>
      </c>
      <c r="AP1124" s="989">
        <v>-0.061251381149959094</v>
      </c>
      <c r="AQ1124" s="986">
        <v>1340.0</v>
      </c>
      <c r="AR1124" s="990">
        <v>-0.05988319619792459</v>
      </c>
      <c r="AS1124" s="624"/>
      <c r="AT1124" s="624"/>
      <c r="AU1124" s="624"/>
      <c r="AV1124" s="624"/>
      <c r="AW1124" s="624"/>
      <c r="AX1124" s="624"/>
      <c r="AY1124" s="624"/>
      <c r="AZ1124" s="624"/>
      <c r="BA1124" s="624"/>
      <c r="BB1124" s="624"/>
      <c r="BC1124" s="624"/>
      <c r="BD1124" s="624"/>
      <c r="BE1124" s="624"/>
    </row>
    <row r="1125" ht="16.5" customHeight="1">
      <c r="A1125" s="711"/>
      <c r="B1125" s="711"/>
      <c r="C1125" s="711"/>
      <c r="D1125" s="711"/>
      <c r="E1125" s="711"/>
      <c r="F1125" s="711"/>
      <c r="G1125" s="711"/>
      <c r="H1125" s="711"/>
      <c r="I1125" s="711"/>
      <c r="J1125" s="711"/>
      <c r="K1125" s="741"/>
      <c r="L1125" s="741"/>
      <c r="M1125" s="788"/>
      <c r="N1125" s="741"/>
      <c r="O1125" s="741"/>
      <c r="P1125" s="741"/>
      <c r="Q1125" s="741"/>
      <c r="R1125" s="788"/>
      <c r="S1125" s="819"/>
      <c r="T1125" s="820"/>
      <c r="U1125" s="819"/>
      <c r="V1125" s="820"/>
      <c r="W1125" s="788"/>
      <c r="X1125" s="803"/>
      <c r="Y1125" s="803"/>
      <c r="Z1125" s="803"/>
      <c r="AA1125" s="711"/>
      <c r="AB1125" s="711"/>
      <c r="AC1125" s="711"/>
      <c r="AD1125" s="736"/>
      <c r="AE1125" s="736"/>
      <c r="AF1125" s="624"/>
      <c r="AG1125" s="624"/>
      <c r="AH1125" s="624"/>
      <c r="AI1125" s="624"/>
      <c r="AJ1125" s="984"/>
      <c r="AK1125" s="985">
        <v>1.0005</v>
      </c>
      <c r="AL1125" s="986">
        <v>1330.0</v>
      </c>
      <c r="AM1125" s="987">
        <v>-0.062230604981356574</v>
      </c>
      <c r="AN1125" s="988">
        <v>4.999999999999449E-4</v>
      </c>
      <c r="AO1125" s="986">
        <v>1330.0</v>
      </c>
      <c r="AP1125" s="989">
        <v>-0.06080847074588269</v>
      </c>
      <c r="AQ1125" s="986">
        <v>1330.0</v>
      </c>
      <c r="AR1125" s="990">
        <v>-0.05944986280905107</v>
      </c>
      <c r="AS1125" s="624"/>
      <c r="AT1125" s="624"/>
      <c r="AU1125" s="624"/>
      <c r="AV1125" s="624"/>
      <c r="AW1125" s="624"/>
      <c r="AX1125" s="624"/>
      <c r="AY1125" s="624"/>
      <c r="AZ1125" s="624"/>
      <c r="BA1125" s="624"/>
      <c r="BB1125" s="624"/>
      <c r="BC1125" s="624"/>
      <c r="BD1125" s="624"/>
      <c r="BE1125" s="624"/>
    </row>
    <row r="1126" ht="16.5" customHeight="1">
      <c r="A1126" s="711"/>
      <c r="B1126" s="711"/>
      <c r="C1126" s="711"/>
      <c r="D1126" s="711"/>
      <c r="E1126" s="711"/>
      <c r="F1126" s="711"/>
      <c r="G1126" s="711"/>
      <c r="H1126" s="711"/>
      <c r="I1126" s="711"/>
      <c r="J1126" s="711"/>
      <c r="K1126" s="741"/>
      <c r="L1126" s="741"/>
      <c r="M1126" s="788"/>
      <c r="N1126" s="741"/>
      <c r="O1126" s="741"/>
      <c r="P1126" s="741"/>
      <c r="Q1126" s="741"/>
      <c r="R1126" s="788"/>
      <c r="S1126" s="819"/>
      <c r="T1126" s="820"/>
      <c r="U1126" s="819"/>
      <c r="V1126" s="820"/>
      <c r="W1126" s="788"/>
      <c r="X1126" s="803"/>
      <c r="Y1126" s="803"/>
      <c r="Z1126" s="803"/>
      <c r="AA1126" s="711"/>
      <c r="AB1126" s="711"/>
      <c r="AC1126" s="711"/>
      <c r="AD1126" s="736"/>
      <c r="AE1126" s="736"/>
      <c r="AF1126" s="624"/>
      <c r="AG1126" s="624"/>
      <c r="AH1126" s="624"/>
      <c r="AI1126" s="624"/>
      <c r="AJ1126" s="984"/>
      <c r="AK1126" s="985">
        <v>1.0261</v>
      </c>
      <c r="AL1126" s="986">
        <v>1327.0</v>
      </c>
      <c r="AM1126" s="987">
        <v>-0.062094686524457154</v>
      </c>
      <c r="AN1126" s="988">
        <v>0.026100000000000012</v>
      </c>
      <c r="AO1126" s="986">
        <v>1327.0</v>
      </c>
      <c r="AP1126" s="989">
        <v>-0.060675556880134596</v>
      </c>
      <c r="AQ1126" s="986">
        <v>1327.0</v>
      </c>
      <c r="AR1126" s="990">
        <v>-0.05931982384750634</v>
      </c>
      <c r="AS1126" s="624"/>
      <c r="AT1126" s="624"/>
      <c r="AU1126" s="624"/>
      <c r="AV1126" s="624"/>
      <c r="AW1126" s="624"/>
      <c r="AX1126" s="624"/>
      <c r="AY1126" s="624"/>
      <c r="AZ1126" s="624"/>
      <c r="BA1126" s="624"/>
      <c r="BB1126" s="624"/>
      <c r="BC1126" s="624"/>
      <c r="BD1126" s="624"/>
      <c r="BE1126" s="624"/>
    </row>
    <row r="1127" ht="16.5" customHeight="1">
      <c r="A1127" s="711"/>
      <c r="B1127" s="711"/>
      <c r="C1127" s="711"/>
      <c r="D1127" s="711"/>
      <c r="E1127" s="711"/>
      <c r="F1127" s="711"/>
      <c r="G1127" s="711"/>
      <c r="H1127" s="711"/>
      <c r="I1127" s="711"/>
      <c r="J1127" s="711"/>
      <c r="K1127" s="741"/>
      <c r="L1127" s="741"/>
      <c r="M1127" s="788"/>
      <c r="N1127" s="741"/>
      <c r="O1127" s="741"/>
      <c r="P1127" s="741"/>
      <c r="Q1127" s="741"/>
      <c r="R1127" s="788"/>
      <c r="S1127" s="819"/>
      <c r="T1127" s="820"/>
      <c r="U1127" s="819"/>
      <c r="V1127" s="820"/>
      <c r="W1127" s="788"/>
      <c r="X1127" s="803"/>
      <c r="Y1127" s="803"/>
      <c r="Z1127" s="803"/>
      <c r="AA1127" s="711"/>
      <c r="AB1127" s="711"/>
      <c r="AC1127" s="711"/>
      <c r="AD1127" s="736"/>
      <c r="AE1127" s="736"/>
      <c r="AF1127" s="624"/>
      <c r="AG1127" s="624"/>
      <c r="AH1127" s="624"/>
      <c r="AI1127" s="624"/>
      <c r="AJ1127" s="984"/>
      <c r="AK1127" s="985">
        <v>0.9995</v>
      </c>
      <c r="AL1127" s="986">
        <v>1322.0</v>
      </c>
      <c r="AM1127" s="987">
        <v>-0.061868111984315965</v>
      </c>
      <c r="AN1127" s="988">
        <v>-4.999999999999449E-4</v>
      </c>
      <c r="AO1127" s="986">
        <v>1322.0</v>
      </c>
      <c r="AP1127" s="989">
        <v>-0.06045399196946932</v>
      </c>
      <c r="AQ1127" s="986">
        <v>1322.0</v>
      </c>
      <c r="AR1127" s="990">
        <v>-0.05910305229041679</v>
      </c>
      <c r="AS1127" s="624"/>
      <c r="AT1127" s="624"/>
      <c r="AU1127" s="624"/>
      <c r="AV1127" s="624"/>
      <c r="AW1127" s="624"/>
      <c r="AX1127" s="624"/>
      <c r="AY1127" s="624"/>
      <c r="AZ1127" s="624"/>
      <c r="BA1127" s="624"/>
      <c r="BB1127" s="624"/>
      <c r="BC1127" s="624"/>
      <c r="BD1127" s="624"/>
      <c r="BE1127" s="624"/>
    </row>
    <row r="1128" ht="16.5" customHeight="1">
      <c r="A1128" s="711"/>
      <c r="B1128" s="711"/>
      <c r="C1128" s="711"/>
      <c r="D1128" s="711"/>
      <c r="E1128" s="711"/>
      <c r="F1128" s="711"/>
      <c r="G1128" s="711"/>
      <c r="H1128" s="711"/>
      <c r="I1128" s="711"/>
      <c r="J1128" s="711"/>
      <c r="K1128" s="741"/>
      <c r="L1128" s="741"/>
      <c r="M1128" s="788"/>
      <c r="N1128" s="741"/>
      <c r="O1128" s="741"/>
      <c r="P1128" s="741"/>
      <c r="Q1128" s="741"/>
      <c r="R1128" s="788"/>
      <c r="S1128" s="819"/>
      <c r="T1128" s="820"/>
      <c r="U1128" s="819"/>
      <c r="V1128" s="820"/>
      <c r="W1128" s="788"/>
      <c r="X1128" s="803"/>
      <c r="Y1128" s="803"/>
      <c r="Z1128" s="803"/>
      <c r="AA1128" s="711"/>
      <c r="AB1128" s="711"/>
      <c r="AC1128" s="711"/>
      <c r="AD1128" s="736"/>
      <c r="AE1128" s="736"/>
      <c r="AF1128" s="624"/>
      <c r="AG1128" s="624"/>
      <c r="AH1128" s="624"/>
      <c r="AI1128" s="624"/>
      <c r="AJ1128" s="984"/>
      <c r="AK1128" s="985">
        <v>1.0092</v>
      </c>
      <c r="AL1128" s="986">
        <v>1307.0</v>
      </c>
      <c r="AM1128" s="987">
        <v>-0.061188059902438585</v>
      </c>
      <c r="AN1128" s="988">
        <v>0.009200000000000097</v>
      </c>
      <c r="AO1128" s="986">
        <v>1307.0</v>
      </c>
      <c r="AP1128" s="989">
        <v>-0.059788983615933766</v>
      </c>
      <c r="AQ1128" s="986">
        <v>1307.0</v>
      </c>
      <c r="AR1128" s="990">
        <v>-0.05845243785439158</v>
      </c>
      <c r="AS1128" s="624"/>
      <c r="AT1128" s="624"/>
      <c r="AU1128" s="624"/>
      <c r="AV1128" s="624"/>
      <c r="AW1128" s="624"/>
      <c r="AX1128" s="624"/>
      <c r="AY1128" s="624"/>
      <c r="AZ1128" s="624"/>
      <c r="BA1128" s="624"/>
      <c r="BB1128" s="624"/>
      <c r="BC1128" s="624"/>
      <c r="BD1128" s="624"/>
      <c r="BE1128" s="624"/>
    </row>
    <row r="1129" ht="16.5" customHeight="1">
      <c r="A1129" s="711"/>
      <c r="B1129" s="711"/>
      <c r="C1129" s="711"/>
      <c r="D1129" s="711"/>
      <c r="E1129" s="711"/>
      <c r="F1129" s="711"/>
      <c r="G1129" s="711"/>
      <c r="H1129" s="711"/>
      <c r="I1129" s="711"/>
      <c r="J1129" s="711"/>
      <c r="K1129" s="741"/>
      <c r="L1129" s="741"/>
      <c r="M1129" s="788"/>
      <c r="N1129" s="741"/>
      <c r="O1129" s="741"/>
      <c r="P1129" s="741"/>
      <c r="Q1129" s="741"/>
      <c r="R1129" s="788"/>
      <c r="S1129" s="819"/>
      <c r="T1129" s="820"/>
      <c r="U1129" s="819"/>
      <c r="V1129" s="820"/>
      <c r="W1129" s="788"/>
      <c r="X1129" s="803"/>
      <c r="Y1129" s="803"/>
      <c r="Z1129" s="803"/>
      <c r="AA1129" s="711"/>
      <c r="AB1129" s="711"/>
      <c r="AC1129" s="711"/>
      <c r="AD1129" s="736"/>
      <c r="AE1129" s="736"/>
      <c r="AF1129" s="624"/>
      <c r="AG1129" s="624"/>
      <c r="AH1129" s="624"/>
      <c r="AI1129" s="624"/>
      <c r="AJ1129" s="984"/>
      <c r="AK1129" s="985">
        <v>1.0082</v>
      </c>
      <c r="AL1129" s="986">
        <v>1196.0</v>
      </c>
      <c r="AM1129" s="987">
        <v>-0.056140329273157485</v>
      </c>
      <c r="AN1129" s="988">
        <v>0.008199999999999985</v>
      </c>
      <c r="AO1129" s="986">
        <v>1196.0</v>
      </c>
      <c r="AP1129" s="989">
        <v>-0.054853270604311666</v>
      </c>
      <c r="AQ1129" s="986">
        <v>1196.0</v>
      </c>
      <c r="AR1129" s="990">
        <v>-0.05362388783326877</v>
      </c>
      <c r="AS1129" s="624"/>
      <c r="AT1129" s="624"/>
      <c r="AU1129" s="624"/>
      <c r="AV1129" s="624"/>
      <c r="AW1129" s="624"/>
      <c r="AX1129" s="624"/>
      <c r="AY1129" s="624"/>
      <c r="AZ1129" s="624"/>
      <c r="BA1129" s="624"/>
      <c r="BB1129" s="624"/>
      <c r="BC1129" s="624"/>
      <c r="BD1129" s="624"/>
      <c r="BE1129" s="624"/>
    </row>
    <row r="1130" ht="16.5" customHeight="1">
      <c r="A1130" s="711"/>
      <c r="B1130" s="711"/>
      <c r="C1130" s="711"/>
      <c r="D1130" s="711"/>
      <c r="E1130" s="711"/>
      <c r="F1130" s="711"/>
      <c r="G1130" s="711"/>
      <c r="H1130" s="711"/>
      <c r="I1130" s="711"/>
      <c r="J1130" s="711"/>
      <c r="K1130" s="741"/>
      <c r="L1130" s="741"/>
      <c r="M1130" s="788"/>
      <c r="N1130" s="741"/>
      <c r="O1130" s="741"/>
      <c r="P1130" s="741"/>
      <c r="Q1130" s="741"/>
      <c r="R1130" s="788"/>
      <c r="S1130" s="819"/>
      <c r="T1130" s="820"/>
      <c r="U1130" s="819"/>
      <c r="V1130" s="820"/>
      <c r="W1130" s="788"/>
      <c r="X1130" s="803"/>
      <c r="Y1130" s="803"/>
      <c r="Z1130" s="803"/>
      <c r="AA1130" s="711"/>
      <c r="AB1130" s="711"/>
      <c r="AC1130" s="711"/>
      <c r="AD1130" s="736"/>
      <c r="AE1130" s="736"/>
      <c r="AF1130" s="624"/>
      <c r="AG1130" s="624"/>
      <c r="AH1130" s="624"/>
      <c r="AI1130" s="624"/>
      <c r="AJ1130" s="984"/>
      <c r="AK1130" s="985">
        <v>1.0222</v>
      </c>
      <c r="AL1130" s="986">
        <v>1186.0</v>
      </c>
      <c r="AM1130" s="987">
        <v>-0.05568424826210838</v>
      </c>
      <c r="AN1130" s="988">
        <v>0.022199999999999998</v>
      </c>
      <c r="AO1130" s="986">
        <v>1186.0</v>
      </c>
      <c r="AP1130" s="989">
        <v>-0.05440734151166393</v>
      </c>
      <c r="AQ1130" s="986">
        <v>1186.0</v>
      </c>
      <c r="AR1130" s="990">
        <v>-0.05318766930576713</v>
      </c>
      <c r="AS1130" s="624"/>
      <c r="AT1130" s="624"/>
      <c r="AU1130" s="624"/>
      <c r="AV1130" s="624"/>
      <c r="AW1130" s="624"/>
      <c r="AX1130" s="624"/>
      <c r="AY1130" s="624"/>
      <c r="AZ1130" s="624"/>
      <c r="BA1130" s="624"/>
      <c r="BB1130" s="624"/>
      <c r="BC1130" s="624"/>
      <c r="BD1130" s="624"/>
      <c r="BE1130" s="624"/>
    </row>
    <row r="1131" ht="16.5" customHeight="1">
      <c r="A1131" s="711"/>
      <c r="B1131" s="711"/>
      <c r="C1131" s="711"/>
      <c r="D1131" s="711"/>
      <c r="E1131" s="711"/>
      <c r="F1131" s="711"/>
      <c r="G1131" s="711"/>
      <c r="H1131" s="711"/>
      <c r="I1131" s="711"/>
      <c r="J1131" s="711"/>
      <c r="K1131" s="741"/>
      <c r="L1131" s="741"/>
      <c r="M1131" s="788"/>
      <c r="N1131" s="741"/>
      <c r="O1131" s="741"/>
      <c r="P1131" s="741"/>
      <c r="Q1131" s="741"/>
      <c r="R1131" s="788"/>
      <c r="S1131" s="819"/>
      <c r="T1131" s="820"/>
      <c r="U1131" s="819"/>
      <c r="V1131" s="820"/>
      <c r="W1131" s="788"/>
      <c r="X1131" s="803"/>
      <c r="Y1131" s="803"/>
      <c r="Z1131" s="803"/>
      <c r="AA1131" s="711"/>
      <c r="AB1131" s="711"/>
      <c r="AC1131" s="711"/>
      <c r="AD1131" s="736"/>
      <c r="AE1131" s="736"/>
      <c r="AF1131" s="624"/>
      <c r="AG1131" s="624"/>
      <c r="AH1131" s="624"/>
      <c r="AI1131" s="624"/>
      <c r="AJ1131" s="984"/>
      <c r="AK1131" s="985">
        <v>0.9992</v>
      </c>
      <c r="AL1131" s="986">
        <v>1167.0</v>
      </c>
      <c r="AM1131" s="987">
        <v>-0.05481708710008848</v>
      </c>
      <c r="AN1131" s="988">
        <v>-8.000000000000229E-4</v>
      </c>
      <c r="AO1131" s="986">
        <v>1167.0</v>
      </c>
      <c r="AP1131" s="989">
        <v>-0.05355949651941905</v>
      </c>
      <c r="AQ1131" s="986">
        <v>1167.0</v>
      </c>
      <c r="AR1131" s="990">
        <v>-0.052358300082678166</v>
      </c>
      <c r="AS1131" s="624"/>
      <c r="AT1131" s="624"/>
      <c r="AU1131" s="624"/>
      <c r="AV1131" s="624"/>
      <c r="AW1131" s="624"/>
      <c r="AX1131" s="624"/>
      <c r="AY1131" s="624"/>
      <c r="AZ1131" s="624"/>
      <c r="BA1131" s="624"/>
      <c r="BB1131" s="624"/>
      <c r="BC1131" s="624"/>
      <c r="BD1131" s="624"/>
      <c r="BE1131" s="624"/>
    </row>
    <row r="1132" ht="16.5" customHeight="1">
      <c r="A1132" s="711"/>
      <c r="B1132" s="711"/>
      <c r="C1132" s="711"/>
      <c r="D1132" s="711"/>
      <c r="E1132" s="711"/>
      <c r="F1132" s="711"/>
      <c r="G1132" s="711"/>
      <c r="H1132" s="711"/>
      <c r="I1132" s="711"/>
      <c r="J1132" s="711"/>
      <c r="K1132" s="741"/>
      <c r="L1132" s="741"/>
      <c r="M1132" s="788"/>
      <c r="N1132" s="741"/>
      <c r="O1132" s="741"/>
      <c r="P1132" s="741"/>
      <c r="Q1132" s="741"/>
      <c r="R1132" s="788"/>
      <c r="S1132" s="819"/>
      <c r="T1132" s="820"/>
      <c r="U1132" s="819"/>
      <c r="V1132" s="820"/>
      <c r="W1132" s="788"/>
      <c r="X1132" s="803"/>
      <c r="Y1132" s="803"/>
      <c r="Z1132" s="803"/>
      <c r="AA1132" s="711"/>
      <c r="AB1132" s="711"/>
      <c r="AC1132" s="711"/>
      <c r="AD1132" s="736"/>
      <c r="AE1132" s="736"/>
      <c r="AF1132" s="624"/>
      <c r="AG1132" s="624"/>
      <c r="AH1132" s="624"/>
      <c r="AI1132" s="624"/>
      <c r="AJ1132" s="984"/>
      <c r="AK1132" s="985">
        <v>1.0127</v>
      </c>
      <c r="AL1132" s="986">
        <v>1136.0</v>
      </c>
      <c r="AM1132" s="987">
        <v>-0.05340053534299505</v>
      </c>
      <c r="AN1132" s="988">
        <v>0.012699999999999934</v>
      </c>
      <c r="AO1132" s="986">
        <v>1136.0</v>
      </c>
      <c r="AP1132" s="989">
        <v>-0.05217453815947681</v>
      </c>
      <c r="AQ1132" s="986">
        <v>1136.0</v>
      </c>
      <c r="AR1132" s="990">
        <v>-0.05100355878369511</v>
      </c>
      <c r="AS1132" s="624"/>
      <c r="AT1132" s="624"/>
      <c r="AU1132" s="624"/>
      <c r="AV1132" s="624"/>
      <c r="AW1132" s="624"/>
      <c r="AX1132" s="624"/>
      <c r="AY1132" s="624"/>
      <c r="AZ1132" s="624"/>
      <c r="BA1132" s="624"/>
      <c r="BB1132" s="624"/>
      <c r="BC1132" s="624"/>
      <c r="BD1132" s="624"/>
      <c r="BE1132" s="624"/>
    </row>
    <row r="1133" ht="16.5" customHeight="1">
      <c r="A1133" s="711"/>
      <c r="B1133" s="711"/>
      <c r="C1133" s="711"/>
      <c r="D1133" s="711"/>
      <c r="E1133" s="711"/>
      <c r="F1133" s="711"/>
      <c r="G1133" s="711"/>
      <c r="H1133" s="711"/>
      <c r="I1133" s="711"/>
      <c r="J1133" s="711"/>
      <c r="K1133" s="741"/>
      <c r="L1133" s="741"/>
      <c r="M1133" s="788"/>
      <c r="N1133" s="741"/>
      <c r="O1133" s="741"/>
      <c r="P1133" s="741"/>
      <c r="Q1133" s="741"/>
      <c r="R1133" s="788"/>
      <c r="S1133" s="819"/>
      <c r="T1133" s="820"/>
      <c r="U1133" s="819"/>
      <c r="V1133" s="820"/>
      <c r="W1133" s="788"/>
      <c r="X1133" s="803"/>
      <c r="Y1133" s="803"/>
      <c r="Z1133" s="803"/>
      <c r="AA1133" s="711"/>
      <c r="AB1133" s="711"/>
      <c r="AC1133" s="711"/>
      <c r="AD1133" s="736"/>
      <c r="AE1133" s="736"/>
      <c r="AF1133" s="624"/>
      <c r="AG1133" s="624"/>
      <c r="AH1133" s="624"/>
      <c r="AI1133" s="624"/>
      <c r="AJ1133" s="984"/>
      <c r="AK1133" s="985">
        <v>0.9738</v>
      </c>
      <c r="AL1133" s="986">
        <v>1068.0</v>
      </c>
      <c r="AM1133" s="987">
        <v>-0.05028582008044613</v>
      </c>
      <c r="AN1133" s="988">
        <v>-0.0262</v>
      </c>
      <c r="AO1133" s="986">
        <v>1068.0</v>
      </c>
      <c r="AP1133" s="989">
        <v>-0.049129462280351865</v>
      </c>
      <c r="AQ1133" s="986">
        <v>1068.0</v>
      </c>
      <c r="AR1133" s="990">
        <v>-0.048025080748386406</v>
      </c>
      <c r="AS1133" s="624"/>
      <c r="AT1133" s="624"/>
      <c r="AU1133" s="624"/>
      <c r="AV1133" s="624"/>
      <c r="AW1133" s="624"/>
      <c r="AX1133" s="624"/>
      <c r="AY1133" s="624"/>
      <c r="AZ1133" s="624"/>
      <c r="BA1133" s="624"/>
      <c r="BB1133" s="624"/>
      <c r="BC1133" s="624"/>
      <c r="BD1133" s="624"/>
      <c r="BE1133" s="624"/>
    </row>
    <row r="1134" ht="16.5" customHeight="1">
      <c r="A1134" s="711"/>
      <c r="B1134" s="711"/>
      <c r="C1134" s="711"/>
      <c r="D1134" s="711"/>
      <c r="E1134" s="711"/>
      <c r="F1134" s="711"/>
      <c r="G1134" s="711"/>
      <c r="H1134" s="711"/>
      <c r="I1134" s="711"/>
      <c r="J1134" s="711"/>
      <c r="K1134" s="741"/>
      <c r="L1134" s="741"/>
      <c r="M1134" s="788"/>
      <c r="N1134" s="741"/>
      <c r="O1134" s="741"/>
      <c r="P1134" s="741"/>
      <c r="Q1134" s="741"/>
      <c r="R1134" s="788"/>
      <c r="S1134" s="819"/>
      <c r="T1134" s="820"/>
      <c r="U1134" s="819"/>
      <c r="V1134" s="820"/>
      <c r="W1134" s="788"/>
      <c r="X1134" s="803"/>
      <c r="Y1134" s="803"/>
      <c r="Z1134" s="803"/>
      <c r="AA1134" s="711"/>
      <c r="AB1134" s="711"/>
      <c r="AC1134" s="711"/>
      <c r="AD1134" s="736"/>
      <c r="AE1134" s="736"/>
      <c r="AF1134" s="624"/>
      <c r="AG1134" s="624"/>
      <c r="AH1134" s="624"/>
      <c r="AI1134" s="624"/>
      <c r="AJ1134" s="984"/>
      <c r="AK1134" s="985">
        <v>0.9869</v>
      </c>
      <c r="AL1134" s="986">
        <v>1000.0</v>
      </c>
      <c r="AM1134" s="987">
        <v>-0.04716085607856346</v>
      </c>
      <c r="AN1134" s="988">
        <v>-0.0131</v>
      </c>
      <c r="AO1134" s="986">
        <v>1000.0</v>
      </c>
      <c r="AP1134" s="989">
        <v>-0.04607460349553061</v>
      </c>
      <c r="AQ1134" s="986">
        <v>1000.0</v>
      </c>
      <c r="AR1134" s="990">
        <v>-0.0450372545943476</v>
      </c>
      <c r="AS1134" s="624"/>
      <c r="AT1134" s="624"/>
      <c r="AU1134" s="624"/>
      <c r="AV1134" s="624"/>
      <c r="AW1134" s="624"/>
      <c r="AX1134" s="624"/>
      <c r="AY1134" s="624"/>
      <c r="AZ1134" s="624"/>
      <c r="BA1134" s="624"/>
      <c r="BB1134" s="624"/>
      <c r="BC1134" s="624"/>
      <c r="BD1134" s="624"/>
      <c r="BE1134" s="624"/>
    </row>
    <row r="1135" ht="16.5" customHeight="1">
      <c r="A1135" s="711"/>
      <c r="B1135" s="711"/>
      <c r="C1135" s="711"/>
      <c r="D1135" s="711"/>
      <c r="E1135" s="711"/>
      <c r="F1135" s="711"/>
      <c r="G1135" s="711"/>
      <c r="H1135" s="711"/>
      <c r="I1135" s="711"/>
      <c r="J1135" s="711"/>
      <c r="K1135" s="741"/>
      <c r="L1135" s="741"/>
      <c r="M1135" s="788"/>
      <c r="N1135" s="741"/>
      <c r="O1135" s="741"/>
      <c r="P1135" s="741"/>
      <c r="Q1135" s="741"/>
      <c r="R1135" s="788"/>
      <c r="S1135" s="819"/>
      <c r="T1135" s="820"/>
      <c r="U1135" s="819"/>
      <c r="V1135" s="820"/>
      <c r="W1135" s="788"/>
      <c r="X1135" s="803"/>
      <c r="Y1135" s="803"/>
      <c r="Z1135" s="803"/>
      <c r="AA1135" s="711"/>
      <c r="AB1135" s="711"/>
      <c r="AC1135" s="711"/>
      <c r="AD1135" s="736"/>
      <c r="AE1135" s="736"/>
      <c r="AF1135" s="624"/>
      <c r="AG1135" s="624"/>
      <c r="AH1135" s="624"/>
      <c r="AI1135" s="624"/>
      <c r="AJ1135" s="984"/>
      <c r="AK1135" s="985">
        <v>1.0</v>
      </c>
      <c r="AL1135" s="986">
        <v>980.0</v>
      </c>
      <c r="AM1135" s="987">
        <v>-0.04623979366216724</v>
      </c>
      <c r="AN1135" s="988">
        <v>0.0</v>
      </c>
      <c r="AO1135" s="986">
        <v>980.0</v>
      </c>
      <c r="AP1135" s="989">
        <v>-0.04517424924756286</v>
      </c>
      <c r="AQ1135" s="986">
        <v>980.0</v>
      </c>
      <c r="AR1135" s="990">
        <v>-0.04415669887486895</v>
      </c>
      <c r="AS1135" s="624"/>
      <c r="AT1135" s="624"/>
      <c r="AU1135" s="624"/>
      <c r="AV1135" s="624"/>
      <c r="AW1135" s="624"/>
      <c r="AX1135" s="624"/>
      <c r="AY1135" s="624"/>
      <c r="AZ1135" s="624"/>
      <c r="BA1135" s="624"/>
      <c r="BB1135" s="624"/>
      <c r="BC1135" s="624"/>
      <c r="BD1135" s="624"/>
      <c r="BE1135" s="624"/>
    </row>
    <row r="1136" ht="16.5" customHeight="1">
      <c r="A1136" s="711"/>
      <c r="B1136" s="711"/>
      <c r="C1136" s="711"/>
      <c r="D1136" s="711"/>
      <c r="E1136" s="711"/>
      <c r="F1136" s="711"/>
      <c r="G1136" s="711"/>
      <c r="H1136" s="711"/>
      <c r="I1136" s="711"/>
      <c r="J1136" s="711"/>
      <c r="K1136" s="741"/>
      <c r="L1136" s="741"/>
      <c r="M1136" s="788"/>
      <c r="N1136" s="741"/>
      <c r="O1136" s="741"/>
      <c r="P1136" s="741"/>
      <c r="Q1136" s="741"/>
      <c r="R1136" s="788"/>
      <c r="S1136" s="819"/>
      <c r="T1136" s="820"/>
      <c r="U1136" s="819"/>
      <c r="V1136" s="820"/>
      <c r="W1136" s="788"/>
      <c r="X1136" s="803"/>
      <c r="Y1136" s="803"/>
      <c r="Z1136" s="803"/>
      <c r="AA1136" s="711"/>
      <c r="AB1136" s="711"/>
      <c r="AC1136" s="711"/>
      <c r="AD1136" s="736"/>
      <c r="AE1136" s="736"/>
      <c r="AF1136" s="624"/>
      <c r="AG1136" s="624"/>
      <c r="AH1136" s="624"/>
      <c r="AI1136" s="624"/>
      <c r="AJ1136" s="984"/>
      <c r="AK1136" s="985">
        <v>1.0</v>
      </c>
      <c r="AL1136" s="986">
        <v>950.0</v>
      </c>
      <c r="AM1136" s="987">
        <v>-0.044856530370975034</v>
      </c>
      <c r="AN1136" s="988">
        <v>0.0</v>
      </c>
      <c r="AO1136" s="986">
        <v>950.0</v>
      </c>
      <c r="AP1136" s="989">
        <v>-0.04382212426577792</v>
      </c>
      <c r="AQ1136" s="986">
        <v>950.0</v>
      </c>
      <c r="AR1136" s="990">
        <v>-0.04283434266258401</v>
      </c>
      <c r="AS1136" s="624"/>
      <c r="AT1136" s="624"/>
      <c r="AU1136" s="624"/>
      <c r="AV1136" s="624"/>
      <c r="AW1136" s="624"/>
      <c r="AX1136" s="624"/>
      <c r="AY1136" s="624"/>
      <c r="AZ1136" s="624"/>
      <c r="BA1136" s="624"/>
      <c r="BB1136" s="624"/>
      <c r="BC1136" s="624"/>
      <c r="BD1136" s="624"/>
      <c r="BE1136" s="624"/>
    </row>
    <row r="1137" ht="16.5" customHeight="1">
      <c r="A1137" s="711"/>
      <c r="B1137" s="711"/>
      <c r="C1137" s="711"/>
      <c r="D1137" s="711"/>
      <c r="E1137" s="711"/>
      <c r="F1137" s="711"/>
      <c r="G1137" s="711"/>
      <c r="H1137" s="711"/>
      <c r="I1137" s="711"/>
      <c r="J1137" s="711"/>
      <c r="K1137" s="741"/>
      <c r="L1137" s="741"/>
      <c r="M1137" s="788"/>
      <c r="N1137" s="741"/>
      <c r="O1137" s="741"/>
      <c r="P1137" s="741"/>
      <c r="Q1137" s="741"/>
      <c r="R1137" s="788"/>
      <c r="S1137" s="819"/>
      <c r="T1137" s="820"/>
      <c r="U1137" s="819"/>
      <c r="V1137" s="820"/>
      <c r="W1137" s="788"/>
      <c r="X1137" s="803"/>
      <c r="Y1137" s="803"/>
      <c r="Z1137" s="803"/>
      <c r="AA1137" s="711"/>
      <c r="AB1137" s="711"/>
      <c r="AC1137" s="711"/>
      <c r="AD1137" s="736"/>
      <c r="AE1137" s="736"/>
      <c r="AF1137" s="624"/>
      <c r="AG1137" s="624"/>
      <c r="AH1137" s="624"/>
      <c r="AI1137" s="624"/>
      <c r="AJ1137" s="984"/>
      <c r="AK1137" s="985">
        <v>0.9738</v>
      </c>
      <c r="AL1137" s="986">
        <v>896.0</v>
      </c>
      <c r="AM1137" s="987">
        <v>-0.042361598911020315</v>
      </c>
      <c r="AN1137" s="988">
        <v>-0.0262</v>
      </c>
      <c r="AO1137" s="986">
        <v>896.0</v>
      </c>
      <c r="AP1137" s="989">
        <v>-0.041383472334678095</v>
      </c>
      <c r="AQ1137" s="986">
        <v>896.0</v>
      </c>
      <c r="AR1137" s="990">
        <v>-0.04044948967544493</v>
      </c>
      <c r="AS1137" s="624"/>
      <c r="AT1137" s="624"/>
      <c r="AU1137" s="624"/>
      <c r="AV1137" s="624"/>
      <c r="AW1137" s="624"/>
      <c r="AX1137" s="624"/>
      <c r="AY1137" s="624"/>
      <c r="AZ1137" s="624"/>
      <c r="BA1137" s="624"/>
      <c r="BB1137" s="624"/>
      <c r="BC1137" s="624"/>
      <c r="BD1137" s="624"/>
      <c r="BE1137" s="624"/>
    </row>
    <row r="1138" ht="16.5" customHeight="1">
      <c r="A1138" s="711"/>
      <c r="B1138" s="711"/>
      <c r="C1138" s="711"/>
      <c r="D1138" s="711"/>
      <c r="E1138" s="711"/>
      <c r="F1138" s="711"/>
      <c r="G1138" s="711"/>
      <c r="H1138" s="711"/>
      <c r="I1138" s="711"/>
      <c r="J1138" s="711"/>
      <c r="K1138" s="741"/>
      <c r="L1138" s="741"/>
      <c r="M1138" s="788"/>
      <c r="N1138" s="741"/>
      <c r="O1138" s="741"/>
      <c r="P1138" s="741"/>
      <c r="Q1138" s="741"/>
      <c r="R1138" s="788"/>
      <c r="S1138" s="819"/>
      <c r="T1138" s="820"/>
      <c r="U1138" s="819"/>
      <c r="V1138" s="820"/>
      <c r="W1138" s="788"/>
      <c r="X1138" s="803"/>
      <c r="Y1138" s="803"/>
      <c r="Z1138" s="803"/>
      <c r="AA1138" s="711"/>
      <c r="AB1138" s="711"/>
      <c r="AC1138" s="711"/>
      <c r="AD1138" s="736"/>
      <c r="AE1138" s="736"/>
      <c r="AF1138" s="624"/>
      <c r="AG1138" s="624"/>
      <c r="AH1138" s="624"/>
      <c r="AI1138" s="624"/>
      <c r="AJ1138" s="984"/>
      <c r="AK1138" s="985">
        <v>0.988</v>
      </c>
      <c r="AL1138" s="986">
        <v>800.0</v>
      </c>
      <c r="AM1138" s="987">
        <v>-0.03791006291711341</v>
      </c>
      <c r="AN1138" s="988">
        <v>-0.01200000000000001</v>
      </c>
      <c r="AO1138" s="986">
        <v>800.0</v>
      </c>
      <c r="AP1138" s="989">
        <v>-0.03703272398729207</v>
      </c>
      <c r="AQ1138" s="986">
        <v>800.0</v>
      </c>
      <c r="AR1138" s="990">
        <v>-0.036195069833396376</v>
      </c>
      <c r="AS1138" s="624"/>
      <c r="AT1138" s="624"/>
      <c r="AU1138" s="624"/>
      <c r="AV1138" s="624"/>
      <c r="AW1138" s="624"/>
      <c r="AX1138" s="624"/>
      <c r="AY1138" s="624"/>
      <c r="AZ1138" s="624"/>
      <c r="BA1138" s="624"/>
      <c r="BB1138" s="624"/>
      <c r="BC1138" s="624"/>
      <c r="BD1138" s="624"/>
      <c r="BE1138" s="624"/>
    </row>
    <row r="1139" ht="16.5" customHeight="1">
      <c r="A1139" s="711"/>
      <c r="B1139" s="711"/>
      <c r="C1139" s="711"/>
      <c r="D1139" s="711"/>
      <c r="E1139" s="711"/>
      <c r="F1139" s="711"/>
      <c r="G1139" s="711"/>
      <c r="H1139" s="711"/>
      <c r="I1139" s="711"/>
      <c r="J1139" s="711"/>
      <c r="K1139" s="741"/>
      <c r="L1139" s="741"/>
      <c r="M1139" s="788"/>
      <c r="N1139" s="741"/>
      <c r="O1139" s="741"/>
      <c r="P1139" s="741"/>
      <c r="Q1139" s="741"/>
      <c r="R1139" s="788"/>
      <c r="S1139" s="819"/>
      <c r="T1139" s="820"/>
      <c r="U1139" s="819"/>
      <c r="V1139" s="820"/>
      <c r="W1139" s="788"/>
      <c r="X1139" s="803"/>
      <c r="Y1139" s="803"/>
      <c r="Z1139" s="803"/>
      <c r="AA1139" s="711"/>
      <c r="AB1139" s="711"/>
      <c r="AC1139" s="711"/>
      <c r="AD1139" s="736"/>
      <c r="AE1139" s="736"/>
      <c r="AF1139" s="624"/>
      <c r="AG1139" s="624"/>
      <c r="AH1139" s="624"/>
      <c r="AI1139" s="624"/>
      <c r="AJ1139" s="984"/>
      <c r="AK1139" s="985">
        <v>0.9561</v>
      </c>
      <c r="AL1139" s="986">
        <v>744.0</v>
      </c>
      <c r="AM1139" s="987">
        <v>-0.03530378371950815</v>
      </c>
      <c r="AN1139" s="988">
        <v>-0.04390000000000005</v>
      </c>
      <c r="AO1139" s="986">
        <v>744.0</v>
      </c>
      <c r="AP1139" s="989">
        <v>-0.03448567429623206</v>
      </c>
      <c r="AQ1139" s="986">
        <v>744.0</v>
      </c>
      <c r="AR1139" s="990">
        <v>-0.03370461920139156</v>
      </c>
      <c r="AS1139" s="624"/>
      <c r="AT1139" s="624"/>
      <c r="AU1139" s="624"/>
      <c r="AV1139" s="624"/>
      <c r="AW1139" s="624"/>
      <c r="AX1139" s="624"/>
      <c r="AY1139" s="624"/>
      <c r="AZ1139" s="624"/>
      <c r="BA1139" s="624"/>
      <c r="BB1139" s="624"/>
      <c r="BC1139" s="624"/>
      <c r="BD1139" s="624"/>
      <c r="BE1139" s="624"/>
    </row>
    <row r="1140" ht="16.5" customHeight="1">
      <c r="A1140" s="711"/>
      <c r="B1140" s="711"/>
      <c r="C1140" s="711"/>
      <c r="D1140" s="711"/>
      <c r="E1140" s="711"/>
      <c r="F1140" s="711"/>
      <c r="G1140" s="711"/>
      <c r="H1140" s="711"/>
      <c r="I1140" s="711"/>
      <c r="J1140" s="711"/>
      <c r="K1140" s="741"/>
      <c r="L1140" s="741"/>
      <c r="M1140" s="788"/>
      <c r="N1140" s="741"/>
      <c r="O1140" s="741"/>
      <c r="P1140" s="741"/>
      <c r="Q1140" s="741"/>
      <c r="R1140" s="788"/>
      <c r="S1140" s="819"/>
      <c r="T1140" s="820"/>
      <c r="U1140" s="819"/>
      <c r="V1140" s="820"/>
      <c r="W1140" s="788"/>
      <c r="X1140" s="803"/>
      <c r="Y1140" s="803"/>
      <c r="Z1140" s="803"/>
      <c r="AA1140" s="711"/>
      <c r="AB1140" s="711"/>
      <c r="AC1140" s="711"/>
      <c r="AD1140" s="736"/>
      <c r="AE1140" s="736"/>
      <c r="AF1140" s="624"/>
      <c r="AG1140" s="624"/>
      <c r="AH1140" s="624"/>
      <c r="AI1140" s="624"/>
      <c r="AJ1140" s="984"/>
      <c r="AK1140" s="985">
        <v>0.9785</v>
      </c>
      <c r="AL1140" s="986">
        <v>736.0</v>
      </c>
      <c r="AM1140" s="987">
        <v>-0.03493088221031959</v>
      </c>
      <c r="AN1140" s="988">
        <v>-0.021499999999999964</v>
      </c>
      <c r="AO1140" s="986">
        <v>736.0</v>
      </c>
      <c r="AP1140" s="989">
        <v>-0.03412126051467168</v>
      </c>
      <c r="AQ1140" s="986">
        <v>736.0</v>
      </c>
      <c r="AR1140" s="990">
        <v>-0.033348315598938694</v>
      </c>
      <c r="AS1140" s="624"/>
      <c r="AT1140" s="624"/>
      <c r="AU1140" s="624"/>
      <c r="AV1140" s="624"/>
      <c r="AW1140" s="624"/>
      <c r="AX1140" s="624"/>
      <c r="AY1140" s="624"/>
      <c r="AZ1140" s="624"/>
      <c r="BA1140" s="624"/>
      <c r="BB1140" s="624"/>
      <c r="BC1140" s="624"/>
      <c r="BD1140" s="624"/>
      <c r="BE1140" s="624"/>
    </row>
    <row r="1141" ht="16.5" customHeight="1">
      <c r="A1141" s="711"/>
      <c r="B1141" s="711"/>
      <c r="C1141" s="711"/>
      <c r="D1141" s="711"/>
      <c r="E1141" s="711"/>
      <c r="F1141" s="711"/>
      <c r="G1141" s="711"/>
      <c r="H1141" s="711"/>
      <c r="I1141" s="711"/>
      <c r="J1141" s="711"/>
      <c r="K1141" s="741"/>
      <c r="L1141" s="741"/>
      <c r="M1141" s="788"/>
      <c r="N1141" s="741"/>
      <c r="O1141" s="741"/>
      <c r="P1141" s="741"/>
      <c r="Q1141" s="741"/>
      <c r="R1141" s="788"/>
      <c r="S1141" s="819"/>
      <c r="T1141" s="820"/>
      <c r="U1141" s="819"/>
      <c r="V1141" s="820"/>
      <c r="W1141" s="788"/>
      <c r="X1141" s="803"/>
      <c r="Y1141" s="803"/>
      <c r="Z1141" s="803"/>
      <c r="AA1141" s="711"/>
      <c r="AB1141" s="711"/>
      <c r="AC1141" s="711"/>
      <c r="AD1141" s="736"/>
      <c r="AE1141" s="736"/>
      <c r="AF1141" s="624"/>
      <c r="AG1141" s="624"/>
      <c r="AH1141" s="624"/>
      <c r="AI1141" s="624"/>
      <c r="AJ1141" s="984"/>
      <c r="AK1141" s="985">
        <v>1.0126</v>
      </c>
      <c r="AL1141" s="986">
        <v>675.0</v>
      </c>
      <c r="AM1141" s="987">
        <v>-0.03208276428193546</v>
      </c>
      <c r="AN1141" s="988">
        <v>0.012599999999999945</v>
      </c>
      <c r="AO1141" s="986">
        <v>675.0</v>
      </c>
      <c r="AP1141" s="989">
        <v>-0.03133807893739282</v>
      </c>
      <c r="AQ1141" s="986">
        <v>675.0</v>
      </c>
      <c r="AR1141" s="990">
        <v>-0.03062717695408712</v>
      </c>
      <c r="AS1141" s="624"/>
      <c r="AT1141" s="624"/>
      <c r="AU1141" s="624"/>
      <c r="AV1141" s="624"/>
      <c r="AW1141" s="624"/>
      <c r="AX1141" s="624"/>
      <c r="AY1141" s="624"/>
      <c r="AZ1141" s="624"/>
      <c r="BA1141" s="624"/>
      <c r="BB1141" s="624"/>
      <c r="BC1141" s="624"/>
      <c r="BD1141" s="624"/>
      <c r="BE1141" s="624"/>
    </row>
    <row r="1142" ht="16.5" customHeight="1">
      <c r="A1142" s="711"/>
      <c r="B1142" s="711"/>
      <c r="C1142" s="711"/>
      <c r="D1142" s="711"/>
      <c r="E1142" s="711"/>
      <c r="F1142" s="711"/>
      <c r="G1142" s="711"/>
      <c r="H1142" s="711"/>
      <c r="I1142" s="711"/>
      <c r="J1142" s="711"/>
      <c r="K1142" s="741"/>
      <c r="L1142" s="741"/>
      <c r="M1142" s="788"/>
      <c r="N1142" s="741"/>
      <c r="O1142" s="741"/>
      <c r="P1142" s="741"/>
      <c r="Q1142" s="741"/>
      <c r="R1142" s="788"/>
      <c r="S1142" s="819"/>
      <c r="T1142" s="820"/>
      <c r="U1142" s="819"/>
      <c r="V1142" s="820"/>
      <c r="W1142" s="788"/>
      <c r="X1142" s="803"/>
      <c r="Y1142" s="803"/>
      <c r="Z1142" s="803"/>
      <c r="AA1142" s="711"/>
      <c r="AB1142" s="711"/>
      <c r="AC1142" s="711"/>
      <c r="AD1142" s="736"/>
      <c r="AE1142" s="736"/>
      <c r="AF1142" s="624"/>
      <c r="AG1142" s="624"/>
      <c r="AH1142" s="624"/>
      <c r="AI1142" s="624"/>
      <c r="AJ1142" s="984"/>
      <c r="AK1142" s="985">
        <v>0.9974</v>
      </c>
      <c r="AL1142" s="986">
        <v>649.0</v>
      </c>
      <c r="AM1142" s="987">
        <v>-0.030866258997551466</v>
      </c>
      <c r="AN1142" s="988">
        <v>-0.0026000000000000467</v>
      </c>
      <c r="AO1142" s="986">
        <v>649.0</v>
      </c>
      <c r="AP1142" s="989">
        <v>-0.030149368558908485</v>
      </c>
      <c r="AQ1142" s="986">
        <v>649.0</v>
      </c>
      <c r="AR1142" s="990">
        <v>-0.029465020344955906</v>
      </c>
      <c r="AS1142" s="624"/>
      <c r="AT1142" s="624"/>
      <c r="AU1142" s="624"/>
      <c r="AV1142" s="624"/>
      <c r="AW1142" s="624"/>
      <c r="AX1142" s="624"/>
      <c r="AY1142" s="624"/>
      <c r="AZ1142" s="624"/>
      <c r="BA1142" s="624"/>
      <c r="BB1142" s="624"/>
      <c r="BC1142" s="624"/>
      <c r="BD1142" s="624"/>
      <c r="BE1142" s="624"/>
    </row>
    <row r="1143" ht="16.5" customHeight="1">
      <c r="A1143" s="711"/>
      <c r="B1143" s="711"/>
      <c r="C1143" s="711"/>
      <c r="D1143" s="711"/>
      <c r="E1143" s="711"/>
      <c r="F1143" s="711"/>
      <c r="G1143" s="711"/>
      <c r="H1143" s="711"/>
      <c r="I1143" s="711"/>
      <c r="J1143" s="711"/>
      <c r="K1143" s="741"/>
      <c r="L1143" s="741"/>
      <c r="M1143" s="788"/>
      <c r="N1143" s="741"/>
      <c r="O1143" s="741"/>
      <c r="P1143" s="741"/>
      <c r="Q1143" s="741"/>
      <c r="R1143" s="788"/>
      <c r="S1143" s="819"/>
      <c r="T1143" s="820"/>
      <c r="U1143" s="819"/>
      <c r="V1143" s="820"/>
      <c r="W1143" s="788"/>
      <c r="X1143" s="803"/>
      <c r="Y1143" s="803"/>
      <c r="Z1143" s="803"/>
      <c r="AA1143" s="711"/>
      <c r="AB1143" s="711"/>
      <c r="AC1143" s="711"/>
      <c r="AD1143" s="736"/>
      <c r="AE1143" s="736"/>
      <c r="AF1143" s="624"/>
      <c r="AG1143" s="624"/>
      <c r="AH1143" s="624"/>
      <c r="AI1143" s="624"/>
      <c r="AJ1143" s="984"/>
      <c r="AK1143" s="985">
        <v>0.989</v>
      </c>
      <c r="AL1143" s="986">
        <v>644.0</v>
      </c>
      <c r="AM1143" s="987">
        <v>-0.030632140447898082</v>
      </c>
      <c r="AN1143" s="988">
        <v>-0.01100000000000001</v>
      </c>
      <c r="AO1143" s="986">
        <v>644.0</v>
      </c>
      <c r="AP1143" s="989">
        <v>-0.02992060322645307</v>
      </c>
      <c r="AQ1143" s="986">
        <v>644.0</v>
      </c>
      <c r="AR1143" s="990">
        <v>-0.02924136900831331</v>
      </c>
      <c r="AS1143" s="624"/>
      <c r="AT1143" s="624"/>
      <c r="AU1143" s="624"/>
      <c r="AV1143" s="624"/>
      <c r="AW1143" s="624"/>
      <c r="AX1143" s="624"/>
      <c r="AY1143" s="624"/>
      <c r="AZ1143" s="624"/>
      <c r="BA1143" s="624"/>
      <c r="BB1143" s="624"/>
      <c r="BC1143" s="624"/>
      <c r="BD1143" s="624"/>
      <c r="BE1143" s="624"/>
    </row>
    <row r="1144" ht="16.5" customHeight="1">
      <c r="A1144" s="711"/>
      <c r="B1144" s="711"/>
      <c r="C1144" s="711"/>
      <c r="D1144" s="711"/>
      <c r="E1144" s="711"/>
      <c r="F1144" s="711"/>
      <c r="G1144" s="711"/>
      <c r="H1144" s="711"/>
      <c r="I1144" s="711"/>
      <c r="J1144" s="711"/>
      <c r="K1144" s="741"/>
      <c r="L1144" s="741"/>
      <c r="M1144" s="788"/>
      <c r="N1144" s="741"/>
      <c r="O1144" s="741"/>
      <c r="P1144" s="741"/>
      <c r="Q1144" s="741"/>
      <c r="R1144" s="788"/>
      <c r="S1144" s="819"/>
      <c r="T1144" s="820"/>
      <c r="U1144" s="819"/>
      <c r="V1144" s="820"/>
      <c r="W1144" s="788"/>
      <c r="X1144" s="803"/>
      <c r="Y1144" s="803"/>
      <c r="Z1144" s="803"/>
      <c r="AA1144" s="711"/>
      <c r="AB1144" s="711"/>
      <c r="AC1144" s="711"/>
      <c r="AD1144" s="736"/>
      <c r="AE1144" s="736"/>
      <c r="AF1144" s="624"/>
      <c r="AG1144" s="624"/>
      <c r="AH1144" s="624"/>
      <c r="AI1144" s="624"/>
      <c r="AJ1144" s="984"/>
      <c r="AK1144" s="985">
        <v>1.0037</v>
      </c>
      <c r="AL1144" s="986">
        <v>605.0</v>
      </c>
      <c r="AM1144" s="987">
        <v>-0.028804073654109974</v>
      </c>
      <c r="AN1144" s="988">
        <v>0.0037000000000000366</v>
      </c>
      <c r="AO1144" s="986">
        <v>605.0</v>
      </c>
      <c r="AP1144" s="989">
        <v>-0.028134380720150176</v>
      </c>
      <c r="AQ1144" s="986">
        <v>605.0</v>
      </c>
      <c r="AR1144" s="990">
        <v>-0.027495118856849743</v>
      </c>
      <c r="AS1144" s="624"/>
      <c r="AT1144" s="624"/>
      <c r="AU1144" s="624"/>
      <c r="AV1144" s="624"/>
      <c r="AW1144" s="624"/>
      <c r="AX1144" s="624"/>
      <c r="AY1144" s="624"/>
      <c r="AZ1144" s="624"/>
      <c r="BA1144" s="624"/>
      <c r="BB1144" s="624"/>
      <c r="BC1144" s="624"/>
      <c r="BD1144" s="624"/>
      <c r="BE1144" s="624"/>
    </row>
    <row r="1145" ht="16.5" customHeight="1">
      <c r="A1145" s="711"/>
      <c r="B1145" s="711"/>
      <c r="C1145" s="711"/>
      <c r="D1145" s="711"/>
      <c r="E1145" s="711"/>
      <c r="F1145" s="711"/>
      <c r="G1145" s="711"/>
      <c r="H1145" s="711"/>
      <c r="I1145" s="711"/>
      <c r="J1145" s="711"/>
      <c r="K1145" s="741"/>
      <c r="L1145" s="741"/>
      <c r="M1145" s="788"/>
      <c r="N1145" s="741"/>
      <c r="O1145" s="741"/>
      <c r="P1145" s="741"/>
      <c r="Q1145" s="741"/>
      <c r="R1145" s="788"/>
      <c r="S1145" s="819"/>
      <c r="T1145" s="820"/>
      <c r="U1145" s="819"/>
      <c r="V1145" s="820"/>
      <c r="W1145" s="788"/>
      <c r="X1145" s="803"/>
      <c r="Y1145" s="803"/>
      <c r="Z1145" s="803"/>
      <c r="AA1145" s="711"/>
      <c r="AB1145" s="711"/>
      <c r="AC1145" s="711"/>
      <c r="AD1145" s="736"/>
      <c r="AE1145" s="736"/>
      <c r="AF1145" s="624"/>
      <c r="AG1145" s="624"/>
      <c r="AH1145" s="624"/>
      <c r="AI1145" s="624"/>
      <c r="AJ1145" s="984"/>
      <c r="AK1145" s="985">
        <v>0.9832</v>
      </c>
      <c r="AL1145" s="986">
        <v>572.0</v>
      </c>
      <c r="AM1145" s="987">
        <v>-0.027254555498273825</v>
      </c>
      <c r="AN1145" s="988">
        <v>-0.016800000000000037</v>
      </c>
      <c r="AO1145" s="986">
        <v>572.0</v>
      </c>
      <c r="AP1145" s="989">
        <v>-0.02662039299596064</v>
      </c>
      <c r="AQ1145" s="986">
        <v>572.0</v>
      </c>
      <c r="AR1145" s="990">
        <v>-0.02601506928514241</v>
      </c>
      <c r="AS1145" s="624"/>
      <c r="AT1145" s="624"/>
      <c r="AU1145" s="624"/>
      <c r="AV1145" s="624"/>
      <c r="AW1145" s="624"/>
      <c r="AX1145" s="624"/>
      <c r="AY1145" s="624"/>
      <c r="AZ1145" s="624"/>
      <c r="BA1145" s="624"/>
      <c r="BB1145" s="624"/>
      <c r="BC1145" s="624"/>
      <c r="BD1145" s="624"/>
      <c r="BE1145" s="624"/>
    </row>
    <row r="1146" ht="16.5" customHeight="1">
      <c r="A1146" s="711"/>
      <c r="B1146" s="711"/>
      <c r="C1146" s="711"/>
      <c r="D1146" s="711"/>
      <c r="E1146" s="711"/>
      <c r="F1146" s="711"/>
      <c r="G1146" s="711"/>
      <c r="H1146" s="711"/>
      <c r="I1146" s="711"/>
      <c r="J1146" s="711"/>
      <c r="K1146" s="741"/>
      <c r="L1146" s="741"/>
      <c r="M1146" s="788"/>
      <c r="N1146" s="741"/>
      <c r="O1146" s="741"/>
      <c r="P1146" s="741"/>
      <c r="Q1146" s="741"/>
      <c r="R1146" s="788"/>
      <c r="S1146" s="819"/>
      <c r="T1146" s="820"/>
      <c r="U1146" s="819"/>
      <c r="V1146" s="820"/>
      <c r="W1146" s="788"/>
      <c r="X1146" s="803"/>
      <c r="Y1146" s="803"/>
      <c r="Z1146" s="803"/>
      <c r="AA1146" s="711"/>
      <c r="AB1146" s="711"/>
      <c r="AC1146" s="711"/>
      <c r="AD1146" s="736"/>
      <c r="AE1146" s="736"/>
      <c r="AF1146" s="624"/>
      <c r="AG1146" s="624"/>
      <c r="AH1146" s="624"/>
      <c r="AI1146" s="624"/>
      <c r="AJ1146" s="984"/>
      <c r="AK1146" s="985">
        <v>0.9491</v>
      </c>
      <c r="AL1146" s="986">
        <v>550.0</v>
      </c>
      <c r="AM1146" s="987">
        <v>-0.026220170184166447</v>
      </c>
      <c r="AN1146" s="988">
        <v>-0.050899999999999945</v>
      </c>
      <c r="AO1146" s="986">
        <v>550.0</v>
      </c>
      <c r="AP1146" s="989">
        <v>-0.025609757787534604</v>
      </c>
      <c r="AQ1146" s="986">
        <v>550.0</v>
      </c>
      <c r="AR1146" s="990">
        <v>-0.025027118404998383</v>
      </c>
      <c r="AS1146" s="624"/>
      <c r="AT1146" s="624"/>
      <c r="AU1146" s="624"/>
      <c r="AV1146" s="624"/>
      <c r="AW1146" s="624"/>
      <c r="AX1146" s="624"/>
      <c r="AY1146" s="624"/>
      <c r="AZ1146" s="624"/>
      <c r="BA1146" s="624"/>
      <c r="BB1146" s="624"/>
      <c r="BC1146" s="624"/>
      <c r="BD1146" s="624"/>
      <c r="BE1146" s="624"/>
    </row>
    <row r="1147" ht="16.5" customHeight="1">
      <c r="A1147" s="711"/>
      <c r="B1147" s="711"/>
      <c r="C1147" s="711"/>
      <c r="D1147" s="711"/>
      <c r="E1147" s="711"/>
      <c r="F1147" s="711"/>
      <c r="G1147" s="711"/>
      <c r="H1147" s="711"/>
      <c r="I1147" s="711"/>
      <c r="J1147" s="711"/>
      <c r="K1147" s="741"/>
      <c r="L1147" s="741"/>
      <c r="M1147" s="788"/>
      <c r="N1147" s="741"/>
      <c r="O1147" s="741"/>
      <c r="P1147" s="741"/>
      <c r="Q1147" s="741"/>
      <c r="R1147" s="788"/>
      <c r="S1147" s="819"/>
      <c r="T1147" s="820"/>
      <c r="U1147" s="819"/>
      <c r="V1147" s="820"/>
      <c r="W1147" s="788"/>
      <c r="X1147" s="803"/>
      <c r="Y1147" s="803"/>
      <c r="Z1147" s="803"/>
      <c r="AA1147" s="711"/>
      <c r="AB1147" s="711"/>
      <c r="AC1147" s="711"/>
      <c r="AD1147" s="736"/>
      <c r="AE1147" s="736"/>
      <c r="AF1147" s="624"/>
      <c r="AG1147" s="624"/>
      <c r="AH1147" s="624"/>
      <c r="AI1147" s="624"/>
      <c r="AJ1147" s="984"/>
      <c r="AK1147" s="985">
        <v>0.996</v>
      </c>
      <c r="AL1147" s="986">
        <v>513.0</v>
      </c>
      <c r="AM1147" s="987">
        <v>-0.024478041030002617</v>
      </c>
      <c r="AN1147" s="988">
        <v>-0.0040000000000000036</v>
      </c>
      <c r="AO1147" s="986">
        <v>513.0</v>
      </c>
      <c r="AP1147" s="989">
        <v>-0.023907686177756182</v>
      </c>
      <c r="AQ1147" s="986">
        <v>513.0</v>
      </c>
      <c r="AR1147" s="990">
        <v>-0.02336330419141308</v>
      </c>
      <c r="AS1147" s="624"/>
      <c r="AT1147" s="624"/>
      <c r="AU1147" s="624"/>
      <c r="AV1147" s="624"/>
      <c r="AW1147" s="624"/>
      <c r="AX1147" s="624"/>
      <c r="AY1147" s="624"/>
      <c r="AZ1147" s="624"/>
      <c r="BA1147" s="624"/>
      <c r="BB1147" s="624"/>
      <c r="BC1147" s="624"/>
      <c r="BD1147" s="624"/>
      <c r="BE1147" s="624"/>
    </row>
    <row r="1148" ht="16.5" customHeight="1">
      <c r="A1148" s="711"/>
      <c r="B1148" s="711"/>
      <c r="C1148" s="711"/>
      <c r="D1148" s="711"/>
      <c r="E1148" s="711"/>
      <c r="F1148" s="711"/>
      <c r="G1148" s="711"/>
      <c r="H1148" s="711"/>
      <c r="I1148" s="711"/>
      <c r="J1148" s="711"/>
      <c r="K1148" s="741"/>
      <c r="L1148" s="741"/>
      <c r="M1148" s="788"/>
      <c r="N1148" s="741"/>
      <c r="O1148" s="741"/>
      <c r="P1148" s="741"/>
      <c r="Q1148" s="741"/>
      <c r="R1148" s="788"/>
      <c r="S1148" s="819"/>
      <c r="T1148" s="820"/>
      <c r="U1148" s="819"/>
      <c r="V1148" s="820"/>
      <c r="W1148" s="788"/>
      <c r="X1148" s="803"/>
      <c r="Y1148" s="803"/>
      <c r="Z1148" s="803"/>
      <c r="AA1148" s="711"/>
      <c r="AB1148" s="711"/>
      <c r="AC1148" s="711"/>
      <c r="AD1148" s="736"/>
      <c r="AE1148" s="736"/>
      <c r="AF1148" s="624"/>
      <c r="AG1148" s="624"/>
      <c r="AH1148" s="624"/>
      <c r="AI1148" s="624"/>
      <c r="AJ1148" s="984"/>
      <c r="AK1148" s="985">
        <v>1.0032</v>
      </c>
      <c r="AL1148" s="986">
        <v>370.0</v>
      </c>
      <c r="AM1148" s="987">
        <v>-0.01771559667247058</v>
      </c>
      <c r="AN1148" s="988">
        <v>0.0032000000000000917</v>
      </c>
      <c r="AO1148" s="986">
        <v>370.0</v>
      </c>
      <c r="AP1148" s="989">
        <v>-0.017301411721163173</v>
      </c>
      <c r="AQ1148" s="986">
        <v>370.0</v>
      </c>
      <c r="AR1148" s="990">
        <v>-0.01690615087860803</v>
      </c>
      <c r="AS1148" s="624"/>
      <c r="AT1148" s="624"/>
      <c r="AU1148" s="624"/>
      <c r="AV1148" s="624"/>
      <c r="AW1148" s="624"/>
      <c r="AX1148" s="624"/>
      <c r="AY1148" s="624"/>
      <c r="AZ1148" s="624"/>
      <c r="BA1148" s="624"/>
      <c r="BB1148" s="624"/>
      <c r="BC1148" s="624"/>
      <c r="BD1148" s="624"/>
      <c r="BE1148" s="624"/>
    </row>
    <row r="1149" ht="16.5" customHeight="1">
      <c r="A1149" s="711"/>
      <c r="B1149" s="711"/>
      <c r="C1149" s="711"/>
      <c r="D1149" s="711"/>
      <c r="E1149" s="711"/>
      <c r="F1149" s="711"/>
      <c r="G1149" s="711"/>
      <c r="H1149" s="711"/>
      <c r="I1149" s="711"/>
      <c r="J1149" s="711"/>
      <c r="K1149" s="741"/>
      <c r="L1149" s="741"/>
      <c r="M1149" s="788"/>
      <c r="N1149" s="741"/>
      <c r="O1149" s="741"/>
      <c r="P1149" s="741"/>
      <c r="Q1149" s="741"/>
      <c r="R1149" s="788"/>
      <c r="S1149" s="819"/>
      <c r="T1149" s="820"/>
      <c r="U1149" s="819"/>
      <c r="V1149" s="820"/>
      <c r="W1149" s="788"/>
      <c r="X1149" s="803"/>
      <c r="Y1149" s="803"/>
      <c r="Z1149" s="803"/>
      <c r="AA1149" s="711"/>
      <c r="AB1149" s="711"/>
      <c r="AC1149" s="711"/>
      <c r="AD1149" s="736"/>
      <c r="AE1149" s="736"/>
      <c r="AF1149" s="624"/>
      <c r="AG1149" s="624"/>
      <c r="AH1149" s="624"/>
      <c r="AI1149" s="624"/>
      <c r="AJ1149" s="984"/>
      <c r="AK1149" s="985">
        <v>0.9785</v>
      </c>
      <c r="AL1149" s="986">
        <v>350.0</v>
      </c>
      <c r="AM1149" s="987">
        <v>-0.0167660709819184</v>
      </c>
      <c r="AN1149" s="988">
        <v>-0.021499999999999964</v>
      </c>
      <c r="AO1149" s="986">
        <v>350.0</v>
      </c>
      <c r="AP1149" s="989">
        <v>-0.016373900144607045</v>
      </c>
      <c r="AQ1149" s="986">
        <v>350.0</v>
      </c>
      <c r="AR1149" s="990">
        <v>-0.015999655922869782</v>
      </c>
      <c r="AS1149" s="624"/>
      <c r="AT1149" s="624"/>
      <c r="AU1149" s="624"/>
      <c r="AV1149" s="624"/>
      <c r="AW1149" s="624"/>
      <c r="AX1149" s="624"/>
      <c r="AY1149" s="624"/>
      <c r="AZ1149" s="624"/>
      <c r="BA1149" s="624"/>
      <c r="BB1149" s="624"/>
      <c r="BC1149" s="624"/>
      <c r="BD1149" s="624"/>
      <c r="BE1149" s="624"/>
    </row>
    <row r="1150" ht="16.5" customHeight="1">
      <c r="A1150" s="711"/>
      <c r="B1150" s="711"/>
      <c r="C1150" s="711"/>
      <c r="D1150" s="711"/>
      <c r="E1150" s="711"/>
      <c r="F1150" s="711"/>
      <c r="G1150" s="711"/>
      <c r="H1150" s="711"/>
      <c r="I1150" s="711"/>
      <c r="J1150" s="711"/>
      <c r="K1150" s="741"/>
      <c r="L1150" s="741"/>
      <c r="M1150" s="788"/>
      <c r="N1150" s="741"/>
      <c r="O1150" s="741"/>
      <c r="P1150" s="741"/>
      <c r="Q1150" s="741"/>
      <c r="R1150" s="788"/>
      <c r="S1150" s="819"/>
      <c r="T1150" s="820"/>
      <c r="U1150" s="819"/>
      <c r="V1150" s="820"/>
      <c r="W1150" s="788"/>
      <c r="X1150" s="803"/>
      <c r="Y1150" s="803"/>
      <c r="Z1150" s="803"/>
      <c r="AA1150" s="711"/>
      <c r="AB1150" s="711"/>
      <c r="AC1150" s="711"/>
      <c r="AD1150" s="736"/>
      <c r="AE1150" s="736"/>
      <c r="AF1150" s="624"/>
      <c r="AG1150" s="624"/>
      <c r="AH1150" s="624"/>
      <c r="AI1150" s="624"/>
      <c r="AJ1150" s="984"/>
      <c r="AK1150" s="985">
        <v>1.0027</v>
      </c>
      <c r="AL1150" s="986">
        <v>317.0</v>
      </c>
      <c r="AM1150" s="987">
        <v>-0.015197346502008435</v>
      </c>
      <c r="AN1150" s="988">
        <v>0.0026999999999999247</v>
      </c>
      <c r="AO1150" s="986">
        <v>317.0</v>
      </c>
      <c r="AP1150" s="989">
        <v>-0.01484159175666655</v>
      </c>
      <c r="AQ1150" s="986">
        <v>317.0</v>
      </c>
      <c r="AR1150" s="990">
        <v>-0.014502111472399548</v>
      </c>
      <c r="AS1150" s="624"/>
      <c r="AT1150" s="624"/>
      <c r="AU1150" s="624"/>
      <c r="AV1150" s="624"/>
      <c r="AW1150" s="624"/>
      <c r="AX1150" s="624"/>
      <c r="AY1150" s="624"/>
      <c r="AZ1150" s="624"/>
      <c r="BA1150" s="624"/>
      <c r="BB1150" s="624"/>
      <c r="BC1150" s="624"/>
      <c r="BD1150" s="624"/>
      <c r="BE1150" s="624"/>
    </row>
    <row r="1151" ht="16.5" customHeight="1">
      <c r="A1151" s="711"/>
      <c r="B1151" s="711"/>
      <c r="C1151" s="711"/>
      <c r="D1151" s="711"/>
      <c r="E1151" s="711"/>
      <c r="F1151" s="711"/>
      <c r="G1151" s="711"/>
      <c r="H1151" s="711"/>
      <c r="I1151" s="711"/>
      <c r="J1151" s="711"/>
      <c r="K1151" s="741"/>
      <c r="L1151" s="741"/>
      <c r="M1151" s="788"/>
      <c r="N1151" s="741"/>
      <c r="O1151" s="741"/>
      <c r="P1151" s="741"/>
      <c r="Q1151" s="741"/>
      <c r="R1151" s="788"/>
      <c r="S1151" s="819"/>
      <c r="T1151" s="820"/>
      <c r="U1151" s="819"/>
      <c r="V1151" s="820"/>
      <c r="W1151" s="788"/>
      <c r="X1151" s="803"/>
      <c r="Y1151" s="803"/>
      <c r="Z1151" s="803"/>
      <c r="AA1151" s="711"/>
      <c r="AB1151" s="711"/>
      <c r="AC1151" s="711"/>
      <c r="AD1151" s="736"/>
      <c r="AE1151" s="736"/>
      <c r="AF1151" s="624"/>
      <c r="AG1151" s="624"/>
      <c r="AH1151" s="624"/>
      <c r="AI1151" s="624"/>
      <c r="AJ1151" s="984"/>
      <c r="AK1151" s="985">
        <v>0.9405</v>
      </c>
      <c r="AL1151" s="986">
        <v>300.0</v>
      </c>
      <c r="AM1151" s="987">
        <v>-0.014388239179285889</v>
      </c>
      <c r="AN1151" s="988">
        <v>-0.0595</v>
      </c>
      <c r="AO1151" s="986">
        <v>300.0</v>
      </c>
      <c r="AP1151" s="989">
        <v>-0.014051289416466606</v>
      </c>
      <c r="AQ1151" s="986">
        <v>300.0</v>
      </c>
      <c r="AR1151" s="990">
        <v>-0.013729759940795505</v>
      </c>
      <c r="AS1151" s="624"/>
      <c r="AT1151" s="624"/>
      <c r="AU1151" s="624"/>
      <c r="AV1151" s="624"/>
      <c r="AW1151" s="624"/>
      <c r="AX1151" s="624"/>
      <c r="AY1151" s="624"/>
      <c r="AZ1151" s="624"/>
      <c r="BA1151" s="624"/>
      <c r="BB1151" s="624"/>
      <c r="BC1151" s="624"/>
      <c r="BD1151" s="624"/>
      <c r="BE1151" s="624"/>
    </row>
    <row r="1152" ht="16.5" customHeight="1">
      <c r="A1152" s="711"/>
      <c r="B1152" s="711"/>
      <c r="C1152" s="711"/>
      <c r="D1152" s="711"/>
      <c r="E1152" s="711"/>
      <c r="F1152" s="711"/>
      <c r="G1152" s="711"/>
      <c r="H1152" s="711"/>
      <c r="I1152" s="711"/>
      <c r="J1152" s="711"/>
      <c r="K1152" s="741"/>
      <c r="L1152" s="741"/>
      <c r="M1152" s="788"/>
      <c r="N1152" s="741"/>
      <c r="O1152" s="741"/>
      <c r="P1152" s="741"/>
      <c r="Q1152" s="741"/>
      <c r="R1152" s="788"/>
      <c r="S1152" s="819"/>
      <c r="T1152" s="820"/>
      <c r="U1152" s="819"/>
      <c r="V1152" s="820"/>
      <c r="W1152" s="788"/>
      <c r="X1152" s="803"/>
      <c r="Y1152" s="803"/>
      <c r="Z1152" s="803"/>
      <c r="AA1152" s="711"/>
      <c r="AB1152" s="711"/>
      <c r="AC1152" s="711"/>
      <c r="AD1152" s="736"/>
      <c r="AE1152" s="736"/>
      <c r="AF1152" s="624"/>
      <c r="AG1152" s="624"/>
      <c r="AH1152" s="624"/>
      <c r="AI1152" s="624"/>
      <c r="AJ1152" s="984"/>
      <c r="AK1152" s="985">
        <v>1.0261</v>
      </c>
      <c r="AL1152" s="986">
        <v>300.0</v>
      </c>
      <c r="AM1152" s="987">
        <v>-0.014388239179285889</v>
      </c>
      <c r="AN1152" s="988">
        <v>0.026100000000000012</v>
      </c>
      <c r="AO1152" s="986">
        <v>300.0</v>
      </c>
      <c r="AP1152" s="989">
        <v>-0.014051289416466606</v>
      </c>
      <c r="AQ1152" s="986">
        <v>300.0</v>
      </c>
      <c r="AR1152" s="990">
        <v>-0.013729759940795505</v>
      </c>
      <c r="AS1152" s="624"/>
      <c r="AT1152" s="624"/>
      <c r="AU1152" s="624"/>
      <c r="AV1152" s="624"/>
      <c r="AW1152" s="624"/>
      <c r="AX1152" s="624"/>
      <c r="AY1152" s="624"/>
      <c r="AZ1152" s="624"/>
      <c r="BA1152" s="624"/>
      <c r="BB1152" s="624"/>
      <c r="BC1152" s="624"/>
      <c r="BD1152" s="624"/>
      <c r="BE1152" s="624"/>
    </row>
    <row r="1153" ht="16.5" customHeight="1">
      <c r="A1153" s="711"/>
      <c r="B1153" s="711"/>
      <c r="C1153" s="711"/>
      <c r="D1153" s="711"/>
      <c r="E1153" s="711"/>
      <c r="F1153" s="711"/>
      <c r="G1153" s="711"/>
      <c r="H1153" s="711"/>
      <c r="I1153" s="711"/>
      <c r="J1153" s="711"/>
      <c r="K1153" s="741"/>
      <c r="L1153" s="741"/>
      <c r="M1153" s="788"/>
      <c r="N1153" s="741"/>
      <c r="O1153" s="741"/>
      <c r="P1153" s="741"/>
      <c r="Q1153" s="741"/>
      <c r="R1153" s="788"/>
      <c r="S1153" s="819"/>
      <c r="T1153" s="820"/>
      <c r="U1153" s="819"/>
      <c r="V1153" s="820"/>
      <c r="W1153" s="788"/>
      <c r="X1153" s="803"/>
      <c r="Y1153" s="803"/>
      <c r="Z1153" s="803"/>
      <c r="AA1153" s="711"/>
      <c r="AB1153" s="711"/>
      <c r="AC1153" s="711"/>
      <c r="AD1153" s="736"/>
      <c r="AE1153" s="736"/>
      <c r="AF1153" s="624"/>
      <c r="AG1153" s="624"/>
      <c r="AH1153" s="624"/>
      <c r="AI1153" s="624"/>
      <c r="AJ1153" s="984"/>
      <c r="AK1153" s="985">
        <v>0.9205</v>
      </c>
      <c r="AL1153" s="986">
        <v>130.0</v>
      </c>
      <c r="AM1153" s="987">
        <v>-0.0062605140411045035</v>
      </c>
      <c r="AN1153" s="988">
        <v>-0.07950000000000002</v>
      </c>
      <c r="AO1153" s="986">
        <v>130.0</v>
      </c>
      <c r="AP1153" s="989">
        <v>-0.006113312668135196</v>
      </c>
      <c r="AQ1153" s="986">
        <v>130.0</v>
      </c>
      <c r="AR1153" s="990">
        <v>-0.0059728744479560225</v>
      </c>
      <c r="AS1153" s="624"/>
      <c r="AT1153" s="624"/>
      <c r="AU1153" s="624"/>
      <c r="AV1153" s="624"/>
      <c r="AW1153" s="624"/>
      <c r="AX1153" s="624"/>
      <c r="AY1153" s="624"/>
      <c r="AZ1153" s="624"/>
      <c r="BA1153" s="624"/>
      <c r="BB1153" s="624"/>
      <c r="BC1153" s="624"/>
      <c r="BD1153" s="624"/>
      <c r="BE1153" s="624"/>
    </row>
    <row r="1154" ht="16.5" customHeight="1">
      <c r="A1154" s="711"/>
      <c r="B1154" s="711"/>
      <c r="C1154" s="711"/>
      <c r="D1154" s="711"/>
      <c r="E1154" s="711"/>
      <c r="F1154" s="711"/>
      <c r="G1154" s="711"/>
      <c r="H1154" s="711"/>
      <c r="I1154" s="711"/>
      <c r="J1154" s="711"/>
      <c r="K1154" s="741"/>
      <c r="L1154" s="741"/>
      <c r="M1154" s="788"/>
      <c r="N1154" s="741"/>
      <c r="O1154" s="741"/>
      <c r="P1154" s="741"/>
      <c r="Q1154" s="741"/>
      <c r="R1154" s="788"/>
      <c r="S1154" s="819"/>
      <c r="T1154" s="820"/>
      <c r="U1154" s="819"/>
      <c r="V1154" s="820"/>
      <c r="W1154" s="788"/>
      <c r="X1154" s="803"/>
      <c r="Y1154" s="803"/>
      <c r="Z1154" s="803"/>
      <c r="AA1154" s="711"/>
      <c r="AB1154" s="711"/>
      <c r="AC1154" s="711"/>
      <c r="AD1154" s="736"/>
      <c r="AE1154" s="736"/>
      <c r="AF1154" s="624"/>
      <c r="AG1154" s="624"/>
      <c r="AH1154" s="624"/>
      <c r="AI1154" s="624"/>
      <c r="AJ1154" s="984"/>
      <c r="AK1154" s="985">
        <v>0.9877</v>
      </c>
      <c r="AL1154" s="986">
        <v>100.0</v>
      </c>
      <c r="AM1154" s="987">
        <v>-0.004819267758442658</v>
      </c>
      <c r="AN1154" s="988">
        <v>-0.012299999999999978</v>
      </c>
      <c r="AO1154" s="986">
        <v>100.0</v>
      </c>
      <c r="AP1154" s="989">
        <v>-0.004705873648035652</v>
      </c>
      <c r="AQ1154" s="986">
        <v>100.0</v>
      </c>
      <c r="AR1154" s="990">
        <v>-0.00459769303160229</v>
      </c>
      <c r="AS1154" s="624"/>
      <c r="AT1154" s="624"/>
      <c r="AU1154" s="624"/>
      <c r="AV1154" s="624"/>
      <c r="AW1154" s="624"/>
      <c r="AX1154" s="624"/>
      <c r="AY1154" s="624"/>
      <c r="AZ1154" s="624"/>
      <c r="BA1154" s="624"/>
      <c r="BB1154" s="624"/>
      <c r="BC1154" s="624"/>
      <c r="BD1154" s="624"/>
      <c r="BE1154" s="624"/>
    </row>
    <row r="1155" ht="16.5" customHeight="1">
      <c r="A1155" s="711"/>
      <c r="B1155" s="711"/>
      <c r="C1155" s="711"/>
      <c r="D1155" s="711"/>
      <c r="E1155" s="711"/>
      <c r="F1155" s="711"/>
      <c r="G1155" s="711"/>
      <c r="H1155" s="711"/>
      <c r="I1155" s="711"/>
      <c r="J1155" s="711"/>
      <c r="K1155" s="741"/>
      <c r="L1155" s="741"/>
      <c r="M1155" s="788"/>
      <c r="N1155" s="741"/>
      <c r="O1155" s="741"/>
      <c r="P1155" s="741"/>
      <c r="Q1155" s="741"/>
      <c r="R1155" s="788"/>
      <c r="S1155" s="819"/>
      <c r="T1155" s="820"/>
      <c r="U1155" s="819"/>
      <c r="V1155" s="820"/>
      <c r="W1155" s="788"/>
      <c r="X1155" s="803"/>
      <c r="Y1155" s="803"/>
      <c r="Z1155" s="803"/>
      <c r="AA1155" s="711"/>
      <c r="AB1155" s="711"/>
      <c r="AC1155" s="711"/>
      <c r="AD1155" s="736"/>
      <c r="AE1155" s="736"/>
      <c r="AF1155" s="624"/>
      <c r="AG1155" s="624"/>
      <c r="AH1155" s="624"/>
      <c r="AI1155" s="624"/>
      <c r="AJ1155" s="984"/>
      <c r="AK1155" s="985">
        <v>1.0022</v>
      </c>
      <c r="AL1155" s="986">
        <v>100.0</v>
      </c>
      <c r="AM1155" s="987">
        <v>-0.004819267758442658</v>
      </c>
      <c r="AN1155" s="988">
        <v>0.0021999999999999797</v>
      </c>
      <c r="AO1155" s="986">
        <v>100.0</v>
      </c>
      <c r="AP1155" s="989">
        <v>-0.004705873648035652</v>
      </c>
      <c r="AQ1155" s="986">
        <v>100.0</v>
      </c>
      <c r="AR1155" s="990">
        <v>-0.00459769303160229</v>
      </c>
      <c r="AS1155" s="624"/>
      <c r="AT1155" s="624"/>
      <c r="AU1155" s="624"/>
      <c r="AV1155" s="624"/>
      <c r="AW1155" s="624"/>
      <c r="AX1155" s="624"/>
      <c r="AY1155" s="624"/>
      <c r="AZ1155" s="624"/>
      <c r="BA1155" s="624"/>
      <c r="BB1155" s="624"/>
      <c r="BC1155" s="624"/>
      <c r="BD1155" s="624"/>
      <c r="BE1155" s="624"/>
    </row>
    <row r="1156" ht="16.5" customHeight="1">
      <c r="A1156" s="711"/>
      <c r="B1156" s="711"/>
      <c r="C1156" s="711"/>
      <c r="D1156" s="711"/>
      <c r="E1156" s="711"/>
      <c r="F1156" s="711"/>
      <c r="G1156" s="711"/>
      <c r="H1156" s="711"/>
      <c r="I1156" s="711"/>
      <c r="J1156" s="711"/>
      <c r="K1156" s="741"/>
      <c r="L1156" s="741"/>
      <c r="M1156" s="788"/>
      <c r="N1156" s="741"/>
      <c r="O1156" s="741"/>
      <c r="P1156" s="741"/>
      <c r="Q1156" s="741"/>
      <c r="R1156" s="788"/>
      <c r="S1156" s="819"/>
      <c r="T1156" s="820"/>
      <c r="U1156" s="819"/>
      <c r="V1156" s="820"/>
      <c r="W1156" s="788"/>
      <c r="X1156" s="803"/>
      <c r="Y1156" s="803"/>
      <c r="Z1156" s="803"/>
      <c r="AA1156" s="711"/>
      <c r="AB1156" s="711"/>
      <c r="AC1156" s="711"/>
      <c r="AD1156" s="736"/>
      <c r="AE1156" s="736"/>
      <c r="AF1156" s="624"/>
      <c r="AG1156" s="624"/>
      <c r="AH1156" s="624"/>
      <c r="AI1156" s="624"/>
      <c r="AJ1156" s="984"/>
      <c r="AK1156" s="985">
        <v>1.0002</v>
      </c>
      <c r="AL1156" s="986">
        <v>80.0</v>
      </c>
      <c r="AM1156" s="987">
        <v>-0.0038572758253480055</v>
      </c>
      <c r="AN1156" s="988">
        <v>1.9999999999997797E-4</v>
      </c>
      <c r="AO1156" s="986">
        <v>80.0</v>
      </c>
      <c r="AP1156" s="989">
        <v>-0.003766473881636645</v>
      </c>
      <c r="AQ1156" s="986">
        <v>80.0</v>
      </c>
      <c r="AR1156" s="990">
        <v>-0.0036798486457346735</v>
      </c>
      <c r="AS1156" s="624"/>
      <c r="AT1156" s="624"/>
      <c r="AU1156" s="624"/>
      <c r="AV1156" s="624"/>
      <c r="AW1156" s="624"/>
      <c r="AX1156" s="624"/>
      <c r="AY1156" s="624"/>
      <c r="AZ1156" s="624"/>
      <c r="BA1156" s="624"/>
      <c r="BB1156" s="624"/>
      <c r="BC1156" s="624"/>
      <c r="BD1156" s="624"/>
      <c r="BE1156" s="624"/>
    </row>
    <row r="1157" ht="16.5" customHeight="1">
      <c r="A1157" s="711"/>
      <c r="B1157" s="711"/>
      <c r="C1157" s="711"/>
      <c r="D1157" s="711"/>
      <c r="E1157" s="711"/>
      <c r="F1157" s="711"/>
      <c r="G1157" s="711"/>
      <c r="H1157" s="711"/>
      <c r="I1157" s="711"/>
      <c r="J1157" s="711"/>
      <c r="K1157" s="741"/>
      <c r="L1157" s="741"/>
      <c r="M1157" s="788"/>
      <c r="N1157" s="741"/>
      <c r="O1157" s="741"/>
      <c r="P1157" s="741"/>
      <c r="Q1157" s="741"/>
      <c r="R1157" s="788"/>
      <c r="S1157" s="819"/>
      <c r="T1157" s="820"/>
      <c r="U1157" s="819"/>
      <c r="V1157" s="820"/>
      <c r="W1157" s="788"/>
      <c r="X1157" s="803"/>
      <c r="Y1157" s="803"/>
      <c r="Z1157" s="803"/>
      <c r="AA1157" s="711"/>
      <c r="AB1157" s="711"/>
      <c r="AC1157" s="711"/>
      <c r="AD1157" s="736"/>
      <c r="AE1157" s="736"/>
      <c r="AF1157" s="624"/>
      <c r="AG1157" s="624"/>
      <c r="AH1157" s="624"/>
      <c r="AI1157" s="624"/>
      <c r="AJ1157" s="984"/>
      <c r="AK1157" s="985">
        <v>1.0202</v>
      </c>
      <c r="AL1157" s="986">
        <v>80.0</v>
      </c>
      <c r="AM1157" s="987">
        <v>-0.0038572758253480055</v>
      </c>
      <c r="AN1157" s="988">
        <v>0.020199999999999996</v>
      </c>
      <c r="AO1157" s="986">
        <v>80.0</v>
      </c>
      <c r="AP1157" s="989">
        <v>-0.003766473881636645</v>
      </c>
      <c r="AQ1157" s="986">
        <v>80.0</v>
      </c>
      <c r="AR1157" s="990">
        <v>-0.0036798486457346735</v>
      </c>
      <c r="AS1157" s="624"/>
      <c r="AT1157" s="624"/>
      <c r="AU1157" s="624"/>
      <c r="AV1157" s="624"/>
      <c r="AW1157" s="624"/>
      <c r="AX1157" s="624"/>
      <c r="AY1157" s="624"/>
      <c r="AZ1157" s="624"/>
      <c r="BA1157" s="624"/>
      <c r="BB1157" s="624"/>
      <c r="BC1157" s="624"/>
      <c r="BD1157" s="624"/>
      <c r="BE1157" s="624"/>
    </row>
    <row r="1158" ht="16.5" customHeight="1">
      <c r="A1158" s="711"/>
      <c r="B1158" s="711"/>
      <c r="C1158" s="711"/>
      <c r="D1158" s="711"/>
      <c r="E1158" s="711"/>
      <c r="F1158" s="711"/>
      <c r="G1158" s="711"/>
      <c r="H1158" s="711"/>
      <c r="I1158" s="711"/>
      <c r="J1158" s="711"/>
      <c r="K1158" s="741"/>
      <c r="L1158" s="741"/>
      <c r="M1158" s="788"/>
      <c r="N1158" s="741"/>
      <c r="O1158" s="741"/>
      <c r="P1158" s="741"/>
      <c r="Q1158" s="741"/>
      <c r="R1158" s="788"/>
      <c r="S1158" s="819"/>
      <c r="T1158" s="820"/>
      <c r="U1158" s="819"/>
      <c r="V1158" s="820"/>
      <c r="W1158" s="788"/>
      <c r="X1158" s="803"/>
      <c r="Y1158" s="803"/>
      <c r="Z1158" s="803"/>
      <c r="AA1158" s="711"/>
      <c r="AB1158" s="711"/>
      <c r="AC1158" s="711"/>
      <c r="AD1158" s="736"/>
      <c r="AE1158" s="736"/>
      <c r="AF1158" s="624"/>
      <c r="AG1158" s="624"/>
      <c r="AH1158" s="624"/>
      <c r="AI1158" s="624"/>
      <c r="AJ1158" s="984"/>
      <c r="AK1158" s="985">
        <v>0.9891</v>
      </c>
      <c r="AL1158" s="986">
        <v>12.0</v>
      </c>
      <c r="AM1158" s="987">
        <v>-5.795421454667382E-4</v>
      </c>
      <c r="AN1158" s="988">
        <v>-0.01090000000000002</v>
      </c>
      <c r="AO1158" s="986">
        <v>12.0</v>
      </c>
      <c r="AP1158" s="989">
        <v>-5.65877566711892E-4</v>
      </c>
      <c r="AQ1158" s="986">
        <v>12.0</v>
      </c>
      <c r="AR1158" s="990">
        <v>-5.528425179341934E-4</v>
      </c>
      <c r="AS1158" s="624"/>
      <c r="AT1158" s="624"/>
      <c r="AU1158" s="624"/>
      <c r="AV1158" s="624"/>
      <c r="AW1158" s="624"/>
      <c r="AX1158" s="624"/>
      <c r="AY1158" s="624"/>
      <c r="AZ1158" s="624"/>
      <c r="BA1158" s="624"/>
      <c r="BB1158" s="624"/>
      <c r="BC1158" s="624"/>
      <c r="BD1158" s="624"/>
      <c r="BE1158" s="624"/>
    </row>
    <row r="1159" ht="16.5" customHeight="1">
      <c r="A1159" s="711"/>
      <c r="B1159" s="711"/>
      <c r="C1159" s="711"/>
      <c r="D1159" s="711"/>
      <c r="E1159" s="711"/>
      <c r="F1159" s="711"/>
      <c r="G1159" s="711"/>
      <c r="H1159" s="711"/>
      <c r="I1159" s="711"/>
      <c r="J1159" s="711"/>
      <c r="K1159" s="741"/>
      <c r="L1159" s="741"/>
      <c r="M1159" s="788"/>
      <c r="N1159" s="741"/>
      <c r="O1159" s="741"/>
      <c r="P1159" s="741"/>
      <c r="Q1159" s="741"/>
      <c r="R1159" s="788"/>
      <c r="S1159" s="819"/>
      <c r="T1159" s="820"/>
      <c r="U1159" s="819"/>
      <c r="V1159" s="820"/>
      <c r="W1159" s="788"/>
      <c r="X1159" s="803"/>
      <c r="Y1159" s="803"/>
      <c r="Z1159" s="803"/>
      <c r="AA1159" s="711"/>
      <c r="AB1159" s="711"/>
      <c r="AC1159" s="711"/>
      <c r="AD1159" s="736"/>
      <c r="AE1159" s="736"/>
      <c r="AF1159" s="624"/>
      <c r="AG1159" s="624"/>
      <c r="AH1159" s="624"/>
      <c r="AI1159" s="624"/>
      <c r="AJ1159" s="984"/>
      <c r="AK1159" s="985"/>
      <c r="AL1159" s="986"/>
      <c r="AM1159" s="987"/>
      <c r="AN1159" s="988"/>
      <c r="AO1159" s="986"/>
      <c r="AP1159" s="989"/>
      <c r="AQ1159" s="986"/>
      <c r="AR1159" s="990"/>
      <c r="AS1159" s="624"/>
      <c r="AT1159" s="624"/>
      <c r="AU1159" s="624"/>
      <c r="AV1159" s="624"/>
      <c r="AW1159" s="624"/>
      <c r="AX1159" s="624"/>
      <c r="AY1159" s="624"/>
      <c r="AZ1159" s="624"/>
      <c r="BA1159" s="624"/>
      <c r="BB1159" s="624"/>
      <c r="BC1159" s="624"/>
      <c r="BD1159" s="624"/>
      <c r="BE1159" s="624"/>
    </row>
    <row r="1160" ht="16.5" customHeight="1">
      <c r="A1160" s="711"/>
      <c r="B1160" s="711"/>
      <c r="C1160" s="711"/>
      <c r="D1160" s="711"/>
      <c r="E1160" s="711"/>
      <c r="F1160" s="711"/>
      <c r="G1160" s="711"/>
      <c r="H1160" s="711"/>
      <c r="I1160" s="711"/>
      <c r="J1160" s="711"/>
      <c r="K1160" s="741"/>
      <c r="L1160" s="741"/>
      <c r="M1160" s="788"/>
      <c r="N1160" s="741"/>
      <c r="O1160" s="741"/>
      <c r="P1160" s="741"/>
      <c r="Q1160" s="741"/>
      <c r="R1160" s="788"/>
      <c r="S1160" s="819"/>
      <c r="T1160" s="820"/>
      <c r="U1160" s="819"/>
      <c r="V1160" s="820"/>
      <c r="W1160" s="788"/>
      <c r="X1160" s="803"/>
      <c r="Y1160" s="803"/>
      <c r="Z1160" s="803"/>
      <c r="AA1160" s="711"/>
      <c r="AB1160" s="711"/>
      <c r="AC1160" s="711"/>
      <c r="AD1160" s="736"/>
      <c r="AE1160" s="736"/>
      <c r="AF1160" s="624"/>
      <c r="AG1160" s="624"/>
      <c r="AH1160" s="624"/>
      <c r="AI1160" s="624"/>
      <c r="AJ1160" s="984"/>
      <c r="AK1160" s="985"/>
      <c r="AL1160" s="986"/>
      <c r="AM1160" s="987"/>
      <c r="AN1160" s="988"/>
      <c r="AO1160" s="986"/>
      <c r="AP1160" s="989"/>
      <c r="AQ1160" s="986"/>
      <c r="AR1160" s="990"/>
      <c r="AS1160" s="624"/>
      <c r="AT1160" s="624"/>
      <c r="AU1160" s="624"/>
      <c r="AV1160" s="624"/>
      <c r="AW1160" s="624"/>
      <c r="AX1160" s="624"/>
      <c r="AY1160" s="624"/>
      <c r="AZ1160" s="624"/>
      <c r="BA1160" s="624"/>
      <c r="BB1160" s="624"/>
      <c r="BC1160" s="624"/>
      <c r="BD1160" s="624"/>
      <c r="BE1160" s="624"/>
    </row>
    <row r="1161" ht="16.5" customHeight="1">
      <c r="A1161" s="711"/>
      <c r="B1161" s="711"/>
      <c r="C1161" s="711"/>
      <c r="D1161" s="711"/>
      <c r="E1161" s="711"/>
      <c r="F1161" s="711"/>
      <c r="G1161" s="711"/>
      <c r="H1161" s="711"/>
      <c r="I1161" s="711"/>
      <c r="J1161" s="711"/>
      <c r="K1161" s="741"/>
      <c r="L1161" s="741"/>
      <c r="M1161" s="788"/>
      <c r="N1161" s="741"/>
      <c r="O1161" s="741"/>
      <c r="P1161" s="741"/>
      <c r="Q1161" s="741"/>
      <c r="R1161" s="788"/>
      <c r="S1161" s="819"/>
      <c r="T1161" s="820"/>
      <c r="U1161" s="819"/>
      <c r="V1161" s="820"/>
      <c r="W1161" s="788"/>
      <c r="X1161" s="803"/>
      <c r="Y1161" s="803"/>
      <c r="Z1161" s="803"/>
      <c r="AA1161" s="711"/>
      <c r="AB1161" s="711"/>
      <c r="AC1161" s="711"/>
      <c r="AD1161" s="736"/>
      <c r="AE1161" s="736"/>
      <c r="AF1161" s="624"/>
      <c r="AG1161" s="624"/>
      <c r="AH1161" s="624"/>
      <c r="AI1161" s="624"/>
      <c r="AJ1161" s="984"/>
      <c r="AK1161" s="985"/>
      <c r="AL1161" s="986"/>
      <c r="AM1161" s="987"/>
      <c r="AN1161" s="988"/>
      <c r="AO1161" s="986"/>
      <c r="AP1161" s="989"/>
      <c r="AQ1161" s="986"/>
      <c r="AR1161" s="990"/>
      <c r="AS1161" s="624"/>
      <c r="AT1161" s="624"/>
      <c r="AU1161" s="624"/>
      <c r="AV1161" s="624"/>
      <c r="AW1161" s="624"/>
      <c r="AX1161" s="624"/>
      <c r="AY1161" s="624"/>
      <c r="AZ1161" s="624"/>
      <c r="BA1161" s="624"/>
      <c r="BB1161" s="624"/>
      <c r="BC1161" s="624"/>
      <c r="BD1161" s="624"/>
      <c r="BE1161" s="624"/>
    </row>
    <row r="1162" ht="16.5" customHeight="1">
      <c r="A1162" s="711"/>
      <c r="B1162" s="711"/>
      <c r="C1162" s="711"/>
      <c r="D1162" s="711"/>
      <c r="E1162" s="711"/>
      <c r="F1162" s="711"/>
      <c r="G1162" s="711"/>
      <c r="H1162" s="711"/>
      <c r="I1162" s="711"/>
      <c r="J1162" s="711"/>
      <c r="K1162" s="741"/>
      <c r="L1162" s="741"/>
      <c r="M1162" s="788"/>
      <c r="N1162" s="741"/>
      <c r="O1162" s="741"/>
      <c r="P1162" s="741"/>
      <c r="Q1162" s="741"/>
      <c r="R1162" s="788"/>
      <c r="S1162" s="819"/>
      <c r="T1162" s="820"/>
      <c r="U1162" s="819"/>
      <c r="V1162" s="820"/>
      <c r="W1162" s="788"/>
      <c r="X1162" s="803"/>
      <c r="Y1162" s="803"/>
      <c r="Z1162" s="803"/>
      <c r="AA1162" s="711"/>
      <c r="AB1162" s="711"/>
      <c r="AC1162" s="711"/>
      <c r="AD1162" s="736"/>
      <c r="AE1162" s="736"/>
      <c r="AF1162" s="624"/>
      <c r="AG1162" s="624"/>
      <c r="AH1162" s="624"/>
      <c r="AI1162" s="624"/>
      <c r="AJ1162" s="984"/>
      <c r="AK1162" s="985"/>
      <c r="AL1162" s="986"/>
      <c r="AM1162" s="987"/>
      <c r="AN1162" s="988"/>
      <c r="AO1162" s="986"/>
      <c r="AP1162" s="989"/>
      <c r="AQ1162" s="986"/>
      <c r="AR1162" s="990"/>
      <c r="AS1162" s="624"/>
      <c r="AT1162" s="624"/>
      <c r="AU1162" s="624"/>
      <c r="AV1162" s="624"/>
      <c r="AW1162" s="624"/>
      <c r="AX1162" s="624"/>
      <c r="AY1162" s="624"/>
      <c r="AZ1162" s="624"/>
      <c r="BA1162" s="624"/>
      <c r="BB1162" s="624"/>
      <c r="BC1162" s="624"/>
      <c r="BD1162" s="624"/>
      <c r="BE1162" s="624"/>
    </row>
    <row r="1163" ht="16.5" customHeight="1">
      <c r="A1163" s="711"/>
      <c r="B1163" s="711"/>
      <c r="C1163" s="711"/>
      <c r="D1163" s="711"/>
      <c r="E1163" s="711"/>
      <c r="F1163" s="711"/>
      <c r="G1163" s="711"/>
      <c r="H1163" s="711"/>
      <c r="I1163" s="711"/>
      <c r="J1163" s="711"/>
      <c r="K1163" s="741"/>
      <c r="L1163" s="741"/>
      <c r="M1163" s="788"/>
      <c r="N1163" s="741"/>
      <c r="O1163" s="741"/>
      <c r="P1163" s="741"/>
      <c r="Q1163" s="741"/>
      <c r="R1163" s="788"/>
      <c r="S1163" s="819"/>
      <c r="T1163" s="820"/>
      <c r="U1163" s="819"/>
      <c r="V1163" s="820"/>
      <c r="W1163" s="788"/>
      <c r="X1163" s="803"/>
      <c r="Y1163" s="803"/>
      <c r="Z1163" s="803"/>
      <c r="AA1163" s="711"/>
      <c r="AB1163" s="711"/>
      <c r="AC1163" s="711"/>
      <c r="AD1163" s="736"/>
      <c r="AE1163" s="736"/>
      <c r="AF1163" s="624"/>
      <c r="AG1163" s="624"/>
      <c r="AH1163" s="624"/>
      <c r="AI1163" s="624"/>
      <c r="AJ1163" s="984"/>
      <c r="AK1163" s="985"/>
      <c r="AL1163" s="986"/>
      <c r="AM1163" s="987"/>
      <c r="AN1163" s="988"/>
      <c r="AO1163" s="986"/>
      <c r="AP1163" s="989"/>
      <c r="AQ1163" s="986"/>
      <c r="AR1163" s="990"/>
      <c r="AS1163" s="624"/>
      <c r="AT1163" s="624"/>
      <c r="AU1163" s="624"/>
      <c r="AV1163" s="624"/>
      <c r="AW1163" s="624"/>
      <c r="AX1163" s="624"/>
      <c r="AY1163" s="624"/>
      <c r="AZ1163" s="624"/>
      <c r="BA1163" s="624"/>
      <c r="BB1163" s="624"/>
      <c r="BC1163" s="624"/>
      <c r="BD1163" s="624"/>
      <c r="BE1163" s="624"/>
    </row>
    <row r="1164" ht="16.5" customHeight="1">
      <c r="A1164" s="711"/>
      <c r="B1164" s="711"/>
      <c r="C1164" s="711"/>
      <c r="D1164" s="711"/>
      <c r="E1164" s="711"/>
      <c r="F1164" s="711"/>
      <c r="G1164" s="711"/>
      <c r="H1164" s="711"/>
      <c r="I1164" s="711"/>
      <c r="J1164" s="711"/>
      <c r="K1164" s="741"/>
      <c r="L1164" s="741"/>
      <c r="M1164" s="788"/>
      <c r="N1164" s="741"/>
      <c r="O1164" s="741"/>
      <c r="P1164" s="741"/>
      <c r="Q1164" s="741"/>
      <c r="R1164" s="788"/>
      <c r="S1164" s="819"/>
      <c r="T1164" s="820"/>
      <c r="U1164" s="819"/>
      <c r="V1164" s="820"/>
      <c r="W1164" s="788"/>
      <c r="X1164" s="803"/>
      <c r="Y1164" s="803"/>
      <c r="Z1164" s="803"/>
      <c r="AA1164" s="711"/>
      <c r="AB1164" s="711"/>
      <c r="AC1164" s="711"/>
      <c r="AD1164" s="736"/>
      <c r="AE1164" s="736"/>
      <c r="AF1164" s="624"/>
      <c r="AG1164" s="624"/>
      <c r="AH1164" s="624"/>
      <c r="AI1164" s="624"/>
      <c r="AJ1164" s="984"/>
      <c r="AK1164" s="985"/>
      <c r="AL1164" s="986"/>
      <c r="AM1164" s="987"/>
      <c r="AN1164" s="988"/>
      <c r="AO1164" s="986"/>
      <c r="AP1164" s="989"/>
      <c r="AQ1164" s="986"/>
      <c r="AR1164" s="990"/>
      <c r="AS1164" s="624"/>
      <c r="AT1164" s="624"/>
      <c r="AU1164" s="624"/>
      <c r="AV1164" s="624"/>
      <c r="AW1164" s="624"/>
      <c r="AX1164" s="624"/>
      <c r="AY1164" s="624"/>
      <c r="AZ1164" s="624"/>
      <c r="BA1164" s="624"/>
      <c r="BB1164" s="624"/>
      <c r="BC1164" s="624"/>
      <c r="BD1164" s="624"/>
      <c r="BE1164" s="624"/>
    </row>
    <row r="1165" ht="16.5" customHeight="1">
      <c r="A1165" s="711"/>
      <c r="B1165" s="711"/>
      <c r="C1165" s="711"/>
      <c r="D1165" s="711"/>
      <c r="E1165" s="711"/>
      <c r="F1165" s="711"/>
      <c r="G1165" s="711"/>
      <c r="H1165" s="711"/>
      <c r="I1165" s="711"/>
      <c r="J1165" s="711"/>
      <c r="K1165" s="741"/>
      <c r="L1165" s="741"/>
      <c r="M1165" s="788"/>
      <c r="N1165" s="741"/>
      <c r="O1165" s="741"/>
      <c r="P1165" s="741"/>
      <c r="Q1165" s="741"/>
      <c r="R1165" s="788"/>
      <c r="S1165" s="819"/>
      <c r="T1165" s="820"/>
      <c r="U1165" s="819"/>
      <c r="V1165" s="820"/>
      <c r="W1165" s="788"/>
      <c r="X1165" s="803"/>
      <c r="Y1165" s="803"/>
      <c r="Z1165" s="803"/>
      <c r="AA1165" s="711"/>
      <c r="AB1165" s="711"/>
      <c r="AC1165" s="711"/>
      <c r="AD1165" s="736"/>
      <c r="AE1165" s="736"/>
      <c r="AF1165" s="624"/>
      <c r="AG1165" s="624"/>
      <c r="AH1165" s="624"/>
      <c r="AI1165" s="624"/>
      <c r="AJ1165" s="984"/>
      <c r="AK1165" s="985"/>
      <c r="AL1165" s="986"/>
      <c r="AM1165" s="987"/>
      <c r="AN1165" s="988"/>
      <c r="AO1165" s="986"/>
      <c r="AP1165" s="989"/>
      <c r="AQ1165" s="986"/>
      <c r="AR1165" s="990"/>
      <c r="AS1165" s="624"/>
      <c r="AT1165" s="624"/>
      <c r="AU1165" s="624"/>
      <c r="AV1165" s="624"/>
      <c r="AW1165" s="624"/>
      <c r="AX1165" s="624"/>
      <c r="AY1165" s="624"/>
      <c r="AZ1165" s="624"/>
      <c r="BA1165" s="624"/>
      <c r="BB1165" s="624"/>
      <c r="BC1165" s="624"/>
      <c r="BD1165" s="624"/>
      <c r="BE1165" s="624"/>
    </row>
    <row r="1166" ht="16.5" customHeight="1">
      <c r="A1166" s="711"/>
      <c r="B1166" s="711"/>
      <c r="C1166" s="711"/>
      <c r="D1166" s="711"/>
      <c r="E1166" s="711"/>
      <c r="F1166" s="711"/>
      <c r="G1166" s="711"/>
      <c r="H1166" s="711"/>
      <c r="I1166" s="711"/>
      <c r="J1166" s="711"/>
      <c r="K1166" s="741"/>
      <c r="L1166" s="741"/>
      <c r="M1166" s="788"/>
      <c r="N1166" s="741"/>
      <c r="O1166" s="741"/>
      <c r="P1166" s="741"/>
      <c r="Q1166" s="741"/>
      <c r="R1166" s="788"/>
      <c r="S1166" s="819"/>
      <c r="T1166" s="820"/>
      <c r="U1166" s="819"/>
      <c r="V1166" s="820"/>
      <c r="W1166" s="788"/>
      <c r="X1166" s="803"/>
      <c r="Y1166" s="803"/>
      <c r="Z1166" s="803"/>
      <c r="AA1166" s="711"/>
      <c r="AB1166" s="711"/>
      <c r="AC1166" s="711"/>
      <c r="AD1166" s="736"/>
      <c r="AE1166" s="736"/>
      <c r="AF1166" s="624"/>
      <c r="AG1166" s="624"/>
      <c r="AH1166" s="624"/>
      <c r="AI1166" s="624"/>
      <c r="AJ1166" s="984"/>
      <c r="AK1166" s="985"/>
      <c r="AL1166" s="986"/>
      <c r="AM1166" s="987"/>
      <c r="AN1166" s="988"/>
      <c r="AO1166" s="986"/>
      <c r="AP1166" s="989"/>
      <c r="AQ1166" s="986"/>
      <c r="AR1166" s="990"/>
      <c r="AS1166" s="624"/>
      <c r="AT1166" s="624"/>
      <c r="AU1166" s="624"/>
      <c r="AV1166" s="624"/>
      <c r="AW1166" s="624"/>
      <c r="AX1166" s="624"/>
      <c r="AY1166" s="624"/>
      <c r="AZ1166" s="624"/>
      <c r="BA1166" s="624"/>
      <c r="BB1166" s="624"/>
      <c r="BC1166" s="624"/>
      <c r="BD1166" s="624"/>
      <c r="BE1166" s="624"/>
    </row>
    <row r="1167" ht="16.5" customHeight="1">
      <c r="A1167" s="711"/>
      <c r="B1167" s="711"/>
      <c r="C1167" s="711"/>
      <c r="D1167" s="711"/>
      <c r="E1167" s="711"/>
      <c r="F1167" s="711"/>
      <c r="G1167" s="711"/>
      <c r="H1167" s="711"/>
      <c r="I1167" s="711"/>
      <c r="J1167" s="711"/>
      <c r="K1167" s="741"/>
      <c r="L1167" s="741"/>
      <c r="M1167" s="788"/>
      <c r="N1167" s="741"/>
      <c r="O1167" s="741"/>
      <c r="P1167" s="741"/>
      <c r="Q1167" s="741"/>
      <c r="R1167" s="788"/>
      <c r="S1167" s="819"/>
      <c r="T1167" s="820"/>
      <c r="U1167" s="819"/>
      <c r="V1167" s="820"/>
      <c r="W1167" s="788"/>
      <c r="X1167" s="803"/>
      <c r="Y1167" s="803"/>
      <c r="Z1167" s="803"/>
      <c r="AA1167" s="711"/>
      <c r="AB1167" s="711"/>
      <c r="AC1167" s="711"/>
      <c r="AD1167" s="736"/>
      <c r="AE1167" s="736"/>
      <c r="AF1167" s="624"/>
      <c r="AG1167" s="624"/>
      <c r="AH1167" s="624"/>
      <c r="AI1167" s="624"/>
      <c r="AJ1167" s="984"/>
      <c r="AK1167" s="985"/>
      <c r="AL1167" s="986"/>
      <c r="AM1167" s="987"/>
      <c r="AN1167" s="988"/>
      <c r="AO1167" s="986"/>
      <c r="AP1167" s="989"/>
      <c r="AQ1167" s="986"/>
      <c r="AR1167" s="990"/>
      <c r="AS1167" s="624"/>
      <c r="AT1167" s="624"/>
      <c r="AU1167" s="624"/>
      <c r="AV1167" s="624"/>
      <c r="AW1167" s="624"/>
      <c r="AX1167" s="624"/>
      <c r="AY1167" s="624"/>
      <c r="AZ1167" s="624"/>
      <c r="BA1167" s="624"/>
      <c r="BB1167" s="624"/>
      <c r="BC1167" s="624"/>
      <c r="BD1167" s="624"/>
      <c r="BE1167" s="624"/>
    </row>
    <row r="1168" ht="16.5" customHeight="1">
      <c r="A1168" s="711"/>
      <c r="B1168" s="711"/>
      <c r="C1168" s="711"/>
      <c r="D1168" s="711"/>
      <c r="E1168" s="711"/>
      <c r="F1168" s="711"/>
      <c r="G1168" s="711"/>
      <c r="H1168" s="711"/>
      <c r="I1168" s="711"/>
      <c r="J1168" s="711"/>
      <c r="K1168" s="741"/>
      <c r="L1168" s="741"/>
      <c r="M1168" s="788"/>
      <c r="N1168" s="741"/>
      <c r="O1168" s="741"/>
      <c r="P1168" s="741"/>
      <c r="Q1168" s="741"/>
      <c r="R1168" s="788"/>
      <c r="S1168" s="819"/>
      <c r="T1168" s="820"/>
      <c r="U1168" s="819"/>
      <c r="V1168" s="820"/>
      <c r="W1168" s="788"/>
      <c r="X1168" s="803"/>
      <c r="Y1168" s="803"/>
      <c r="Z1168" s="803"/>
      <c r="AA1168" s="711"/>
      <c r="AB1168" s="711"/>
      <c r="AC1168" s="711"/>
      <c r="AD1168" s="736"/>
      <c r="AE1168" s="736"/>
      <c r="AF1168" s="624"/>
      <c r="AG1168" s="624"/>
      <c r="AH1168" s="624"/>
      <c r="AI1168" s="624"/>
      <c r="AJ1168" s="984"/>
      <c r="AK1168" s="985"/>
      <c r="AL1168" s="986"/>
      <c r="AM1168" s="987"/>
      <c r="AN1168" s="988"/>
      <c r="AO1168" s="986"/>
      <c r="AP1168" s="989"/>
      <c r="AQ1168" s="986"/>
      <c r="AR1168" s="990"/>
      <c r="AS1168" s="624"/>
      <c r="AT1168" s="624"/>
      <c r="AU1168" s="624"/>
      <c r="AV1168" s="624"/>
      <c r="AW1168" s="624"/>
      <c r="AX1168" s="624"/>
      <c r="AY1168" s="624"/>
      <c r="AZ1168" s="624"/>
      <c r="BA1168" s="624"/>
      <c r="BB1168" s="624"/>
      <c r="BC1168" s="624"/>
      <c r="BD1168" s="624"/>
      <c r="BE1168" s="624"/>
    </row>
    <row r="1169" ht="16.5" customHeight="1">
      <c r="A1169" s="711"/>
      <c r="B1169" s="711"/>
      <c r="C1169" s="711"/>
      <c r="D1169" s="711"/>
      <c r="E1169" s="711"/>
      <c r="F1169" s="711"/>
      <c r="G1169" s="711"/>
      <c r="H1169" s="711"/>
      <c r="I1169" s="711"/>
      <c r="J1169" s="711"/>
      <c r="K1169" s="741"/>
      <c r="L1169" s="741"/>
      <c r="M1169" s="788"/>
      <c r="N1169" s="741"/>
      <c r="O1169" s="741"/>
      <c r="P1169" s="741"/>
      <c r="Q1169" s="741"/>
      <c r="R1169" s="788"/>
      <c r="S1169" s="819"/>
      <c r="T1169" s="820"/>
      <c r="U1169" s="819"/>
      <c r="V1169" s="820"/>
      <c r="W1169" s="788"/>
      <c r="X1169" s="803"/>
      <c r="Y1169" s="803"/>
      <c r="Z1169" s="803"/>
      <c r="AA1169" s="711"/>
      <c r="AB1169" s="711"/>
      <c r="AC1169" s="711"/>
      <c r="AD1169" s="736"/>
      <c r="AE1169" s="736"/>
      <c r="AF1169" s="624"/>
      <c r="AG1169" s="624"/>
      <c r="AH1169" s="624"/>
      <c r="AI1169" s="624"/>
      <c r="AJ1169" s="984"/>
      <c r="AK1169" s="985"/>
      <c r="AL1169" s="986"/>
      <c r="AM1169" s="987"/>
      <c r="AN1169" s="988"/>
      <c r="AO1169" s="986"/>
      <c r="AP1169" s="989"/>
      <c r="AQ1169" s="986"/>
      <c r="AR1169" s="990"/>
      <c r="AS1169" s="624"/>
      <c r="AT1169" s="624"/>
      <c r="AU1169" s="624"/>
      <c r="AV1169" s="624"/>
      <c r="AW1169" s="624"/>
      <c r="AX1169" s="624"/>
      <c r="AY1169" s="624"/>
      <c r="AZ1169" s="624"/>
      <c r="BA1169" s="624"/>
      <c r="BB1169" s="624"/>
      <c r="BC1169" s="624"/>
      <c r="BD1169" s="624"/>
      <c r="BE1169" s="624"/>
    </row>
    <row r="1170" ht="16.5" customHeight="1">
      <c r="A1170" s="711"/>
      <c r="B1170" s="711"/>
      <c r="C1170" s="711"/>
      <c r="D1170" s="711"/>
      <c r="E1170" s="711"/>
      <c r="F1170" s="711"/>
      <c r="G1170" s="711"/>
      <c r="H1170" s="711"/>
      <c r="I1170" s="711"/>
      <c r="J1170" s="711"/>
      <c r="K1170" s="741"/>
      <c r="L1170" s="741"/>
      <c r="M1170" s="788"/>
      <c r="N1170" s="741"/>
      <c r="O1170" s="741"/>
      <c r="P1170" s="741"/>
      <c r="Q1170" s="741"/>
      <c r="R1170" s="788"/>
      <c r="S1170" s="819"/>
      <c r="T1170" s="820"/>
      <c r="U1170" s="819"/>
      <c r="V1170" s="820"/>
      <c r="W1170" s="788"/>
      <c r="X1170" s="803"/>
      <c r="Y1170" s="803"/>
      <c r="Z1170" s="803"/>
      <c r="AA1170" s="711"/>
      <c r="AB1170" s="711"/>
      <c r="AC1170" s="711"/>
      <c r="AD1170" s="736"/>
      <c r="AE1170" s="736"/>
      <c r="AF1170" s="624"/>
      <c r="AG1170" s="624"/>
      <c r="AH1170" s="624"/>
      <c r="AI1170" s="624"/>
      <c r="AJ1170" s="984"/>
      <c r="AK1170" s="985"/>
      <c r="AL1170" s="986"/>
      <c r="AM1170" s="987"/>
      <c r="AN1170" s="988"/>
      <c r="AO1170" s="986"/>
      <c r="AP1170" s="989"/>
      <c r="AQ1170" s="986"/>
      <c r="AR1170" s="990"/>
      <c r="AS1170" s="624"/>
      <c r="AT1170" s="624"/>
      <c r="AU1170" s="624"/>
      <c r="AV1170" s="624"/>
      <c r="AW1170" s="624"/>
      <c r="AX1170" s="624"/>
      <c r="AY1170" s="624"/>
      <c r="AZ1170" s="624"/>
      <c r="BA1170" s="624"/>
      <c r="BB1170" s="624"/>
      <c r="BC1170" s="624"/>
      <c r="BD1170" s="624"/>
      <c r="BE1170" s="624"/>
    </row>
    <row r="1171" ht="16.5" customHeight="1">
      <c r="A1171" s="711"/>
      <c r="B1171" s="711"/>
      <c r="C1171" s="711"/>
      <c r="D1171" s="711"/>
      <c r="E1171" s="711"/>
      <c r="F1171" s="711"/>
      <c r="G1171" s="711"/>
      <c r="H1171" s="711"/>
      <c r="I1171" s="711"/>
      <c r="J1171" s="711"/>
      <c r="K1171" s="741"/>
      <c r="L1171" s="741"/>
      <c r="M1171" s="788"/>
      <c r="N1171" s="741"/>
      <c r="O1171" s="741"/>
      <c r="P1171" s="741"/>
      <c r="Q1171" s="741"/>
      <c r="R1171" s="788"/>
      <c r="S1171" s="819"/>
      <c r="T1171" s="820"/>
      <c r="U1171" s="819"/>
      <c r="V1171" s="820"/>
      <c r="W1171" s="788"/>
      <c r="X1171" s="803"/>
      <c r="Y1171" s="803"/>
      <c r="Z1171" s="803"/>
      <c r="AA1171" s="711"/>
      <c r="AB1171" s="711"/>
      <c r="AC1171" s="711"/>
      <c r="AD1171" s="736"/>
      <c r="AE1171" s="736"/>
      <c r="AF1171" s="624"/>
      <c r="AG1171" s="624"/>
      <c r="AH1171" s="624"/>
      <c r="AI1171" s="624"/>
      <c r="AJ1171" s="984"/>
      <c r="AK1171" s="985"/>
      <c r="AL1171" s="986"/>
      <c r="AM1171" s="987"/>
      <c r="AN1171" s="988"/>
      <c r="AO1171" s="986"/>
      <c r="AP1171" s="989"/>
      <c r="AQ1171" s="986"/>
      <c r="AR1171" s="990"/>
      <c r="AS1171" s="624"/>
      <c r="AT1171" s="624"/>
      <c r="AU1171" s="624"/>
      <c r="AV1171" s="624"/>
      <c r="AW1171" s="624"/>
      <c r="AX1171" s="624"/>
      <c r="AY1171" s="624"/>
      <c r="AZ1171" s="624"/>
      <c r="BA1171" s="624"/>
      <c r="BB1171" s="624"/>
      <c r="BC1171" s="624"/>
      <c r="BD1171" s="624"/>
      <c r="BE1171" s="624"/>
    </row>
    <row r="1172" ht="16.5" customHeight="1">
      <c r="A1172" s="711"/>
      <c r="B1172" s="711"/>
      <c r="C1172" s="711"/>
      <c r="D1172" s="711"/>
      <c r="E1172" s="711"/>
      <c r="F1172" s="711"/>
      <c r="G1172" s="711"/>
      <c r="H1172" s="711"/>
      <c r="I1172" s="711"/>
      <c r="J1172" s="711"/>
      <c r="K1172" s="741"/>
      <c r="L1172" s="741"/>
      <c r="M1172" s="788"/>
      <c r="N1172" s="741"/>
      <c r="O1172" s="741"/>
      <c r="P1172" s="741"/>
      <c r="Q1172" s="741"/>
      <c r="R1172" s="788"/>
      <c r="S1172" s="819"/>
      <c r="T1172" s="820"/>
      <c r="U1172" s="819"/>
      <c r="V1172" s="820"/>
      <c r="W1172" s="788"/>
      <c r="X1172" s="803"/>
      <c r="Y1172" s="803"/>
      <c r="Z1172" s="803"/>
      <c r="AA1172" s="711"/>
      <c r="AB1172" s="711"/>
      <c r="AC1172" s="711"/>
      <c r="AD1172" s="736"/>
      <c r="AE1172" s="736"/>
      <c r="AF1172" s="624"/>
      <c r="AG1172" s="624"/>
      <c r="AH1172" s="624"/>
      <c r="AI1172" s="624"/>
      <c r="AJ1172" s="984"/>
      <c r="AK1172" s="985"/>
      <c r="AL1172" s="986"/>
      <c r="AM1172" s="987"/>
      <c r="AN1172" s="988"/>
      <c r="AO1172" s="986"/>
      <c r="AP1172" s="989"/>
      <c r="AQ1172" s="986"/>
      <c r="AR1172" s="990"/>
      <c r="AS1172" s="624"/>
      <c r="AT1172" s="624"/>
      <c r="AU1172" s="624"/>
      <c r="AV1172" s="624"/>
      <c r="AW1172" s="624"/>
      <c r="AX1172" s="624"/>
      <c r="AY1172" s="624"/>
      <c r="AZ1172" s="624"/>
      <c r="BA1172" s="624"/>
      <c r="BB1172" s="624"/>
      <c r="BC1172" s="624"/>
      <c r="BD1172" s="624"/>
      <c r="BE1172" s="624"/>
    </row>
    <row r="1173" ht="16.5" customHeight="1">
      <c r="A1173" s="711"/>
      <c r="B1173" s="711"/>
      <c r="C1173" s="711"/>
      <c r="D1173" s="711"/>
      <c r="E1173" s="711"/>
      <c r="F1173" s="711"/>
      <c r="G1173" s="711"/>
      <c r="H1173" s="711"/>
      <c r="I1173" s="711"/>
      <c r="J1173" s="711"/>
      <c r="K1173" s="741"/>
      <c r="L1173" s="741"/>
      <c r="M1173" s="788"/>
      <c r="N1173" s="741"/>
      <c r="O1173" s="741"/>
      <c r="P1173" s="741"/>
      <c r="Q1173" s="741"/>
      <c r="R1173" s="788"/>
      <c r="S1173" s="819"/>
      <c r="T1173" s="820"/>
      <c r="U1173" s="819"/>
      <c r="V1173" s="820"/>
      <c r="W1173" s="788"/>
      <c r="X1173" s="803"/>
      <c r="Y1173" s="803"/>
      <c r="Z1173" s="803"/>
      <c r="AA1173" s="711"/>
      <c r="AB1173" s="711"/>
      <c r="AC1173" s="711"/>
      <c r="AD1173" s="736"/>
      <c r="AE1173" s="736"/>
      <c r="AF1173" s="624"/>
      <c r="AG1173" s="624"/>
      <c r="AH1173" s="624"/>
      <c r="AI1173" s="624"/>
      <c r="AJ1173" s="984"/>
      <c r="AK1173" s="985"/>
      <c r="AL1173" s="986"/>
      <c r="AM1173" s="987"/>
      <c r="AN1173" s="988"/>
      <c r="AO1173" s="986"/>
      <c r="AP1173" s="989"/>
      <c r="AQ1173" s="986"/>
      <c r="AR1173" s="990"/>
      <c r="AS1173" s="624"/>
      <c r="AT1173" s="624"/>
      <c r="AU1173" s="624"/>
      <c r="AV1173" s="624"/>
      <c r="AW1173" s="624"/>
      <c r="AX1173" s="624"/>
      <c r="AY1173" s="624"/>
      <c r="AZ1173" s="624"/>
      <c r="BA1173" s="624"/>
      <c r="BB1173" s="624"/>
      <c r="BC1173" s="624"/>
      <c r="BD1173" s="624"/>
      <c r="BE1173" s="624"/>
    </row>
    <row r="1174" ht="16.5" customHeight="1">
      <c r="A1174" s="711"/>
      <c r="B1174" s="711"/>
      <c r="C1174" s="711"/>
      <c r="D1174" s="711"/>
      <c r="E1174" s="711"/>
      <c r="F1174" s="711"/>
      <c r="G1174" s="711"/>
      <c r="H1174" s="711"/>
      <c r="I1174" s="711"/>
      <c r="J1174" s="711"/>
      <c r="K1174" s="741"/>
      <c r="L1174" s="741"/>
      <c r="M1174" s="788"/>
      <c r="N1174" s="741"/>
      <c r="O1174" s="741"/>
      <c r="P1174" s="741"/>
      <c r="Q1174" s="741"/>
      <c r="R1174" s="788"/>
      <c r="S1174" s="819"/>
      <c r="T1174" s="820"/>
      <c r="U1174" s="819"/>
      <c r="V1174" s="820"/>
      <c r="W1174" s="788"/>
      <c r="X1174" s="803"/>
      <c r="Y1174" s="803"/>
      <c r="Z1174" s="803"/>
      <c r="AA1174" s="711"/>
      <c r="AB1174" s="711"/>
      <c r="AC1174" s="711"/>
      <c r="AD1174" s="736"/>
      <c r="AE1174" s="736"/>
      <c r="AF1174" s="624"/>
      <c r="AG1174" s="624"/>
      <c r="AH1174" s="624"/>
      <c r="AI1174" s="624"/>
      <c r="AJ1174" s="984"/>
      <c r="AK1174" s="985"/>
      <c r="AL1174" s="986"/>
      <c r="AM1174" s="987"/>
      <c r="AN1174" s="988"/>
      <c r="AO1174" s="986"/>
      <c r="AP1174" s="989"/>
      <c r="AQ1174" s="986"/>
      <c r="AR1174" s="990"/>
      <c r="AS1174" s="624"/>
      <c r="AT1174" s="624"/>
      <c r="AU1174" s="624"/>
      <c r="AV1174" s="624"/>
      <c r="AW1174" s="624"/>
      <c r="AX1174" s="624"/>
      <c r="AY1174" s="624"/>
      <c r="AZ1174" s="624"/>
      <c r="BA1174" s="624"/>
      <c r="BB1174" s="624"/>
      <c r="BC1174" s="624"/>
      <c r="BD1174" s="624"/>
      <c r="BE1174" s="624"/>
    </row>
    <row r="1175" ht="16.5" customHeight="1">
      <c r="A1175" s="711"/>
      <c r="B1175" s="711"/>
      <c r="C1175" s="711"/>
      <c r="D1175" s="711"/>
      <c r="E1175" s="711"/>
      <c r="F1175" s="711"/>
      <c r="G1175" s="711"/>
      <c r="H1175" s="711"/>
      <c r="I1175" s="711"/>
      <c r="J1175" s="711"/>
      <c r="K1175" s="741"/>
      <c r="L1175" s="741"/>
      <c r="M1175" s="788"/>
      <c r="N1175" s="741"/>
      <c r="O1175" s="741"/>
      <c r="P1175" s="741"/>
      <c r="Q1175" s="741"/>
      <c r="R1175" s="788"/>
      <c r="S1175" s="819"/>
      <c r="T1175" s="820"/>
      <c r="U1175" s="819"/>
      <c r="V1175" s="820"/>
      <c r="W1175" s="788"/>
      <c r="X1175" s="803"/>
      <c r="Y1175" s="803"/>
      <c r="Z1175" s="803"/>
      <c r="AA1175" s="711"/>
      <c r="AB1175" s="711"/>
      <c r="AC1175" s="711"/>
      <c r="AD1175" s="736"/>
      <c r="AE1175" s="736"/>
      <c r="AF1175" s="624"/>
      <c r="AG1175" s="624"/>
      <c r="AH1175" s="624"/>
      <c r="AI1175" s="624"/>
      <c r="AJ1175" s="984"/>
      <c r="AK1175" s="985"/>
      <c r="AL1175" s="986"/>
      <c r="AM1175" s="987"/>
      <c r="AN1175" s="988"/>
      <c r="AO1175" s="986"/>
      <c r="AP1175" s="989"/>
      <c r="AQ1175" s="986"/>
      <c r="AR1175" s="990"/>
      <c r="AS1175" s="624"/>
      <c r="AT1175" s="624"/>
      <c r="AU1175" s="624"/>
      <c r="AV1175" s="624"/>
      <c r="AW1175" s="624"/>
      <c r="AX1175" s="624"/>
      <c r="AY1175" s="624"/>
      <c r="AZ1175" s="624"/>
      <c r="BA1175" s="624"/>
      <c r="BB1175" s="624"/>
      <c r="BC1175" s="624"/>
      <c r="BD1175" s="624"/>
      <c r="BE1175" s="624"/>
    </row>
    <row r="1176" ht="16.5" customHeight="1">
      <c r="A1176" s="711"/>
      <c r="B1176" s="711"/>
      <c r="C1176" s="711"/>
      <c r="D1176" s="711"/>
      <c r="E1176" s="711"/>
      <c r="F1176" s="711"/>
      <c r="G1176" s="711"/>
      <c r="H1176" s="711"/>
      <c r="I1176" s="711"/>
      <c r="J1176" s="711"/>
      <c r="K1176" s="741"/>
      <c r="L1176" s="741"/>
      <c r="M1176" s="788"/>
      <c r="N1176" s="741"/>
      <c r="O1176" s="741"/>
      <c r="P1176" s="741"/>
      <c r="Q1176" s="741"/>
      <c r="R1176" s="788"/>
      <c r="S1176" s="819"/>
      <c r="T1176" s="820"/>
      <c r="U1176" s="819"/>
      <c r="V1176" s="820"/>
      <c r="W1176" s="788"/>
      <c r="X1176" s="803"/>
      <c r="Y1176" s="803"/>
      <c r="Z1176" s="803"/>
      <c r="AA1176" s="711"/>
      <c r="AB1176" s="711"/>
      <c r="AC1176" s="711"/>
      <c r="AD1176" s="736"/>
      <c r="AE1176" s="736"/>
      <c r="AF1176" s="624"/>
      <c r="AG1176" s="624"/>
      <c r="AH1176" s="624"/>
      <c r="AI1176" s="624"/>
      <c r="AJ1176" s="984"/>
      <c r="AK1176" s="985"/>
      <c r="AL1176" s="986"/>
      <c r="AM1176" s="987"/>
      <c r="AN1176" s="988"/>
      <c r="AO1176" s="986"/>
      <c r="AP1176" s="989"/>
      <c r="AQ1176" s="986"/>
      <c r="AR1176" s="990"/>
      <c r="AS1176" s="624"/>
      <c r="AT1176" s="624"/>
      <c r="AU1176" s="624"/>
      <c r="AV1176" s="624"/>
      <c r="AW1176" s="624"/>
      <c r="AX1176" s="624"/>
      <c r="AY1176" s="624"/>
      <c r="AZ1176" s="624"/>
      <c r="BA1176" s="624"/>
      <c r="BB1176" s="624"/>
      <c r="BC1176" s="624"/>
      <c r="BD1176" s="624"/>
      <c r="BE1176" s="624"/>
    </row>
    <row r="1177" ht="16.5" customHeight="1">
      <c r="A1177" s="711"/>
      <c r="B1177" s="711"/>
      <c r="C1177" s="711"/>
      <c r="D1177" s="711"/>
      <c r="E1177" s="711"/>
      <c r="F1177" s="711"/>
      <c r="G1177" s="711"/>
      <c r="H1177" s="711"/>
      <c r="I1177" s="711"/>
      <c r="J1177" s="711"/>
      <c r="K1177" s="741"/>
      <c r="L1177" s="741"/>
      <c r="M1177" s="788"/>
      <c r="N1177" s="741"/>
      <c r="O1177" s="741"/>
      <c r="P1177" s="741"/>
      <c r="Q1177" s="741"/>
      <c r="R1177" s="788"/>
      <c r="S1177" s="819"/>
      <c r="T1177" s="820"/>
      <c r="U1177" s="819"/>
      <c r="V1177" s="820"/>
      <c r="W1177" s="788"/>
      <c r="X1177" s="803"/>
      <c r="Y1177" s="803"/>
      <c r="Z1177" s="803"/>
      <c r="AA1177" s="711"/>
      <c r="AB1177" s="711"/>
      <c r="AC1177" s="711"/>
      <c r="AD1177" s="736"/>
      <c r="AE1177" s="736"/>
      <c r="AF1177" s="624"/>
      <c r="AG1177" s="624"/>
      <c r="AH1177" s="624"/>
      <c r="AI1177" s="624"/>
      <c r="AJ1177" s="984"/>
      <c r="AK1177" s="985"/>
      <c r="AL1177" s="986"/>
      <c r="AM1177" s="987"/>
      <c r="AN1177" s="988"/>
      <c r="AO1177" s="986"/>
      <c r="AP1177" s="989"/>
      <c r="AQ1177" s="986"/>
      <c r="AR1177" s="990"/>
      <c r="AS1177" s="624"/>
      <c r="AT1177" s="624"/>
      <c r="AU1177" s="624"/>
      <c r="AV1177" s="624"/>
      <c r="AW1177" s="624"/>
      <c r="AX1177" s="624"/>
      <c r="AY1177" s="624"/>
      <c r="AZ1177" s="624"/>
      <c r="BA1177" s="624"/>
      <c r="BB1177" s="624"/>
      <c r="BC1177" s="624"/>
      <c r="BD1177" s="624"/>
      <c r="BE1177" s="624"/>
    </row>
    <row r="1178" ht="16.5" customHeight="1">
      <c r="A1178" s="711"/>
      <c r="B1178" s="711"/>
      <c r="C1178" s="711"/>
      <c r="D1178" s="711"/>
      <c r="E1178" s="711"/>
      <c r="F1178" s="711"/>
      <c r="G1178" s="711"/>
      <c r="H1178" s="711"/>
      <c r="I1178" s="711"/>
      <c r="J1178" s="711"/>
      <c r="K1178" s="741"/>
      <c r="L1178" s="741"/>
      <c r="M1178" s="788"/>
      <c r="N1178" s="741"/>
      <c r="O1178" s="741"/>
      <c r="P1178" s="741"/>
      <c r="Q1178" s="741"/>
      <c r="R1178" s="788"/>
      <c r="S1178" s="819"/>
      <c r="T1178" s="820"/>
      <c r="U1178" s="819"/>
      <c r="V1178" s="820"/>
      <c r="W1178" s="788"/>
      <c r="X1178" s="803"/>
      <c r="Y1178" s="803"/>
      <c r="Z1178" s="803"/>
      <c r="AA1178" s="711"/>
      <c r="AB1178" s="711"/>
      <c r="AC1178" s="711"/>
      <c r="AD1178" s="736"/>
      <c r="AE1178" s="736"/>
      <c r="AF1178" s="624"/>
      <c r="AG1178" s="624"/>
      <c r="AH1178" s="624"/>
      <c r="AI1178" s="624"/>
      <c r="AJ1178" s="984"/>
      <c r="AK1178" s="985"/>
      <c r="AL1178" s="986"/>
      <c r="AM1178" s="987"/>
      <c r="AN1178" s="988"/>
      <c r="AO1178" s="986"/>
      <c r="AP1178" s="989"/>
      <c r="AQ1178" s="986"/>
      <c r="AR1178" s="990"/>
      <c r="AS1178" s="624"/>
      <c r="AT1178" s="624"/>
      <c r="AU1178" s="624"/>
      <c r="AV1178" s="624"/>
      <c r="AW1178" s="624"/>
      <c r="AX1178" s="624"/>
      <c r="AY1178" s="624"/>
      <c r="AZ1178" s="624"/>
      <c r="BA1178" s="624"/>
      <c r="BB1178" s="624"/>
      <c r="BC1178" s="624"/>
      <c r="BD1178" s="624"/>
      <c r="BE1178" s="624"/>
    </row>
    <row r="1179" ht="16.5" customHeight="1">
      <c r="A1179" s="711"/>
      <c r="B1179" s="711"/>
      <c r="C1179" s="711"/>
      <c r="D1179" s="711"/>
      <c r="E1179" s="711"/>
      <c r="F1179" s="711"/>
      <c r="G1179" s="711"/>
      <c r="H1179" s="711"/>
      <c r="I1179" s="711"/>
      <c r="J1179" s="711"/>
      <c r="K1179" s="741"/>
      <c r="L1179" s="741"/>
      <c r="M1179" s="788"/>
      <c r="N1179" s="741"/>
      <c r="O1179" s="741"/>
      <c r="P1179" s="741"/>
      <c r="Q1179" s="741"/>
      <c r="R1179" s="788"/>
      <c r="S1179" s="819"/>
      <c r="T1179" s="820"/>
      <c r="U1179" s="819"/>
      <c r="V1179" s="820"/>
      <c r="W1179" s="788"/>
      <c r="X1179" s="803"/>
      <c r="Y1179" s="803"/>
      <c r="Z1179" s="803"/>
      <c r="AA1179" s="711"/>
      <c r="AB1179" s="711"/>
      <c r="AC1179" s="711"/>
      <c r="AD1179" s="736"/>
      <c r="AE1179" s="736"/>
      <c r="AF1179" s="624"/>
      <c r="AG1179" s="624"/>
      <c r="AH1179" s="624"/>
      <c r="AI1179" s="624"/>
      <c r="AJ1179" s="984"/>
      <c r="AK1179" s="985"/>
      <c r="AL1179" s="986"/>
      <c r="AM1179" s="987"/>
      <c r="AN1179" s="988"/>
      <c r="AO1179" s="986"/>
      <c r="AP1179" s="989"/>
      <c r="AQ1179" s="986"/>
      <c r="AR1179" s="990"/>
      <c r="AS1179" s="624"/>
      <c r="AT1179" s="624"/>
      <c r="AU1179" s="624"/>
      <c r="AV1179" s="624"/>
      <c r="AW1179" s="624"/>
      <c r="AX1179" s="624"/>
      <c r="AY1179" s="624"/>
      <c r="AZ1179" s="624"/>
      <c r="BA1179" s="624"/>
      <c r="BB1179" s="624"/>
      <c r="BC1179" s="624"/>
      <c r="BD1179" s="624"/>
      <c r="BE1179" s="624"/>
    </row>
    <row r="1180" ht="16.5" customHeight="1">
      <c r="A1180" s="711"/>
      <c r="B1180" s="711"/>
      <c r="C1180" s="711"/>
      <c r="D1180" s="711"/>
      <c r="E1180" s="711"/>
      <c r="F1180" s="711"/>
      <c r="G1180" s="711"/>
      <c r="H1180" s="711"/>
      <c r="I1180" s="711"/>
      <c r="J1180" s="711"/>
      <c r="K1180" s="741"/>
      <c r="L1180" s="741"/>
      <c r="M1180" s="788"/>
      <c r="N1180" s="741"/>
      <c r="O1180" s="741"/>
      <c r="P1180" s="741"/>
      <c r="Q1180" s="741"/>
      <c r="R1180" s="788"/>
      <c r="S1180" s="819"/>
      <c r="T1180" s="820"/>
      <c r="U1180" s="819"/>
      <c r="V1180" s="820"/>
      <c r="W1180" s="788"/>
      <c r="X1180" s="803"/>
      <c r="Y1180" s="803"/>
      <c r="Z1180" s="803"/>
      <c r="AA1180" s="711"/>
      <c r="AB1180" s="711"/>
      <c r="AC1180" s="711"/>
      <c r="AD1180" s="736"/>
      <c r="AE1180" s="736"/>
      <c r="AF1180" s="624"/>
      <c r="AG1180" s="624"/>
      <c r="AH1180" s="624"/>
      <c r="AI1180" s="624"/>
      <c r="AJ1180" s="984"/>
      <c r="AK1180" s="985"/>
      <c r="AL1180" s="986"/>
      <c r="AM1180" s="987"/>
      <c r="AN1180" s="988"/>
      <c r="AO1180" s="986"/>
      <c r="AP1180" s="989"/>
      <c r="AQ1180" s="986"/>
      <c r="AR1180" s="990"/>
      <c r="AS1180" s="624"/>
      <c r="AT1180" s="624"/>
      <c r="AU1180" s="624"/>
      <c r="AV1180" s="624"/>
      <c r="AW1180" s="624"/>
      <c r="AX1180" s="624"/>
      <c r="AY1180" s="624"/>
      <c r="AZ1180" s="624"/>
      <c r="BA1180" s="624"/>
      <c r="BB1180" s="624"/>
      <c r="BC1180" s="624"/>
      <c r="BD1180" s="624"/>
      <c r="BE1180" s="624"/>
    </row>
    <row r="1181" ht="16.5" customHeight="1">
      <c r="A1181" s="711"/>
      <c r="B1181" s="711"/>
      <c r="C1181" s="711"/>
      <c r="D1181" s="711"/>
      <c r="E1181" s="711"/>
      <c r="F1181" s="711"/>
      <c r="G1181" s="711"/>
      <c r="H1181" s="711"/>
      <c r="I1181" s="711"/>
      <c r="J1181" s="711"/>
      <c r="K1181" s="741"/>
      <c r="L1181" s="741"/>
      <c r="M1181" s="788"/>
      <c r="N1181" s="741"/>
      <c r="O1181" s="741"/>
      <c r="P1181" s="741"/>
      <c r="Q1181" s="741"/>
      <c r="R1181" s="788"/>
      <c r="S1181" s="819"/>
      <c r="T1181" s="820"/>
      <c r="U1181" s="819"/>
      <c r="V1181" s="820"/>
      <c r="W1181" s="788"/>
      <c r="X1181" s="803"/>
      <c r="Y1181" s="803"/>
      <c r="Z1181" s="803"/>
      <c r="AA1181" s="711"/>
      <c r="AB1181" s="711"/>
      <c r="AC1181" s="711"/>
      <c r="AD1181" s="736"/>
      <c r="AE1181" s="736"/>
      <c r="AF1181" s="624"/>
      <c r="AG1181" s="624"/>
      <c r="AH1181" s="624"/>
      <c r="AI1181" s="624"/>
      <c r="AJ1181" s="984"/>
      <c r="AK1181" s="985"/>
      <c r="AL1181" s="986"/>
      <c r="AM1181" s="987"/>
      <c r="AN1181" s="988"/>
      <c r="AO1181" s="986"/>
      <c r="AP1181" s="989"/>
      <c r="AQ1181" s="986"/>
      <c r="AR1181" s="990"/>
      <c r="AS1181" s="624"/>
      <c r="AT1181" s="624"/>
      <c r="AU1181" s="624"/>
      <c r="AV1181" s="624"/>
      <c r="AW1181" s="624"/>
      <c r="AX1181" s="624"/>
      <c r="AY1181" s="624"/>
      <c r="AZ1181" s="624"/>
      <c r="BA1181" s="624"/>
      <c r="BB1181" s="624"/>
      <c r="BC1181" s="624"/>
      <c r="BD1181" s="624"/>
      <c r="BE1181" s="624"/>
    </row>
    <row r="1182" ht="16.5" customHeight="1">
      <c r="A1182" s="711"/>
      <c r="B1182" s="711"/>
      <c r="C1182" s="711"/>
      <c r="D1182" s="711"/>
      <c r="E1182" s="711"/>
      <c r="F1182" s="711"/>
      <c r="G1182" s="711"/>
      <c r="H1182" s="711"/>
      <c r="I1182" s="711"/>
      <c r="J1182" s="711"/>
      <c r="K1182" s="741"/>
      <c r="L1182" s="741"/>
      <c r="M1182" s="788"/>
      <c r="N1182" s="741"/>
      <c r="O1182" s="741"/>
      <c r="P1182" s="741"/>
      <c r="Q1182" s="741"/>
      <c r="R1182" s="788"/>
      <c r="S1182" s="819"/>
      <c r="T1182" s="820"/>
      <c r="U1182" s="819"/>
      <c r="V1182" s="820"/>
      <c r="W1182" s="788"/>
      <c r="X1182" s="803"/>
      <c r="Y1182" s="803"/>
      <c r="Z1182" s="803"/>
      <c r="AA1182" s="711"/>
      <c r="AB1182" s="711"/>
      <c r="AC1182" s="711"/>
      <c r="AD1182" s="736"/>
      <c r="AE1182" s="736"/>
      <c r="AF1182" s="624"/>
      <c r="AG1182" s="624"/>
      <c r="AH1182" s="624"/>
      <c r="AI1182" s="624"/>
      <c r="AJ1182" s="984"/>
      <c r="AK1182" s="985"/>
      <c r="AL1182" s="986"/>
      <c r="AM1182" s="987"/>
      <c r="AN1182" s="988"/>
      <c r="AO1182" s="986"/>
      <c r="AP1182" s="989"/>
      <c r="AQ1182" s="986"/>
      <c r="AR1182" s="990"/>
      <c r="AS1182" s="624"/>
      <c r="AT1182" s="624"/>
      <c r="AU1182" s="624"/>
      <c r="AV1182" s="624"/>
      <c r="AW1182" s="624"/>
      <c r="AX1182" s="624"/>
      <c r="AY1182" s="624"/>
      <c r="AZ1182" s="624"/>
      <c r="BA1182" s="624"/>
      <c r="BB1182" s="624"/>
      <c r="BC1182" s="624"/>
      <c r="BD1182" s="624"/>
      <c r="BE1182" s="624"/>
    </row>
    <row r="1183" ht="16.5" customHeight="1">
      <c r="A1183" s="711"/>
      <c r="B1183" s="711"/>
      <c r="C1183" s="711"/>
      <c r="D1183" s="711"/>
      <c r="E1183" s="711"/>
      <c r="F1183" s="711"/>
      <c r="G1183" s="711"/>
      <c r="H1183" s="711"/>
      <c r="I1183" s="711"/>
      <c r="J1183" s="711"/>
      <c r="K1183" s="741"/>
      <c r="L1183" s="741"/>
      <c r="M1183" s="788"/>
      <c r="N1183" s="741"/>
      <c r="O1183" s="741"/>
      <c r="P1183" s="741"/>
      <c r="Q1183" s="741"/>
      <c r="R1183" s="788"/>
      <c r="S1183" s="819"/>
      <c r="T1183" s="820"/>
      <c r="U1183" s="819"/>
      <c r="V1183" s="820"/>
      <c r="W1183" s="788"/>
      <c r="X1183" s="803"/>
      <c r="Y1183" s="803"/>
      <c r="Z1183" s="803"/>
      <c r="AA1183" s="711"/>
      <c r="AB1183" s="711"/>
      <c r="AC1183" s="711"/>
      <c r="AD1183" s="736"/>
      <c r="AE1183" s="736"/>
      <c r="AF1183" s="624"/>
      <c r="AG1183" s="624"/>
      <c r="AH1183" s="624"/>
      <c r="AI1183" s="624"/>
      <c r="AJ1183" s="984"/>
      <c r="AK1183" s="985"/>
      <c r="AL1183" s="986"/>
      <c r="AM1183" s="987"/>
      <c r="AN1183" s="988"/>
      <c r="AO1183" s="986"/>
      <c r="AP1183" s="989"/>
      <c r="AQ1183" s="986"/>
      <c r="AR1183" s="990"/>
      <c r="AS1183" s="624"/>
      <c r="AT1183" s="624"/>
      <c r="AU1183" s="624"/>
      <c r="AV1183" s="624"/>
      <c r="AW1183" s="624"/>
      <c r="AX1183" s="624"/>
      <c r="AY1183" s="624"/>
      <c r="AZ1183" s="624"/>
      <c r="BA1183" s="624"/>
      <c r="BB1183" s="624"/>
      <c r="BC1183" s="624"/>
      <c r="BD1183" s="624"/>
      <c r="BE1183" s="624"/>
    </row>
    <row r="1184" ht="16.5" customHeight="1">
      <c r="A1184" s="711"/>
      <c r="B1184" s="711"/>
      <c r="C1184" s="711"/>
      <c r="D1184" s="711"/>
      <c r="E1184" s="711"/>
      <c r="F1184" s="711"/>
      <c r="G1184" s="711"/>
      <c r="H1184" s="711"/>
      <c r="I1184" s="711"/>
      <c r="J1184" s="711"/>
      <c r="K1184" s="741"/>
      <c r="L1184" s="741"/>
      <c r="M1184" s="788"/>
      <c r="N1184" s="741"/>
      <c r="O1184" s="741"/>
      <c r="P1184" s="741"/>
      <c r="Q1184" s="741"/>
      <c r="R1184" s="788"/>
      <c r="S1184" s="819"/>
      <c r="T1184" s="820"/>
      <c r="U1184" s="819"/>
      <c r="V1184" s="820"/>
      <c r="W1184" s="788"/>
      <c r="X1184" s="803"/>
      <c r="Y1184" s="803"/>
      <c r="Z1184" s="803"/>
      <c r="AA1184" s="711"/>
      <c r="AB1184" s="711"/>
      <c r="AC1184" s="711"/>
      <c r="AD1184" s="736"/>
      <c r="AE1184" s="736"/>
      <c r="AF1184" s="624"/>
      <c r="AG1184" s="624"/>
      <c r="AH1184" s="624"/>
      <c r="AI1184" s="624"/>
      <c r="AJ1184" s="984"/>
      <c r="AK1184" s="985"/>
      <c r="AL1184" s="986"/>
      <c r="AM1184" s="987"/>
      <c r="AN1184" s="988"/>
      <c r="AO1184" s="986"/>
      <c r="AP1184" s="989"/>
      <c r="AQ1184" s="986"/>
      <c r="AR1184" s="990"/>
      <c r="AS1184" s="624"/>
      <c r="AT1184" s="624"/>
      <c r="AU1184" s="624"/>
      <c r="AV1184" s="624"/>
      <c r="AW1184" s="624"/>
      <c r="AX1184" s="624"/>
      <c r="AY1184" s="624"/>
      <c r="AZ1184" s="624"/>
      <c r="BA1184" s="624"/>
      <c r="BB1184" s="624"/>
      <c r="BC1184" s="624"/>
      <c r="BD1184" s="624"/>
      <c r="BE1184" s="624"/>
    </row>
    <row r="1185" ht="16.5" customHeight="1">
      <c r="A1185" s="711"/>
      <c r="B1185" s="711"/>
      <c r="C1185" s="711"/>
      <c r="D1185" s="711"/>
      <c r="E1185" s="711"/>
      <c r="F1185" s="711"/>
      <c r="G1185" s="711"/>
      <c r="H1185" s="711"/>
      <c r="I1185" s="711"/>
      <c r="J1185" s="711"/>
      <c r="K1185" s="741"/>
      <c r="L1185" s="741"/>
      <c r="M1185" s="788"/>
      <c r="N1185" s="741"/>
      <c r="O1185" s="741"/>
      <c r="P1185" s="741"/>
      <c r="Q1185" s="741"/>
      <c r="R1185" s="788"/>
      <c r="S1185" s="819"/>
      <c r="T1185" s="820"/>
      <c r="U1185" s="819"/>
      <c r="V1185" s="820"/>
      <c r="W1185" s="788"/>
      <c r="X1185" s="803"/>
      <c r="Y1185" s="803"/>
      <c r="Z1185" s="803"/>
      <c r="AA1185" s="711"/>
      <c r="AB1185" s="711"/>
      <c r="AC1185" s="711"/>
      <c r="AD1185" s="736"/>
      <c r="AE1185" s="736"/>
      <c r="AF1185" s="624"/>
      <c r="AG1185" s="624"/>
      <c r="AH1185" s="624"/>
      <c r="AI1185" s="624"/>
      <c r="AJ1185" s="984"/>
      <c r="AK1185" s="985"/>
      <c r="AL1185" s="986"/>
      <c r="AM1185" s="987"/>
      <c r="AN1185" s="988"/>
      <c r="AO1185" s="986"/>
      <c r="AP1185" s="989"/>
      <c r="AQ1185" s="986"/>
      <c r="AR1185" s="990"/>
      <c r="AS1185" s="624"/>
      <c r="AT1185" s="624"/>
      <c r="AU1185" s="624"/>
      <c r="AV1185" s="624"/>
      <c r="AW1185" s="624"/>
      <c r="AX1185" s="624"/>
      <c r="AY1185" s="624"/>
      <c r="AZ1185" s="624"/>
      <c r="BA1185" s="624"/>
      <c r="BB1185" s="624"/>
      <c r="BC1185" s="624"/>
      <c r="BD1185" s="624"/>
      <c r="BE1185" s="624"/>
    </row>
    <row r="1186" ht="16.5" customHeight="1">
      <c r="A1186" s="711"/>
      <c r="B1186" s="711"/>
      <c r="C1186" s="711"/>
      <c r="D1186" s="711"/>
      <c r="E1186" s="711"/>
      <c r="F1186" s="711"/>
      <c r="G1186" s="711"/>
      <c r="H1186" s="711"/>
      <c r="I1186" s="711"/>
      <c r="J1186" s="711"/>
      <c r="K1186" s="741"/>
      <c r="L1186" s="741"/>
      <c r="M1186" s="788"/>
      <c r="N1186" s="741"/>
      <c r="O1186" s="741"/>
      <c r="P1186" s="741"/>
      <c r="Q1186" s="741"/>
      <c r="R1186" s="788"/>
      <c r="S1186" s="819"/>
      <c r="T1186" s="820"/>
      <c r="U1186" s="819"/>
      <c r="V1186" s="820"/>
      <c r="W1186" s="788"/>
      <c r="X1186" s="803"/>
      <c r="Y1186" s="803"/>
      <c r="Z1186" s="803"/>
      <c r="AA1186" s="711"/>
      <c r="AB1186" s="711"/>
      <c r="AC1186" s="711"/>
      <c r="AD1186" s="736"/>
      <c r="AE1186" s="736"/>
      <c r="AF1186" s="624"/>
      <c r="AG1186" s="624"/>
      <c r="AH1186" s="624"/>
      <c r="AI1186" s="624"/>
      <c r="AJ1186" s="984"/>
      <c r="AK1186" s="985"/>
      <c r="AL1186" s="986"/>
      <c r="AM1186" s="987"/>
      <c r="AN1186" s="988"/>
      <c r="AO1186" s="986"/>
      <c r="AP1186" s="989"/>
      <c r="AQ1186" s="986"/>
      <c r="AR1186" s="990"/>
      <c r="AS1186" s="624"/>
      <c r="AT1186" s="624"/>
      <c r="AU1186" s="624"/>
      <c r="AV1186" s="624"/>
      <c r="AW1186" s="624"/>
      <c r="AX1186" s="624"/>
      <c r="AY1186" s="624"/>
      <c r="AZ1186" s="624"/>
      <c r="BA1186" s="624"/>
      <c r="BB1186" s="624"/>
      <c r="BC1186" s="624"/>
      <c r="BD1186" s="624"/>
      <c r="BE1186" s="624"/>
    </row>
    <row r="1187" ht="16.5" customHeight="1">
      <c r="A1187" s="711"/>
      <c r="B1187" s="711"/>
      <c r="C1187" s="711"/>
      <c r="D1187" s="711"/>
      <c r="E1187" s="711"/>
      <c r="F1187" s="711"/>
      <c r="G1187" s="711"/>
      <c r="H1187" s="711"/>
      <c r="I1187" s="711"/>
      <c r="J1187" s="711"/>
      <c r="K1187" s="741"/>
      <c r="L1187" s="741"/>
      <c r="M1187" s="788"/>
      <c r="N1187" s="741"/>
      <c r="O1187" s="741"/>
      <c r="P1187" s="741"/>
      <c r="Q1187" s="741"/>
      <c r="R1187" s="788"/>
      <c r="S1187" s="819"/>
      <c r="T1187" s="820"/>
      <c r="U1187" s="819"/>
      <c r="V1187" s="820"/>
      <c r="W1187" s="788"/>
      <c r="X1187" s="803"/>
      <c r="Y1187" s="803"/>
      <c r="Z1187" s="803"/>
      <c r="AA1187" s="711"/>
      <c r="AB1187" s="711"/>
      <c r="AC1187" s="711"/>
      <c r="AD1187" s="736"/>
      <c r="AE1187" s="736"/>
      <c r="AF1187" s="624"/>
      <c r="AG1187" s="624"/>
      <c r="AH1187" s="624"/>
      <c r="AI1187" s="624"/>
      <c r="AJ1187" s="984"/>
      <c r="AK1187" s="985"/>
      <c r="AL1187" s="986"/>
      <c r="AM1187" s="987"/>
      <c r="AN1187" s="988"/>
      <c r="AO1187" s="986"/>
      <c r="AP1187" s="989"/>
      <c r="AQ1187" s="986"/>
      <c r="AR1187" s="990"/>
      <c r="AS1187" s="624"/>
      <c r="AT1187" s="624"/>
      <c r="AU1187" s="624"/>
      <c r="AV1187" s="624"/>
      <c r="AW1187" s="624"/>
      <c r="AX1187" s="624"/>
      <c r="AY1187" s="624"/>
      <c r="AZ1187" s="624"/>
      <c r="BA1187" s="624"/>
      <c r="BB1187" s="624"/>
      <c r="BC1187" s="624"/>
      <c r="BD1187" s="624"/>
      <c r="BE1187" s="624"/>
    </row>
    <row r="1188" ht="16.5" customHeight="1">
      <c r="A1188" s="711"/>
      <c r="B1188" s="711"/>
      <c r="C1188" s="711"/>
      <c r="D1188" s="711"/>
      <c r="E1188" s="711"/>
      <c r="F1188" s="711"/>
      <c r="G1188" s="711"/>
      <c r="H1188" s="711"/>
      <c r="I1188" s="711"/>
      <c r="J1188" s="711"/>
      <c r="K1188" s="741"/>
      <c r="L1188" s="741"/>
      <c r="M1188" s="788"/>
      <c r="N1188" s="741"/>
      <c r="O1188" s="741"/>
      <c r="P1188" s="741"/>
      <c r="Q1188" s="741"/>
      <c r="R1188" s="788"/>
      <c r="S1188" s="819"/>
      <c r="T1188" s="820"/>
      <c r="U1188" s="819"/>
      <c r="V1188" s="820"/>
      <c r="W1188" s="788"/>
      <c r="X1188" s="803"/>
      <c r="Y1188" s="803"/>
      <c r="Z1188" s="803"/>
      <c r="AA1188" s="711"/>
      <c r="AB1188" s="711"/>
      <c r="AC1188" s="711"/>
      <c r="AD1188" s="736"/>
      <c r="AE1188" s="736"/>
      <c r="AF1188" s="624"/>
      <c r="AG1188" s="624"/>
      <c r="AH1188" s="624"/>
      <c r="AI1188" s="624"/>
      <c r="AJ1188" s="984"/>
      <c r="AK1188" s="985"/>
      <c r="AL1188" s="986"/>
      <c r="AM1188" s="987"/>
      <c r="AN1188" s="988"/>
      <c r="AO1188" s="986"/>
      <c r="AP1188" s="989"/>
      <c r="AQ1188" s="986"/>
      <c r="AR1188" s="990"/>
      <c r="AS1188" s="624"/>
      <c r="AT1188" s="624"/>
      <c r="AU1188" s="624"/>
      <c r="AV1188" s="624"/>
      <c r="AW1188" s="624"/>
      <c r="AX1188" s="624"/>
      <c r="AY1188" s="624"/>
      <c r="AZ1188" s="624"/>
      <c r="BA1188" s="624"/>
      <c r="BB1188" s="624"/>
      <c r="BC1188" s="624"/>
      <c r="BD1188" s="624"/>
      <c r="BE1188" s="624"/>
    </row>
    <row r="1189" ht="16.5" customHeight="1">
      <c r="A1189" s="711"/>
      <c r="B1189" s="711"/>
      <c r="C1189" s="711"/>
      <c r="D1189" s="711"/>
      <c r="E1189" s="711"/>
      <c r="F1189" s="711"/>
      <c r="G1189" s="711"/>
      <c r="H1189" s="711"/>
      <c r="I1189" s="711"/>
      <c r="J1189" s="711"/>
      <c r="K1189" s="741"/>
      <c r="L1189" s="741"/>
      <c r="M1189" s="788"/>
      <c r="N1189" s="741"/>
      <c r="O1189" s="741"/>
      <c r="P1189" s="741"/>
      <c r="Q1189" s="741"/>
      <c r="R1189" s="788"/>
      <c r="S1189" s="819"/>
      <c r="T1189" s="820"/>
      <c r="U1189" s="819"/>
      <c r="V1189" s="820"/>
      <c r="W1189" s="788"/>
      <c r="X1189" s="803"/>
      <c r="Y1189" s="803"/>
      <c r="Z1189" s="803"/>
      <c r="AA1189" s="711"/>
      <c r="AB1189" s="711"/>
      <c r="AC1189" s="711"/>
      <c r="AD1189" s="736"/>
      <c r="AE1189" s="736"/>
      <c r="AF1189" s="624"/>
      <c r="AG1189" s="624"/>
      <c r="AH1189" s="624"/>
      <c r="AI1189" s="624"/>
      <c r="AJ1189" s="984"/>
      <c r="AK1189" s="985"/>
      <c r="AL1189" s="986"/>
      <c r="AM1189" s="987"/>
      <c r="AN1189" s="988"/>
      <c r="AO1189" s="986"/>
      <c r="AP1189" s="989"/>
      <c r="AQ1189" s="986"/>
      <c r="AR1189" s="990"/>
      <c r="AS1189" s="624"/>
      <c r="AT1189" s="624"/>
      <c r="AU1189" s="624"/>
      <c r="AV1189" s="624"/>
      <c r="AW1189" s="624"/>
      <c r="AX1189" s="624"/>
      <c r="AY1189" s="624"/>
      <c r="AZ1189" s="624"/>
      <c r="BA1189" s="624"/>
      <c r="BB1189" s="624"/>
      <c r="BC1189" s="624"/>
      <c r="BD1189" s="624"/>
      <c r="BE1189" s="624"/>
    </row>
    <row r="1190" ht="16.5" customHeight="1">
      <c r="A1190" s="711"/>
      <c r="B1190" s="711"/>
      <c r="C1190" s="711"/>
      <c r="D1190" s="711"/>
      <c r="E1190" s="711"/>
      <c r="F1190" s="711"/>
      <c r="G1190" s="711"/>
      <c r="H1190" s="711"/>
      <c r="I1190" s="711"/>
      <c r="J1190" s="711"/>
      <c r="K1190" s="741"/>
      <c r="L1190" s="741"/>
      <c r="M1190" s="788"/>
      <c r="N1190" s="741"/>
      <c r="O1190" s="741"/>
      <c r="P1190" s="741"/>
      <c r="Q1190" s="741"/>
      <c r="R1190" s="788"/>
      <c r="S1190" s="819"/>
      <c r="T1190" s="820"/>
      <c r="U1190" s="819"/>
      <c r="V1190" s="820"/>
      <c r="W1190" s="788"/>
      <c r="X1190" s="803"/>
      <c r="Y1190" s="803"/>
      <c r="Z1190" s="803"/>
      <c r="AA1190" s="711"/>
      <c r="AB1190" s="711"/>
      <c r="AC1190" s="711"/>
      <c r="AD1190" s="736"/>
      <c r="AE1190" s="736"/>
      <c r="AF1190" s="624"/>
      <c r="AG1190" s="624"/>
      <c r="AH1190" s="624"/>
      <c r="AI1190" s="624"/>
      <c r="AJ1190" s="984"/>
      <c r="AK1190" s="985"/>
      <c r="AL1190" s="986"/>
      <c r="AM1190" s="987"/>
      <c r="AN1190" s="988"/>
      <c r="AO1190" s="986"/>
      <c r="AP1190" s="989"/>
      <c r="AQ1190" s="986"/>
      <c r="AR1190" s="990"/>
      <c r="AS1190" s="624"/>
      <c r="AT1190" s="624"/>
      <c r="AU1190" s="624"/>
      <c r="AV1190" s="624"/>
      <c r="AW1190" s="624"/>
      <c r="AX1190" s="624"/>
      <c r="AY1190" s="624"/>
      <c r="AZ1190" s="624"/>
      <c r="BA1190" s="624"/>
      <c r="BB1190" s="624"/>
      <c r="BC1190" s="624"/>
      <c r="BD1190" s="624"/>
      <c r="BE1190" s="624"/>
    </row>
    <row r="1191" ht="16.5" customHeight="1">
      <c r="A1191" s="711"/>
      <c r="B1191" s="711"/>
      <c r="C1191" s="711"/>
      <c r="D1191" s="711"/>
      <c r="E1191" s="711"/>
      <c r="F1191" s="711"/>
      <c r="G1191" s="711"/>
      <c r="H1191" s="711"/>
      <c r="I1191" s="711"/>
      <c r="J1191" s="711"/>
      <c r="K1191" s="741"/>
      <c r="L1191" s="741"/>
      <c r="M1191" s="788"/>
      <c r="N1191" s="741"/>
      <c r="O1191" s="741"/>
      <c r="P1191" s="741"/>
      <c r="Q1191" s="741"/>
      <c r="R1191" s="788"/>
      <c r="S1191" s="819"/>
      <c r="T1191" s="820"/>
      <c r="U1191" s="819"/>
      <c r="V1191" s="820"/>
      <c r="W1191" s="788"/>
      <c r="X1191" s="803"/>
      <c r="Y1191" s="803"/>
      <c r="Z1191" s="803"/>
      <c r="AA1191" s="711"/>
      <c r="AB1191" s="711"/>
      <c r="AC1191" s="711"/>
      <c r="AD1191" s="736"/>
      <c r="AE1191" s="736"/>
      <c r="AF1191" s="624"/>
      <c r="AG1191" s="624"/>
      <c r="AH1191" s="624"/>
      <c r="AI1191" s="624"/>
      <c r="AJ1191" s="984"/>
      <c r="AK1191" s="985"/>
      <c r="AL1191" s="986"/>
      <c r="AM1191" s="987"/>
      <c r="AN1191" s="988"/>
      <c r="AO1191" s="986"/>
      <c r="AP1191" s="989"/>
      <c r="AQ1191" s="986"/>
      <c r="AR1191" s="990"/>
      <c r="AS1191" s="624"/>
      <c r="AT1191" s="624"/>
      <c r="AU1191" s="624"/>
      <c r="AV1191" s="624"/>
      <c r="AW1191" s="624"/>
      <c r="AX1191" s="624"/>
      <c r="AY1191" s="624"/>
      <c r="AZ1191" s="624"/>
      <c r="BA1191" s="624"/>
      <c r="BB1191" s="624"/>
      <c r="BC1191" s="624"/>
      <c r="BD1191" s="624"/>
      <c r="BE1191" s="624"/>
    </row>
    <row r="1192" ht="16.5" customHeight="1">
      <c r="A1192" s="711"/>
      <c r="B1192" s="711"/>
      <c r="C1192" s="711"/>
      <c r="D1192" s="711"/>
      <c r="E1192" s="711"/>
      <c r="F1192" s="711"/>
      <c r="G1192" s="711"/>
      <c r="H1192" s="711"/>
      <c r="I1192" s="711"/>
      <c r="J1192" s="711"/>
      <c r="K1192" s="741"/>
      <c r="L1192" s="741"/>
      <c r="M1192" s="788"/>
      <c r="N1192" s="741"/>
      <c r="O1192" s="741"/>
      <c r="P1192" s="741"/>
      <c r="Q1192" s="741"/>
      <c r="R1192" s="788"/>
      <c r="S1192" s="819"/>
      <c r="T1192" s="820"/>
      <c r="U1192" s="819"/>
      <c r="V1192" s="820"/>
      <c r="W1192" s="788"/>
      <c r="X1192" s="803"/>
      <c r="Y1192" s="803"/>
      <c r="Z1192" s="803"/>
      <c r="AA1192" s="711"/>
      <c r="AB1192" s="711"/>
      <c r="AC1192" s="711"/>
      <c r="AD1192" s="736"/>
      <c r="AE1192" s="736"/>
      <c r="AF1192" s="624"/>
      <c r="AG1192" s="624"/>
      <c r="AH1192" s="624"/>
      <c r="AI1192" s="624"/>
      <c r="AJ1192" s="984"/>
      <c r="AK1192" s="985"/>
      <c r="AL1192" s="986"/>
      <c r="AM1192" s="987"/>
      <c r="AN1192" s="988"/>
      <c r="AO1192" s="986"/>
      <c r="AP1192" s="989"/>
      <c r="AQ1192" s="986"/>
      <c r="AR1192" s="990"/>
      <c r="AS1192" s="624"/>
      <c r="AT1192" s="624"/>
      <c r="AU1192" s="624"/>
      <c r="AV1192" s="624"/>
      <c r="AW1192" s="624"/>
      <c r="AX1192" s="624"/>
      <c r="AY1192" s="624"/>
      <c r="AZ1192" s="624"/>
      <c r="BA1192" s="624"/>
      <c r="BB1192" s="624"/>
      <c r="BC1192" s="624"/>
      <c r="BD1192" s="624"/>
      <c r="BE1192" s="624"/>
    </row>
    <row r="1193" ht="16.5" customHeight="1">
      <c r="A1193" s="711"/>
      <c r="B1193" s="711"/>
      <c r="C1193" s="711"/>
      <c r="D1193" s="711"/>
      <c r="E1193" s="711"/>
      <c r="F1193" s="711"/>
      <c r="G1193" s="711"/>
      <c r="H1193" s="711"/>
      <c r="I1193" s="711"/>
      <c r="J1193" s="711"/>
      <c r="K1193" s="741"/>
      <c r="L1193" s="741"/>
      <c r="M1193" s="788"/>
      <c r="N1193" s="741"/>
      <c r="O1193" s="741"/>
      <c r="P1193" s="741"/>
      <c r="Q1193" s="741"/>
      <c r="R1193" s="788"/>
      <c r="S1193" s="819"/>
      <c r="T1193" s="820"/>
      <c r="U1193" s="819"/>
      <c r="V1193" s="820"/>
      <c r="W1193" s="788"/>
      <c r="X1193" s="803"/>
      <c r="Y1193" s="803"/>
      <c r="Z1193" s="803"/>
      <c r="AA1193" s="711"/>
      <c r="AB1193" s="711"/>
      <c r="AC1193" s="711"/>
      <c r="AD1193" s="736"/>
      <c r="AE1193" s="736"/>
      <c r="AF1193" s="624"/>
      <c r="AG1193" s="624"/>
      <c r="AH1193" s="624"/>
      <c r="AI1193" s="624"/>
      <c r="AJ1193" s="984"/>
      <c r="AK1193" s="985"/>
      <c r="AL1193" s="986"/>
      <c r="AM1193" s="987"/>
      <c r="AN1193" s="988"/>
      <c r="AO1193" s="986"/>
      <c r="AP1193" s="989"/>
      <c r="AQ1193" s="986"/>
      <c r="AR1193" s="990"/>
      <c r="AS1193" s="624"/>
      <c r="AT1193" s="624"/>
      <c r="AU1193" s="624"/>
      <c r="AV1193" s="624"/>
      <c r="AW1193" s="624"/>
      <c r="AX1193" s="624"/>
      <c r="AY1193" s="624"/>
      <c r="AZ1193" s="624"/>
      <c r="BA1193" s="624"/>
      <c r="BB1193" s="624"/>
      <c r="BC1193" s="624"/>
      <c r="BD1193" s="624"/>
      <c r="BE1193" s="624"/>
    </row>
    <row r="1194" ht="16.5" customHeight="1">
      <c r="A1194" s="711"/>
      <c r="B1194" s="711"/>
      <c r="C1194" s="711"/>
      <c r="D1194" s="711"/>
      <c r="E1194" s="711"/>
      <c r="F1194" s="711"/>
      <c r="G1194" s="711"/>
      <c r="H1194" s="711"/>
      <c r="I1194" s="711"/>
      <c r="J1194" s="711"/>
      <c r="K1194" s="741"/>
      <c r="L1194" s="741"/>
      <c r="M1194" s="788"/>
      <c r="N1194" s="741"/>
      <c r="O1194" s="741"/>
      <c r="P1194" s="741"/>
      <c r="Q1194" s="741"/>
      <c r="R1194" s="788"/>
      <c r="S1194" s="819"/>
      <c r="T1194" s="820"/>
      <c r="U1194" s="819"/>
      <c r="V1194" s="820"/>
      <c r="W1194" s="788"/>
      <c r="X1194" s="803"/>
      <c r="Y1194" s="803"/>
      <c r="Z1194" s="803"/>
      <c r="AA1194" s="711"/>
      <c r="AB1194" s="711"/>
      <c r="AC1194" s="711"/>
      <c r="AD1194" s="736"/>
      <c r="AE1194" s="736"/>
      <c r="AF1194" s="624"/>
      <c r="AG1194" s="624"/>
      <c r="AH1194" s="624"/>
      <c r="AI1194" s="624"/>
      <c r="AJ1194" s="984"/>
      <c r="AK1194" s="985"/>
      <c r="AL1194" s="986"/>
      <c r="AM1194" s="987"/>
      <c r="AN1194" s="988"/>
      <c r="AO1194" s="986"/>
      <c r="AP1194" s="989"/>
      <c r="AQ1194" s="986"/>
      <c r="AR1194" s="990"/>
      <c r="AS1194" s="624"/>
      <c r="AT1194" s="624"/>
      <c r="AU1194" s="624"/>
      <c r="AV1194" s="624"/>
      <c r="AW1194" s="624"/>
      <c r="AX1194" s="624"/>
      <c r="AY1194" s="624"/>
      <c r="AZ1194" s="624"/>
      <c r="BA1194" s="624"/>
      <c r="BB1194" s="624"/>
      <c r="BC1194" s="624"/>
      <c r="BD1194" s="624"/>
      <c r="BE1194" s="624"/>
    </row>
    <row r="1195" ht="16.5" customHeight="1">
      <c r="A1195" s="711"/>
      <c r="B1195" s="711"/>
      <c r="C1195" s="711"/>
      <c r="D1195" s="711"/>
      <c r="E1195" s="711"/>
      <c r="F1195" s="711"/>
      <c r="G1195" s="711"/>
      <c r="H1195" s="711"/>
      <c r="I1195" s="711"/>
      <c r="J1195" s="711"/>
      <c r="K1195" s="741"/>
      <c r="L1195" s="741"/>
      <c r="M1195" s="788"/>
      <c r="N1195" s="741"/>
      <c r="O1195" s="741"/>
      <c r="P1195" s="741"/>
      <c r="Q1195" s="741"/>
      <c r="R1195" s="788"/>
      <c r="S1195" s="819"/>
      <c r="T1195" s="820"/>
      <c r="U1195" s="819"/>
      <c r="V1195" s="820"/>
      <c r="W1195" s="788"/>
      <c r="X1195" s="803"/>
      <c r="Y1195" s="803"/>
      <c r="Z1195" s="803"/>
      <c r="AA1195" s="711"/>
      <c r="AB1195" s="711"/>
      <c r="AC1195" s="711"/>
      <c r="AD1195" s="736"/>
      <c r="AE1195" s="736"/>
      <c r="AF1195" s="624"/>
      <c r="AG1195" s="624"/>
      <c r="AH1195" s="624"/>
      <c r="AI1195" s="624"/>
      <c r="AJ1195" s="984"/>
      <c r="AK1195" s="985"/>
      <c r="AL1195" s="986"/>
      <c r="AM1195" s="987"/>
      <c r="AN1195" s="988"/>
      <c r="AO1195" s="986"/>
      <c r="AP1195" s="989"/>
      <c r="AQ1195" s="986"/>
      <c r="AR1195" s="990"/>
      <c r="AS1195" s="624"/>
      <c r="AT1195" s="624"/>
      <c r="AU1195" s="624"/>
      <c r="AV1195" s="624"/>
      <c r="AW1195" s="624"/>
      <c r="AX1195" s="624"/>
      <c r="AY1195" s="624"/>
      <c r="AZ1195" s="624"/>
      <c r="BA1195" s="624"/>
      <c r="BB1195" s="624"/>
      <c r="BC1195" s="624"/>
      <c r="BD1195" s="624"/>
      <c r="BE1195" s="624"/>
    </row>
    <row r="1196" ht="16.5" customHeight="1">
      <c r="A1196" s="711"/>
      <c r="B1196" s="711"/>
      <c r="C1196" s="711"/>
      <c r="D1196" s="711"/>
      <c r="E1196" s="711"/>
      <c r="F1196" s="711"/>
      <c r="G1196" s="711"/>
      <c r="H1196" s="711"/>
      <c r="I1196" s="711"/>
      <c r="J1196" s="711"/>
      <c r="K1196" s="741"/>
      <c r="L1196" s="741"/>
      <c r="M1196" s="788"/>
      <c r="N1196" s="741"/>
      <c r="O1196" s="741"/>
      <c r="P1196" s="741"/>
      <c r="Q1196" s="741"/>
      <c r="R1196" s="788"/>
      <c r="S1196" s="819"/>
      <c r="T1196" s="820"/>
      <c r="U1196" s="819"/>
      <c r="V1196" s="820"/>
      <c r="W1196" s="788"/>
      <c r="X1196" s="803"/>
      <c r="Y1196" s="803"/>
      <c r="Z1196" s="803"/>
      <c r="AA1196" s="711"/>
      <c r="AB1196" s="711"/>
      <c r="AC1196" s="711"/>
      <c r="AD1196" s="736"/>
      <c r="AE1196" s="736"/>
      <c r="AF1196" s="624"/>
      <c r="AG1196" s="624"/>
      <c r="AH1196" s="624"/>
      <c r="AI1196" s="624"/>
      <c r="AJ1196" s="984"/>
      <c r="AK1196" s="985"/>
      <c r="AL1196" s="986"/>
      <c r="AM1196" s="987"/>
      <c r="AN1196" s="988"/>
      <c r="AO1196" s="986"/>
      <c r="AP1196" s="989"/>
      <c r="AQ1196" s="986"/>
      <c r="AR1196" s="990"/>
      <c r="AS1196" s="624"/>
      <c r="AT1196" s="624"/>
      <c r="AU1196" s="624"/>
      <c r="AV1196" s="624"/>
      <c r="AW1196" s="624"/>
      <c r="AX1196" s="624"/>
      <c r="AY1196" s="624"/>
      <c r="AZ1196" s="624"/>
      <c r="BA1196" s="624"/>
      <c r="BB1196" s="624"/>
      <c r="BC1196" s="624"/>
      <c r="BD1196" s="624"/>
      <c r="BE1196" s="624"/>
    </row>
    <row r="1197" ht="16.5" customHeight="1">
      <c r="A1197" s="711"/>
      <c r="B1197" s="711"/>
      <c r="C1197" s="711"/>
      <c r="D1197" s="711"/>
      <c r="E1197" s="711"/>
      <c r="F1197" s="711"/>
      <c r="G1197" s="711"/>
      <c r="H1197" s="711"/>
      <c r="I1197" s="711"/>
      <c r="J1197" s="711"/>
      <c r="K1197" s="741"/>
      <c r="L1197" s="741"/>
      <c r="M1197" s="788"/>
      <c r="N1197" s="741"/>
      <c r="O1197" s="741"/>
      <c r="P1197" s="741"/>
      <c r="Q1197" s="741"/>
      <c r="R1197" s="788"/>
      <c r="S1197" s="819"/>
      <c r="T1197" s="820"/>
      <c r="U1197" s="819"/>
      <c r="V1197" s="820"/>
      <c r="W1197" s="788"/>
      <c r="X1197" s="803"/>
      <c r="Y1197" s="803"/>
      <c r="Z1197" s="803"/>
      <c r="AA1197" s="711"/>
      <c r="AB1197" s="711"/>
      <c r="AC1197" s="711"/>
      <c r="AD1197" s="736"/>
      <c r="AE1197" s="736"/>
      <c r="AF1197" s="624"/>
      <c r="AG1197" s="624"/>
      <c r="AH1197" s="624"/>
      <c r="AI1197" s="624"/>
      <c r="AJ1197" s="984"/>
      <c r="AK1197" s="985"/>
      <c r="AL1197" s="986"/>
      <c r="AM1197" s="987"/>
      <c r="AN1197" s="988"/>
      <c r="AO1197" s="986"/>
      <c r="AP1197" s="989"/>
      <c r="AQ1197" s="986"/>
      <c r="AR1197" s="990"/>
      <c r="AS1197" s="624"/>
      <c r="AT1197" s="624"/>
      <c r="AU1197" s="624"/>
      <c r="AV1197" s="624"/>
      <c r="AW1197" s="624"/>
      <c r="AX1197" s="624"/>
      <c r="AY1197" s="624"/>
      <c r="AZ1197" s="624"/>
      <c r="BA1197" s="624"/>
      <c r="BB1197" s="624"/>
      <c r="BC1197" s="624"/>
      <c r="BD1197" s="624"/>
      <c r="BE1197" s="624"/>
    </row>
    <row r="1198" ht="16.5" customHeight="1">
      <c r="A1198" s="711"/>
      <c r="B1198" s="711"/>
      <c r="C1198" s="711"/>
      <c r="D1198" s="711"/>
      <c r="E1198" s="711"/>
      <c r="F1198" s="711"/>
      <c r="G1198" s="711"/>
      <c r="H1198" s="711"/>
      <c r="I1198" s="711"/>
      <c r="J1198" s="711"/>
      <c r="K1198" s="741"/>
      <c r="L1198" s="741"/>
      <c r="M1198" s="788"/>
      <c r="N1198" s="741"/>
      <c r="O1198" s="741"/>
      <c r="P1198" s="741"/>
      <c r="Q1198" s="741"/>
      <c r="R1198" s="788"/>
      <c r="S1198" s="819"/>
      <c r="T1198" s="820"/>
      <c r="U1198" s="819"/>
      <c r="V1198" s="820"/>
      <c r="W1198" s="788"/>
      <c r="X1198" s="803"/>
      <c r="Y1198" s="803"/>
      <c r="Z1198" s="803"/>
      <c r="AA1198" s="711"/>
      <c r="AB1198" s="711"/>
      <c r="AC1198" s="711"/>
      <c r="AD1198" s="736"/>
      <c r="AE1198" s="736"/>
      <c r="AF1198" s="624"/>
      <c r="AG1198" s="624"/>
      <c r="AH1198" s="624"/>
      <c r="AI1198" s="624"/>
      <c r="AJ1198" s="984"/>
      <c r="AK1198" s="985"/>
      <c r="AL1198" s="986"/>
      <c r="AM1198" s="987"/>
      <c r="AN1198" s="988"/>
      <c r="AO1198" s="986"/>
      <c r="AP1198" s="989"/>
      <c r="AQ1198" s="986"/>
      <c r="AR1198" s="990"/>
      <c r="AS1198" s="624"/>
      <c r="AT1198" s="624"/>
      <c r="AU1198" s="624"/>
      <c r="AV1198" s="624"/>
      <c r="AW1198" s="624"/>
      <c r="AX1198" s="624"/>
      <c r="AY1198" s="624"/>
      <c r="AZ1198" s="624"/>
      <c r="BA1198" s="624"/>
      <c r="BB1198" s="624"/>
      <c r="BC1198" s="624"/>
      <c r="BD1198" s="624"/>
      <c r="BE1198" s="624"/>
    </row>
    <row r="1199" ht="16.5" customHeight="1">
      <c r="A1199" s="711"/>
      <c r="B1199" s="711"/>
      <c r="C1199" s="711"/>
      <c r="D1199" s="711"/>
      <c r="E1199" s="711"/>
      <c r="F1199" s="711"/>
      <c r="G1199" s="711"/>
      <c r="H1199" s="711"/>
      <c r="I1199" s="711"/>
      <c r="J1199" s="711"/>
      <c r="K1199" s="741"/>
      <c r="L1199" s="741"/>
      <c r="M1199" s="788"/>
      <c r="N1199" s="741"/>
      <c r="O1199" s="741"/>
      <c r="P1199" s="741"/>
      <c r="Q1199" s="741"/>
      <c r="R1199" s="788"/>
      <c r="S1199" s="819"/>
      <c r="T1199" s="820"/>
      <c r="U1199" s="819"/>
      <c r="V1199" s="820"/>
      <c r="W1199" s="788"/>
      <c r="X1199" s="803"/>
      <c r="Y1199" s="803"/>
      <c r="Z1199" s="803"/>
      <c r="AA1199" s="711"/>
      <c r="AB1199" s="711"/>
      <c r="AC1199" s="711"/>
      <c r="AD1199" s="736"/>
      <c r="AE1199" s="736"/>
      <c r="AF1199" s="624"/>
      <c r="AG1199" s="624"/>
      <c r="AH1199" s="624"/>
      <c r="AI1199" s="624"/>
      <c r="AJ1199" s="984"/>
      <c r="AK1199" s="985"/>
      <c r="AL1199" s="986"/>
      <c r="AM1199" s="987"/>
      <c r="AN1199" s="988"/>
      <c r="AO1199" s="986"/>
      <c r="AP1199" s="989"/>
      <c r="AQ1199" s="986"/>
      <c r="AR1199" s="990"/>
      <c r="AS1199" s="624"/>
      <c r="AT1199" s="624"/>
      <c r="AU1199" s="624"/>
      <c r="AV1199" s="624"/>
      <c r="AW1199" s="624"/>
      <c r="AX1199" s="624"/>
      <c r="AY1199" s="624"/>
      <c r="AZ1199" s="624"/>
      <c r="BA1199" s="624"/>
      <c r="BB1199" s="624"/>
      <c r="BC1199" s="624"/>
      <c r="BD1199" s="624"/>
      <c r="BE1199" s="624"/>
    </row>
    <row r="1200" ht="16.5" customHeight="1">
      <c r="A1200" s="711"/>
      <c r="B1200" s="711"/>
      <c r="C1200" s="711"/>
      <c r="D1200" s="711"/>
      <c r="E1200" s="711"/>
      <c r="F1200" s="711"/>
      <c r="G1200" s="711"/>
      <c r="H1200" s="711"/>
      <c r="I1200" s="711"/>
      <c r="J1200" s="711"/>
      <c r="K1200" s="741"/>
      <c r="L1200" s="741"/>
      <c r="M1200" s="788"/>
      <c r="N1200" s="741"/>
      <c r="O1200" s="741"/>
      <c r="P1200" s="741"/>
      <c r="Q1200" s="741"/>
      <c r="R1200" s="788"/>
      <c r="S1200" s="819"/>
      <c r="T1200" s="820"/>
      <c r="U1200" s="819"/>
      <c r="V1200" s="820"/>
      <c r="W1200" s="788"/>
      <c r="X1200" s="803"/>
      <c r="Y1200" s="803"/>
      <c r="Z1200" s="803"/>
      <c r="AA1200" s="711"/>
      <c r="AB1200" s="711"/>
      <c r="AC1200" s="711"/>
      <c r="AD1200" s="736"/>
      <c r="AE1200" s="736"/>
      <c r="AF1200" s="624"/>
      <c r="AG1200" s="624"/>
      <c r="AH1200" s="624"/>
      <c r="AI1200" s="624"/>
      <c r="AJ1200" s="984"/>
      <c r="AK1200" s="985"/>
      <c r="AL1200" s="986"/>
      <c r="AM1200" s="987"/>
      <c r="AN1200" s="988"/>
      <c r="AO1200" s="986"/>
      <c r="AP1200" s="989"/>
      <c r="AQ1200" s="986"/>
      <c r="AR1200" s="990"/>
      <c r="AS1200" s="624"/>
      <c r="AT1200" s="624"/>
      <c r="AU1200" s="624"/>
      <c r="AV1200" s="624"/>
      <c r="AW1200" s="624"/>
      <c r="AX1200" s="624"/>
      <c r="AY1200" s="624"/>
      <c r="AZ1200" s="624"/>
      <c r="BA1200" s="624"/>
      <c r="BB1200" s="624"/>
      <c r="BC1200" s="624"/>
      <c r="BD1200" s="624"/>
      <c r="BE1200" s="624"/>
    </row>
    <row r="1201" ht="16.5" customHeight="1">
      <c r="A1201" s="711"/>
      <c r="B1201" s="711"/>
      <c r="C1201" s="711"/>
      <c r="D1201" s="711"/>
      <c r="E1201" s="711"/>
      <c r="F1201" s="711"/>
      <c r="G1201" s="711"/>
      <c r="H1201" s="711"/>
      <c r="I1201" s="711"/>
      <c r="J1201" s="711"/>
      <c r="K1201" s="741"/>
      <c r="L1201" s="741"/>
      <c r="M1201" s="788"/>
      <c r="N1201" s="741"/>
      <c r="O1201" s="741"/>
      <c r="P1201" s="741"/>
      <c r="Q1201" s="741"/>
      <c r="R1201" s="788"/>
      <c r="S1201" s="819"/>
      <c r="T1201" s="820"/>
      <c r="U1201" s="819"/>
      <c r="V1201" s="820"/>
      <c r="W1201" s="788"/>
      <c r="X1201" s="803"/>
      <c r="Y1201" s="803"/>
      <c r="Z1201" s="803"/>
      <c r="AA1201" s="711"/>
      <c r="AB1201" s="711"/>
      <c r="AC1201" s="711"/>
      <c r="AD1201" s="736"/>
      <c r="AE1201" s="736"/>
      <c r="AF1201" s="624"/>
      <c r="AG1201" s="624"/>
      <c r="AH1201" s="624"/>
      <c r="AI1201" s="624"/>
      <c r="AJ1201" s="984"/>
      <c r="AK1201" s="985"/>
      <c r="AL1201" s="986"/>
      <c r="AM1201" s="987"/>
      <c r="AN1201" s="988"/>
      <c r="AO1201" s="986"/>
      <c r="AP1201" s="989"/>
      <c r="AQ1201" s="986"/>
      <c r="AR1201" s="990"/>
      <c r="AS1201" s="624"/>
      <c r="AT1201" s="624"/>
      <c r="AU1201" s="624"/>
      <c r="AV1201" s="624"/>
      <c r="AW1201" s="624"/>
      <c r="AX1201" s="624"/>
      <c r="AY1201" s="624"/>
      <c r="AZ1201" s="624"/>
      <c r="BA1201" s="624"/>
      <c r="BB1201" s="624"/>
      <c r="BC1201" s="624"/>
      <c r="BD1201" s="624"/>
      <c r="BE1201" s="624"/>
    </row>
    <row r="1202" ht="16.5" customHeight="1">
      <c r="A1202" s="711"/>
      <c r="B1202" s="711"/>
      <c r="C1202" s="711"/>
      <c r="D1202" s="711"/>
      <c r="E1202" s="711"/>
      <c r="F1202" s="711"/>
      <c r="G1202" s="711"/>
      <c r="H1202" s="711"/>
      <c r="I1202" s="711"/>
      <c r="J1202" s="711"/>
      <c r="K1202" s="741"/>
      <c r="L1202" s="741"/>
      <c r="M1202" s="788"/>
      <c r="N1202" s="741"/>
      <c r="O1202" s="741"/>
      <c r="P1202" s="741"/>
      <c r="Q1202" s="741"/>
      <c r="R1202" s="788"/>
      <c r="S1202" s="819"/>
      <c r="T1202" s="820"/>
      <c r="U1202" s="819"/>
      <c r="V1202" s="820"/>
      <c r="W1202" s="788"/>
      <c r="X1202" s="803"/>
      <c r="Y1202" s="803"/>
      <c r="Z1202" s="803"/>
      <c r="AA1202" s="711"/>
      <c r="AB1202" s="711"/>
      <c r="AC1202" s="711"/>
      <c r="AD1202" s="736"/>
      <c r="AE1202" s="736"/>
      <c r="AF1202" s="624"/>
      <c r="AG1202" s="624"/>
      <c r="AH1202" s="624"/>
      <c r="AI1202" s="624"/>
      <c r="AJ1202" s="984"/>
      <c r="AK1202" s="985"/>
      <c r="AL1202" s="986"/>
      <c r="AM1202" s="987"/>
      <c r="AN1202" s="988"/>
      <c r="AO1202" s="986"/>
      <c r="AP1202" s="989"/>
      <c r="AQ1202" s="986"/>
      <c r="AR1202" s="990"/>
      <c r="AS1202" s="624"/>
      <c r="AT1202" s="624"/>
      <c r="AU1202" s="624"/>
      <c r="AV1202" s="624"/>
      <c r="AW1202" s="624"/>
      <c r="AX1202" s="624"/>
      <c r="AY1202" s="624"/>
      <c r="AZ1202" s="624"/>
      <c r="BA1202" s="624"/>
      <c r="BB1202" s="624"/>
      <c r="BC1202" s="624"/>
      <c r="BD1202" s="624"/>
      <c r="BE1202" s="624"/>
    </row>
    <row r="1203" ht="16.5" customHeight="1">
      <c r="A1203" s="711"/>
      <c r="B1203" s="711"/>
      <c r="C1203" s="711"/>
      <c r="D1203" s="711"/>
      <c r="E1203" s="711"/>
      <c r="F1203" s="711"/>
      <c r="G1203" s="711"/>
      <c r="H1203" s="711"/>
      <c r="I1203" s="711"/>
      <c r="J1203" s="711"/>
      <c r="K1203" s="741"/>
      <c r="L1203" s="741"/>
      <c r="M1203" s="788"/>
      <c r="N1203" s="741"/>
      <c r="O1203" s="741"/>
      <c r="P1203" s="741"/>
      <c r="Q1203" s="741"/>
      <c r="R1203" s="788"/>
      <c r="S1203" s="819"/>
      <c r="T1203" s="820"/>
      <c r="U1203" s="819"/>
      <c r="V1203" s="820"/>
      <c r="W1203" s="788"/>
      <c r="X1203" s="803"/>
      <c r="Y1203" s="803"/>
      <c r="Z1203" s="803"/>
      <c r="AA1203" s="711"/>
      <c r="AB1203" s="711"/>
      <c r="AC1203" s="711"/>
      <c r="AD1203" s="736"/>
      <c r="AE1203" s="736"/>
      <c r="AF1203" s="624"/>
      <c r="AG1203" s="624"/>
      <c r="AH1203" s="624"/>
      <c r="AI1203" s="624"/>
      <c r="AJ1203" s="984"/>
      <c r="AK1203" s="985"/>
      <c r="AL1203" s="986"/>
      <c r="AM1203" s="987"/>
      <c r="AN1203" s="988"/>
      <c r="AO1203" s="986"/>
      <c r="AP1203" s="989"/>
      <c r="AQ1203" s="986"/>
      <c r="AR1203" s="990"/>
      <c r="AS1203" s="624"/>
      <c r="AT1203" s="624"/>
      <c r="AU1203" s="624"/>
      <c r="AV1203" s="624"/>
      <c r="AW1203" s="624"/>
      <c r="AX1203" s="624"/>
      <c r="AY1203" s="624"/>
      <c r="AZ1203" s="624"/>
      <c r="BA1203" s="624"/>
      <c r="BB1203" s="624"/>
      <c r="BC1203" s="624"/>
      <c r="BD1203" s="624"/>
      <c r="BE1203" s="624"/>
    </row>
    <row r="1204" ht="16.5" customHeight="1">
      <c r="A1204" s="711"/>
      <c r="B1204" s="711"/>
      <c r="C1204" s="711"/>
      <c r="D1204" s="711"/>
      <c r="E1204" s="711"/>
      <c r="F1204" s="711"/>
      <c r="G1204" s="711"/>
      <c r="H1204" s="711"/>
      <c r="I1204" s="711"/>
      <c r="J1204" s="711"/>
      <c r="K1204" s="741"/>
      <c r="L1204" s="741"/>
      <c r="M1204" s="788"/>
      <c r="N1204" s="741"/>
      <c r="O1204" s="741"/>
      <c r="P1204" s="741"/>
      <c r="Q1204" s="741"/>
      <c r="R1204" s="788"/>
      <c r="S1204" s="819"/>
      <c r="T1204" s="820"/>
      <c r="U1204" s="819"/>
      <c r="V1204" s="820"/>
      <c r="W1204" s="788"/>
      <c r="X1204" s="803"/>
      <c r="Y1204" s="803"/>
      <c r="Z1204" s="803"/>
      <c r="AA1204" s="711"/>
      <c r="AB1204" s="711"/>
      <c r="AC1204" s="711"/>
      <c r="AD1204" s="736"/>
      <c r="AE1204" s="736"/>
      <c r="AF1204" s="624"/>
      <c r="AG1204" s="624"/>
      <c r="AH1204" s="624"/>
      <c r="AI1204" s="624"/>
      <c r="AJ1204" s="984"/>
      <c r="AK1204" s="985"/>
      <c r="AL1204" s="986"/>
      <c r="AM1204" s="987"/>
      <c r="AN1204" s="988"/>
      <c r="AO1204" s="986"/>
      <c r="AP1204" s="989"/>
      <c r="AQ1204" s="986"/>
      <c r="AR1204" s="990"/>
      <c r="AS1204" s="624"/>
      <c r="AT1204" s="624"/>
      <c r="AU1204" s="624"/>
      <c r="AV1204" s="624"/>
      <c r="AW1204" s="624"/>
      <c r="AX1204" s="624"/>
      <c r="AY1204" s="624"/>
      <c r="AZ1204" s="624"/>
      <c r="BA1204" s="624"/>
      <c r="BB1204" s="624"/>
      <c r="BC1204" s="624"/>
      <c r="BD1204" s="624"/>
      <c r="BE1204" s="624"/>
    </row>
    <row r="1205" ht="16.5" customHeight="1">
      <c r="A1205" s="711"/>
      <c r="B1205" s="711"/>
      <c r="C1205" s="711"/>
      <c r="D1205" s="711"/>
      <c r="E1205" s="711"/>
      <c r="F1205" s="711"/>
      <c r="G1205" s="711"/>
      <c r="H1205" s="711"/>
      <c r="I1205" s="711"/>
      <c r="J1205" s="711"/>
      <c r="K1205" s="741"/>
      <c r="L1205" s="741"/>
      <c r="M1205" s="788"/>
      <c r="N1205" s="741"/>
      <c r="O1205" s="741"/>
      <c r="P1205" s="741"/>
      <c r="Q1205" s="741"/>
      <c r="R1205" s="788"/>
      <c r="S1205" s="819"/>
      <c r="T1205" s="820"/>
      <c r="U1205" s="819"/>
      <c r="V1205" s="820"/>
      <c r="W1205" s="788"/>
      <c r="X1205" s="803"/>
      <c r="Y1205" s="803"/>
      <c r="Z1205" s="803"/>
      <c r="AA1205" s="711"/>
      <c r="AB1205" s="711"/>
      <c r="AC1205" s="711"/>
      <c r="AD1205" s="736"/>
      <c r="AE1205" s="736"/>
      <c r="AF1205" s="624"/>
      <c r="AG1205" s="624"/>
      <c r="AH1205" s="624"/>
      <c r="AI1205" s="624"/>
      <c r="AJ1205" s="984"/>
      <c r="AK1205" s="985"/>
      <c r="AL1205" s="986"/>
      <c r="AM1205" s="987"/>
      <c r="AN1205" s="988"/>
      <c r="AO1205" s="986"/>
      <c r="AP1205" s="989"/>
      <c r="AQ1205" s="986"/>
      <c r="AR1205" s="990"/>
      <c r="AS1205" s="624"/>
      <c r="AT1205" s="624"/>
      <c r="AU1205" s="624"/>
      <c r="AV1205" s="624"/>
      <c r="AW1205" s="624"/>
      <c r="AX1205" s="624"/>
      <c r="AY1205" s="624"/>
      <c r="AZ1205" s="624"/>
      <c r="BA1205" s="624"/>
      <c r="BB1205" s="624"/>
      <c r="BC1205" s="624"/>
      <c r="BD1205" s="624"/>
      <c r="BE1205" s="624"/>
    </row>
    <row r="1206" ht="16.5" customHeight="1">
      <c r="A1206" s="711"/>
      <c r="B1206" s="711"/>
      <c r="C1206" s="711"/>
      <c r="D1206" s="711"/>
      <c r="E1206" s="711"/>
      <c r="F1206" s="711"/>
      <c r="G1206" s="711"/>
      <c r="H1206" s="711"/>
      <c r="I1206" s="711"/>
      <c r="J1206" s="711"/>
      <c r="K1206" s="741"/>
      <c r="L1206" s="741"/>
      <c r="M1206" s="788"/>
      <c r="N1206" s="741"/>
      <c r="O1206" s="741"/>
      <c r="P1206" s="741"/>
      <c r="Q1206" s="741"/>
      <c r="R1206" s="788"/>
      <c r="S1206" s="819"/>
      <c r="T1206" s="820"/>
      <c r="U1206" s="819"/>
      <c r="V1206" s="820"/>
      <c r="W1206" s="788"/>
      <c r="X1206" s="803"/>
      <c r="Y1206" s="803"/>
      <c r="Z1206" s="803"/>
      <c r="AA1206" s="711"/>
      <c r="AB1206" s="711"/>
      <c r="AC1206" s="711"/>
      <c r="AD1206" s="736"/>
      <c r="AE1206" s="736"/>
      <c r="AF1206" s="624"/>
      <c r="AG1206" s="624"/>
      <c r="AH1206" s="624"/>
      <c r="AI1206" s="624"/>
      <c r="AJ1206" s="984"/>
      <c r="AK1206" s="985"/>
      <c r="AL1206" s="986"/>
      <c r="AM1206" s="987"/>
      <c r="AN1206" s="988"/>
      <c r="AO1206" s="986"/>
      <c r="AP1206" s="989"/>
      <c r="AQ1206" s="986"/>
      <c r="AR1206" s="990"/>
      <c r="AS1206" s="624"/>
      <c r="AT1206" s="624"/>
      <c r="AU1206" s="624"/>
      <c r="AV1206" s="624"/>
      <c r="AW1206" s="624"/>
      <c r="AX1206" s="624"/>
      <c r="AY1206" s="624"/>
      <c r="AZ1206" s="624"/>
      <c r="BA1206" s="624"/>
      <c r="BB1206" s="624"/>
      <c r="BC1206" s="624"/>
      <c r="BD1206" s="624"/>
      <c r="BE1206" s="624"/>
    </row>
    <row r="1207" ht="16.5" customHeight="1">
      <c r="A1207" s="711"/>
      <c r="B1207" s="711"/>
      <c r="C1207" s="711"/>
      <c r="D1207" s="711"/>
      <c r="E1207" s="711"/>
      <c r="F1207" s="711"/>
      <c r="G1207" s="711"/>
      <c r="H1207" s="711"/>
      <c r="I1207" s="711"/>
      <c r="J1207" s="711"/>
      <c r="K1207" s="741"/>
      <c r="L1207" s="741"/>
      <c r="M1207" s="788"/>
      <c r="N1207" s="741"/>
      <c r="O1207" s="741"/>
      <c r="P1207" s="741"/>
      <c r="Q1207" s="741"/>
      <c r="R1207" s="788"/>
      <c r="S1207" s="819"/>
      <c r="T1207" s="820"/>
      <c r="U1207" s="819"/>
      <c r="V1207" s="820"/>
      <c r="W1207" s="788"/>
      <c r="X1207" s="803"/>
      <c r="Y1207" s="803"/>
      <c r="Z1207" s="803"/>
      <c r="AA1207" s="711"/>
      <c r="AB1207" s="711"/>
      <c r="AC1207" s="711"/>
      <c r="AD1207" s="736"/>
      <c r="AE1207" s="736"/>
      <c r="AF1207" s="624"/>
      <c r="AG1207" s="624"/>
      <c r="AH1207" s="624"/>
      <c r="AI1207" s="624"/>
      <c r="AJ1207" s="984"/>
      <c r="AK1207" s="985"/>
      <c r="AL1207" s="986"/>
      <c r="AM1207" s="987"/>
      <c r="AN1207" s="988"/>
      <c r="AO1207" s="986"/>
      <c r="AP1207" s="989"/>
      <c r="AQ1207" s="986"/>
      <c r="AR1207" s="990"/>
      <c r="AS1207" s="624"/>
      <c r="AT1207" s="624"/>
      <c r="AU1207" s="624"/>
      <c r="AV1207" s="624"/>
      <c r="AW1207" s="624"/>
      <c r="AX1207" s="624"/>
      <c r="AY1207" s="624"/>
      <c r="AZ1207" s="624"/>
      <c r="BA1207" s="624"/>
      <c r="BB1207" s="624"/>
      <c r="BC1207" s="624"/>
      <c r="BD1207" s="624"/>
      <c r="BE1207" s="624"/>
    </row>
    <row r="1208" ht="16.5" customHeight="1">
      <c r="A1208" s="711"/>
      <c r="B1208" s="711"/>
      <c r="C1208" s="711"/>
      <c r="D1208" s="711"/>
      <c r="E1208" s="711"/>
      <c r="F1208" s="711"/>
      <c r="G1208" s="711"/>
      <c r="H1208" s="711"/>
      <c r="I1208" s="711"/>
      <c r="J1208" s="711"/>
      <c r="K1208" s="741"/>
      <c r="L1208" s="741"/>
      <c r="M1208" s="788"/>
      <c r="N1208" s="741"/>
      <c r="O1208" s="741"/>
      <c r="P1208" s="741"/>
      <c r="Q1208" s="741"/>
      <c r="R1208" s="788"/>
      <c r="S1208" s="819"/>
      <c r="T1208" s="820"/>
      <c r="U1208" s="819"/>
      <c r="V1208" s="820"/>
      <c r="W1208" s="788"/>
      <c r="X1208" s="803"/>
      <c r="Y1208" s="803"/>
      <c r="Z1208" s="803"/>
      <c r="AA1208" s="711"/>
      <c r="AB1208" s="711"/>
      <c r="AC1208" s="711"/>
      <c r="AD1208" s="736"/>
      <c r="AE1208" s="736"/>
      <c r="AF1208" s="624"/>
      <c r="AG1208" s="624"/>
      <c r="AH1208" s="624"/>
      <c r="AI1208" s="624"/>
      <c r="AJ1208" s="984"/>
      <c r="AK1208" s="985"/>
      <c r="AL1208" s="986"/>
      <c r="AM1208" s="987"/>
      <c r="AN1208" s="988"/>
      <c r="AO1208" s="986"/>
      <c r="AP1208" s="989"/>
      <c r="AQ1208" s="986"/>
      <c r="AR1208" s="990"/>
      <c r="AS1208" s="624"/>
      <c r="AT1208" s="624"/>
      <c r="AU1208" s="624"/>
      <c r="AV1208" s="624"/>
      <c r="AW1208" s="624"/>
      <c r="AX1208" s="624"/>
      <c r="AY1208" s="624"/>
      <c r="AZ1208" s="624"/>
      <c r="BA1208" s="624"/>
      <c r="BB1208" s="624"/>
      <c r="BC1208" s="624"/>
      <c r="BD1208" s="624"/>
      <c r="BE1208" s="624"/>
    </row>
    <row r="1209" ht="16.5" customHeight="1">
      <c r="A1209" s="711"/>
      <c r="B1209" s="711"/>
      <c r="C1209" s="711"/>
      <c r="D1209" s="711"/>
      <c r="E1209" s="711"/>
      <c r="F1209" s="711"/>
      <c r="G1209" s="711"/>
      <c r="H1209" s="711"/>
      <c r="I1209" s="711"/>
      <c r="J1209" s="711"/>
      <c r="K1209" s="741"/>
      <c r="L1209" s="741"/>
      <c r="M1209" s="788"/>
      <c r="N1209" s="741"/>
      <c r="O1209" s="741"/>
      <c r="P1209" s="741"/>
      <c r="Q1209" s="741"/>
      <c r="R1209" s="788"/>
      <c r="S1209" s="819"/>
      <c r="T1209" s="820"/>
      <c r="U1209" s="819"/>
      <c r="V1209" s="820"/>
      <c r="W1209" s="788"/>
      <c r="X1209" s="803"/>
      <c r="Y1209" s="803"/>
      <c r="Z1209" s="803"/>
      <c r="AA1209" s="711"/>
      <c r="AB1209" s="711"/>
      <c r="AC1209" s="711"/>
      <c r="AD1209" s="736"/>
      <c r="AE1209" s="736"/>
      <c r="AF1209" s="624"/>
      <c r="AG1209" s="624"/>
      <c r="AH1209" s="624"/>
      <c r="AI1209" s="624"/>
      <c r="AJ1209" s="984"/>
      <c r="AK1209" s="985"/>
      <c r="AL1209" s="986"/>
      <c r="AM1209" s="987"/>
      <c r="AN1209" s="988"/>
      <c r="AO1209" s="986"/>
      <c r="AP1209" s="989"/>
      <c r="AQ1209" s="986"/>
      <c r="AR1209" s="990"/>
      <c r="AS1209" s="624"/>
      <c r="AT1209" s="624"/>
      <c r="AU1209" s="624"/>
      <c r="AV1209" s="624"/>
      <c r="AW1209" s="624"/>
      <c r="AX1209" s="624"/>
      <c r="AY1209" s="624"/>
      <c r="AZ1209" s="624"/>
      <c r="BA1209" s="624"/>
      <c r="BB1209" s="624"/>
      <c r="BC1209" s="624"/>
      <c r="BD1209" s="624"/>
      <c r="BE1209" s="624"/>
    </row>
    <row r="1210" ht="16.5" customHeight="1">
      <c r="A1210" s="711"/>
      <c r="B1210" s="711"/>
      <c r="C1210" s="711"/>
      <c r="D1210" s="711"/>
      <c r="E1210" s="711"/>
      <c r="F1210" s="711"/>
      <c r="G1210" s="711"/>
      <c r="H1210" s="711"/>
      <c r="I1210" s="711"/>
      <c r="J1210" s="711"/>
      <c r="K1210" s="741"/>
      <c r="L1210" s="741"/>
      <c r="M1210" s="788"/>
      <c r="N1210" s="741"/>
      <c r="O1210" s="741"/>
      <c r="P1210" s="741"/>
      <c r="Q1210" s="741"/>
      <c r="R1210" s="788"/>
      <c r="S1210" s="819"/>
      <c r="T1210" s="820"/>
      <c r="U1210" s="819"/>
      <c r="V1210" s="820"/>
      <c r="W1210" s="788"/>
      <c r="X1210" s="803"/>
      <c r="Y1210" s="803"/>
      <c r="Z1210" s="803"/>
      <c r="AA1210" s="711"/>
      <c r="AB1210" s="711"/>
      <c r="AC1210" s="711"/>
      <c r="AD1210" s="736"/>
      <c r="AE1210" s="736"/>
      <c r="AF1210" s="624"/>
      <c r="AG1210" s="624"/>
      <c r="AH1210" s="624"/>
      <c r="AI1210" s="624"/>
      <c r="AJ1210" s="984"/>
      <c r="AK1210" s="985"/>
      <c r="AL1210" s="986"/>
      <c r="AM1210" s="987"/>
      <c r="AN1210" s="988"/>
      <c r="AO1210" s="986"/>
      <c r="AP1210" s="989"/>
      <c r="AQ1210" s="986"/>
      <c r="AR1210" s="990"/>
      <c r="AS1210" s="624"/>
      <c r="AT1210" s="624"/>
      <c r="AU1210" s="624"/>
      <c r="AV1210" s="624"/>
      <c r="AW1210" s="624"/>
      <c r="AX1210" s="624"/>
      <c r="AY1210" s="624"/>
      <c r="AZ1210" s="624"/>
      <c r="BA1210" s="624"/>
      <c r="BB1210" s="624"/>
      <c r="BC1210" s="624"/>
      <c r="BD1210" s="624"/>
      <c r="BE1210" s="624"/>
    </row>
    <row r="1211" ht="16.5" customHeight="1">
      <c r="A1211" s="711"/>
      <c r="B1211" s="711"/>
      <c r="C1211" s="711"/>
      <c r="D1211" s="711"/>
      <c r="E1211" s="711"/>
      <c r="F1211" s="711"/>
      <c r="G1211" s="711"/>
      <c r="H1211" s="711"/>
      <c r="I1211" s="711"/>
      <c r="J1211" s="711"/>
      <c r="K1211" s="741"/>
      <c r="L1211" s="741"/>
      <c r="M1211" s="788"/>
      <c r="N1211" s="741"/>
      <c r="O1211" s="741"/>
      <c r="P1211" s="741"/>
      <c r="Q1211" s="741"/>
      <c r="R1211" s="788"/>
      <c r="S1211" s="819"/>
      <c r="T1211" s="820"/>
      <c r="U1211" s="819"/>
      <c r="V1211" s="820"/>
      <c r="W1211" s="788"/>
      <c r="X1211" s="803"/>
      <c r="Y1211" s="803"/>
      <c r="Z1211" s="803"/>
      <c r="AA1211" s="711"/>
      <c r="AB1211" s="711"/>
      <c r="AC1211" s="711"/>
      <c r="AD1211" s="736"/>
      <c r="AE1211" s="736"/>
      <c r="AF1211" s="624"/>
      <c r="AG1211" s="624"/>
      <c r="AH1211" s="624"/>
      <c r="AI1211" s="624"/>
      <c r="AJ1211" s="984"/>
      <c r="AK1211" s="985"/>
      <c r="AL1211" s="986"/>
      <c r="AM1211" s="987"/>
      <c r="AN1211" s="988"/>
      <c r="AO1211" s="986"/>
      <c r="AP1211" s="989"/>
      <c r="AQ1211" s="986"/>
      <c r="AR1211" s="990"/>
      <c r="AS1211" s="624"/>
      <c r="AT1211" s="624"/>
      <c r="AU1211" s="624"/>
      <c r="AV1211" s="624"/>
      <c r="AW1211" s="624"/>
      <c r="AX1211" s="624"/>
      <c r="AY1211" s="624"/>
      <c r="AZ1211" s="624"/>
      <c r="BA1211" s="624"/>
      <c r="BB1211" s="624"/>
      <c r="BC1211" s="624"/>
      <c r="BD1211" s="624"/>
      <c r="BE1211" s="624"/>
    </row>
    <row r="1212" ht="16.5" customHeight="1">
      <c r="A1212" s="711"/>
      <c r="B1212" s="711"/>
      <c r="C1212" s="711"/>
      <c r="D1212" s="711"/>
      <c r="E1212" s="711"/>
      <c r="F1212" s="711"/>
      <c r="G1212" s="711"/>
      <c r="H1212" s="711"/>
      <c r="I1212" s="711"/>
      <c r="J1212" s="711"/>
      <c r="K1212" s="741"/>
      <c r="L1212" s="741"/>
      <c r="M1212" s="788"/>
      <c r="N1212" s="741"/>
      <c r="O1212" s="741"/>
      <c r="P1212" s="741"/>
      <c r="Q1212" s="741"/>
      <c r="R1212" s="788"/>
      <c r="S1212" s="819"/>
      <c r="T1212" s="820"/>
      <c r="U1212" s="819"/>
      <c r="V1212" s="820"/>
      <c r="W1212" s="788"/>
      <c r="X1212" s="803"/>
      <c r="Y1212" s="803"/>
      <c r="Z1212" s="803"/>
      <c r="AA1212" s="711"/>
      <c r="AB1212" s="711"/>
      <c r="AC1212" s="711"/>
      <c r="AD1212" s="736"/>
      <c r="AE1212" s="736"/>
      <c r="AF1212" s="624"/>
      <c r="AG1212" s="624"/>
      <c r="AH1212" s="624"/>
      <c r="AI1212" s="624"/>
      <c r="AJ1212" s="984"/>
      <c r="AK1212" s="985"/>
      <c r="AL1212" s="986"/>
      <c r="AM1212" s="987"/>
      <c r="AN1212" s="988"/>
      <c r="AO1212" s="986"/>
      <c r="AP1212" s="989"/>
      <c r="AQ1212" s="986"/>
      <c r="AR1212" s="990"/>
      <c r="AS1212" s="624"/>
      <c r="AT1212" s="624"/>
      <c r="AU1212" s="624"/>
      <c r="AV1212" s="624"/>
      <c r="AW1212" s="624"/>
      <c r="AX1212" s="624"/>
      <c r="AY1212" s="624"/>
      <c r="AZ1212" s="624"/>
      <c r="BA1212" s="624"/>
      <c r="BB1212" s="624"/>
      <c r="BC1212" s="624"/>
      <c r="BD1212" s="624"/>
      <c r="BE1212" s="624"/>
    </row>
    <row r="1213" ht="16.5" customHeight="1">
      <c r="A1213" s="711"/>
      <c r="B1213" s="711"/>
      <c r="C1213" s="711"/>
      <c r="D1213" s="711"/>
      <c r="E1213" s="711"/>
      <c r="F1213" s="711"/>
      <c r="G1213" s="711"/>
      <c r="H1213" s="711"/>
      <c r="I1213" s="711"/>
      <c r="J1213" s="711"/>
      <c r="K1213" s="741"/>
      <c r="L1213" s="741"/>
      <c r="M1213" s="788"/>
      <c r="N1213" s="741"/>
      <c r="O1213" s="741"/>
      <c r="P1213" s="741"/>
      <c r="Q1213" s="741"/>
      <c r="R1213" s="788"/>
      <c r="S1213" s="819"/>
      <c r="T1213" s="820"/>
      <c r="U1213" s="819"/>
      <c r="V1213" s="820"/>
      <c r="W1213" s="788"/>
      <c r="X1213" s="803"/>
      <c r="Y1213" s="803"/>
      <c r="Z1213" s="803"/>
      <c r="AA1213" s="711"/>
      <c r="AB1213" s="711"/>
      <c r="AC1213" s="711"/>
      <c r="AD1213" s="736"/>
      <c r="AE1213" s="736"/>
      <c r="AF1213" s="624"/>
      <c r="AG1213" s="624"/>
      <c r="AH1213" s="624"/>
      <c r="AI1213" s="624"/>
      <c r="AJ1213" s="984"/>
      <c r="AK1213" s="985"/>
      <c r="AL1213" s="986"/>
      <c r="AM1213" s="987"/>
      <c r="AN1213" s="988"/>
      <c r="AO1213" s="986"/>
      <c r="AP1213" s="989"/>
      <c r="AQ1213" s="986"/>
      <c r="AR1213" s="990"/>
      <c r="AS1213" s="624"/>
      <c r="AT1213" s="624"/>
      <c r="AU1213" s="624"/>
      <c r="AV1213" s="624"/>
      <c r="AW1213" s="624"/>
      <c r="AX1213" s="624"/>
      <c r="AY1213" s="624"/>
      <c r="AZ1213" s="624"/>
      <c r="BA1213" s="624"/>
      <c r="BB1213" s="624"/>
      <c r="BC1213" s="624"/>
      <c r="BD1213" s="624"/>
      <c r="BE1213" s="624"/>
    </row>
    <row r="1214" ht="16.5" customHeight="1">
      <c r="A1214" s="711"/>
      <c r="B1214" s="711"/>
      <c r="C1214" s="711"/>
      <c r="D1214" s="711"/>
      <c r="E1214" s="711"/>
      <c r="F1214" s="711"/>
      <c r="G1214" s="711"/>
      <c r="H1214" s="711"/>
      <c r="I1214" s="711"/>
      <c r="J1214" s="711"/>
      <c r="K1214" s="741"/>
      <c r="L1214" s="741"/>
      <c r="M1214" s="788"/>
      <c r="N1214" s="741"/>
      <c r="O1214" s="741"/>
      <c r="P1214" s="741"/>
      <c r="Q1214" s="741"/>
      <c r="R1214" s="788"/>
      <c r="S1214" s="819"/>
      <c r="T1214" s="820"/>
      <c r="U1214" s="819"/>
      <c r="V1214" s="820"/>
      <c r="W1214" s="788"/>
      <c r="X1214" s="803"/>
      <c r="Y1214" s="803"/>
      <c r="Z1214" s="803"/>
      <c r="AA1214" s="711"/>
      <c r="AB1214" s="711"/>
      <c r="AC1214" s="711"/>
      <c r="AD1214" s="736"/>
      <c r="AE1214" s="736"/>
      <c r="AF1214" s="624"/>
      <c r="AG1214" s="624"/>
      <c r="AH1214" s="624"/>
      <c r="AI1214" s="624"/>
      <c r="AJ1214" s="984"/>
      <c r="AK1214" s="985"/>
      <c r="AL1214" s="986"/>
      <c r="AM1214" s="987"/>
      <c r="AN1214" s="988"/>
      <c r="AO1214" s="986"/>
      <c r="AP1214" s="989"/>
      <c r="AQ1214" s="986"/>
      <c r="AR1214" s="990"/>
      <c r="AS1214" s="624"/>
      <c r="AT1214" s="624"/>
      <c r="AU1214" s="624"/>
      <c r="AV1214" s="624"/>
      <c r="AW1214" s="624"/>
      <c r="AX1214" s="624"/>
      <c r="AY1214" s="624"/>
      <c r="AZ1214" s="624"/>
      <c r="BA1214" s="624"/>
      <c r="BB1214" s="624"/>
      <c r="BC1214" s="624"/>
      <c r="BD1214" s="624"/>
      <c r="BE1214" s="624"/>
    </row>
    <row r="1215" ht="16.5" customHeight="1">
      <c r="A1215" s="711"/>
      <c r="B1215" s="711"/>
      <c r="C1215" s="711"/>
      <c r="D1215" s="711"/>
      <c r="E1215" s="711"/>
      <c r="F1215" s="711"/>
      <c r="G1215" s="711"/>
      <c r="H1215" s="711"/>
      <c r="I1215" s="711"/>
      <c r="J1215" s="711"/>
      <c r="K1215" s="741"/>
      <c r="L1215" s="741"/>
      <c r="M1215" s="788"/>
      <c r="N1215" s="741"/>
      <c r="O1215" s="741"/>
      <c r="P1215" s="741"/>
      <c r="Q1215" s="741"/>
      <c r="R1215" s="788"/>
      <c r="S1215" s="819"/>
      <c r="T1215" s="820"/>
      <c r="U1215" s="819"/>
      <c r="V1215" s="820"/>
      <c r="W1215" s="788"/>
      <c r="X1215" s="803"/>
      <c r="Y1215" s="803"/>
      <c r="Z1215" s="803"/>
      <c r="AA1215" s="711"/>
      <c r="AB1215" s="711"/>
      <c r="AC1215" s="711"/>
      <c r="AD1215" s="736"/>
      <c r="AE1215" s="736"/>
      <c r="AF1215" s="624"/>
      <c r="AG1215" s="624"/>
      <c r="AH1215" s="624"/>
      <c r="AI1215" s="624"/>
      <c r="AJ1215" s="984"/>
      <c r="AK1215" s="985"/>
      <c r="AL1215" s="986"/>
      <c r="AM1215" s="987"/>
      <c r="AN1215" s="988"/>
      <c r="AO1215" s="986"/>
      <c r="AP1215" s="989"/>
      <c r="AQ1215" s="986"/>
      <c r="AR1215" s="990"/>
      <c r="AS1215" s="624"/>
      <c r="AT1215" s="624"/>
      <c r="AU1215" s="624"/>
      <c r="AV1215" s="624"/>
      <c r="AW1215" s="624"/>
      <c r="AX1215" s="624"/>
      <c r="AY1215" s="624"/>
      <c r="AZ1215" s="624"/>
      <c r="BA1215" s="624"/>
      <c r="BB1215" s="624"/>
      <c r="BC1215" s="624"/>
      <c r="BD1215" s="624"/>
      <c r="BE1215" s="624"/>
    </row>
    <row r="1216" ht="16.5" customHeight="1">
      <c r="A1216" s="711"/>
      <c r="B1216" s="711"/>
      <c r="C1216" s="711"/>
      <c r="D1216" s="711"/>
      <c r="E1216" s="711"/>
      <c r="F1216" s="711"/>
      <c r="G1216" s="711"/>
      <c r="H1216" s="711"/>
      <c r="I1216" s="711"/>
      <c r="J1216" s="711"/>
      <c r="K1216" s="741"/>
      <c r="L1216" s="741"/>
      <c r="M1216" s="788"/>
      <c r="N1216" s="741"/>
      <c r="O1216" s="741"/>
      <c r="P1216" s="741"/>
      <c r="Q1216" s="741"/>
      <c r="R1216" s="788"/>
      <c r="S1216" s="819"/>
      <c r="T1216" s="820"/>
      <c r="U1216" s="819"/>
      <c r="V1216" s="820"/>
      <c r="W1216" s="788"/>
      <c r="X1216" s="803"/>
      <c r="Y1216" s="803"/>
      <c r="Z1216" s="803"/>
      <c r="AA1216" s="711"/>
      <c r="AB1216" s="711"/>
      <c r="AC1216" s="711"/>
      <c r="AD1216" s="736"/>
      <c r="AE1216" s="736"/>
      <c r="AF1216" s="624"/>
      <c r="AG1216" s="624"/>
      <c r="AH1216" s="624"/>
      <c r="AI1216" s="624"/>
      <c r="AJ1216" s="984"/>
      <c r="AK1216" s="985"/>
      <c r="AL1216" s="986"/>
      <c r="AM1216" s="987"/>
      <c r="AN1216" s="988"/>
      <c r="AO1216" s="986"/>
      <c r="AP1216" s="989"/>
      <c r="AQ1216" s="986"/>
      <c r="AR1216" s="990"/>
      <c r="AS1216" s="624"/>
      <c r="AT1216" s="624"/>
      <c r="AU1216" s="624"/>
      <c r="AV1216" s="624"/>
      <c r="AW1216" s="624"/>
      <c r="AX1216" s="624"/>
      <c r="AY1216" s="624"/>
      <c r="AZ1216" s="624"/>
      <c r="BA1216" s="624"/>
      <c r="BB1216" s="624"/>
      <c r="BC1216" s="624"/>
      <c r="BD1216" s="624"/>
      <c r="BE1216" s="624"/>
    </row>
    <row r="1217" ht="16.5" customHeight="1">
      <c r="A1217" s="711"/>
      <c r="B1217" s="711"/>
      <c r="C1217" s="711"/>
      <c r="D1217" s="711"/>
      <c r="E1217" s="711"/>
      <c r="F1217" s="711"/>
      <c r="G1217" s="711"/>
      <c r="H1217" s="711"/>
      <c r="I1217" s="711"/>
      <c r="J1217" s="711"/>
      <c r="K1217" s="741"/>
      <c r="L1217" s="741"/>
      <c r="M1217" s="788"/>
      <c r="N1217" s="741"/>
      <c r="O1217" s="741"/>
      <c r="P1217" s="741"/>
      <c r="Q1217" s="741"/>
      <c r="R1217" s="788"/>
      <c r="S1217" s="819"/>
      <c r="T1217" s="820"/>
      <c r="U1217" s="819"/>
      <c r="V1217" s="820"/>
      <c r="W1217" s="788"/>
      <c r="X1217" s="803"/>
      <c r="Y1217" s="803"/>
      <c r="Z1217" s="803"/>
      <c r="AA1217" s="711"/>
      <c r="AB1217" s="711"/>
      <c r="AC1217" s="711"/>
      <c r="AD1217" s="736"/>
      <c r="AE1217" s="736"/>
      <c r="AF1217" s="624"/>
      <c r="AG1217" s="624"/>
      <c r="AH1217" s="624"/>
      <c r="AI1217" s="624"/>
      <c r="AJ1217" s="984"/>
      <c r="AK1217" s="985"/>
      <c r="AL1217" s="986"/>
      <c r="AM1217" s="987"/>
      <c r="AN1217" s="988"/>
      <c r="AO1217" s="986"/>
      <c r="AP1217" s="989"/>
      <c r="AQ1217" s="986"/>
      <c r="AR1217" s="990"/>
      <c r="AS1217" s="624"/>
      <c r="AT1217" s="624"/>
      <c r="AU1217" s="624"/>
      <c r="AV1217" s="624"/>
      <c r="AW1217" s="624"/>
      <c r="AX1217" s="624"/>
      <c r="AY1217" s="624"/>
      <c r="AZ1217" s="624"/>
      <c r="BA1217" s="624"/>
      <c r="BB1217" s="624"/>
      <c r="BC1217" s="624"/>
      <c r="BD1217" s="624"/>
      <c r="BE1217" s="624"/>
    </row>
    <row r="1218" ht="16.5" customHeight="1">
      <c r="A1218" s="711"/>
      <c r="B1218" s="711"/>
      <c r="C1218" s="711"/>
      <c r="D1218" s="711"/>
      <c r="E1218" s="711"/>
      <c r="F1218" s="711"/>
      <c r="G1218" s="711"/>
      <c r="H1218" s="711"/>
      <c r="I1218" s="711"/>
      <c r="J1218" s="711"/>
      <c r="K1218" s="741"/>
      <c r="L1218" s="741"/>
      <c r="M1218" s="788"/>
      <c r="N1218" s="741"/>
      <c r="O1218" s="741"/>
      <c r="P1218" s="741"/>
      <c r="Q1218" s="741"/>
      <c r="R1218" s="788"/>
      <c r="S1218" s="819"/>
      <c r="T1218" s="820"/>
      <c r="U1218" s="819"/>
      <c r="V1218" s="820"/>
      <c r="W1218" s="788"/>
      <c r="X1218" s="803"/>
      <c r="Y1218" s="803"/>
      <c r="Z1218" s="803"/>
      <c r="AA1218" s="711"/>
      <c r="AB1218" s="711"/>
      <c r="AC1218" s="711"/>
      <c r="AD1218" s="736"/>
      <c r="AE1218" s="736"/>
      <c r="AF1218" s="624"/>
      <c r="AG1218" s="624"/>
      <c r="AH1218" s="624"/>
      <c r="AI1218" s="624"/>
      <c r="AJ1218" s="984"/>
      <c r="AK1218" s="985"/>
      <c r="AL1218" s="986"/>
      <c r="AM1218" s="987"/>
      <c r="AN1218" s="988"/>
      <c r="AO1218" s="986"/>
      <c r="AP1218" s="989"/>
      <c r="AQ1218" s="986"/>
      <c r="AR1218" s="990"/>
      <c r="AS1218" s="624"/>
      <c r="AT1218" s="624"/>
      <c r="AU1218" s="624"/>
      <c r="AV1218" s="624"/>
      <c r="AW1218" s="624"/>
      <c r="AX1218" s="624"/>
      <c r="AY1218" s="624"/>
      <c r="AZ1218" s="624"/>
      <c r="BA1218" s="624"/>
      <c r="BB1218" s="624"/>
      <c r="BC1218" s="624"/>
      <c r="BD1218" s="624"/>
      <c r="BE1218" s="624"/>
    </row>
    <row r="1219" ht="16.5" customHeight="1">
      <c r="A1219" s="711"/>
      <c r="B1219" s="711"/>
      <c r="C1219" s="711"/>
      <c r="D1219" s="711"/>
      <c r="E1219" s="711"/>
      <c r="F1219" s="711"/>
      <c r="G1219" s="711"/>
      <c r="H1219" s="711"/>
      <c r="I1219" s="711"/>
      <c r="J1219" s="711"/>
      <c r="K1219" s="741"/>
      <c r="L1219" s="741"/>
      <c r="M1219" s="788"/>
      <c r="N1219" s="741"/>
      <c r="O1219" s="741"/>
      <c r="P1219" s="741"/>
      <c r="Q1219" s="741"/>
      <c r="R1219" s="788"/>
      <c r="S1219" s="819"/>
      <c r="T1219" s="820"/>
      <c r="U1219" s="819"/>
      <c r="V1219" s="820"/>
      <c r="W1219" s="788"/>
      <c r="X1219" s="803"/>
      <c r="Y1219" s="803"/>
      <c r="Z1219" s="803"/>
      <c r="AA1219" s="711"/>
      <c r="AB1219" s="711"/>
      <c r="AC1219" s="711"/>
      <c r="AD1219" s="736"/>
      <c r="AE1219" s="736"/>
      <c r="AF1219" s="624"/>
      <c r="AG1219" s="624"/>
      <c r="AH1219" s="624"/>
      <c r="AI1219" s="624"/>
      <c r="AJ1219" s="984"/>
      <c r="AK1219" s="985"/>
      <c r="AL1219" s="986"/>
      <c r="AM1219" s="987"/>
      <c r="AN1219" s="988"/>
      <c r="AO1219" s="986"/>
      <c r="AP1219" s="989"/>
      <c r="AQ1219" s="986"/>
      <c r="AR1219" s="990"/>
      <c r="AS1219" s="624"/>
      <c r="AT1219" s="624"/>
      <c r="AU1219" s="624"/>
      <c r="AV1219" s="624"/>
      <c r="AW1219" s="624"/>
      <c r="AX1219" s="624"/>
      <c r="AY1219" s="624"/>
      <c r="AZ1219" s="624"/>
      <c r="BA1219" s="624"/>
      <c r="BB1219" s="624"/>
      <c r="BC1219" s="624"/>
      <c r="BD1219" s="624"/>
      <c r="BE1219" s="624"/>
    </row>
    <row r="1220" ht="16.5" customHeight="1">
      <c r="A1220" s="711"/>
      <c r="B1220" s="711"/>
      <c r="C1220" s="711"/>
      <c r="D1220" s="711"/>
      <c r="E1220" s="711"/>
      <c r="F1220" s="711"/>
      <c r="G1220" s="711"/>
      <c r="H1220" s="711"/>
      <c r="I1220" s="711"/>
      <c r="J1220" s="711"/>
      <c r="K1220" s="741"/>
      <c r="L1220" s="741"/>
      <c r="M1220" s="788"/>
      <c r="N1220" s="741"/>
      <c r="O1220" s="741"/>
      <c r="P1220" s="741"/>
      <c r="Q1220" s="741"/>
      <c r="R1220" s="788"/>
      <c r="S1220" s="819"/>
      <c r="T1220" s="820"/>
      <c r="U1220" s="819"/>
      <c r="V1220" s="820"/>
      <c r="W1220" s="788"/>
      <c r="X1220" s="803"/>
      <c r="Y1220" s="803"/>
      <c r="Z1220" s="803"/>
      <c r="AA1220" s="711"/>
      <c r="AB1220" s="711"/>
      <c r="AC1220" s="711"/>
      <c r="AD1220" s="736"/>
      <c r="AE1220" s="736"/>
      <c r="AF1220" s="624"/>
      <c r="AG1220" s="624"/>
      <c r="AH1220" s="624"/>
      <c r="AI1220" s="624"/>
      <c r="AJ1220" s="984"/>
      <c r="AK1220" s="985"/>
      <c r="AL1220" s="986"/>
      <c r="AM1220" s="987"/>
      <c r="AN1220" s="988"/>
      <c r="AO1220" s="986"/>
      <c r="AP1220" s="989"/>
      <c r="AQ1220" s="986"/>
      <c r="AR1220" s="990"/>
      <c r="AS1220" s="624"/>
      <c r="AT1220" s="624"/>
      <c r="AU1220" s="624"/>
      <c r="AV1220" s="624"/>
      <c r="AW1220" s="624"/>
      <c r="AX1220" s="624"/>
      <c r="AY1220" s="624"/>
      <c r="AZ1220" s="624"/>
      <c r="BA1220" s="624"/>
      <c r="BB1220" s="624"/>
      <c r="BC1220" s="624"/>
      <c r="BD1220" s="624"/>
      <c r="BE1220" s="624"/>
    </row>
    <row r="1221" ht="16.5" customHeight="1">
      <c r="A1221" s="711"/>
      <c r="B1221" s="711"/>
      <c r="C1221" s="711"/>
      <c r="D1221" s="711"/>
      <c r="E1221" s="711"/>
      <c r="F1221" s="711"/>
      <c r="G1221" s="711"/>
      <c r="H1221" s="711"/>
      <c r="I1221" s="711"/>
      <c r="J1221" s="711"/>
      <c r="K1221" s="741"/>
      <c r="L1221" s="741"/>
      <c r="M1221" s="788"/>
      <c r="N1221" s="741"/>
      <c r="O1221" s="741"/>
      <c r="P1221" s="741"/>
      <c r="Q1221" s="741"/>
      <c r="R1221" s="788"/>
      <c r="S1221" s="819"/>
      <c r="T1221" s="820"/>
      <c r="U1221" s="819"/>
      <c r="V1221" s="820"/>
      <c r="W1221" s="788"/>
      <c r="X1221" s="803"/>
      <c r="Y1221" s="803"/>
      <c r="Z1221" s="803"/>
      <c r="AA1221" s="711"/>
      <c r="AB1221" s="711"/>
      <c r="AC1221" s="711"/>
      <c r="AD1221" s="736"/>
      <c r="AE1221" s="736"/>
      <c r="AF1221" s="624"/>
      <c r="AG1221" s="624"/>
      <c r="AH1221" s="624"/>
      <c r="AI1221" s="624"/>
      <c r="AJ1221" s="984"/>
      <c r="AK1221" s="985"/>
      <c r="AL1221" s="986"/>
      <c r="AM1221" s="987"/>
      <c r="AN1221" s="988"/>
      <c r="AO1221" s="986"/>
      <c r="AP1221" s="989"/>
      <c r="AQ1221" s="986"/>
      <c r="AR1221" s="990"/>
      <c r="AS1221" s="624"/>
      <c r="AT1221" s="624"/>
      <c r="AU1221" s="624"/>
      <c r="AV1221" s="624"/>
      <c r="AW1221" s="624"/>
      <c r="AX1221" s="624"/>
      <c r="AY1221" s="624"/>
      <c r="AZ1221" s="624"/>
      <c r="BA1221" s="624"/>
      <c r="BB1221" s="624"/>
      <c r="BC1221" s="624"/>
      <c r="BD1221" s="624"/>
      <c r="BE1221" s="624"/>
    </row>
    <row r="1222" ht="16.5" customHeight="1">
      <c r="A1222" s="711"/>
      <c r="B1222" s="711"/>
      <c r="C1222" s="711"/>
      <c r="D1222" s="711"/>
      <c r="E1222" s="711"/>
      <c r="F1222" s="711"/>
      <c r="G1222" s="711"/>
      <c r="H1222" s="711"/>
      <c r="I1222" s="711"/>
      <c r="J1222" s="711"/>
      <c r="K1222" s="741"/>
      <c r="L1222" s="741"/>
      <c r="M1222" s="788"/>
      <c r="N1222" s="741"/>
      <c r="O1222" s="741"/>
      <c r="P1222" s="741"/>
      <c r="Q1222" s="741"/>
      <c r="R1222" s="788"/>
      <c r="S1222" s="819"/>
      <c r="T1222" s="820"/>
      <c r="U1222" s="819"/>
      <c r="V1222" s="820"/>
      <c r="W1222" s="788"/>
      <c r="X1222" s="803"/>
      <c r="Y1222" s="803"/>
      <c r="Z1222" s="803"/>
      <c r="AA1222" s="711"/>
      <c r="AB1222" s="711"/>
      <c r="AC1222" s="711"/>
      <c r="AD1222" s="736"/>
      <c r="AE1222" s="736"/>
      <c r="AF1222" s="624"/>
      <c r="AG1222" s="624"/>
      <c r="AH1222" s="624"/>
      <c r="AI1222" s="624"/>
      <c r="AJ1222" s="984"/>
      <c r="AK1222" s="985"/>
      <c r="AL1222" s="986"/>
      <c r="AM1222" s="987"/>
      <c r="AN1222" s="988"/>
      <c r="AO1222" s="986"/>
      <c r="AP1222" s="989"/>
      <c r="AQ1222" s="986"/>
      <c r="AR1222" s="990"/>
      <c r="AS1222" s="624"/>
      <c r="AT1222" s="624"/>
      <c r="AU1222" s="624"/>
      <c r="AV1222" s="624"/>
      <c r="AW1222" s="624"/>
      <c r="AX1222" s="624"/>
      <c r="AY1222" s="624"/>
      <c r="AZ1222" s="624"/>
      <c r="BA1222" s="624"/>
      <c r="BB1222" s="624"/>
      <c r="BC1222" s="624"/>
      <c r="BD1222" s="624"/>
      <c r="BE1222" s="624"/>
    </row>
    <row r="1223" ht="16.5" customHeight="1">
      <c r="A1223" s="711"/>
      <c r="B1223" s="711"/>
      <c r="C1223" s="711"/>
      <c r="D1223" s="711"/>
      <c r="E1223" s="711"/>
      <c r="F1223" s="711"/>
      <c r="G1223" s="711"/>
      <c r="H1223" s="711"/>
      <c r="I1223" s="711"/>
      <c r="J1223" s="711"/>
      <c r="K1223" s="741"/>
      <c r="L1223" s="741"/>
      <c r="M1223" s="788"/>
      <c r="N1223" s="741"/>
      <c r="O1223" s="741"/>
      <c r="P1223" s="741"/>
      <c r="Q1223" s="741"/>
      <c r="R1223" s="788"/>
      <c r="S1223" s="819"/>
      <c r="T1223" s="820"/>
      <c r="U1223" s="819"/>
      <c r="V1223" s="820"/>
      <c r="W1223" s="788"/>
      <c r="X1223" s="803"/>
      <c r="Y1223" s="803"/>
      <c r="Z1223" s="803"/>
      <c r="AA1223" s="711"/>
      <c r="AB1223" s="711"/>
      <c r="AC1223" s="711"/>
      <c r="AD1223" s="736"/>
      <c r="AE1223" s="736"/>
      <c r="AF1223" s="624"/>
      <c r="AG1223" s="624"/>
      <c r="AH1223" s="624"/>
      <c r="AI1223" s="624"/>
      <c r="AJ1223" s="984"/>
      <c r="AK1223" s="985"/>
      <c r="AL1223" s="986"/>
      <c r="AM1223" s="987"/>
      <c r="AN1223" s="988"/>
      <c r="AO1223" s="986"/>
      <c r="AP1223" s="989"/>
      <c r="AQ1223" s="986"/>
      <c r="AR1223" s="990"/>
      <c r="AS1223" s="624"/>
      <c r="AT1223" s="624"/>
      <c r="AU1223" s="624"/>
      <c r="AV1223" s="624"/>
      <c r="AW1223" s="624"/>
      <c r="AX1223" s="624"/>
      <c r="AY1223" s="624"/>
      <c r="AZ1223" s="624"/>
      <c r="BA1223" s="624"/>
      <c r="BB1223" s="624"/>
      <c r="BC1223" s="624"/>
      <c r="BD1223" s="624"/>
      <c r="BE1223" s="624"/>
    </row>
    <row r="1224" ht="16.5" customHeight="1">
      <c r="A1224" s="711"/>
      <c r="B1224" s="711"/>
      <c r="C1224" s="711"/>
      <c r="D1224" s="711"/>
      <c r="E1224" s="711"/>
      <c r="F1224" s="711"/>
      <c r="G1224" s="711"/>
      <c r="H1224" s="711"/>
      <c r="I1224" s="711"/>
      <c r="J1224" s="711"/>
      <c r="K1224" s="741"/>
      <c r="L1224" s="741"/>
      <c r="M1224" s="788"/>
      <c r="N1224" s="741"/>
      <c r="O1224" s="741"/>
      <c r="P1224" s="741"/>
      <c r="Q1224" s="741"/>
      <c r="R1224" s="788"/>
      <c r="S1224" s="819"/>
      <c r="T1224" s="820"/>
      <c r="U1224" s="819"/>
      <c r="V1224" s="820"/>
      <c r="W1224" s="788"/>
      <c r="X1224" s="803"/>
      <c r="Y1224" s="803"/>
      <c r="Z1224" s="803"/>
      <c r="AA1224" s="711"/>
      <c r="AB1224" s="711"/>
      <c r="AC1224" s="711"/>
      <c r="AD1224" s="736"/>
      <c r="AE1224" s="736"/>
      <c r="AF1224" s="624"/>
      <c r="AG1224" s="624"/>
      <c r="AH1224" s="624"/>
      <c r="AI1224" s="624"/>
      <c r="AJ1224" s="984"/>
      <c r="AK1224" s="985"/>
      <c r="AL1224" s="986"/>
      <c r="AM1224" s="987"/>
      <c r="AN1224" s="988"/>
      <c r="AO1224" s="986"/>
      <c r="AP1224" s="989"/>
      <c r="AQ1224" s="986"/>
      <c r="AR1224" s="990"/>
      <c r="AS1224" s="624"/>
      <c r="AT1224" s="624"/>
      <c r="AU1224" s="624"/>
      <c r="AV1224" s="624"/>
      <c r="AW1224" s="624"/>
      <c r="AX1224" s="624"/>
      <c r="AY1224" s="624"/>
      <c r="AZ1224" s="624"/>
      <c r="BA1224" s="624"/>
      <c r="BB1224" s="624"/>
      <c r="BC1224" s="624"/>
      <c r="BD1224" s="624"/>
      <c r="BE1224" s="624"/>
    </row>
    <row r="1225" ht="16.5" customHeight="1">
      <c r="A1225" s="711"/>
      <c r="B1225" s="711"/>
      <c r="C1225" s="711"/>
      <c r="D1225" s="711"/>
      <c r="E1225" s="711"/>
      <c r="F1225" s="711"/>
      <c r="G1225" s="711"/>
      <c r="H1225" s="711"/>
      <c r="I1225" s="711"/>
      <c r="J1225" s="711"/>
      <c r="K1225" s="741"/>
      <c r="L1225" s="741"/>
      <c r="M1225" s="788"/>
      <c r="N1225" s="741"/>
      <c r="O1225" s="741"/>
      <c r="P1225" s="741"/>
      <c r="Q1225" s="741"/>
      <c r="R1225" s="788"/>
      <c r="S1225" s="819"/>
      <c r="T1225" s="820"/>
      <c r="U1225" s="819"/>
      <c r="V1225" s="820"/>
      <c r="W1225" s="788"/>
      <c r="X1225" s="803"/>
      <c r="Y1225" s="803"/>
      <c r="Z1225" s="803"/>
      <c r="AA1225" s="711"/>
      <c r="AB1225" s="711"/>
      <c r="AC1225" s="711"/>
      <c r="AD1225" s="736"/>
      <c r="AE1225" s="736"/>
      <c r="AF1225" s="624"/>
      <c r="AG1225" s="624"/>
      <c r="AH1225" s="624"/>
      <c r="AI1225" s="624"/>
      <c r="AJ1225" s="984"/>
      <c r="AK1225" s="985"/>
      <c r="AL1225" s="986"/>
      <c r="AM1225" s="987"/>
      <c r="AN1225" s="988"/>
      <c r="AO1225" s="986"/>
      <c r="AP1225" s="989"/>
      <c r="AQ1225" s="986"/>
      <c r="AR1225" s="990"/>
      <c r="AS1225" s="624"/>
      <c r="AT1225" s="624"/>
      <c r="AU1225" s="624"/>
      <c r="AV1225" s="624"/>
      <c r="AW1225" s="624"/>
      <c r="AX1225" s="624"/>
      <c r="AY1225" s="624"/>
      <c r="AZ1225" s="624"/>
      <c r="BA1225" s="624"/>
      <c r="BB1225" s="624"/>
      <c r="BC1225" s="624"/>
      <c r="BD1225" s="624"/>
      <c r="BE1225" s="624"/>
    </row>
    <row r="1226" ht="16.5" customHeight="1">
      <c r="A1226" s="711"/>
      <c r="B1226" s="711"/>
      <c r="C1226" s="711"/>
      <c r="D1226" s="711"/>
      <c r="E1226" s="711"/>
      <c r="F1226" s="711"/>
      <c r="G1226" s="711"/>
      <c r="H1226" s="711"/>
      <c r="I1226" s="711"/>
      <c r="J1226" s="711"/>
      <c r="K1226" s="741"/>
      <c r="L1226" s="741"/>
      <c r="M1226" s="788"/>
      <c r="N1226" s="741"/>
      <c r="O1226" s="741"/>
      <c r="P1226" s="741"/>
      <c r="Q1226" s="741"/>
      <c r="R1226" s="788"/>
      <c r="S1226" s="819"/>
      <c r="T1226" s="820"/>
      <c r="U1226" s="819"/>
      <c r="V1226" s="820"/>
      <c r="W1226" s="788"/>
      <c r="X1226" s="803"/>
      <c r="Y1226" s="803"/>
      <c r="Z1226" s="803"/>
      <c r="AA1226" s="711"/>
      <c r="AB1226" s="711"/>
      <c r="AC1226" s="711"/>
      <c r="AD1226" s="736"/>
      <c r="AE1226" s="736"/>
      <c r="AF1226" s="624"/>
      <c r="AG1226" s="624"/>
      <c r="AH1226" s="624"/>
      <c r="AI1226" s="624"/>
      <c r="AJ1226" s="984"/>
      <c r="AK1226" s="985"/>
      <c r="AL1226" s="986"/>
      <c r="AM1226" s="987"/>
      <c r="AN1226" s="988"/>
      <c r="AO1226" s="986"/>
      <c r="AP1226" s="989"/>
      <c r="AQ1226" s="986"/>
      <c r="AR1226" s="990"/>
      <c r="AS1226" s="624"/>
      <c r="AT1226" s="624"/>
      <c r="AU1226" s="624"/>
      <c r="AV1226" s="624"/>
      <c r="AW1226" s="624"/>
      <c r="AX1226" s="624"/>
      <c r="AY1226" s="624"/>
      <c r="AZ1226" s="624"/>
      <c r="BA1226" s="624"/>
      <c r="BB1226" s="624"/>
      <c r="BC1226" s="624"/>
      <c r="BD1226" s="624"/>
      <c r="BE1226" s="624"/>
    </row>
    <row r="1227" ht="16.5" customHeight="1">
      <c r="A1227" s="711"/>
      <c r="B1227" s="711"/>
      <c r="C1227" s="711"/>
      <c r="D1227" s="711"/>
      <c r="E1227" s="711"/>
      <c r="F1227" s="711"/>
      <c r="G1227" s="711"/>
      <c r="H1227" s="711"/>
      <c r="I1227" s="711"/>
      <c r="J1227" s="711"/>
      <c r="K1227" s="741"/>
      <c r="L1227" s="741"/>
      <c r="M1227" s="788"/>
      <c r="N1227" s="741"/>
      <c r="O1227" s="741"/>
      <c r="P1227" s="741"/>
      <c r="Q1227" s="741"/>
      <c r="R1227" s="788"/>
      <c r="S1227" s="819"/>
      <c r="T1227" s="820"/>
      <c r="U1227" s="819"/>
      <c r="V1227" s="820"/>
      <c r="W1227" s="788"/>
      <c r="X1227" s="803"/>
      <c r="Y1227" s="803"/>
      <c r="Z1227" s="803"/>
      <c r="AA1227" s="711"/>
      <c r="AB1227" s="711"/>
      <c r="AC1227" s="711"/>
      <c r="AD1227" s="736"/>
      <c r="AE1227" s="736"/>
      <c r="AF1227" s="624"/>
      <c r="AG1227" s="624"/>
      <c r="AH1227" s="624"/>
      <c r="AI1227" s="624"/>
      <c r="AJ1227" s="984"/>
      <c r="AK1227" s="985"/>
      <c r="AL1227" s="986"/>
      <c r="AM1227" s="987"/>
      <c r="AN1227" s="988"/>
      <c r="AO1227" s="986"/>
      <c r="AP1227" s="989"/>
      <c r="AQ1227" s="986"/>
      <c r="AR1227" s="990"/>
      <c r="AS1227" s="624"/>
      <c r="AT1227" s="624"/>
      <c r="AU1227" s="624"/>
      <c r="AV1227" s="624"/>
      <c r="AW1227" s="624"/>
      <c r="AX1227" s="624"/>
      <c r="AY1227" s="624"/>
      <c r="AZ1227" s="624"/>
      <c r="BA1227" s="624"/>
      <c r="BB1227" s="624"/>
      <c r="BC1227" s="624"/>
      <c r="BD1227" s="624"/>
      <c r="BE1227" s="624"/>
    </row>
    <row r="1228" ht="16.5" customHeight="1">
      <c r="A1228" s="711"/>
      <c r="B1228" s="711"/>
      <c r="C1228" s="711"/>
      <c r="D1228" s="711"/>
      <c r="E1228" s="711"/>
      <c r="F1228" s="711"/>
      <c r="G1228" s="711"/>
      <c r="H1228" s="711"/>
      <c r="I1228" s="711"/>
      <c r="J1228" s="711"/>
      <c r="K1228" s="741"/>
      <c r="L1228" s="741"/>
      <c r="M1228" s="788"/>
      <c r="N1228" s="741"/>
      <c r="O1228" s="741"/>
      <c r="P1228" s="741"/>
      <c r="Q1228" s="741"/>
      <c r="R1228" s="788"/>
      <c r="S1228" s="819"/>
      <c r="T1228" s="820"/>
      <c r="U1228" s="819"/>
      <c r="V1228" s="820"/>
      <c r="W1228" s="788"/>
      <c r="X1228" s="803"/>
      <c r="Y1228" s="803"/>
      <c r="Z1228" s="803"/>
      <c r="AA1228" s="711"/>
      <c r="AB1228" s="711"/>
      <c r="AC1228" s="711"/>
      <c r="AD1228" s="736"/>
      <c r="AE1228" s="736"/>
      <c r="AF1228" s="624"/>
      <c r="AG1228" s="624"/>
      <c r="AH1228" s="624"/>
      <c r="AI1228" s="624"/>
      <c r="AJ1228" s="984"/>
      <c r="AK1228" s="985"/>
      <c r="AL1228" s="986"/>
      <c r="AM1228" s="987"/>
      <c r="AN1228" s="988"/>
      <c r="AO1228" s="986"/>
      <c r="AP1228" s="989"/>
      <c r="AQ1228" s="986"/>
      <c r="AR1228" s="990"/>
      <c r="AS1228" s="624"/>
      <c r="AT1228" s="624"/>
      <c r="AU1228" s="624"/>
      <c r="AV1228" s="624"/>
      <c r="AW1228" s="624"/>
      <c r="AX1228" s="624"/>
      <c r="AY1228" s="624"/>
      <c r="AZ1228" s="624"/>
      <c r="BA1228" s="624"/>
      <c r="BB1228" s="624"/>
      <c r="BC1228" s="624"/>
      <c r="BD1228" s="624"/>
      <c r="BE1228" s="624"/>
    </row>
    <row r="1229" ht="16.5" customHeight="1">
      <c r="A1229" s="711"/>
      <c r="B1229" s="711"/>
      <c r="C1229" s="711"/>
      <c r="D1229" s="711"/>
      <c r="E1229" s="711"/>
      <c r="F1229" s="711"/>
      <c r="G1229" s="711"/>
      <c r="H1229" s="711"/>
      <c r="I1229" s="711"/>
      <c r="J1229" s="711"/>
      <c r="K1229" s="741"/>
      <c r="L1229" s="741"/>
      <c r="M1229" s="788"/>
      <c r="N1229" s="741"/>
      <c r="O1229" s="741"/>
      <c r="P1229" s="741"/>
      <c r="Q1229" s="741"/>
      <c r="R1229" s="788"/>
      <c r="S1229" s="819"/>
      <c r="T1229" s="820"/>
      <c r="U1229" s="819"/>
      <c r="V1229" s="820"/>
      <c r="W1229" s="788"/>
      <c r="X1229" s="803"/>
      <c r="Y1229" s="803"/>
      <c r="Z1229" s="803"/>
      <c r="AA1229" s="711"/>
      <c r="AB1229" s="711"/>
      <c r="AC1229" s="711"/>
      <c r="AD1229" s="736"/>
      <c r="AE1229" s="736"/>
      <c r="AF1229" s="624"/>
      <c r="AG1229" s="624"/>
      <c r="AH1229" s="624"/>
      <c r="AI1229" s="624"/>
      <c r="AJ1229" s="984"/>
      <c r="AK1229" s="985"/>
      <c r="AL1229" s="986"/>
      <c r="AM1229" s="987"/>
      <c r="AN1229" s="988"/>
      <c r="AO1229" s="986"/>
      <c r="AP1229" s="989"/>
      <c r="AQ1229" s="986"/>
      <c r="AR1229" s="990"/>
      <c r="AS1229" s="624"/>
      <c r="AT1229" s="624"/>
      <c r="AU1229" s="624"/>
      <c r="AV1229" s="624"/>
      <c r="AW1229" s="624"/>
      <c r="AX1229" s="624"/>
      <c r="AY1229" s="624"/>
      <c r="AZ1229" s="624"/>
      <c r="BA1229" s="624"/>
      <c r="BB1229" s="624"/>
      <c r="BC1229" s="624"/>
      <c r="BD1229" s="624"/>
      <c r="BE1229" s="624"/>
    </row>
    <row r="1230" ht="16.5" customHeight="1">
      <c r="A1230" s="711"/>
      <c r="B1230" s="711"/>
      <c r="C1230" s="711"/>
      <c r="D1230" s="711"/>
      <c r="E1230" s="711"/>
      <c r="F1230" s="711"/>
      <c r="G1230" s="711"/>
      <c r="H1230" s="711"/>
      <c r="I1230" s="711"/>
      <c r="J1230" s="711"/>
      <c r="K1230" s="741"/>
      <c r="L1230" s="741"/>
      <c r="M1230" s="788"/>
      <c r="N1230" s="741"/>
      <c r="O1230" s="741"/>
      <c r="P1230" s="741"/>
      <c r="Q1230" s="741"/>
      <c r="R1230" s="788"/>
      <c r="S1230" s="819"/>
      <c r="T1230" s="820"/>
      <c r="U1230" s="819"/>
      <c r="V1230" s="820"/>
      <c r="W1230" s="788"/>
      <c r="X1230" s="803"/>
      <c r="Y1230" s="803"/>
      <c r="Z1230" s="803"/>
      <c r="AA1230" s="711"/>
      <c r="AB1230" s="711"/>
      <c r="AC1230" s="711"/>
      <c r="AD1230" s="736"/>
      <c r="AE1230" s="736"/>
      <c r="AF1230" s="624"/>
      <c r="AG1230" s="624"/>
      <c r="AH1230" s="624"/>
      <c r="AI1230" s="624"/>
      <c r="AJ1230" s="984"/>
      <c r="AK1230" s="985"/>
      <c r="AL1230" s="986"/>
      <c r="AM1230" s="987"/>
      <c r="AN1230" s="988"/>
      <c r="AO1230" s="986"/>
      <c r="AP1230" s="989"/>
      <c r="AQ1230" s="986"/>
      <c r="AR1230" s="990"/>
      <c r="AS1230" s="624"/>
      <c r="AT1230" s="624"/>
      <c r="AU1230" s="624"/>
      <c r="AV1230" s="624"/>
      <c r="AW1230" s="624"/>
      <c r="AX1230" s="624"/>
      <c r="AY1230" s="624"/>
      <c r="AZ1230" s="624"/>
      <c r="BA1230" s="624"/>
      <c r="BB1230" s="624"/>
      <c r="BC1230" s="624"/>
      <c r="BD1230" s="624"/>
      <c r="BE1230" s="624"/>
    </row>
    <row r="1231" ht="16.5" customHeight="1">
      <c r="A1231" s="711"/>
      <c r="B1231" s="711"/>
      <c r="C1231" s="711"/>
      <c r="D1231" s="711"/>
      <c r="E1231" s="711"/>
      <c r="F1231" s="711"/>
      <c r="G1231" s="711"/>
      <c r="H1231" s="711"/>
      <c r="I1231" s="711"/>
      <c r="J1231" s="711"/>
      <c r="K1231" s="741"/>
      <c r="L1231" s="741"/>
      <c r="M1231" s="788"/>
      <c r="N1231" s="741"/>
      <c r="O1231" s="741"/>
      <c r="P1231" s="741"/>
      <c r="Q1231" s="741"/>
      <c r="R1231" s="788"/>
      <c r="S1231" s="819"/>
      <c r="T1231" s="820"/>
      <c r="U1231" s="819"/>
      <c r="V1231" s="820"/>
      <c r="W1231" s="788"/>
      <c r="X1231" s="803"/>
      <c r="Y1231" s="803"/>
      <c r="Z1231" s="803"/>
      <c r="AA1231" s="711"/>
      <c r="AB1231" s="711"/>
      <c r="AC1231" s="711"/>
      <c r="AD1231" s="736"/>
      <c r="AE1231" s="736"/>
      <c r="AF1231" s="624"/>
      <c r="AG1231" s="624"/>
      <c r="AH1231" s="624"/>
      <c r="AI1231" s="624"/>
      <c r="AJ1231" s="984"/>
      <c r="AK1231" s="985"/>
      <c r="AL1231" s="986"/>
      <c r="AM1231" s="987"/>
      <c r="AN1231" s="988"/>
      <c r="AO1231" s="986"/>
      <c r="AP1231" s="989"/>
      <c r="AQ1231" s="986"/>
      <c r="AR1231" s="990"/>
      <c r="AS1231" s="624"/>
      <c r="AT1231" s="624"/>
      <c r="AU1231" s="624"/>
      <c r="AV1231" s="624"/>
      <c r="AW1231" s="624"/>
      <c r="AX1231" s="624"/>
      <c r="AY1231" s="624"/>
      <c r="AZ1231" s="624"/>
      <c r="BA1231" s="624"/>
      <c r="BB1231" s="624"/>
      <c r="BC1231" s="624"/>
      <c r="BD1231" s="624"/>
      <c r="BE1231" s="624"/>
    </row>
    <row r="1232" ht="16.5" customHeight="1">
      <c r="A1232" s="711"/>
      <c r="B1232" s="711"/>
      <c r="C1232" s="711"/>
      <c r="D1232" s="711"/>
      <c r="E1232" s="711"/>
      <c r="F1232" s="711"/>
      <c r="G1232" s="711"/>
      <c r="H1232" s="711"/>
      <c r="I1232" s="711"/>
      <c r="J1232" s="711"/>
      <c r="K1232" s="741"/>
      <c r="L1232" s="741"/>
      <c r="M1232" s="788"/>
      <c r="N1232" s="741"/>
      <c r="O1232" s="741"/>
      <c r="P1232" s="741"/>
      <c r="Q1232" s="741"/>
      <c r="R1232" s="788"/>
      <c r="S1232" s="819"/>
      <c r="T1232" s="820"/>
      <c r="U1232" s="819"/>
      <c r="V1232" s="820"/>
      <c r="W1232" s="788"/>
      <c r="X1232" s="803"/>
      <c r="Y1232" s="803"/>
      <c r="Z1232" s="803"/>
      <c r="AA1232" s="711"/>
      <c r="AB1232" s="711"/>
      <c r="AC1232" s="711"/>
      <c r="AD1232" s="736"/>
      <c r="AE1232" s="736"/>
      <c r="AF1232" s="624"/>
      <c r="AG1232" s="624"/>
      <c r="AH1232" s="624"/>
      <c r="AI1232" s="624"/>
      <c r="AJ1232" s="984"/>
      <c r="AK1232" s="985"/>
      <c r="AL1232" s="986"/>
      <c r="AM1232" s="987"/>
      <c r="AN1232" s="988"/>
      <c r="AO1232" s="986"/>
      <c r="AP1232" s="989"/>
      <c r="AQ1232" s="986"/>
      <c r="AR1232" s="990"/>
      <c r="AS1232" s="624"/>
      <c r="AT1232" s="624"/>
      <c r="AU1232" s="624"/>
      <c r="AV1232" s="624"/>
      <c r="AW1232" s="624"/>
      <c r="AX1232" s="624"/>
      <c r="AY1232" s="624"/>
      <c r="AZ1232" s="624"/>
      <c r="BA1232" s="624"/>
      <c r="BB1232" s="624"/>
      <c r="BC1232" s="624"/>
      <c r="BD1232" s="624"/>
      <c r="BE1232" s="624"/>
    </row>
    <row r="1233" ht="16.5" customHeight="1">
      <c r="A1233" s="711"/>
      <c r="B1233" s="711"/>
      <c r="C1233" s="711"/>
      <c r="D1233" s="711"/>
      <c r="E1233" s="711"/>
      <c r="F1233" s="711"/>
      <c r="G1233" s="711"/>
      <c r="H1233" s="711"/>
      <c r="I1233" s="711"/>
      <c r="J1233" s="711"/>
      <c r="K1233" s="741"/>
      <c r="L1233" s="741"/>
      <c r="M1233" s="788"/>
      <c r="N1233" s="741"/>
      <c r="O1233" s="741"/>
      <c r="P1233" s="741"/>
      <c r="Q1233" s="741"/>
      <c r="R1233" s="788"/>
      <c r="S1233" s="819"/>
      <c r="T1233" s="820"/>
      <c r="U1233" s="819"/>
      <c r="V1233" s="820"/>
      <c r="W1233" s="788"/>
      <c r="X1233" s="803"/>
      <c r="Y1233" s="803"/>
      <c r="Z1233" s="803"/>
      <c r="AA1233" s="711"/>
      <c r="AB1233" s="711"/>
      <c r="AC1233" s="711"/>
      <c r="AD1233" s="736"/>
      <c r="AE1233" s="736"/>
      <c r="AF1233" s="624"/>
      <c r="AG1233" s="624"/>
      <c r="AH1233" s="624"/>
      <c r="AI1233" s="624"/>
      <c r="AJ1233" s="984"/>
      <c r="AK1233" s="985"/>
      <c r="AL1233" s="986"/>
      <c r="AM1233" s="987"/>
      <c r="AN1233" s="988"/>
      <c r="AO1233" s="986"/>
      <c r="AP1233" s="989"/>
      <c r="AQ1233" s="986"/>
      <c r="AR1233" s="990"/>
      <c r="AS1233" s="624"/>
      <c r="AT1233" s="624"/>
      <c r="AU1233" s="624"/>
      <c r="AV1233" s="624"/>
      <c r="AW1233" s="624"/>
      <c r="AX1233" s="624"/>
      <c r="AY1233" s="624"/>
      <c r="AZ1233" s="624"/>
      <c r="BA1233" s="624"/>
      <c r="BB1233" s="624"/>
      <c r="BC1233" s="624"/>
      <c r="BD1233" s="624"/>
      <c r="BE1233" s="624"/>
    </row>
    <row r="1234" ht="16.5" customHeight="1">
      <c r="A1234" s="711"/>
      <c r="B1234" s="711"/>
      <c r="C1234" s="711"/>
      <c r="D1234" s="711"/>
      <c r="E1234" s="711"/>
      <c r="F1234" s="711"/>
      <c r="G1234" s="711"/>
      <c r="H1234" s="711"/>
      <c r="I1234" s="711"/>
      <c r="J1234" s="711"/>
      <c r="K1234" s="741"/>
      <c r="L1234" s="741"/>
      <c r="M1234" s="788"/>
      <c r="N1234" s="741"/>
      <c r="O1234" s="741"/>
      <c r="P1234" s="741"/>
      <c r="Q1234" s="741"/>
      <c r="R1234" s="788"/>
      <c r="S1234" s="819"/>
      <c r="T1234" s="820"/>
      <c r="U1234" s="819"/>
      <c r="V1234" s="820"/>
      <c r="W1234" s="788"/>
      <c r="X1234" s="803"/>
      <c r="Y1234" s="803"/>
      <c r="Z1234" s="803"/>
      <c r="AA1234" s="711"/>
      <c r="AB1234" s="711"/>
      <c r="AC1234" s="711"/>
      <c r="AD1234" s="736"/>
      <c r="AE1234" s="736"/>
      <c r="AF1234" s="624"/>
      <c r="AG1234" s="624"/>
      <c r="AH1234" s="624"/>
      <c r="AI1234" s="624"/>
      <c r="AJ1234" s="984"/>
      <c r="AK1234" s="985"/>
      <c r="AL1234" s="986"/>
      <c r="AM1234" s="987"/>
      <c r="AN1234" s="988"/>
      <c r="AO1234" s="986"/>
      <c r="AP1234" s="989"/>
      <c r="AQ1234" s="986"/>
      <c r="AR1234" s="990"/>
      <c r="AS1234" s="624"/>
      <c r="AT1234" s="624"/>
      <c r="AU1234" s="624"/>
      <c r="AV1234" s="624"/>
      <c r="AW1234" s="624"/>
      <c r="AX1234" s="624"/>
      <c r="AY1234" s="624"/>
      <c r="AZ1234" s="624"/>
      <c r="BA1234" s="624"/>
      <c r="BB1234" s="624"/>
      <c r="BC1234" s="624"/>
      <c r="BD1234" s="624"/>
      <c r="BE1234" s="624"/>
    </row>
    <row r="1235" ht="16.5" customHeight="1">
      <c r="A1235" s="711"/>
      <c r="B1235" s="711"/>
      <c r="C1235" s="711"/>
      <c r="D1235" s="711"/>
      <c r="E1235" s="711"/>
      <c r="F1235" s="711"/>
      <c r="G1235" s="711"/>
      <c r="H1235" s="711"/>
      <c r="I1235" s="711"/>
      <c r="J1235" s="711"/>
      <c r="K1235" s="741"/>
      <c r="L1235" s="741"/>
      <c r="M1235" s="788"/>
      <c r="N1235" s="741"/>
      <c r="O1235" s="741"/>
      <c r="P1235" s="741"/>
      <c r="Q1235" s="741"/>
      <c r="R1235" s="788"/>
      <c r="S1235" s="819"/>
      <c r="T1235" s="820"/>
      <c r="U1235" s="819"/>
      <c r="V1235" s="820"/>
      <c r="W1235" s="788"/>
      <c r="X1235" s="803"/>
      <c r="Y1235" s="803"/>
      <c r="Z1235" s="803"/>
      <c r="AA1235" s="711"/>
      <c r="AB1235" s="711"/>
      <c r="AC1235" s="711"/>
      <c r="AD1235" s="736"/>
      <c r="AE1235" s="736"/>
      <c r="AF1235" s="624"/>
      <c r="AG1235" s="624"/>
      <c r="AH1235" s="624"/>
      <c r="AI1235" s="624"/>
      <c r="AJ1235" s="984"/>
      <c r="AK1235" s="985"/>
      <c r="AL1235" s="986"/>
      <c r="AM1235" s="987"/>
      <c r="AN1235" s="988"/>
      <c r="AO1235" s="986"/>
      <c r="AP1235" s="989"/>
      <c r="AQ1235" s="986"/>
      <c r="AR1235" s="990"/>
      <c r="AS1235" s="624"/>
      <c r="AT1235" s="624"/>
      <c r="AU1235" s="624"/>
      <c r="AV1235" s="624"/>
      <c r="AW1235" s="624"/>
      <c r="AX1235" s="624"/>
      <c r="AY1235" s="624"/>
      <c r="AZ1235" s="624"/>
      <c r="BA1235" s="624"/>
      <c r="BB1235" s="624"/>
      <c r="BC1235" s="624"/>
      <c r="BD1235" s="624"/>
      <c r="BE1235" s="624"/>
    </row>
    <row r="1236" ht="16.5" customHeight="1">
      <c r="A1236" s="711"/>
      <c r="B1236" s="711"/>
      <c r="C1236" s="711"/>
      <c r="D1236" s="711"/>
      <c r="E1236" s="711"/>
      <c r="F1236" s="711"/>
      <c r="G1236" s="711"/>
      <c r="H1236" s="711"/>
      <c r="I1236" s="711"/>
      <c r="J1236" s="711"/>
      <c r="K1236" s="741"/>
      <c r="L1236" s="741"/>
      <c r="M1236" s="788"/>
      <c r="N1236" s="741"/>
      <c r="O1236" s="741"/>
      <c r="P1236" s="741"/>
      <c r="Q1236" s="741"/>
      <c r="R1236" s="788"/>
      <c r="S1236" s="819"/>
      <c r="T1236" s="820"/>
      <c r="U1236" s="819"/>
      <c r="V1236" s="820"/>
      <c r="W1236" s="788"/>
      <c r="X1236" s="803"/>
      <c r="Y1236" s="803"/>
      <c r="Z1236" s="803"/>
      <c r="AA1236" s="711"/>
      <c r="AB1236" s="711"/>
      <c r="AC1236" s="711"/>
      <c r="AD1236" s="736"/>
      <c r="AE1236" s="736"/>
      <c r="AF1236" s="624"/>
      <c r="AG1236" s="624"/>
      <c r="AH1236" s="624"/>
      <c r="AI1236" s="624"/>
      <c r="AJ1236" s="984"/>
      <c r="AK1236" s="985"/>
      <c r="AL1236" s="986"/>
      <c r="AM1236" s="987"/>
      <c r="AN1236" s="988"/>
      <c r="AO1236" s="986"/>
      <c r="AP1236" s="989"/>
      <c r="AQ1236" s="986"/>
      <c r="AR1236" s="990"/>
      <c r="AS1236" s="624"/>
      <c r="AT1236" s="624"/>
      <c r="AU1236" s="624"/>
      <c r="AV1236" s="624"/>
      <c r="AW1236" s="624"/>
      <c r="AX1236" s="624"/>
      <c r="AY1236" s="624"/>
      <c r="AZ1236" s="624"/>
      <c r="BA1236" s="624"/>
      <c r="BB1236" s="624"/>
      <c r="BC1236" s="624"/>
      <c r="BD1236" s="624"/>
      <c r="BE1236" s="624"/>
    </row>
    <row r="1237" ht="16.5" customHeight="1">
      <c r="A1237" s="711"/>
      <c r="B1237" s="711"/>
      <c r="C1237" s="711"/>
      <c r="D1237" s="711"/>
      <c r="E1237" s="711"/>
      <c r="F1237" s="711"/>
      <c r="G1237" s="711"/>
      <c r="H1237" s="711"/>
      <c r="I1237" s="711"/>
      <c r="J1237" s="711"/>
      <c r="K1237" s="741"/>
      <c r="L1237" s="741"/>
      <c r="M1237" s="788"/>
      <c r="N1237" s="741"/>
      <c r="O1237" s="741"/>
      <c r="P1237" s="741"/>
      <c r="Q1237" s="741"/>
      <c r="R1237" s="788"/>
      <c r="S1237" s="819"/>
      <c r="T1237" s="820"/>
      <c r="U1237" s="819"/>
      <c r="V1237" s="820"/>
      <c r="W1237" s="788"/>
      <c r="X1237" s="803"/>
      <c r="Y1237" s="803"/>
      <c r="Z1237" s="803"/>
      <c r="AA1237" s="711"/>
      <c r="AB1237" s="711"/>
      <c r="AC1237" s="711"/>
      <c r="AD1237" s="736"/>
      <c r="AE1237" s="736"/>
      <c r="AF1237" s="624"/>
      <c r="AG1237" s="624"/>
      <c r="AH1237" s="624"/>
      <c r="AI1237" s="624"/>
      <c r="AJ1237" s="984"/>
      <c r="AK1237" s="985"/>
      <c r="AL1237" s="986"/>
      <c r="AM1237" s="987"/>
      <c r="AN1237" s="988"/>
      <c r="AO1237" s="986"/>
      <c r="AP1237" s="989"/>
      <c r="AQ1237" s="986"/>
      <c r="AR1237" s="990"/>
      <c r="AS1237" s="624"/>
      <c r="AT1237" s="624"/>
      <c r="AU1237" s="624"/>
      <c r="AV1237" s="624"/>
      <c r="AW1237" s="624"/>
      <c r="AX1237" s="624"/>
      <c r="AY1237" s="624"/>
      <c r="AZ1237" s="624"/>
      <c r="BA1237" s="624"/>
      <c r="BB1237" s="624"/>
      <c r="BC1237" s="624"/>
      <c r="BD1237" s="624"/>
      <c r="BE1237" s="624"/>
    </row>
    <row r="1238" ht="16.5" customHeight="1">
      <c r="A1238" s="711"/>
      <c r="B1238" s="711"/>
      <c r="C1238" s="711"/>
      <c r="D1238" s="711"/>
      <c r="E1238" s="711"/>
      <c r="F1238" s="711"/>
      <c r="G1238" s="711"/>
      <c r="H1238" s="711"/>
      <c r="I1238" s="711"/>
      <c r="J1238" s="711"/>
      <c r="K1238" s="741"/>
      <c r="L1238" s="741"/>
      <c r="M1238" s="788"/>
      <c r="N1238" s="741"/>
      <c r="O1238" s="741"/>
      <c r="P1238" s="741"/>
      <c r="Q1238" s="741"/>
      <c r="R1238" s="788"/>
      <c r="S1238" s="819"/>
      <c r="T1238" s="820"/>
      <c r="U1238" s="819"/>
      <c r="V1238" s="820"/>
      <c r="W1238" s="788"/>
      <c r="X1238" s="803"/>
      <c r="Y1238" s="803"/>
      <c r="Z1238" s="803"/>
      <c r="AA1238" s="711"/>
      <c r="AB1238" s="711"/>
      <c r="AC1238" s="711"/>
      <c r="AD1238" s="736"/>
      <c r="AE1238" s="736"/>
      <c r="AF1238" s="624"/>
      <c r="AG1238" s="624"/>
      <c r="AH1238" s="624"/>
      <c r="AI1238" s="624"/>
      <c r="AJ1238" s="984"/>
      <c r="AK1238" s="985"/>
      <c r="AL1238" s="986"/>
      <c r="AM1238" s="987"/>
      <c r="AN1238" s="988"/>
      <c r="AO1238" s="986"/>
      <c r="AP1238" s="989"/>
      <c r="AQ1238" s="986"/>
      <c r="AR1238" s="990"/>
      <c r="AS1238" s="624"/>
      <c r="AT1238" s="624"/>
      <c r="AU1238" s="624"/>
      <c r="AV1238" s="624"/>
      <c r="AW1238" s="624"/>
      <c r="AX1238" s="624"/>
      <c r="AY1238" s="624"/>
      <c r="AZ1238" s="624"/>
      <c r="BA1238" s="624"/>
      <c r="BB1238" s="624"/>
      <c r="BC1238" s="624"/>
      <c r="BD1238" s="624"/>
      <c r="BE1238" s="624"/>
    </row>
    <row r="1239" ht="16.5" customHeight="1">
      <c r="A1239" s="711"/>
      <c r="B1239" s="711"/>
      <c r="C1239" s="711"/>
      <c r="D1239" s="711"/>
      <c r="E1239" s="711"/>
      <c r="F1239" s="711"/>
      <c r="G1239" s="711"/>
      <c r="H1239" s="711"/>
      <c r="I1239" s="711"/>
      <c r="J1239" s="711"/>
      <c r="K1239" s="741"/>
      <c r="L1239" s="741"/>
      <c r="M1239" s="788"/>
      <c r="N1239" s="741"/>
      <c r="O1239" s="741"/>
      <c r="P1239" s="741"/>
      <c r="Q1239" s="741"/>
      <c r="R1239" s="788"/>
      <c r="S1239" s="819"/>
      <c r="T1239" s="820"/>
      <c r="U1239" s="819"/>
      <c r="V1239" s="820"/>
      <c r="W1239" s="788"/>
      <c r="X1239" s="803"/>
      <c r="Y1239" s="803"/>
      <c r="Z1239" s="803"/>
      <c r="AA1239" s="711"/>
      <c r="AB1239" s="711"/>
      <c r="AC1239" s="711"/>
      <c r="AD1239" s="736"/>
      <c r="AE1239" s="736"/>
      <c r="AF1239" s="624"/>
      <c r="AG1239" s="624"/>
      <c r="AH1239" s="624"/>
      <c r="AI1239" s="624"/>
      <c r="AJ1239" s="984"/>
      <c r="AK1239" s="985"/>
      <c r="AL1239" s="986"/>
      <c r="AM1239" s="987"/>
      <c r="AN1239" s="988"/>
      <c r="AO1239" s="986"/>
      <c r="AP1239" s="989"/>
      <c r="AQ1239" s="986"/>
      <c r="AR1239" s="990"/>
      <c r="AS1239" s="624"/>
      <c r="AT1239" s="624"/>
      <c r="AU1239" s="624"/>
      <c r="AV1239" s="624"/>
      <c r="AW1239" s="624"/>
      <c r="AX1239" s="624"/>
      <c r="AY1239" s="624"/>
      <c r="AZ1239" s="624"/>
      <c r="BA1239" s="624"/>
      <c r="BB1239" s="624"/>
      <c r="BC1239" s="624"/>
      <c r="BD1239" s="624"/>
      <c r="BE1239" s="624"/>
    </row>
    <row r="1240" ht="16.5" customHeight="1">
      <c r="A1240" s="711"/>
      <c r="B1240" s="711"/>
      <c r="C1240" s="711"/>
      <c r="D1240" s="711"/>
      <c r="E1240" s="711"/>
      <c r="F1240" s="711"/>
      <c r="G1240" s="711"/>
      <c r="H1240" s="711"/>
      <c r="I1240" s="711"/>
      <c r="J1240" s="711"/>
      <c r="K1240" s="741"/>
      <c r="L1240" s="741"/>
      <c r="M1240" s="788"/>
      <c r="N1240" s="741"/>
      <c r="O1240" s="741"/>
      <c r="P1240" s="741"/>
      <c r="Q1240" s="741"/>
      <c r="R1240" s="788"/>
      <c r="S1240" s="819"/>
      <c r="T1240" s="820"/>
      <c r="U1240" s="819"/>
      <c r="V1240" s="820"/>
      <c r="W1240" s="788"/>
      <c r="X1240" s="803"/>
      <c r="Y1240" s="803"/>
      <c r="Z1240" s="803"/>
      <c r="AA1240" s="711"/>
      <c r="AB1240" s="711"/>
      <c r="AC1240" s="711"/>
      <c r="AD1240" s="736"/>
      <c r="AE1240" s="736"/>
      <c r="AF1240" s="624"/>
      <c r="AG1240" s="624"/>
      <c r="AH1240" s="624"/>
      <c r="AI1240" s="624"/>
      <c r="AJ1240" s="984"/>
      <c r="AK1240" s="985"/>
      <c r="AL1240" s="986"/>
      <c r="AM1240" s="987"/>
      <c r="AN1240" s="988"/>
      <c r="AO1240" s="986"/>
      <c r="AP1240" s="989"/>
      <c r="AQ1240" s="986"/>
      <c r="AR1240" s="990"/>
      <c r="AS1240" s="624"/>
      <c r="AT1240" s="624"/>
      <c r="AU1240" s="624"/>
      <c r="AV1240" s="624"/>
      <c r="AW1240" s="624"/>
      <c r="AX1240" s="624"/>
      <c r="AY1240" s="624"/>
      <c r="AZ1240" s="624"/>
      <c r="BA1240" s="624"/>
      <c r="BB1240" s="624"/>
      <c r="BC1240" s="624"/>
      <c r="BD1240" s="624"/>
      <c r="BE1240" s="624"/>
    </row>
    <row r="1241" ht="16.5" customHeight="1">
      <c r="A1241" s="711"/>
      <c r="B1241" s="711"/>
      <c r="C1241" s="711"/>
      <c r="D1241" s="711"/>
      <c r="E1241" s="711"/>
      <c r="F1241" s="711"/>
      <c r="G1241" s="711"/>
      <c r="H1241" s="711"/>
      <c r="I1241" s="711"/>
      <c r="J1241" s="711"/>
      <c r="K1241" s="741"/>
      <c r="L1241" s="741"/>
      <c r="M1241" s="788"/>
      <c r="N1241" s="741"/>
      <c r="O1241" s="741"/>
      <c r="P1241" s="741"/>
      <c r="Q1241" s="741"/>
      <c r="R1241" s="788"/>
      <c r="S1241" s="819"/>
      <c r="T1241" s="820"/>
      <c r="U1241" s="819"/>
      <c r="V1241" s="820"/>
      <c r="W1241" s="788"/>
      <c r="X1241" s="803"/>
      <c r="Y1241" s="803"/>
      <c r="Z1241" s="803"/>
      <c r="AA1241" s="711"/>
      <c r="AB1241" s="711"/>
      <c r="AC1241" s="711"/>
      <c r="AD1241" s="736"/>
      <c r="AE1241" s="736"/>
      <c r="AF1241" s="624"/>
      <c r="AG1241" s="624"/>
      <c r="AH1241" s="624"/>
      <c r="AI1241" s="624"/>
      <c r="AJ1241" s="984"/>
      <c r="AK1241" s="985"/>
      <c r="AL1241" s="986"/>
      <c r="AM1241" s="987"/>
      <c r="AN1241" s="988"/>
      <c r="AO1241" s="986"/>
      <c r="AP1241" s="989"/>
      <c r="AQ1241" s="986"/>
      <c r="AR1241" s="990"/>
      <c r="AS1241" s="624"/>
      <c r="AT1241" s="624"/>
      <c r="AU1241" s="624"/>
      <c r="AV1241" s="624"/>
      <c r="AW1241" s="624"/>
      <c r="AX1241" s="624"/>
      <c r="AY1241" s="624"/>
      <c r="AZ1241" s="624"/>
      <c r="BA1241" s="624"/>
      <c r="BB1241" s="624"/>
      <c r="BC1241" s="624"/>
      <c r="BD1241" s="624"/>
      <c r="BE1241" s="624"/>
    </row>
    <row r="1242" ht="16.5" customHeight="1">
      <c r="A1242" s="711"/>
      <c r="B1242" s="711"/>
      <c r="C1242" s="711"/>
      <c r="D1242" s="711"/>
      <c r="E1242" s="711"/>
      <c r="F1242" s="711"/>
      <c r="G1242" s="711"/>
      <c r="H1242" s="711"/>
      <c r="I1242" s="711"/>
      <c r="J1242" s="711"/>
      <c r="K1242" s="741"/>
      <c r="L1242" s="741"/>
      <c r="M1242" s="788"/>
      <c r="N1242" s="741"/>
      <c r="O1242" s="741"/>
      <c r="P1242" s="741"/>
      <c r="Q1242" s="741"/>
      <c r="R1242" s="788"/>
      <c r="S1242" s="819"/>
      <c r="T1242" s="820"/>
      <c r="U1242" s="819"/>
      <c r="V1242" s="820"/>
      <c r="W1242" s="788"/>
      <c r="X1242" s="803"/>
      <c r="Y1242" s="803"/>
      <c r="Z1242" s="803"/>
      <c r="AA1242" s="711"/>
      <c r="AB1242" s="711"/>
      <c r="AC1242" s="711"/>
      <c r="AD1242" s="736"/>
      <c r="AE1242" s="736"/>
      <c r="AF1242" s="624"/>
      <c r="AG1242" s="624"/>
      <c r="AH1242" s="624"/>
      <c r="AI1242" s="624"/>
      <c r="AJ1242" s="984"/>
      <c r="AK1242" s="985"/>
      <c r="AL1242" s="986"/>
      <c r="AM1242" s="987"/>
      <c r="AN1242" s="988"/>
      <c r="AO1242" s="986"/>
      <c r="AP1242" s="989"/>
      <c r="AQ1242" s="986"/>
      <c r="AR1242" s="990"/>
      <c r="AS1242" s="624"/>
      <c r="AT1242" s="624"/>
      <c r="AU1242" s="624"/>
      <c r="AV1242" s="624"/>
      <c r="AW1242" s="624"/>
      <c r="AX1242" s="624"/>
      <c r="AY1242" s="624"/>
      <c r="AZ1242" s="624"/>
      <c r="BA1242" s="624"/>
      <c r="BB1242" s="624"/>
      <c r="BC1242" s="624"/>
      <c r="BD1242" s="624"/>
      <c r="BE1242" s="624"/>
    </row>
    <row r="1243" ht="16.5" customHeight="1">
      <c r="A1243" s="711"/>
      <c r="B1243" s="711"/>
      <c r="C1243" s="711"/>
      <c r="D1243" s="711"/>
      <c r="E1243" s="711"/>
      <c r="F1243" s="711"/>
      <c r="G1243" s="711"/>
      <c r="H1243" s="711"/>
      <c r="I1243" s="711"/>
      <c r="J1243" s="711"/>
      <c r="K1243" s="741"/>
      <c r="L1243" s="741"/>
      <c r="M1243" s="788"/>
      <c r="N1243" s="741"/>
      <c r="O1243" s="741"/>
      <c r="P1243" s="741"/>
      <c r="Q1243" s="741"/>
      <c r="R1243" s="788"/>
      <c r="S1243" s="819"/>
      <c r="T1243" s="820"/>
      <c r="U1243" s="819"/>
      <c r="V1243" s="820"/>
      <c r="W1243" s="788"/>
      <c r="X1243" s="803"/>
      <c r="Y1243" s="803"/>
      <c r="Z1243" s="803"/>
      <c r="AA1243" s="711"/>
      <c r="AB1243" s="711"/>
      <c r="AC1243" s="711"/>
      <c r="AD1243" s="736"/>
      <c r="AE1243" s="736"/>
      <c r="AF1243" s="624"/>
      <c r="AG1243" s="624"/>
      <c r="AH1243" s="624"/>
      <c r="AI1243" s="624"/>
      <c r="AJ1243" s="984"/>
      <c r="AK1243" s="985"/>
      <c r="AL1243" s="986"/>
      <c r="AM1243" s="987"/>
      <c r="AN1243" s="988"/>
      <c r="AO1243" s="986"/>
      <c r="AP1243" s="989"/>
      <c r="AQ1243" s="986"/>
      <c r="AR1243" s="990"/>
      <c r="AS1243" s="624"/>
      <c r="AT1243" s="624"/>
      <c r="AU1243" s="624"/>
      <c r="AV1243" s="624"/>
      <c r="AW1243" s="624"/>
      <c r="AX1243" s="624"/>
      <c r="AY1243" s="624"/>
      <c r="AZ1243" s="624"/>
      <c r="BA1243" s="624"/>
      <c r="BB1243" s="624"/>
      <c r="BC1243" s="624"/>
      <c r="BD1243" s="624"/>
      <c r="BE1243" s="624"/>
    </row>
    <row r="1244" ht="16.5" customHeight="1">
      <c r="A1244" s="711"/>
      <c r="B1244" s="711"/>
      <c r="C1244" s="711"/>
      <c r="D1244" s="711"/>
      <c r="E1244" s="711"/>
      <c r="F1244" s="711"/>
      <c r="G1244" s="711"/>
      <c r="H1244" s="711"/>
      <c r="I1244" s="711"/>
      <c r="J1244" s="711"/>
      <c r="K1244" s="741"/>
      <c r="L1244" s="741"/>
      <c r="M1244" s="788"/>
      <c r="N1244" s="741"/>
      <c r="O1244" s="741"/>
      <c r="P1244" s="741"/>
      <c r="Q1244" s="741"/>
      <c r="R1244" s="788"/>
      <c r="S1244" s="819"/>
      <c r="T1244" s="820"/>
      <c r="U1244" s="819"/>
      <c r="V1244" s="820"/>
      <c r="W1244" s="788"/>
      <c r="X1244" s="803"/>
      <c r="Y1244" s="803"/>
      <c r="Z1244" s="803"/>
      <c r="AA1244" s="711"/>
      <c r="AB1244" s="711"/>
      <c r="AC1244" s="711"/>
      <c r="AD1244" s="736"/>
      <c r="AE1244" s="736"/>
      <c r="AF1244" s="624"/>
      <c r="AG1244" s="624"/>
      <c r="AH1244" s="624"/>
      <c r="AI1244" s="624"/>
      <c r="AJ1244" s="984"/>
      <c r="AK1244" s="985"/>
      <c r="AL1244" s="986"/>
      <c r="AM1244" s="987"/>
      <c r="AN1244" s="988"/>
      <c r="AO1244" s="986"/>
      <c r="AP1244" s="989"/>
      <c r="AQ1244" s="986"/>
      <c r="AR1244" s="990"/>
      <c r="AS1244" s="624"/>
      <c r="AT1244" s="624"/>
      <c r="AU1244" s="624"/>
      <c r="AV1244" s="624"/>
      <c r="AW1244" s="624"/>
      <c r="AX1244" s="624"/>
      <c r="AY1244" s="624"/>
      <c r="AZ1244" s="624"/>
      <c r="BA1244" s="624"/>
      <c r="BB1244" s="624"/>
      <c r="BC1244" s="624"/>
      <c r="BD1244" s="624"/>
      <c r="BE1244" s="624"/>
    </row>
    <row r="1245" ht="16.5" customHeight="1">
      <c r="A1245" s="711"/>
      <c r="B1245" s="711"/>
      <c r="C1245" s="711"/>
      <c r="D1245" s="711"/>
      <c r="E1245" s="711"/>
      <c r="F1245" s="711"/>
      <c r="G1245" s="711"/>
      <c r="H1245" s="711"/>
      <c r="I1245" s="711"/>
      <c r="J1245" s="711"/>
      <c r="K1245" s="741"/>
      <c r="L1245" s="741"/>
      <c r="M1245" s="788"/>
      <c r="N1245" s="741"/>
      <c r="O1245" s="741"/>
      <c r="P1245" s="741"/>
      <c r="Q1245" s="741"/>
      <c r="R1245" s="788"/>
      <c r="S1245" s="819"/>
      <c r="T1245" s="820"/>
      <c r="U1245" s="819"/>
      <c r="V1245" s="820"/>
      <c r="W1245" s="788"/>
      <c r="X1245" s="803"/>
      <c r="Y1245" s="803"/>
      <c r="Z1245" s="803"/>
      <c r="AA1245" s="711"/>
      <c r="AB1245" s="711"/>
      <c r="AC1245" s="711"/>
      <c r="AD1245" s="736"/>
      <c r="AE1245" s="736"/>
      <c r="AF1245" s="624"/>
      <c r="AG1245" s="624"/>
      <c r="AH1245" s="624"/>
      <c r="AI1245" s="624"/>
      <c r="AJ1245" s="984"/>
      <c r="AK1245" s="985"/>
      <c r="AL1245" s="986"/>
      <c r="AM1245" s="987"/>
      <c r="AN1245" s="988"/>
      <c r="AO1245" s="986"/>
      <c r="AP1245" s="989"/>
      <c r="AQ1245" s="986"/>
      <c r="AR1245" s="990"/>
      <c r="AS1245" s="624"/>
      <c r="AT1245" s="624"/>
      <c r="AU1245" s="624"/>
      <c r="AV1245" s="624"/>
      <c r="AW1245" s="624"/>
      <c r="AX1245" s="624"/>
      <c r="AY1245" s="624"/>
      <c r="AZ1245" s="624"/>
      <c r="BA1245" s="624"/>
      <c r="BB1245" s="624"/>
      <c r="BC1245" s="624"/>
      <c r="BD1245" s="624"/>
      <c r="BE1245" s="624"/>
    </row>
    <row r="1246" ht="16.5" customHeight="1">
      <c r="A1246" s="711"/>
      <c r="B1246" s="711"/>
      <c r="C1246" s="711"/>
      <c r="D1246" s="711"/>
      <c r="E1246" s="711"/>
      <c r="F1246" s="711"/>
      <c r="G1246" s="711"/>
      <c r="H1246" s="711"/>
      <c r="I1246" s="711"/>
      <c r="J1246" s="711"/>
      <c r="K1246" s="741"/>
      <c r="L1246" s="741"/>
      <c r="M1246" s="788"/>
      <c r="N1246" s="741"/>
      <c r="O1246" s="741"/>
      <c r="P1246" s="741"/>
      <c r="Q1246" s="741"/>
      <c r="R1246" s="788"/>
      <c r="S1246" s="819"/>
      <c r="T1246" s="820"/>
      <c r="U1246" s="819"/>
      <c r="V1246" s="820"/>
      <c r="W1246" s="788"/>
      <c r="X1246" s="803"/>
      <c r="Y1246" s="803"/>
      <c r="Z1246" s="803"/>
      <c r="AA1246" s="711"/>
      <c r="AB1246" s="711"/>
      <c r="AC1246" s="711"/>
      <c r="AD1246" s="736"/>
      <c r="AE1246" s="736"/>
      <c r="AF1246" s="624"/>
      <c r="AG1246" s="624"/>
      <c r="AH1246" s="624"/>
      <c r="AI1246" s="624"/>
      <c r="AJ1246" s="984"/>
      <c r="AK1246" s="985"/>
      <c r="AL1246" s="986"/>
      <c r="AM1246" s="987"/>
      <c r="AN1246" s="988"/>
      <c r="AO1246" s="986"/>
      <c r="AP1246" s="989"/>
      <c r="AQ1246" s="986"/>
      <c r="AR1246" s="990"/>
      <c r="AS1246" s="624"/>
      <c r="AT1246" s="624"/>
      <c r="AU1246" s="624"/>
      <c r="AV1246" s="624"/>
      <c r="AW1246" s="624"/>
      <c r="AX1246" s="624"/>
      <c r="AY1246" s="624"/>
      <c r="AZ1246" s="624"/>
      <c r="BA1246" s="624"/>
      <c r="BB1246" s="624"/>
      <c r="BC1246" s="624"/>
      <c r="BD1246" s="624"/>
      <c r="BE1246" s="624"/>
    </row>
    <row r="1247" ht="16.5" customHeight="1">
      <c r="A1247" s="711"/>
      <c r="B1247" s="711"/>
      <c r="C1247" s="711"/>
      <c r="D1247" s="711"/>
      <c r="E1247" s="711"/>
      <c r="F1247" s="711"/>
      <c r="G1247" s="711"/>
      <c r="H1247" s="711"/>
      <c r="I1247" s="711"/>
      <c r="J1247" s="711"/>
      <c r="K1247" s="741"/>
      <c r="L1247" s="741"/>
      <c r="M1247" s="788"/>
      <c r="N1247" s="741"/>
      <c r="O1247" s="741"/>
      <c r="P1247" s="741"/>
      <c r="Q1247" s="741"/>
      <c r="R1247" s="788"/>
      <c r="S1247" s="819"/>
      <c r="T1247" s="820"/>
      <c r="U1247" s="819"/>
      <c r="V1247" s="820"/>
      <c r="W1247" s="788"/>
      <c r="X1247" s="803"/>
      <c r="Y1247" s="803"/>
      <c r="Z1247" s="803"/>
      <c r="AA1247" s="711"/>
      <c r="AB1247" s="711"/>
      <c r="AC1247" s="711"/>
      <c r="AD1247" s="736"/>
      <c r="AE1247" s="736"/>
      <c r="AF1247" s="624"/>
      <c r="AG1247" s="624"/>
      <c r="AH1247" s="624"/>
      <c r="AI1247" s="624"/>
      <c r="AJ1247" s="984"/>
      <c r="AK1247" s="985"/>
      <c r="AL1247" s="986"/>
      <c r="AM1247" s="987"/>
      <c r="AN1247" s="988"/>
      <c r="AO1247" s="986"/>
      <c r="AP1247" s="989"/>
      <c r="AQ1247" s="986"/>
      <c r="AR1247" s="990"/>
      <c r="AS1247" s="624"/>
      <c r="AT1247" s="624"/>
      <c r="AU1247" s="624"/>
      <c r="AV1247" s="624"/>
      <c r="AW1247" s="624"/>
      <c r="AX1247" s="624"/>
      <c r="AY1247" s="624"/>
      <c r="AZ1247" s="624"/>
      <c r="BA1247" s="624"/>
      <c r="BB1247" s="624"/>
      <c r="BC1247" s="624"/>
      <c r="BD1247" s="624"/>
      <c r="BE1247" s="624"/>
    </row>
    <row r="1248" ht="16.5" customHeight="1">
      <c r="A1248" s="711"/>
      <c r="B1248" s="711"/>
      <c r="C1248" s="711"/>
      <c r="D1248" s="711"/>
      <c r="E1248" s="711"/>
      <c r="F1248" s="711"/>
      <c r="G1248" s="711"/>
      <c r="H1248" s="711"/>
      <c r="I1248" s="711"/>
      <c r="J1248" s="711"/>
      <c r="K1248" s="741"/>
      <c r="L1248" s="741"/>
      <c r="M1248" s="788"/>
      <c r="N1248" s="741"/>
      <c r="O1248" s="741"/>
      <c r="P1248" s="741"/>
      <c r="Q1248" s="741"/>
      <c r="R1248" s="788"/>
      <c r="S1248" s="819"/>
      <c r="T1248" s="820"/>
      <c r="U1248" s="819"/>
      <c r="V1248" s="820"/>
      <c r="W1248" s="788"/>
      <c r="X1248" s="803"/>
      <c r="Y1248" s="803"/>
      <c r="Z1248" s="803"/>
      <c r="AA1248" s="711"/>
      <c r="AB1248" s="711"/>
      <c r="AC1248" s="711"/>
      <c r="AD1248" s="736"/>
      <c r="AE1248" s="736"/>
      <c r="AF1248" s="624"/>
      <c r="AG1248" s="624"/>
      <c r="AH1248" s="624"/>
      <c r="AI1248" s="624"/>
      <c r="AJ1248" s="984"/>
      <c r="AK1248" s="985"/>
      <c r="AL1248" s="986"/>
      <c r="AM1248" s="987"/>
      <c r="AN1248" s="988"/>
      <c r="AO1248" s="986"/>
      <c r="AP1248" s="989"/>
      <c r="AQ1248" s="986"/>
      <c r="AR1248" s="990"/>
      <c r="AS1248" s="624"/>
      <c r="AT1248" s="624"/>
      <c r="AU1248" s="624"/>
      <c r="AV1248" s="624"/>
      <c r="AW1248" s="624"/>
      <c r="AX1248" s="624"/>
      <c r="AY1248" s="624"/>
      <c r="AZ1248" s="624"/>
      <c r="BA1248" s="624"/>
      <c r="BB1248" s="624"/>
      <c r="BC1248" s="624"/>
      <c r="BD1248" s="624"/>
      <c r="BE1248" s="624"/>
    </row>
    <row r="1249" ht="16.5" customHeight="1">
      <c r="A1249" s="711"/>
      <c r="B1249" s="711"/>
      <c r="C1249" s="711"/>
      <c r="D1249" s="711"/>
      <c r="E1249" s="711"/>
      <c r="F1249" s="711"/>
      <c r="G1249" s="711"/>
      <c r="H1249" s="711"/>
      <c r="I1249" s="711"/>
      <c r="J1249" s="711"/>
      <c r="K1249" s="741"/>
      <c r="L1249" s="741"/>
      <c r="M1249" s="788"/>
      <c r="N1249" s="741"/>
      <c r="O1249" s="741"/>
      <c r="P1249" s="741"/>
      <c r="Q1249" s="741"/>
      <c r="R1249" s="788"/>
      <c r="S1249" s="819"/>
      <c r="T1249" s="820"/>
      <c r="U1249" s="819"/>
      <c r="V1249" s="820"/>
      <c r="W1249" s="788"/>
      <c r="X1249" s="803"/>
      <c r="Y1249" s="803"/>
      <c r="Z1249" s="803"/>
      <c r="AA1249" s="711"/>
      <c r="AB1249" s="711"/>
      <c r="AC1249" s="711"/>
      <c r="AD1249" s="736"/>
      <c r="AE1249" s="736"/>
      <c r="AF1249" s="624"/>
      <c r="AG1249" s="624"/>
      <c r="AH1249" s="624"/>
      <c r="AI1249" s="624"/>
      <c r="AJ1249" s="984"/>
      <c r="AK1249" s="985"/>
      <c r="AL1249" s="986"/>
      <c r="AM1249" s="987"/>
      <c r="AN1249" s="988"/>
      <c r="AO1249" s="986"/>
      <c r="AP1249" s="989"/>
      <c r="AQ1249" s="986"/>
      <c r="AR1249" s="990"/>
      <c r="AS1249" s="624"/>
      <c r="AT1249" s="624"/>
      <c r="AU1249" s="624"/>
      <c r="AV1249" s="624"/>
      <c r="AW1249" s="624"/>
      <c r="AX1249" s="624"/>
      <c r="AY1249" s="624"/>
      <c r="AZ1249" s="624"/>
      <c r="BA1249" s="624"/>
      <c r="BB1249" s="624"/>
      <c r="BC1249" s="624"/>
      <c r="BD1249" s="624"/>
      <c r="BE1249" s="624"/>
    </row>
    <row r="1250" ht="16.5" customHeight="1">
      <c r="A1250" s="711"/>
      <c r="B1250" s="711"/>
      <c r="C1250" s="711"/>
      <c r="D1250" s="711"/>
      <c r="E1250" s="711"/>
      <c r="F1250" s="711"/>
      <c r="G1250" s="711"/>
      <c r="H1250" s="711"/>
      <c r="I1250" s="711"/>
      <c r="J1250" s="711"/>
      <c r="K1250" s="741"/>
      <c r="L1250" s="741"/>
      <c r="M1250" s="788"/>
      <c r="N1250" s="741"/>
      <c r="O1250" s="741"/>
      <c r="P1250" s="741"/>
      <c r="Q1250" s="741"/>
      <c r="R1250" s="788"/>
      <c r="S1250" s="819"/>
      <c r="T1250" s="820"/>
      <c r="U1250" s="819"/>
      <c r="V1250" s="820"/>
      <c r="W1250" s="788"/>
      <c r="X1250" s="803"/>
      <c r="Y1250" s="803"/>
      <c r="Z1250" s="803"/>
      <c r="AA1250" s="711"/>
      <c r="AB1250" s="711"/>
      <c r="AC1250" s="711"/>
      <c r="AD1250" s="736"/>
      <c r="AE1250" s="736"/>
      <c r="AF1250" s="624"/>
      <c r="AG1250" s="624"/>
      <c r="AH1250" s="624"/>
      <c r="AI1250" s="624"/>
      <c r="AJ1250" s="984"/>
      <c r="AK1250" s="985"/>
      <c r="AL1250" s="986"/>
      <c r="AM1250" s="987"/>
      <c r="AN1250" s="988"/>
      <c r="AO1250" s="986"/>
      <c r="AP1250" s="989"/>
      <c r="AQ1250" s="986"/>
      <c r="AR1250" s="990"/>
      <c r="AS1250" s="624"/>
      <c r="AT1250" s="624"/>
      <c r="AU1250" s="624"/>
      <c r="AV1250" s="624"/>
      <c r="AW1250" s="624"/>
      <c r="AX1250" s="624"/>
      <c r="AY1250" s="624"/>
      <c r="AZ1250" s="624"/>
      <c r="BA1250" s="624"/>
      <c r="BB1250" s="624"/>
      <c r="BC1250" s="624"/>
      <c r="BD1250" s="624"/>
      <c r="BE1250" s="624"/>
    </row>
    <row r="1251" ht="16.5" customHeight="1">
      <c r="A1251" s="711"/>
      <c r="B1251" s="711"/>
      <c r="C1251" s="711"/>
      <c r="D1251" s="711"/>
      <c r="E1251" s="711"/>
      <c r="F1251" s="711"/>
      <c r="G1251" s="711"/>
      <c r="H1251" s="711"/>
      <c r="I1251" s="711"/>
      <c r="J1251" s="711"/>
      <c r="K1251" s="741"/>
      <c r="L1251" s="741"/>
      <c r="M1251" s="788"/>
      <c r="N1251" s="741"/>
      <c r="O1251" s="741"/>
      <c r="P1251" s="741"/>
      <c r="Q1251" s="741"/>
      <c r="R1251" s="788"/>
      <c r="S1251" s="819"/>
      <c r="T1251" s="820"/>
      <c r="U1251" s="819"/>
      <c r="V1251" s="820"/>
      <c r="W1251" s="788"/>
      <c r="X1251" s="803"/>
      <c r="Y1251" s="803"/>
      <c r="Z1251" s="803"/>
      <c r="AA1251" s="711"/>
      <c r="AB1251" s="711"/>
      <c r="AC1251" s="711"/>
      <c r="AD1251" s="736"/>
      <c r="AE1251" s="736"/>
      <c r="AF1251" s="624"/>
      <c r="AG1251" s="624"/>
      <c r="AH1251" s="624"/>
      <c r="AI1251" s="624"/>
      <c r="AJ1251" s="984"/>
      <c r="AK1251" s="985"/>
      <c r="AL1251" s="986"/>
      <c r="AM1251" s="987"/>
      <c r="AN1251" s="988"/>
      <c r="AO1251" s="986"/>
      <c r="AP1251" s="989"/>
      <c r="AQ1251" s="986"/>
      <c r="AR1251" s="990"/>
      <c r="AS1251" s="624"/>
      <c r="AT1251" s="624"/>
      <c r="AU1251" s="624"/>
      <c r="AV1251" s="624"/>
      <c r="AW1251" s="624"/>
      <c r="AX1251" s="624"/>
      <c r="AY1251" s="624"/>
      <c r="AZ1251" s="624"/>
      <c r="BA1251" s="624"/>
      <c r="BB1251" s="624"/>
      <c r="BC1251" s="624"/>
      <c r="BD1251" s="624"/>
      <c r="BE1251" s="624"/>
    </row>
    <row r="1252" ht="16.5" customHeight="1">
      <c r="A1252" s="711"/>
      <c r="B1252" s="711"/>
      <c r="C1252" s="711"/>
      <c r="D1252" s="711"/>
      <c r="E1252" s="711"/>
      <c r="F1252" s="711"/>
      <c r="G1252" s="711"/>
      <c r="H1252" s="711"/>
      <c r="I1252" s="711"/>
      <c r="J1252" s="711"/>
      <c r="K1252" s="741"/>
      <c r="L1252" s="741"/>
      <c r="M1252" s="788"/>
      <c r="N1252" s="741"/>
      <c r="O1252" s="741"/>
      <c r="P1252" s="741"/>
      <c r="Q1252" s="741"/>
      <c r="R1252" s="788"/>
      <c r="S1252" s="819"/>
      <c r="T1252" s="820"/>
      <c r="U1252" s="819"/>
      <c r="V1252" s="820"/>
      <c r="W1252" s="788"/>
      <c r="X1252" s="803"/>
      <c r="Y1252" s="803"/>
      <c r="Z1252" s="803"/>
      <c r="AA1252" s="711"/>
      <c r="AB1252" s="711"/>
      <c r="AC1252" s="711"/>
      <c r="AD1252" s="736"/>
      <c r="AE1252" s="736"/>
      <c r="AF1252" s="624"/>
      <c r="AG1252" s="624"/>
      <c r="AH1252" s="624"/>
      <c r="AI1252" s="624"/>
      <c r="AJ1252" s="984"/>
      <c r="AK1252" s="985"/>
      <c r="AL1252" s="986"/>
      <c r="AM1252" s="987"/>
      <c r="AN1252" s="988"/>
      <c r="AO1252" s="986"/>
      <c r="AP1252" s="989"/>
      <c r="AQ1252" s="986"/>
      <c r="AR1252" s="990"/>
      <c r="AS1252" s="624"/>
      <c r="AT1252" s="624"/>
      <c r="AU1252" s="624"/>
      <c r="AV1252" s="624"/>
      <c r="AW1252" s="624"/>
      <c r="AX1252" s="624"/>
      <c r="AY1252" s="624"/>
      <c r="AZ1252" s="624"/>
      <c r="BA1252" s="624"/>
      <c r="BB1252" s="624"/>
      <c r="BC1252" s="624"/>
      <c r="BD1252" s="624"/>
      <c r="BE1252" s="624"/>
    </row>
    <row r="1253" ht="16.5" customHeight="1">
      <c r="A1253" s="711"/>
      <c r="B1253" s="711"/>
      <c r="C1253" s="711"/>
      <c r="D1253" s="711"/>
      <c r="E1253" s="711"/>
      <c r="F1253" s="711"/>
      <c r="G1253" s="711"/>
      <c r="H1253" s="711"/>
      <c r="I1253" s="711"/>
      <c r="J1253" s="711"/>
      <c r="K1253" s="741"/>
      <c r="L1253" s="741"/>
      <c r="M1253" s="788"/>
      <c r="N1253" s="741"/>
      <c r="O1253" s="741"/>
      <c r="P1253" s="741"/>
      <c r="Q1253" s="741"/>
      <c r="R1253" s="788"/>
      <c r="S1253" s="819"/>
      <c r="T1253" s="820"/>
      <c r="U1253" s="819"/>
      <c r="V1253" s="820"/>
      <c r="W1253" s="788"/>
      <c r="X1253" s="803"/>
      <c r="Y1253" s="803"/>
      <c r="Z1253" s="803"/>
      <c r="AA1253" s="711"/>
      <c r="AB1253" s="711"/>
      <c r="AC1253" s="711"/>
      <c r="AD1253" s="736"/>
      <c r="AE1253" s="736"/>
      <c r="AF1253" s="624"/>
      <c r="AG1253" s="624"/>
      <c r="AH1253" s="624"/>
      <c r="AI1253" s="624"/>
      <c r="AJ1253" s="984"/>
      <c r="AK1253" s="985"/>
      <c r="AL1253" s="986"/>
      <c r="AM1253" s="987"/>
      <c r="AN1253" s="988"/>
      <c r="AO1253" s="986"/>
      <c r="AP1253" s="989"/>
      <c r="AQ1253" s="986"/>
      <c r="AR1253" s="990"/>
      <c r="AS1253" s="624"/>
      <c r="AT1253" s="624"/>
      <c r="AU1253" s="624"/>
      <c r="AV1253" s="624"/>
      <c r="AW1253" s="624"/>
      <c r="AX1253" s="624"/>
      <c r="AY1253" s="624"/>
      <c r="AZ1253" s="624"/>
      <c r="BA1253" s="624"/>
      <c r="BB1253" s="624"/>
      <c r="BC1253" s="624"/>
      <c r="BD1253" s="624"/>
      <c r="BE1253" s="624"/>
    </row>
    <row r="1254" ht="16.5" customHeight="1">
      <c r="A1254" s="711"/>
      <c r="B1254" s="711"/>
      <c r="C1254" s="711"/>
      <c r="D1254" s="711"/>
      <c r="E1254" s="711"/>
      <c r="F1254" s="711"/>
      <c r="G1254" s="711"/>
      <c r="H1254" s="711"/>
      <c r="I1254" s="711"/>
      <c r="J1254" s="711"/>
      <c r="K1254" s="741"/>
      <c r="L1254" s="741"/>
      <c r="M1254" s="788"/>
      <c r="N1254" s="741"/>
      <c r="O1254" s="741"/>
      <c r="P1254" s="741"/>
      <c r="Q1254" s="741"/>
      <c r="R1254" s="788"/>
      <c r="S1254" s="819"/>
      <c r="T1254" s="820"/>
      <c r="U1254" s="819"/>
      <c r="V1254" s="820"/>
      <c r="W1254" s="788"/>
      <c r="X1254" s="803"/>
      <c r="Y1254" s="803"/>
      <c r="Z1254" s="803"/>
      <c r="AA1254" s="711"/>
      <c r="AB1254" s="711"/>
      <c r="AC1254" s="711"/>
      <c r="AD1254" s="736"/>
      <c r="AE1254" s="736"/>
      <c r="AF1254" s="624"/>
      <c r="AG1254" s="624"/>
      <c r="AH1254" s="624"/>
      <c r="AI1254" s="624"/>
      <c r="AJ1254" s="984"/>
      <c r="AK1254" s="985"/>
      <c r="AL1254" s="986"/>
      <c r="AM1254" s="987"/>
      <c r="AN1254" s="988"/>
      <c r="AO1254" s="986"/>
      <c r="AP1254" s="989"/>
      <c r="AQ1254" s="986"/>
      <c r="AR1254" s="990"/>
      <c r="AS1254" s="624"/>
      <c r="AT1254" s="624"/>
      <c r="AU1254" s="624"/>
      <c r="AV1254" s="624"/>
      <c r="AW1254" s="624"/>
      <c r="AX1254" s="624"/>
      <c r="AY1254" s="624"/>
      <c r="AZ1254" s="624"/>
      <c r="BA1254" s="624"/>
      <c r="BB1254" s="624"/>
      <c r="BC1254" s="624"/>
      <c r="BD1254" s="624"/>
      <c r="BE1254" s="624"/>
    </row>
    <row r="1255" ht="16.5" customHeight="1">
      <c r="A1255" s="711"/>
      <c r="B1255" s="711"/>
      <c r="C1255" s="711"/>
      <c r="D1255" s="711"/>
      <c r="E1255" s="711"/>
      <c r="F1255" s="711"/>
      <c r="G1255" s="711"/>
      <c r="H1255" s="711"/>
      <c r="I1255" s="711"/>
      <c r="J1255" s="711"/>
      <c r="K1255" s="741"/>
      <c r="L1255" s="741"/>
      <c r="M1255" s="788"/>
      <c r="N1255" s="741"/>
      <c r="O1255" s="741"/>
      <c r="P1255" s="741"/>
      <c r="Q1255" s="741"/>
      <c r="R1255" s="788"/>
      <c r="S1255" s="819"/>
      <c r="T1255" s="820"/>
      <c r="U1255" s="819"/>
      <c r="V1255" s="820"/>
      <c r="W1255" s="788"/>
      <c r="X1255" s="803"/>
      <c r="Y1255" s="803"/>
      <c r="Z1255" s="803"/>
      <c r="AA1255" s="711"/>
      <c r="AB1255" s="711"/>
      <c r="AC1255" s="711"/>
      <c r="AD1255" s="736"/>
      <c r="AE1255" s="736"/>
      <c r="AF1255" s="624"/>
      <c r="AG1255" s="624"/>
      <c r="AH1255" s="624"/>
      <c r="AI1255" s="624"/>
      <c r="AJ1255" s="984"/>
      <c r="AK1255" s="985"/>
      <c r="AL1255" s="986"/>
      <c r="AM1255" s="987"/>
      <c r="AN1255" s="988"/>
      <c r="AO1255" s="986"/>
      <c r="AP1255" s="989"/>
      <c r="AQ1255" s="986"/>
      <c r="AR1255" s="990"/>
      <c r="AS1255" s="624"/>
      <c r="AT1255" s="624"/>
      <c r="AU1255" s="624"/>
      <c r="AV1255" s="624"/>
      <c r="AW1255" s="624"/>
      <c r="AX1255" s="624"/>
      <c r="AY1255" s="624"/>
      <c r="AZ1255" s="624"/>
      <c r="BA1255" s="624"/>
      <c r="BB1255" s="624"/>
      <c r="BC1255" s="624"/>
      <c r="BD1255" s="624"/>
      <c r="BE1255" s="624"/>
    </row>
    <row r="1256" ht="16.5" customHeight="1">
      <c r="A1256" s="711"/>
      <c r="B1256" s="711"/>
      <c r="C1256" s="711"/>
      <c r="D1256" s="711"/>
      <c r="E1256" s="711"/>
      <c r="F1256" s="711"/>
      <c r="G1256" s="711"/>
      <c r="H1256" s="711"/>
      <c r="I1256" s="711"/>
      <c r="J1256" s="711"/>
      <c r="K1256" s="741"/>
      <c r="L1256" s="741"/>
      <c r="M1256" s="788"/>
      <c r="N1256" s="741"/>
      <c r="O1256" s="741"/>
      <c r="P1256" s="741"/>
      <c r="Q1256" s="741"/>
      <c r="R1256" s="788"/>
      <c r="S1256" s="819"/>
      <c r="T1256" s="820"/>
      <c r="U1256" s="819"/>
      <c r="V1256" s="820"/>
      <c r="W1256" s="788"/>
      <c r="X1256" s="803"/>
      <c r="Y1256" s="803"/>
      <c r="Z1256" s="803"/>
      <c r="AA1256" s="711"/>
      <c r="AB1256" s="711"/>
      <c r="AC1256" s="711"/>
      <c r="AD1256" s="736"/>
      <c r="AE1256" s="736"/>
      <c r="AF1256" s="624"/>
      <c r="AG1256" s="624"/>
      <c r="AH1256" s="624"/>
      <c r="AI1256" s="624"/>
      <c r="AJ1256" s="984"/>
      <c r="AK1256" s="985"/>
      <c r="AL1256" s="986"/>
      <c r="AM1256" s="987"/>
      <c r="AN1256" s="988"/>
      <c r="AO1256" s="986"/>
      <c r="AP1256" s="989"/>
      <c r="AQ1256" s="986"/>
      <c r="AR1256" s="990"/>
      <c r="AS1256" s="624"/>
      <c r="AT1256" s="624"/>
      <c r="AU1256" s="624"/>
      <c r="AV1256" s="624"/>
      <c r="AW1256" s="624"/>
      <c r="AX1256" s="624"/>
      <c r="AY1256" s="624"/>
      <c r="AZ1256" s="624"/>
      <c r="BA1256" s="624"/>
      <c r="BB1256" s="624"/>
      <c r="BC1256" s="624"/>
      <c r="BD1256" s="624"/>
      <c r="BE1256" s="624"/>
    </row>
    <row r="1257" ht="16.5" customHeight="1">
      <c r="A1257" s="711"/>
      <c r="B1257" s="711"/>
      <c r="C1257" s="711"/>
      <c r="D1257" s="711"/>
      <c r="E1257" s="711"/>
      <c r="F1257" s="711"/>
      <c r="G1257" s="711"/>
      <c r="H1257" s="711"/>
      <c r="I1257" s="711"/>
      <c r="J1257" s="711"/>
      <c r="K1257" s="741"/>
      <c r="L1257" s="741"/>
      <c r="M1257" s="788"/>
      <c r="N1257" s="741"/>
      <c r="O1257" s="741"/>
      <c r="P1257" s="741"/>
      <c r="Q1257" s="741"/>
      <c r="R1257" s="788"/>
      <c r="S1257" s="819"/>
      <c r="T1257" s="820"/>
      <c r="U1257" s="819"/>
      <c r="V1257" s="820"/>
      <c r="W1257" s="788"/>
      <c r="X1257" s="803"/>
      <c r="Y1257" s="803"/>
      <c r="Z1257" s="803"/>
      <c r="AA1257" s="711"/>
      <c r="AB1257" s="711"/>
      <c r="AC1257" s="711"/>
      <c r="AD1257" s="736"/>
      <c r="AE1257" s="736"/>
      <c r="AF1257" s="624"/>
      <c r="AG1257" s="624"/>
      <c r="AH1257" s="624"/>
      <c r="AI1257" s="624"/>
      <c r="AJ1257" s="984"/>
      <c r="AK1257" s="985"/>
      <c r="AL1257" s="986"/>
      <c r="AM1257" s="987"/>
      <c r="AN1257" s="988"/>
      <c r="AO1257" s="986"/>
      <c r="AP1257" s="989"/>
      <c r="AQ1257" s="986"/>
      <c r="AR1257" s="990"/>
      <c r="AS1257" s="624"/>
      <c r="AT1257" s="624"/>
      <c r="AU1257" s="624"/>
      <c r="AV1257" s="624"/>
      <c r="AW1257" s="624"/>
      <c r="AX1257" s="624"/>
      <c r="AY1257" s="624"/>
      <c r="AZ1257" s="624"/>
      <c r="BA1257" s="624"/>
      <c r="BB1257" s="624"/>
      <c r="BC1257" s="624"/>
      <c r="BD1257" s="624"/>
      <c r="BE1257" s="624"/>
    </row>
    <row r="1258" ht="16.5" customHeight="1">
      <c r="A1258" s="711"/>
      <c r="B1258" s="711"/>
      <c r="C1258" s="711"/>
      <c r="D1258" s="711"/>
      <c r="E1258" s="711"/>
      <c r="F1258" s="711"/>
      <c r="G1258" s="711"/>
      <c r="H1258" s="711"/>
      <c r="I1258" s="711"/>
      <c r="J1258" s="711"/>
      <c r="K1258" s="741"/>
      <c r="L1258" s="741"/>
      <c r="M1258" s="788"/>
      <c r="N1258" s="741"/>
      <c r="O1258" s="741"/>
      <c r="P1258" s="741"/>
      <c r="Q1258" s="741"/>
      <c r="R1258" s="788"/>
      <c r="S1258" s="819"/>
      <c r="T1258" s="820"/>
      <c r="U1258" s="819"/>
      <c r="V1258" s="820"/>
      <c r="W1258" s="788"/>
      <c r="X1258" s="803"/>
      <c r="Y1258" s="803"/>
      <c r="Z1258" s="803"/>
      <c r="AA1258" s="711"/>
      <c r="AB1258" s="711"/>
      <c r="AC1258" s="711"/>
      <c r="AD1258" s="736"/>
      <c r="AE1258" s="736"/>
      <c r="AF1258" s="624"/>
      <c r="AG1258" s="624"/>
      <c r="AH1258" s="624"/>
      <c r="AI1258" s="624"/>
      <c r="AJ1258" s="984"/>
      <c r="AK1258" s="985"/>
      <c r="AL1258" s="986"/>
      <c r="AM1258" s="987"/>
      <c r="AN1258" s="988"/>
      <c r="AO1258" s="986"/>
      <c r="AP1258" s="989"/>
      <c r="AQ1258" s="986"/>
      <c r="AR1258" s="990"/>
      <c r="AS1258" s="624"/>
      <c r="AT1258" s="624"/>
      <c r="AU1258" s="624"/>
      <c r="AV1258" s="624"/>
      <c r="AW1258" s="624"/>
      <c r="AX1258" s="624"/>
      <c r="AY1258" s="624"/>
      <c r="AZ1258" s="624"/>
      <c r="BA1258" s="624"/>
      <c r="BB1258" s="624"/>
      <c r="BC1258" s="624"/>
      <c r="BD1258" s="624"/>
      <c r="BE1258" s="624"/>
    </row>
    <row r="1259" ht="16.5" customHeight="1">
      <c r="A1259" s="711"/>
      <c r="B1259" s="711"/>
      <c r="C1259" s="711"/>
      <c r="D1259" s="711"/>
      <c r="E1259" s="711"/>
      <c r="F1259" s="711"/>
      <c r="G1259" s="711"/>
      <c r="H1259" s="711"/>
      <c r="I1259" s="711"/>
      <c r="J1259" s="711"/>
      <c r="K1259" s="741"/>
      <c r="L1259" s="741"/>
      <c r="M1259" s="788"/>
      <c r="N1259" s="741"/>
      <c r="O1259" s="741"/>
      <c r="P1259" s="741"/>
      <c r="Q1259" s="741"/>
      <c r="R1259" s="788"/>
      <c r="S1259" s="819"/>
      <c r="T1259" s="820"/>
      <c r="U1259" s="819"/>
      <c r="V1259" s="820"/>
      <c r="W1259" s="788"/>
      <c r="X1259" s="803"/>
      <c r="Y1259" s="803"/>
      <c r="Z1259" s="803"/>
      <c r="AA1259" s="711"/>
      <c r="AB1259" s="711"/>
      <c r="AC1259" s="711"/>
      <c r="AD1259" s="736"/>
      <c r="AE1259" s="736"/>
      <c r="AF1259" s="624"/>
      <c r="AG1259" s="624"/>
      <c r="AH1259" s="624"/>
      <c r="AI1259" s="624"/>
      <c r="AJ1259" s="984"/>
      <c r="AK1259" s="985"/>
      <c r="AL1259" s="986"/>
      <c r="AM1259" s="987"/>
      <c r="AN1259" s="988"/>
      <c r="AO1259" s="986"/>
      <c r="AP1259" s="989"/>
      <c r="AQ1259" s="986"/>
      <c r="AR1259" s="990"/>
      <c r="AS1259" s="624"/>
      <c r="AT1259" s="624"/>
      <c r="AU1259" s="624"/>
      <c r="AV1259" s="624"/>
      <c r="AW1259" s="624"/>
      <c r="AX1259" s="624"/>
      <c r="AY1259" s="624"/>
      <c r="AZ1259" s="624"/>
      <c r="BA1259" s="624"/>
      <c r="BB1259" s="624"/>
      <c r="BC1259" s="624"/>
      <c r="BD1259" s="624"/>
      <c r="BE1259" s="624"/>
    </row>
    <row r="1260" ht="16.5" customHeight="1">
      <c r="A1260" s="711"/>
      <c r="B1260" s="711"/>
      <c r="C1260" s="711"/>
      <c r="D1260" s="711"/>
      <c r="E1260" s="711"/>
      <c r="F1260" s="711"/>
      <c r="G1260" s="711"/>
      <c r="H1260" s="711"/>
      <c r="I1260" s="711"/>
      <c r="J1260" s="711"/>
      <c r="K1260" s="741"/>
      <c r="L1260" s="741"/>
      <c r="M1260" s="788"/>
      <c r="N1260" s="741"/>
      <c r="O1260" s="741"/>
      <c r="P1260" s="741"/>
      <c r="Q1260" s="741"/>
      <c r="R1260" s="788"/>
      <c r="S1260" s="819"/>
      <c r="T1260" s="820"/>
      <c r="U1260" s="819"/>
      <c r="V1260" s="820"/>
      <c r="W1260" s="788"/>
      <c r="X1260" s="803"/>
      <c r="Y1260" s="803"/>
      <c r="Z1260" s="803"/>
      <c r="AA1260" s="711"/>
      <c r="AB1260" s="711"/>
      <c r="AC1260" s="711"/>
      <c r="AD1260" s="736"/>
      <c r="AE1260" s="736"/>
      <c r="AF1260" s="624"/>
      <c r="AG1260" s="624"/>
      <c r="AH1260" s="624"/>
      <c r="AI1260" s="624"/>
      <c r="AJ1260" s="984"/>
      <c r="AK1260" s="985"/>
      <c r="AL1260" s="986"/>
      <c r="AM1260" s="987"/>
      <c r="AN1260" s="988"/>
      <c r="AO1260" s="986"/>
      <c r="AP1260" s="989"/>
      <c r="AQ1260" s="986"/>
      <c r="AR1260" s="990"/>
      <c r="AS1260" s="624"/>
      <c r="AT1260" s="624"/>
      <c r="AU1260" s="624"/>
      <c r="AV1260" s="624"/>
      <c r="AW1260" s="624"/>
      <c r="AX1260" s="624"/>
      <c r="AY1260" s="624"/>
      <c r="AZ1260" s="624"/>
      <c r="BA1260" s="624"/>
      <c r="BB1260" s="624"/>
      <c r="BC1260" s="624"/>
      <c r="BD1260" s="624"/>
      <c r="BE1260" s="624"/>
    </row>
    <row r="1261" ht="16.5" customHeight="1">
      <c r="A1261" s="711"/>
      <c r="B1261" s="711"/>
      <c r="C1261" s="711"/>
      <c r="D1261" s="711"/>
      <c r="E1261" s="711"/>
      <c r="F1261" s="711"/>
      <c r="G1261" s="711"/>
      <c r="H1261" s="711"/>
      <c r="I1261" s="711"/>
      <c r="J1261" s="711"/>
      <c r="K1261" s="741"/>
      <c r="L1261" s="741"/>
      <c r="M1261" s="788"/>
      <c r="N1261" s="741"/>
      <c r="O1261" s="741"/>
      <c r="P1261" s="741"/>
      <c r="Q1261" s="741"/>
      <c r="R1261" s="788"/>
      <c r="S1261" s="819"/>
      <c r="T1261" s="820"/>
      <c r="U1261" s="819"/>
      <c r="V1261" s="820"/>
      <c r="W1261" s="788"/>
      <c r="X1261" s="803"/>
      <c r="Y1261" s="803"/>
      <c r="Z1261" s="803"/>
      <c r="AA1261" s="711"/>
      <c r="AB1261" s="711"/>
      <c r="AC1261" s="711"/>
      <c r="AD1261" s="736"/>
      <c r="AE1261" s="736"/>
      <c r="AF1261" s="624"/>
      <c r="AG1261" s="624"/>
      <c r="AH1261" s="624"/>
      <c r="AI1261" s="624"/>
      <c r="AJ1261" s="984"/>
      <c r="AK1261" s="985"/>
      <c r="AL1261" s="986"/>
      <c r="AM1261" s="987"/>
      <c r="AN1261" s="988"/>
      <c r="AO1261" s="986"/>
      <c r="AP1261" s="989"/>
      <c r="AQ1261" s="986"/>
      <c r="AR1261" s="990"/>
      <c r="AS1261" s="624"/>
      <c r="AT1261" s="624"/>
      <c r="AU1261" s="624"/>
      <c r="AV1261" s="624"/>
      <c r="AW1261" s="624"/>
      <c r="AX1261" s="624"/>
      <c r="AY1261" s="624"/>
      <c r="AZ1261" s="624"/>
      <c r="BA1261" s="624"/>
      <c r="BB1261" s="624"/>
      <c r="BC1261" s="624"/>
      <c r="BD1261" s="624"/>
      <c r="BE1261" s="624"/>
    </row>
    <row r="1262" ht="16.5" customHeight="1">
      <c r="A1262" s="711"/>
      <c r="B1262" s="711"/>
      <c r="C1262" s="711"/>
      <c r="D1262" s="711"/>
      <c r="E1262" s="711"/>
      <c r="F1262" s="711"/>
      <c r="G1262" s="711"/>
      <c r="H1262" s="711"/>
      <c r="I1262" s="711"/>
      <c r="J1262" s="711"/>
      <c r="K1262" s="741"/>
      <c r="L1262" s="741"/>
      <c r="M1262" s="788"/>
      <c r="N1262" s="741"/>
      <c r="O1262" s="741"/>
      <c r="P1262" s="741"/>
      <c r="Q1262" s="741"/>
      <c r="R1262" s="788"/>
      <c r="S1262" s="819"/>
      <c r="T1262" s="820"/>
      <c r="U1262" s="819"/>
      <c r="V1262" s="820"/>
      <c r="W1262" s="788"/>
      <c r="X1262" s="803"/>
      <c r="Y1262" s="803"/>
      <c r="Z1262" s="803"/>
      <c r="AA1262" s="711"/>
      <c r="AB1262" s="711"/>
      <c r="AC1262" s="711"/>
      <c r="AD1262" s="736"/>
      <c r="AE1262" s="736"/>
      <c r="AF1262" s="624"/>
      <c r="AG1262" s="624"/>
      <c r="AH1262" s="624"/>
      <c r="AI1262" s="624"/>
      <c r="AJ1262" s="984"/>
      <c r="AK1262" s="985"/>
      <c r="AL1262" s="986"/>
      <c r="AM1262" s="987"/>
      <c r="AN1262" s="988"/>
      <c r="AO1262" s="986"/>
      <c r="AP1262" s="989"/>
      <c r="AQ1262" s="986"/>
      <c r="AR1262" s="990"/>
      <c r="AS1262" s="624"/>
      <c r="AT1262" s="624"/>
      <c r="AU1262" s="624"/>
      <c r="AV1262" s="624"/>
      <c r="AW1262" s="624"/>
      <c r="AX1262" s="624"/>
      <c r="AY1262" s="624"/>
      <c r="AZ1262" s="624"/>
      <c r="BA1262" s="624"/>
      <c r="BB1262" s="624"/>
      <c r="BC1262" s="624"/>
      <c r="BD1262" s="624"/>
      <c r="BE1262" s="624"/>
    </row>
    <row r="1263" ht="16.5" customHeight="1">
      <c r="A1263" s="711"/>
      <c r="B1263" s="711"/>
      <c r="C1263" s="711"/>
      <c r="D1263" s="711"/>
      <c r="E1263" s="711"/>
      <c r="F1263" s="711"/>
      <c r="G1263" s="711"/>
      <c r="H1263" s="711"/>
      <c r="I1263" s="711"/>
      <c r="J1263" s="711"/>
      <c r="K1263" s="741"/>
      <c r="L1263" s="741"/>
      <c r="M1263" s="788"/>
      <c r="N1263" s="741"/>
      <c r="O1263" s="741"/>
      <c r="P1263" s="741"/>
      <c r="Q1263" s="741"/>
      <c r="R1263" s="788"/>
      <c r="S1263" s="819"/>
      <c r="T1263" s="820"/>
      <c r="U1263" s="819"/>
      <c r="V1263" s="820"/>
      <c r="W1263" s="788"/>
      <c r="X1263" s="803"/>
      <c r="Y1263" s="803"/>
      <c r="Z1263" s="803"/>
      <c r="AA1263" s="711"/>
      <c r="AB1263" s="711"/>
      <c r="AC1263" s="711"/>
      <c r="AD1263" s="736"/>
      <c r="AE1263" s="736"/>
      <c r="AF1263" s="624"/>
      <c r="AG1263" s="624"/>
      <c r="AH1263" s="624"/>
      <c r="AI1263" s="624"/>
      <c r="AJ1263" s="984"/>
      <c r="AK1263" s="985"/>
      <c r="AL1263" s="986"/>
      <c r="AM1263" s="987"/>
      <c r="AN1263" s="988"/>
      <c r="AO1263" s="986"/>
      <c r="AP1263" s="989"/>
      <c r="AQ1263" s="986"/>
      <c r="AR1263" s="990"/>
      <c r="AS1263" s="624"/>
      <c r="AT1263" s="624"/>
      <c r="AU1263" s="624"/>
      <c r="AV1263" s="624"/>
      <c r="AW1263" s="624"/>
      <c r="AX1263" s="624"/>
      <c r="AY1263" s="624"/>
      <c r="AZ1263" s="624"/>
      <c r="BA1263" s="624"/>
      <c r="BB1263" s="624"/>
      <c r="BC1263" s="624"/>
      <c r="BD1263" s="624"/>
      <c r="BE1263" s="624"/>
    </row>
    <row r="1264" ht="16.5" customHeight="1">
      <c r="A1264" s="711"/>
      <c r="B1264" s="711"/>
      <c r="C1264" s="711"/>
      <c r="D1264" s="711"/>
      <c r="E1264" s="711"/>
      <c r="F1264" s="711"/>
      <c r="G1264" s="711"/>
      <c r="H1264" s="711"/>
      <c r="I1264" s="711"/>
      <c r="J1264" s="711"/>
      <c r="K1264" s="741"/>
      <c r="L1264" s="741"/>
      <c r="M1264" s="788"/>
      <c r="N1264" s="741"/>
      <c r="O1264" s="741"/>
      <c r="P1264" s="741"/>
      <c r="Q1264" s="741"/>
      <c r="R1264" s="788"/>
      <c r="S1264" s="819"/>
      <c r="T1264" s="820"/>
      <c r="U1264" s="819"/>
      <c r="V1264" s="820"/>
      <c r="W1264" s="788"/>
      <c r="X1264" s="803"/>
      <c r="Y1264" s="803"/>
      <c r="Z1264" s="803"/>
      <c r="AA1264" s="711"/>
      <c r="AB1264" s="711"/>
      <c r="AC1264" s="711"/>
      <c r="AD1264" s="736"/>
      <c r="AE1264" s="736"/>
      <c r="AF1264" s="624"/>
      <c r="AG1264" s="624"/>
      <c r="AH1264" s="624"/>
      <c r="AI1264" s="624"/>
      <c r="AJ1264" s="984"/>
      <c r="AK1264" s="985"/>
      <c r="AL1264" s="986"/>
      <c r="AM1264" s="987"/>
      <c r="AN1264" s="988"/>
      <c r="AO1264" s="986"/>
      <c r="AP1264" s="989"/>
      <c r="AQ1264" s="986"/>
      <c r="AR1264" s="990"/>
      <c r="AS1264" s="624"/>
      <c r="AT1264" s="624"/>
      <c r="AU1264" s="624"/>
      <c r="AV1264" s="624"/>
      <c r="AW1264" s="624"/>
      <c r="AX1264" s="624"/>
      <c r="AY1264" s="624"/>
      <c r="AZ1264" s="624"/>
      <c r="BA1264" s="624"/>
      <c r="BB1264" s="624"/>
      <c r="BC1264" s="624"/>
      <c r="BD1264" s="624"/>
      <c r="BE1264" s="624"/>
    </row>
    <row r="1265" ht="16.5" customHeight="1">
      <c r="A1265" s="711"/>
      <c r="B1265" s="711"/>
      <c r="C1265" s="711"/>
      <c r="D1265" s="711"/>
      <c r="E1265" s="711"/>
      <c r="F1265" s="711"/>
      <c r="G1265" s="711"/>
      <c r="H1265" s="711"/>
      <c r="I1265" s="711"/>
      <c r="J1265" s="711"/>
      <c r="K1265" s="741"/>
      <c r="L1265" s="741"/>
      <c r="M1265" s="788"/>
      <c r="N1265" s="741"/>
      <c r="O1265" s="741"/>
      <c r="P1265" s="741"/>
      <c r="Q1265" s="741"/>
      <c r="R1265" s="788"/>
      <c r="S1265" s="819"/>
      <c r="T1265" s="820"/>
      <c r="U1265" s="819"/>
      <c r="V1265" s="820"/>
      <c r="W1265" s="788"/>
      <c r="X1265" s="803"/>
      <c r="Y1265" s="803"/>
      <c r="Z1265" s="803"/>
      <c r="AA1265" s="711"/>
      <c r="AB1265" s="711"/>
      <c r="AC1265" s="711"/>
      <c r="AD1265" s="736"/>
      <c r="AE1265" s="736"/>
      <c r="AF1265" s="624"/>
      <c r="AG1265" s="624"/>
      <c r="AH1265" s="624"/>
      <c r="AI1265" s="624"/>
      <c r="AJ1265" s="984"/>
      <c r="AK1265" s="985"/>
      <c r="AL1265" s="986"/>
      <c r="AM1265" s="987"/>
      <c r="AN1265" s="988"/>
      <c r="AO1265" s="986"/>
      <c r="AP1265" s="989"/>
      <c r="AQ1265" s="986"/>
      <c r="AR1265" s="990"/>
      <c r="AS1265" s="624"/>
      <c r="AT1265" s="624"/>
      <c r="AU1265" s="624"/>
      <c r="AV1265" s="624"/>
      <c r="AW1265" s="624"/>
      <c r="AX1265" s="624"/>
      <c r="AY1265" s="624"/>
      <c r="AZ1265" s="624"/>
      <c r="BA1265" s="624"/>
      <c r="BB1265" s="624"/>
      <c r="BC1265" s="624"/>
      <c r="BD1265" s="624"/>
      <c r="BE1265" s="624"/>
    </row>
    <row r="1266" ht="16.5" customHeight="1">
      <c r="A1266" s="711"/>
      <c r="B1266" s="711"/>
      <c r="C1266" s="711"/>
      <c r="D1266" s="711"/>
      <c r="E1266" s="711"/>
      <c r="F1266" s="711"/>
      <c r="G1266" s="711"/>
      <c r="H1266" s="711"/>
      <c r="I1266" s="711"/>
      <c r="J1266" s="711"/>
      <c r="K1266" s="741"/>
      <c r="L1266" s="741"/>
      <c r="M1266" s="788"/>
      <c r="N1266" s="741"/>
      <c r="O1266" s="741"/>
      <c r="P1266" s="741"/>
      <c r="Q1266" s="741"/>
      <c r="R1266" s="788"/>
      <c r="S1266" s="819"/>
      <c r="T1266" s="820"/>
      <c r="U1266" s="819"/>
      <c r="V1266" s="820"/>
      <c r="W1266" s="788"/>
      <c r="X1266" s="803"/>
      <c r="Y1266" s="803"/>
      <c r="Z1266" s="803"/>
      <c r="AA1266" s="711"/>
      <c r="AB1266" s="711"/>
      <c r="AC1266" s="711"/>
      <c r="AD1266" s="736"/>
      <c r="AE1266" s="736"/>
      <c r="AF1266" s="624"/>
      <c r="AG1266" s="624"/>
      <c r="AH1266" s="624"/>
      <c r="AI1266" s="624"/>
      <c r="AJ1266" s="984"/>
      <c r="AK1266" s="985"/>
      <c r="AL1266" s="986"/>
      <c r="AM1266" s="987"/>
      <c r="AN1266" s="988"/>
      <c r="AO1266" s="986"/>
      <c r="AP1266" s="989"/>
      <c r="AQ1266" s="986"/>
      <c r="AR1266" s="990"/>
      <c r="AS1266" s="624"/>
      <c r="AT1266" s="624"/>
      <c r="AU1266" s="624"/>
      <c r="AV1266" s="624"/>
      <c r="AW1266" s="624"/>
      <c r="AX1266" s="624"/>
      <c r="AY1266" s="624"/>
      <c r="AZ1266" s="624"/>
      <c r="BA1266" s="624"/>
      <c r="BB1266" s="624"/>
      <c r="BC1266" s="624"/>
      <c r="BD1266" s="624"/>
      <c r="BE1266" s="624"/>
    </row>
    <row r="1267" ht="16.5" customHeight="1">
      <c r="A1267" s="711"/>
      <c r="B1267" s="711"/>
      <c r="C1267" s="711"/>
      <c r="D1267" s="711"/>
      <c r="E1267" s="711"/>
      <c r="F1267" s="711"/>
      <c r="G1267" s="711"/>
      <c r="H1267" s="711"/>
      <c r="I1267" s="711"/>
      <c r="J1267" s="711"/>
      <c r="K1267" s="741"/>
      <c r="L1267" s="741"/>
      <c r="M1267" s="788"/>
      <c r="N1267" s="741"/>
      <c r="O1267" s="741"/>
      <c r="P1267" s="741"/>
      <c r="Q1267" s="741"/>
      <c r="R1267" s="788"/>
      <c r="S1267" s="819"/>
      <c r="T1267" s="820"/>
      <c r="U1267" s="819"/>
      <c r="V1267" s="820"/>
      <c r="W1267" s="788"/>
      <c r="X1267" s="803"/>
      <c r="Y1267" s="803"/>
      <c r="Z1267" s="803"/>
      <c r="AA1267" s="711"/>
      <c r="AB1267" s="711"/>
      <c r="AC1267" s="711"/>
      <c r="AD1267" s="736"/>
      <c r="AE1267" s="736"/>
      <c r="AF1267" s="624"/>
      <c r="AG1267" s="624"/>
      <c r="AH1267" s="624"/>
      <c r="AI1267" s="624"/>
      <c r="AJ1267" s="984"/>
      <c r="AK1267" s="985"/>
      <c r="AL1267" s="986"/>
      <c r="AM1267" s="987"/>
      <c r="AN1267" s="988"/>
      <c r="AO1267" s="986"/>
      <c r="AP1267" s="989"/>
      <c r="AQ1267" s="986"/>
      <c r="AR1267" s="990"/>
      <c r="AS1267" s="624"/>
      <c r="AT1267" s="624"/>
      <c r="AU1267" s="624"/>
      <c r="AV1267" s="624"/>
      <c r="AW1267" s="624"/>
      <c r="AX1267" s="624"/>
      <c r="AY1267" s="624"/>
      <c r="AZ1267" s="624"/>
      <c r="BA1267" s="624"/>
      <c r="BB1267" s="624"/>
      <c r="BC1267" s="624"/>
      <c r="BD1267" s="624"/>
      <c r="BE1267" s="624"/>
    </row>
    <row r="1268" ht="16.5" customHeight="1">
      <c r="A1268" s="711"/>
      <c r="B1268" s="711"/>
      <c r="C1268" s="711"/>
      <c r="D1268" s="711"/>
      <c r="E1268" s="711"/>
      <c r="F1268" s="711"/>
      <c r="G1268" s="711"/>
      <c r="H1268" s="711"/>
      <c r="I1268" s="711"/>
      <c r="J1268" s="711"/>
      <c r="K1268" s="741"/>
      <c r="L1268" s="741"/>
      <c r="M1268" s="788"/>
      <c r="N1268" s="741"/>
      <c r="O1268" s="741"/>
      <c r="P1268" s="741"/>
      <c r="Q1268" s="741"/>
      <c r="R1268" s="788"/>
      <c r="S1268" s="819"/>
      <c r="T1268" s="820"/>
      <c r="U1268" s="819"/>
      <c r="V1268" s="820"/>
      <c r="W1268" s="788"/>
      <c r="X1268" s="803"/>
      <c r="Y1268" s="803"/>
      <c r="Z1268" s="803"/>
      <c r="AA1268" s="711"/>
      <c r="AB1268" s="711"/>
      <c r="AC1268" s="711"/>
      <c r="AD1268" s="736"/>
      <c r="AE1268" s="736"/>
      <c r="AF1268" s="624"/>
      <c r="AG1268" s="624"/>
      <c r="AH1268" s="624"/>
      <c r="AI1268" s="624"/>
      <c r="AJ1268" s="984"/>
      <c r="AK1268" s="985"/>
      <c r="AL1268" s="986"/>
      <c r="AM1268" s="987"/>
      <c r="AN1268" s="988"/>
      <c r="AO1268" s="986"/>
      <c r="AP1268" s="989"/>
      <c r="AQ1268" s="986"/>
      <c r="AR1268" s="990"/>
      <c r="AS1268" s="624"/>
      <c r="AT1268" s="624"/>
      <c r="AU1268" s="624"/>
      <c r="AV1268" s="624"/>
      <c r="AW1268" s="624"/>
      <c r="AX1268" s="624"/>
      <c r="AY1268" s="624"/>
      <c r="AZ1268" s="624"/>
      <c r="BA1268" s="624"/>
      <c r="BB1268" s="624"/>
      <c r="BC1268" s="624"/>
      <c r="BD1268" s="624"/>
      <c r="BE1268" s="624"/>
    </row>
    <row r="1269" ht="16.5" customHeight="1">
      <c r="A1269" s="711"/>
      <c r="B1269" s="711"/>
      <c r="C1269" s="711"/>
      <c r="D1269" s="711"/>
      <c r="E1269" s="711"/>
      <c r="F1269" s="711"/>
      <c r="G1269" s="711"/>
      <c r="H1269" s="711"/>
      <c r="I1269" s="711"/>
      <c r="J1269" s="711"/>
      <c r="K1269" s="741"/>
      <c r="L1269" s="741"/>
      <c r="M1269" s="788"/>
      <c r="N1269" s="741"/>
      <c r="O1269" s="741"/>
      <c r="P1269" s="741"/>
      <c r="Q1269" s="741"/>
      <c r="R1269" s="788"/>
      <c r="S1269" s="819"/>
      <c r="T1269" s="820"/>
      <c r="U1269" s="819"/>
      <c r="V1269" s="820"/>
      <c r="W1269" s="788"/>
      <c r="X1269" s="803"/>
      <c r="Y1269" s="803"/>
      <c r="Z1269" s="803"/>
      <c r="AA1269" s="711"/>
      <c r="AB1269" s="711"/>
      <c r="AC1269" s="711"/>
      <c r="AD1269" s="736"/>
      <c r="AE1269" s="736"/>
      <c r="AF1269" s="624"/>
      <c r="AG1269" s="624"/>
      <c r="AH1269" s="624"/>
      <c r="AI1269" s="624"/>
      <c r="AJ1269" s="984"/>
      <c r="AK1269" s="985"/>
      <c r="AL1269" s="986"/>
      <c r="AM1269" s="987"/>
      <c r="AN1269" s="988"/>
      <c r="AO1269" s="986"/>
      <c r="AP1269" s="989"/>
      <c r="AQ1269" s="986"/>
      <c r="AR1269" s="990"/>
      <c r="AS1269" s="624"/>
      <c r="AT1269" s="624"/>
      <c r="AU1269" s="624"/>
      <c r="AV1269" s="624"/>
      <c r="AW1269" s="624"/>
      <c r="AX1269" s="624"/>
      <c r="AY1269" s="624"/>
      <c r="AZ1269" s="624"/>
      <c r="BA1269" s="624"/>
      <c r="BB1269" s="624"/>
      <c r="BC1269" s="624"/>
      <c r="BD1269" s="624"/>
      <c r="BE1269" s="624"/>
    </row>
    <row r="1270" ht="16.5" customHeight="1">
      <c r="A1270" s="711"/>
      <c r="B1270" s="711"/>
      <c r="C1270" s="711"/>
      <c r="D1270" s="711"/>
      <c r="E1270" s="711"/>
      <c r="F1270" s="711"/>
      <c r="G1270" s="711"/>
      <c r="H1270" s="711"/>
      <c r="I1270" s="711"/>
      <c r="J1270" s="711"/>
      <c r="K1270" s="741"/>
      <c r="L1270" s="741"/>
      <c r="M1270" s="788"/>
      <c r="N1270" s="741"/>
      <c r="O1270" s="741"/>
      <c r="P1270" s="741"/>
      <c r="Q1270" s="741"/>
      <c r="R1270" s="788"/>
      <c r="S1270" s="819"/>
      <c r="T1270" s="820"/>
      <c r="U1270" s="819"/>
      <c r="V1270" s="820"/>
      <c r="W1270" s="788"/>
      <c r="X1270" s="803"/>
      <c r="Y1270" s="803"/>
      <c r="Z1270" s="803"/>
      <c r="AA1270" s="711"/>
      <c r="AB1270" s="711"/>
      <c r="AC1270" s="711"/>
      <c r="AD1270" s="736"/>
      <c r="AE1270" s="736"/>
      <c r="AF1270" s="624"/>
      <c r="AG1270" s="624"/>
      <c r="AH1270" s="624"/>
      <c r="AI1270" s="624"/>
      <c r="AJ1270" s="984"/>
      <c r="AK1270" s="985"/>
      <c r="AL1270" s="986"/>
      <c r="AM1270" s="987"/>
      <c r="AN1270" s="988"/>
      <c r="AO1270" s="986"/>
      <c r="AP1270" s="989"/>
      <c r="AQ1270" s="986"/>
      <c r="AR1270" s="990"/>
      <c r="AS1270" s="624"/>
      <c r="AT1270" s="624"/>
      <c r="AU1270" s="624"/>
      <c r="AV1270" s="624"/>
      <c r="AW1270" s="624"/>
      <c r="AX1270" s="624"/>
      <c r="AY1270" s="624"/>
      <c r="AZ1270" s="624"/>
      <c r="BA1270" s="624"/>
      <c r="BB1270" s="624"/>
      <c r="BC1270" s="624"/>
      <c r="BD1270" s="624"/>
      <c r="BE1270" s="624"/>
    </row>
    <row r="1271" ht="16.5" customHeight="1">
      <c r="A1271" s="711"/>
      <c r="B1271" s="711"/>
      <c r="C1271" s="711"/>
      <c r="D1271" s="711"/>
      <c r="E1271" s="711"/>
      <c r="F1271" s="711"/>
      <c r="G1271" s="711"/>
      <c r="H1271" s="711"/>
      <c r="I1271" s="711"/>
      <c r="J1271" s="711"/>
      <c r="K1271" s="741"/>
      <c r="L1271" s="741"/>
      <c r="M1271" s="788"/>
      <c r="N1271" s="741"/>
      <c r="O1271" s="741"/>
      <c r="P1271" s="741"/>
      <c r="Q1271" s="741"/>
      <c r="R1271" s="788"/>
      <c r="S1271" s="819"/>
      <c r="T1271" s="820"/>
      <c r="U1271" s="819"/>
      <c r="V1271" s="820"/>
      <c r="W1271" s="788"/>
      <c r="X1271" s="803"/>
      <c r="Y1271" s="803"/>
      <c r="Z1271" s="803"/>
      <c r="AA1271" s="711"/>
      <c r="AB1271" s="711"/>
      <c r="AC1271" s="711"/>
      <c r="AD1271" s="736"/>
      <c r="AE1271" s="736"/>
      <c r="AF1271" s="624"/>
      <c r="AG1271" s="624"/>
      <c r="AH1271" s="624"/>
      <c r="AI1271" s="624"/>
      <c r="AJ1271" s="984"/>
      <c r="AK1271" s="985"/>
      <c r="AL1271" s="986"/>
      <c r="AM1271" s="987"/>
      <c r="AN1271" s="988"/>
      <c r="AO1271" s="986"/>
      <c r="AP1271" s="989"/>
      <c r="AQ1271" s="986"/>
      <c r="AR1271" s="990"/>
      <c r="AS1271" s="624"/>
      <c r="AT1271" s="624"/>
      <c r="AU1271" s="624"/>
      <c r="AV1271" s="624"/>
      <c r="AW1271" s="624"/>
      <c r="AX1271" s="624"/>
      <c r="AY1271" s="624"/>
      <c r="AZ1271" s="624"/>
      <c r="BA1271" s="624"/>
      <c r="BB1271" s="624"/>
      <c r="BC1271" s="624"/>
      <c r="BD1271" s="624"/>
      <c r="BE1271" s="624"/>
    </row>
    <row r="1272" ht="16.5" customHeight="1">
      <c r="A1272" s="711"/>
      <c r="B1272" s="711"/>
      <c r="C1272" s="711"/>
      <c r="D1272" s="711"/>
      <c r="E1272" s="711"/>
      <c r="F1272" s="711"/>
      <c r="G1272" s="711"/>
      <c r="H1272" s="711"/>
      <c r="I1272" s="711"/>
      <c r="J1272" s="711"/>
      <c r="K1272" s="741"/>
      <c r="L1272" s="741"/>
      <c r="M1272" s="788"/>
      <c r="N1272" s="741"/>
      <c r="O1272" s="741"/>
      <c r="P1272" s="741"/>
      <c r="Q1272" s="741"/>
      <c r="R1272" s="788"/>
      <c r="S1272" s="819"/>
      <c r="T1272" s="820"/>
      <c r="U1272" s="819"/>
      <c r="V1272" s="820"/>
      <c r="W1272" s="788"/>
      <c r="X1272" s="803"/>
      <c r="Y1272" s="803"/>
      <c r="Z1272" s="803"/>
      <c r="AA1272" s="711"/>
      <c r="AB1272" s="711"/>
      <c r="AC1272" s="711"/>
      <c r="AD1272" s="736"/>
      <c r="AE1272" s="736"/>
      <c r="AF1272" s="624"/>
      <c r="AG1272" s="624"/>
      <c r="AH1272" s="624"/>
      <c r="AI1272" s="624"/>
      <c r="AJ1272" s="984"/>
      <c r="AK1272" s="985"/>
      <c r="AL1272" s="986"/>
      <c r="AM1272" s="987"/>
      <c r="AN1272" s="988"/>
      <c r="AO1272" s="986"/>
      <c r="AP1272" s="989"/>
      <c r="AQ1272" s="986"/>
      <c r="AR1272" s="990"/>
      <c r="AS1272" s="624"/>
      <c r="AT1272" s="624"/>
      <c r="AU1272" s="624"/>
      <c r="AV1272" s="624"/>
      <c r="AW1272" s="624"/>
      <c r="AX1272" s="624"/>
      <c r="AY1272" s="624"/>
      <c r="AZ1272" s="624"/>
      <c r="BA1272" s="624"/>
      <c r="BB1272" s="624"/>
      <c r="BC1272" s="624"/>
      <c r="BD1272" s="624"/>
      <c r="BE1272" s="624"/>
    </row>
    <row r="1273" ht="16.5" customHeight="1">
      <c r="A1273" s="711"/>
      <c r="B1273" s="711"/>
      <c r="C1273" s="711"/>
      <c r="D1273" s="711"/>
      <c r="E1273" s="711"/>
      <c r="F1273" s="711"/>
      <c r="G1273" s="711"/>
      <c r="H1273" s="711"/>
      <c r="I1273" s="711"/>
      <c r="J1273" s="711"/>
      <c r="K1273" s="741"/>
      <c r="L1273" s="741"/>
      <c r="M1273" s="788"/>
      <c r="N1273" s="741"/>
      <c r="O1273" s="741"/>
      <c r="P1273" s="741"/>
      <c r="Q1273" s="741"/>
      <c r="R1273" s="788"/>
      <c r="S1273" s="819"/>
      <c r="T1273" s="820"/>
      <c r="U1273" s="819"/>
      <c r="V1273" s="820"/>
      <c r="W1273" s="788"/>
      <c r="X1273" s="803"/>
      <c r="Y1273" s="803"/>
      <c r="Z1273" s="803"/>
      <c r="AA1273" s="711"/>
      <c r="AB1273" s="711"/>
      <c r="AC1273" s="711"/>
      <c r="AD1273" s="736"/>
      <c r="AE1273" s="736"/>
      <c r="AF1273" s="624"/>
      <c r="AG1273" s="624"/>
      <c r="AH1273" s="624"/>
      <c r="AI1273" s="624"/>
      <c r="AJ1273" s="984"/>
      <c r="AK1273" s="985"/>
      <c r="AL1273" s="986"/>
      <c r="AM1273" s="987"/>
      <c r="AN1273" s="988"/>
      <c r="AO1273" s="986"/>
      <c r="AP1273" s="989"/>
      <c r="AQ1273" s="986"/>
      <c r="AR1273" s="990"/>
      <c r="AS1273" s="624"/>
      <c r="AT1273" s="624"/>
      <c r="AU1273" s="624"/>
      <c r="AV1273" s="624"/>
      <c r="AW1273" s="624"/>
      <c r="AX1273" s="624"/>
      <c r="AY1273" s="624"/>
      <c r="AZ1273" s="624"/>
      <c r="BA1273" s="624"/>
      <c r="BB1273" s="624"/>
      <c r="BC1273" s="624"/>
      <c r="BD1273" s="624"/>
      <c r="BE1273" s="624"/>
    </row>
    <row r="1274" ht="16.5" customHeight="1">
      <c r="A1274" s="711"/>
      <c r="B1274" s="711"/>
      <c r="C1274" s="711"/>
      <c r="D1274" s="711"/>
      <c r="E1274" s="711"/>
      <c r="F1274" s="711"/>
      <c r="G1274" s="711"/>
      <c r="H1274" s="711"/>
      <c r="I1274" s="711"/>
      <c r="J1274" s="711"/>
      <c r="K1274" s="741"/>
      <c r="L1274" s="741"/>
      <c r="M1274" s="788"/>
      <c r="N1274" s="741"/>
      <c r="O1274" s="741"/>
      <c r="P1274" s="741"/>
      <c r="Q1274" s="741"/>
      <c r="R1274" s="788"/>
      <c r="S1274" s="819"/>
      <c r="T1274" s="820"/>
      <c r="U1274" s="819"/>
      <c r="V1274" s="820"/>
      <c r="W1274" s="788"/>
      <c r="X1274" s="803"/>
      <c r="Y1274" s="803"/>
      <c r="Z1274" s="803"/>
      <c r="AA1274" s="711"/>
      <c r="AB1274" s="711"/>
      <c r="AC1274" s="711"/>
      <c r="AD1274" s="736"/>
      <c r="AE1274" s="736"/>
      <c r="AF1274" s="624"/>
      <c r="AG1274" s="624"/>
      <c r="AH1274" s="624"/>
      <c r="AI1274" s="624"/>
      <c r="AJ1274" s="984"/>
      <c r="AK1274" s="985"/>
      <c r="AL1274" s="986"/>
      <c r="AM1274" s="987"/>
      <c r="AN1274" s="988"/>
      <c r="AO1274" s="986"/>
      <c r="AP1274" s="989"/>
      <c r="AQ1274" s="986"/>
      <c r="AR1274" s="990"/>
      <c r="AS1274" s="624"/>
      <c r="AT1274" s="624"/>
      <c r="AU1274" s="624"/>
      <c r="AV1274" s="624"/>
      <c r="AW1274" s="624"/>
      <c r="AX1274" s="624"/>
      <c r="AY1274" s="624"/>
      <c r="AZ1274" s="624"/>
      <c r="BA1274" s="624"/>
      <c r="BB1274" s="624"/>
      <c r="BC1274" s="624"/>
      <c r="BD1274" s="624"/>
      <c r="BE1274" s="624"/>
    </row>
    <row r="1275" ht="16.5" customHeight="1">
      <c r="A1275" s="711"/>
      <c r="B1275" s="711"/>
      <c r="C1275" s="711"/>
      <c r="D1275" s="711"/>
      <c r="E1275" s="711"/>
      <c r="F1275" s="711"/>
      <c r="G1275" s="711"/>
      <c r="H1275" s="711"/>
      <c r="I1275" s="711"/>
      <c r="J1275" s="711"/>
      <c r="K1275" s="741"/>
      <c r="L1275" s="741"/>
      <c r="M1275" s="788"/>
      <c r="N1275" s="741"/>
      <c r="O1275" s="741"/>
      <c r="P1275" s="741"/>
      <c r="Q1275" s="741"/>
      <c r="R1275" s="788"/>
      <c r="S1275" s="819"/>
      <c r="T1275" s="820"/>
      <c r="U1275" s="819"/>
      <c r="V1275" s="820"/>
      <c r="W1275" s="788"/>
      <c r="X1275" s="803"/>
      <c r="Y1275" s="803"/>
      <c r="Z1275" s="803"/>
      <c r="AA1275" s="711"/>
      <c r="AB1275" s="711"/>
      <c r="AC1275" s="711"/>
      <c r="AD1275" s="736"/>
      <c r="AE1275" s="736"/>
      <c r="AF1275" s="624"/>
      <c r="AG1275" s="624"/>
      <c r="AH1275" s="624"/>
      <c r="AI1275" s="624"/>
      <c r="AJ1275" s="984"/>
      <c r="AK1275" s="985"/>
      <c r="AL1275" s="986"/>
      <c r="AM1275" s="987"/>
      <c r="AN1275" s="988"/>
      <c r="AO1275" s="986"/>
      <c r="AP1275" s="989"/>
      <c r="AQ1275" s="986"/>
      <c r="AR1275" s="990"/>
      <c r="AS1275" s="624"/>
      <c r="AT1275" s="624"/>
      <c r="AU1275" s="624"/>
      <c r="AV1275" s="624"/>
      <c r="AW1275" s="624"/>
      <c r="AX1275" s="624"/>
      <c r="AY1275" s="624"/>
      <c r="AZ1275" s="624"/>
      <c r="BA1275" s="624"/>
      <c r="BB1275" s="624"/>
      <c r="BC1275" s="624"/>
      <c r="BD1275" s="624"/>
      <c r="BE1275" s="624"/>
    </row>
    <row r="1276" ht="16.5" customHeight="1">
      <c r="A1276" s="711"/>
      <c r="B1276" s="711"/>
      <c r="C1276" s="711"/>
      <c r="D1276" s="711"/>
      <c r="E1276" s="711"/>
      <c r="F1276" s="711"/>
      <c r="G1276" s="711"/>
      <c r="H1276" s="711"/>
      <c r="I1276" s="711"/>
      <c r="J1276" s="711"/>
      <c r="K1276" s="741"/>
      <c r="L1276" s="741"/>
      <c r="M1276" s="788"/>
      <c r="N1276" s="741"/>
      <c r="O1276" s="741"/>
      <c r="P1276" s="741"/>
      <c r="Q1276" s="741"/>
      <c r="R1276" s="788"/>
      <c r="S1276" s="819"/>
      <c r="T1276" s="820"/>
      <c r="U1276" s="819"/>
      <c r="V1276" s="820"/>
      <c r="W1276" s="788"/>
      <c r="X1276" s="803"/>
      <c r="Y1276" s="803"/>
      <c r="Z1276" s="803"/>
      <c r="AA1276" s="711"/>
      <c r="AB1276" s="711"/>
      <c r="AC1276" s="711"/>
      <c r="AD1276" s="736"/>
      <c r="AE1276" s="736"/>
      <c r="AF1276" s="624"/>
      <c r="AG1276" s="624"/>
      <c r="AH1276" s="624"/>
      <c r="AI1276" s="624"/>
      <c r="AJ1276" s="984"/>
      <c r="AK1276" s="985"/>
      <c r="AL1276" s="986"/>
      <c r="AM1276" s="987"/>
      <c r="AN1276" s="988"/>
      <c r="AO1276" s="986"/>
      <c r="AP1276" s="989"/>
      <c r="AQ1276" s="986"/>
      <c r="AR1276" s="990"/>
      <c r="AS1276" s="624"/>
      <c r="AT1276" s="624"/>
      <c r="AU1276" s="624"/>
      <c r="AV1276" s="624"/>
      <c r="AW1276" s="624"/>
      <c r="AX1276" s="624"/>
      <c r="AY1276" s="624"/>
      <c r="AZ1276" s="624"/>
      <c r="BA1276" s="624"/>
      <c r="BB1276" s="624"/>
      <c r="BC1276" s="624"/>
      <c r="BD1276" s="624"/>
      <c r="BE1276" s="624"/>
    </row>
    <row r="1277" ht="16.5" customHeight="1">
      <c r="A1277" s="711"/>
      <c r="B1277" s="711"/>
      <c r="C1277" s="711"/>
      <c r="D1277" s="711"/>
      <c r="E1277" s="711"/>
      <c r="F1277" s="711"/>
      <c r="G1277" s="711"/>
      <c r="H1277" s="711"/>
      <c r="I1277" s="711"/>
      <c r="J1277" s="711"/>
      <c r="K1277" s="741"/>
      <c r="L1277" s="741"/>
      <c r="M1277" s="788"/>
      <c r="N1277" s="741"/>
      <c r="O1277" s="741"/>
      <c r="P1277" s="741"/>
      <c r="Q1277" s="741"/>
      <c r="R1277" s="788"/>
      <c r="S1277" s="819"/>
      <c r="T1277" s="820"/>
      <c r="U1277" s="819"/>
      <c r="V1277" s="820"/>
      <c r="W1277" s="788"/>
      <c r="X1277" s="803"/>
      <c r="Y1277" s="803"/>
      <c r="Z1277" s="803"/>
      <c r="AA1277" s="711"/>
      <c r="AB1277" s="711"/>
      <c r="AC1277" s="711"/>
      <c r="AD1277" s="736"/>
      <c r="AE1277" s="736"/>
      <c r="AF1277" s="624"/>
      <c r="AG1277" s="624"/>
      <c r="AH1277" s="624"/>
      <c r="AI1277" s="624"/>
      <c r="AJ1277" s="984"/>
      <c r="AK1277" s="985"/>
      <c r="AL1277" s="986"/>
      <c r="AM1277" s="987"/>
      <c r="AN1277" s="988"/>
      <c r="AO1277" s="986"/>
      <c r="AP1277" s="989"/>
      <c r="AQ1277" s="986"/>
      <c r="AR1277" s="990"/>
      <c r="AS1277" s="624"/>
      <c r="AT1277" s="624"/>
      <c r="AU1277" s="624"/>
      <c r="AV1277" s="624"/>
      <c r="AW1277" s="624"/>
      <c r="AX1277" s="624"/>
      <c r="AY1277" s="624"/>
      <c r="AZ1277" s="624"/>
      <c r="BA1277" s="624"/>
      <c r="BB1277" s="624"/>
      <c r="BC1277" s="624"/>
      <c r="BD1277" s="624"/>
      <c r="BE1277" s="624"/>
    </row>
    <row r="1278" ht="16.5" customHeight="1">
      <c r="A1278" s="711"/>
      <c r="B1278" s="711"/>
      <c r="C1278" s="711"/>
      <c r="D1278" s="711"/>
      <c r="E1278" s="711"/>
      <c r="F1278" s="711"/>
      <c r="G1278" s="711"/>
      <c r="H1278" s="711"/>
      <c r="I1278" s="711"/>
      <c r="J1278" s="711"/>
      <c r="K1278" s="741"/>
      <c r="L1278" s="741"/>
      <c r="M1278" s="788"/>
      <c r="N1278" s="741"/>
      <c r="O1278" s="741"/>
      <c r="P1278" s="741"/>
      <c r="Q1278" s="741"/>
      <c r="R1278" s="788"/>
      <c r="S1278" s="819"/>
      <c r="T1278" s="820"/>
      <c r="U1278" s="819"/>
      <c r="V1278" s="820"/>
      <c r="W1278" s="788"/>
      <c r="X1278" s="803"/>
      <c r="Y1278" s="803"/>
      <c r="Z1278" s="803"/>
      <c r="AA1278" s="711"/>
      <c r="AB1278" s="711"/>
      <c r="AC1278" s="711"/>
      <c r="AD1278" s="736"/>
      <c r="AE1278" s="736"/>
      <c r="AF1278" s="624"/>
      <c r="AG1278" s="624"/>
      <c r="AH1278" s="624"/>
      <c r="AI1278" s="624"/>
      <c r="AJ1278" s="984"/>
      <c r="AK1278" s="985"/>
      <c r="AL1278" s="986"/>
      <c r="AM1278" s="987"/>
      <c r="AN1278" s="988"/>
      <c r="AO1278" s="986"/>
      <c r="AP1278" s="989"/>
      <c r="AQ1278" s="986"/>
      <c r="AR1278" s="990"/>
      <c r="AS1278" s="624"/>
      <c r="AT1278" s="624"/>
      <c r="AU1278" s="624"/>
      <c r="AV1278" s="624"/>
      <c r="AW1278" s="624"/>
      <c r="AX1278" s="624"/>
      <c r="AY1278" s="624"/>
      <c r="AZ1278" s="624"/>
      <c r="BA1278" s="624"/>
      <c r="BB1278" s="624"/>
      <c r="BC1278" s="624"/>
      <c r="BD1278" s="624"/>
      <c r="BE1278" s="624"/>
    </row>
    <row r="1279" ht="16.5" customHeight="1">
      <c r="A1279" s="711"/>
      <c r="B1279" s="711"/>
      <c r="C1279" s="711"/>
      <c r="D1279" s="711"/>
      <c r="E1279" s="711"/>
      <c r="F1279" s="711"/>
      <c r="G1279" s="711"/>
      <c r="H1279" s="711"/>
      <c r="I1279" s="711"/>
      <c r="J1279" s="711"/>
      <c r="K1279" s="741"/>
      <c r="L1279" s="741"/>
      <c r="M1279" s="788"/>
      <c r="N1279" s="741"/>
      <c r="O1279" s="741"/>
      <c r="P1279" s="741"/>
      <c r="Q1279" s="741"/>
      <c r="R1279" s="788"/>
      <c r="S1279" s="819"/>
      <c r="T1279" s="820"/>
      <c r="U1279" s="819"/>
      <c r="V1279" s="820"/>
      <c r="W1279" s="788"/>
      <c r="X1279" s="803"/>
      <c r="Y1279" s="803"/>
      <c r="Z1279" s="803"/>
      <c r="AA1279" s="711"/>
      <c r="AB1279" s="711"/>
      <c r="AC1279" s="711"/>
      <c r="AD1279" s="736"/>
      <c r="AE1279" s="736"/>
      <c r="AF1279" s="624"/>
      <c r="AG1279" s="624"/>
      <c r="AH1279" s="624"/>
      <c r="AI1279" s="624"/>
      <c r="AJ1279" s="984"/>
      <c r="AK1279" s="985"/>
      <c r="AL1279" s="986"/>
      <c r="AM1279" s="987"/>
      <c r="AN1279" s="988"/>
      <c r="AO1279" s="986"/>
      <c r="AP1279" s="989"/>
      <c r="AQ1279" s="986"/>
      <c r="AR1279" s="990"/>
      <c r="AS1279" s="624"/>
      <c r="AT1279" s="624"/>
      <c r="AU1279" s="624"/>
      <c r="AV1279" s="624"/>
      <c r="AW1279" s="624"/>
      <c r="AX1279" s="624"/>
      <c r="AY1279" s="624"/>
      <c r="AZ1279" s="624"/>
      <c r="BA1279" s="624"/>
      <c r="BB1279" s="624"/>
      <c r="BC1279" s="624"/>
      <c r="BD1279" s="624"/>
      <c r="BE1279" s="624"/>
    </row>
    <row r="1280" ht="16.5" customHeight="1">
      <c r="A1280" s="711"/>
      <c r="B1280" s="711"/>
      <c r="C1280" s="711"/>
      <c r="D1280" s="711"/>
      <c r="E1280" s="711"/>
      <c r="F1280" s="711"/>
      <c r="G1280" s="711"/>
      <c r="H1280" s="711"/>
      <c r="I1280" s="711"/>
      <c r="J1280" s="711"/>
      <c r="K1280" s="741"/>
      <c r="L1280" s="741"/>
      <c r="M1280" s="788"/>
      <c r="N1280" s="741"/>
      <c r="O1280" s="741"/>
      <c r="P1280" s="741"/>
      <c r="Q1280" s="741"/>
      <c r="R1280" s="788"/>
      <c r="S1280" s="819"/>
      <c r="T1280" s="820"/>
      <c r="U1280" s="819"/>
      <c r="V1280" s="820"/>
      <c r="W1280" s="788"/>
      <c r="X1280" s="803"/>
      <c r="Y1280" s="803"/>
      <c r="Z1280" s="803"/>
      <c r="AA1280" s="711"/>
      <c r="AB1280" s="711"/>
      <c r="AC1280" s="711"/>
      <c r="AD1280" s="736"/>
      <c r="AE1280" s="736"/>
      <c r="AF1280" s="624"/>
      <c r="AG1280" s="624"/>
      <c r="AH1280" s="624"/>
      <c r="AI1280" s="624"/>
      <c r="AJ1280" s="984"/>
      <c r="AK1280" s="985"/>
      <c r="AL1280" s="986"/>
      <c r="AM1280" s="987"/>
      <c r="AN1280" s="988"/>
      <c r="AO1280" s="986"/>
      <c r="AP1280" s="989"/>
      <c r="AQ1280" s="986"/>
      <c r="AR1280" s="990"/>
      <c r="AS1280" s="624"/>
      <c r="AT1280" s="624"/>
      <c r="AU1280" s="624"/>
      <c r="AV1280" s="624"/>
      <c r="AW1280" s="624"/>
      <c r="AX1280" s="624"/>
      <c r="AY1280" s="624"/>
      <c r="AZ1280" s="624"/>
      <c r="BA1280" s="624"/>
      <c r="BB1280" s="624"/>
      <c r="BC1280" s="624"/>
      <c r="BD1280" s="624"/>
      <c r="BE1280" s="624"/>
    </row>
    <row r="1281" ht="16.5" customHeight="1">
      <c r="A1281" s="711"/>
      <c r="B1281" s="711"/>
      <c r="C1281" s="711"/>
      <c r="D1281" s="711"/>
      <c r="E1281" s="711"/>
      <c r="F1281" s="711"/>
      <c r="G1281" s="711"/>
      <c r="H1281" s="711"/>
      <c r="I1281" s="711"/>
      <c r="J1281" s="711"/>
      <c r="K1281" s="741"/>
      <c r="L1281" s="741"/>
      <c r="M1281" s="788"/>
      <c r="N1281" s="741"/>
      <c r="O1281" s="741"/>
      <c r="P1281" s="741"/>
      <c r="Q1281" s="741"/>
      <c r="R1281" s="788"/>
      <c r="S1281" s="819"/>
      <c r="T1281" s="820"/>
      <c r="U1281" s="819"/>
      <c r="V1281" s="820"/>
      <c r="W1281" s="788"/>
      <c r="X1281" s="803"/>
      <c r="Y1281" s="803"/>
      <c r="Z1281" s="803"/>
      <c r="AA1281" s="711"/>
      <c r="AB1281" s="711"/>
      <c r="AC1281" s="711"/>
      <c r="AD1281" s="736"/>
      <c r="AE1281" s="736"/>
      <c r="AF1281" s="624"/>
      <c r="AG1281" s="624"/>
      <c r="AH1281" s="624"/>
      <c r="AI1281" s="624"/>
      <c r="AJ1281" s="984"/>
      <c r="AK1281" s="985"/>
      <c r="AL1281" s="986"/>
      <c r="AM1281" s="987"/>
      <c r="AN1281" s="988"/>
      <c r="AO1281" s="986"/>
      <c r="AP1281" s="989"/>
      <c r="AQ1281" s="986"/>
      <c r="AR1281" s="990"/>
      <c r="AS1281" s="624"/>
      <c r="AT1281" s="624"/>
      <c r="AU1281" s="624"/>
      <c r="AV1281" s="624"/>
      <c r="AW1281" s="624"/>
      <c r="AX1281" s="624"/>
      <c r="AY1281" s="624"/>
      <c r="AZ1281" s="624"/>
      <c r="BA1281" s="624"/>
      <c r="BB1281" s="624"/>
      <c r="BC1281" s="624"/>
      <c r="BD1281" s="624"/>
      <c r="BE1281" s="624"/>
    </row>
    <row r="1282" ht="16.5" customHeight="1">
      <c r="A1282" s="711"/>
      <c r="B1282" s="711"/>
      <c r="C1282" s="711"/>
      <c r="D1282" s="711"/>
      <c r="E1282" s="711"/>
      <c r="F1282" s="711"/>
      <c r="G1282" s="711"/>
      <c r="H1282" s="711"/>
      <c r="I1282" s="711"/>
      <c r="J1282" s="711"/>
      <c r="K1282" s="741"/>
      <c r="L1282" s="741"/>
      <c r="M1282" s="788"/>
      <c r="N1282" s="741"/>
      <c r="O1282" s="741"/>
      <c r="P1282" s="741"/>
      <c r="Q1282" s="741"/>
      <c r="R1282" s="788"/>
      <c r="S1282" s="819"/>
      <c r="T1282" s="820"/>
      <c r="U1282" s="819"/>
      <c r="V1282" s="820"/>
      <c r="W1282" s="788"/>
      <c r="X1282" s="803"/>
      <c r="Y1282" s="803"/>
      <c r="Z1282" s="803"/>
      <c r="AA1282" s="711"/>
      <c r="AB1282" s="711"/>
      <c r="AC1282" s="711"/>
      <c r="AD1282" s="736"/>
      <c r="AE1282" s="736"/>
      <c r="AF1282" s="624"/>
      <c r="AG1282" s="624"/>
      <c r="AH1282" s="624"/>
      <c r="AI1282" s="624"/>
      <c r="AJ1282" s="984"/>
      <c r="AK1282" s="985"/>
      <c r="AL1282" s="986"/>
      <c r="AM1282" s="987"/>
      <c r="AN1282" s="988"/>
      <c r="AO1282" s="986"/>
      <c r="AP1282" s="989"/>
      <c r="AQ1282" s="986"/>
      <c r="AR1282" s="990"/>
      <c r="AS1282" s="624"/>
      <c r="AT1282" s="624"/>
      <c r="AU1282" s="624"/>
      <c r="AV1282" s="624"/>
      <c r="AW1282" s="624"/>
      <c r="AX1282" s="624"/>
      <c r="AY1282" s="624"/>
      <c r="AZ1282" s="624"/>
      <c r="BA1282" s="624"/>
      <c r="BB1282" s="624"/>
      <c r="BC1282" s="624"/>
      <c r="BD1282" s="624"/>
      <c r="BE1282" s="624"/>
    </row>
    <row r="1283" ht="16.5" customHeight="1">
      <c r="A1283" s="711"/>
      <c r="B1283" s="711"/>
      <c r="C1283" s="711"/>
      <c r="D1283" s="711"/>
      <c r="E1283" s="711"/>
      <c r="F1283" s="711"/>
      <c r="G1283" s="711"/>
      <c r="H1283" s="711"/>
      <c r="I1283" s="711"/>
      <c r="J1283" s="711"/>
      <c r="K1283" s="741"/>
      <c r="L1283" s="741"/>
      <c r="M1283" s="788"/>
      <c r="N1283" s="741"/>
      <c r="O1283" s="741"/>
      <c r="P1283" s="741"/>
      <c r="Q1283" s="741"/>
      <c r="R1283" s="788"/>
      <c r="S1283" s="819"/>
      <c r="T1283" s="820"/>
      <c r="U1283" s="819"/>
      <c r="V1283" s="820"/>
      <c r="W1283" s="788"/>
      <c r="X1283" s="803"/>
      <c r="Y1283" s="803"/>
      <c r="Z1283" s="803"/>
      <c r="AA1283" s="711"/>
      <c r="AB1283" s="711"/>
      <c r="AC1283" s="711"/>
      <c r="AD1283" s="736"/>
      <c r="AE1283" s="736"/>
      <c r="AF1283" s="624"/>
      <c r="AG1283" s="624"/>
      <c r="AH1283" s="624"/>
      <c r="AI1283" s="624"/>
      <c r="AJ1283" s="984"/>
      <c r="AK1283" s="985"/>
      <c r="AL1283" s="986"/>
      <c r="AM1283" s="987"/>
      <c r="AN1283" s="988"/>
      <c r="AO1283" s="986"/>
      <c r="AP1283" s="989"/>
      <c r="AQ1283" s="986"/>
      <c r="AR1283" s="990"/>
      <c r="AS1283" s="624"/>
      <c r="AT1283" s="624"/>
      <c r="AU1283" s="624"/>
      <c r="AV1283" s="624"/>
      <c r="AW1283" s="624"/>
      <c r="AX1283" s="624"/>
      <c r="AY1283" s="624"/>
      <c r="AZ1283" s="624"/>
      <c r="BA1283" s="624"/>
      <c r="BB1283" s="624"/>
      <c r="BC1283" s="624"/>
      <c r="BD1283" s="624"/>
      <c r="BE1283" s="624"/>
    </row>
    <row r="1284" ht="16.5" customHeight="1">
      <c r="A1284" s="711"/>
      <c r="B1284" s="711"/>
      <c r="C1284" s="711"/>
      <c r="D1284" s="711"/>
      <c r="E1284" s="711"/>
      <c r="F1284" s="711"/>
      <c r="G1284" s="711"/>
      <c r="H1284" s="711"/>
      <c r="I1284" s="711"/>
      <c r="J1284" s="711"/>
      <c r="K1284" s="741"/>
      <c r="L1284" s="741"/>
      <c r="M1284" s="788"/>
      <c r="N1284" s="741"/>
      <c r="O1284" s="741"/>
      <c r="P1284" s="741"/>
      <c r="Q1284" s="741"/>
      <c r="R1284" s="788"/>
      <c r="S1284" s="819"/>
      <c r="T1284" s="820"/>
      <c r="U1284" s="819"/>
      <c r="V1284" s="820"/>
      <c r="W1284" s="788"/>
      <c r="X1284" s="803"/>
      <c r="Y1284" s="803"/>
      <c r="Z1284" s="803"/>
      <c r="AA1284" s="711"/>
      <c r="AB1284" s="711"/>
      <c r="AC1284" s="711"/>
      <c r="AD1284" s="736"/>
      <c r="AE1284" s="736"/>
      <c r="AF1284" s="624"/>
      <c r="AG1284" s="624"/>
      <c r="AH1284" s="624"/>
      <c r="AI1284" s="624"/>
      <c r="AJ1284" s="984"/>
      <c r="AK1284" s="985"/>
      <c r="AL1284" s="986"/>
      <c r="AM1284" s="987"/>
      <c r="AN1284" s="988"/>
      <c r="AO1284" s="986"/>
      <c r="AP1284" s="989"/>
      <c r="AQ1284" s="986"/>
      <c r="AR1284" s="990"/>
      <c r="AS1284" s="624"/>
      <c r="AT1284" s="624"/>
      <c r="AU1284" s="624"/>
      <c r="AV1284" s="624"/>
      <c r="AW1284" s="624"/>
      <c r="AX1284" s="624"/>
      <c r="AY1284" s="624"/>
      <c r="AZ1284" s="624"/>
      <c r="BA1284" s="624"/>
      <c r="BB1284" s="624"/>
      <c r="BC1284" s="624"/>
      <c r="BD1284" s="624"/>
      <c r="BE1284" s="624"/>
    </row>
    <row r="1285" ht="16.5" customHeight="1">
      <c r="A1285" s="711"/>
      <c r="B1285" s="711"/>
      <c r="C1285" s="711"/>
      <c r="D1285" s="711"/>
      <c r="E1285" s="711"/>
      <c r="F1285" s="711"/>
      <c r="G1285" s="711"/>
      <c r="H1285" s="711"/>
      <c r="I1285" s="711"/>
      <c r="J1285" s="711"/>
      <c r="K1285" s="741"/>
      <c r="L1285" s="741"/>
      <c r="M1285" s="788"/>
      <c r="N1285" s="741"/>
      <c r="O1285" s="741"/>
      <c r="P1285" s="741"/>
      <c r="Q1285" s="741"/>
      <c r="R1285" s="788"/>
      <c r="S1285" s="819"/>
      <c r="T1285" s="820"/>
      <c r="U1285" s="819"/>
      <c r="V1285" s="820"/>
      <c r="W1285" s="788"/>
      <c r="X1285" s="803"/>
      <c r="Y1285" s="803"/>
      <c r="Z1285" s="803"/>
      <c r="AA1285" s="711"/>
      <c r="AB1285" s="711"/>
      <c r="AC1285" s="711"/>
      <c r="AD1285" s="736"/>
      <c r="AE1285" s="736"/>
      <c r="AF1285" s="624"/>
      <c r="AG1285" s="624"/>
      <c r="AH1285" s="624"/>
      <c r="AI1285" s="624"/>
      <c r="AJ1285" s="984"/>
      <c r="AK1285" s="985"/>
      <c r="AL1285" s="986"/>
      <c r="AM1285" s="987"/>
      <c r="AN1285" s="988"/>
      <c r="AO1285" s="986"/>
      <c r="AP1285" s="989"/>
      <c r="AQ1285" s="986"/>
      <c r="AR1285" s="990"/>
      <c r="AS1285" s="624"/>
      <c r="AT1285" s="624"/>
      <c r="AU1285" s="624"/>
      <c r="AV1285" s="624"/>
      <c r="AW1285" s="624"/>
      <c r="AX1285" s="624"/>
      <c r="AY1285" s="624"/>
      <c r="AZ1285" s="624"/>
      <c r="BA1285" s="624"/>
      <c r="BB1285" s="624"/>
      <c r="BC1285" s="624"/>
      <c r="BD1285" s="624"/>
      <c r="BE1285" s="624"/>
    </row>
    <row r="1286" ht="16.5" customHeight="1">
      <c r="A1286" s="711"/>
      <c r="B1286" s="711"/>
      <c r="C1286" s="711"/>
      <c r="D1286" s="711"/>
      <c r="E1286" s="711"/>
      <c r="F1286" s="711"/>
      <c r="G1286" s="711"/>
      <c r="H1286" s="711"/>
      <c r="I1286" s="711"/>
      <c r="J1286" s="711"/>
      <c r="K1286" s="741"/>
      <c r="L1286" s="741"/>
      <c r="M1286" s="788"/>
      <c r="N1286" s="741"/>
      <c r="O1286" s="741"/>
      <c r="P1286" s="741"/>
      <c r="Q1286" s="741"/>
      <c r="R1286" s="788"/>
      <c r="S1286" s="819"/>
      <c r="T1286" s="820"/>
      <c r="U1286" s="819"/>
      <c r="V1286" s="820"/>
      <c r="W1286" s="788"/>
      <c r="X1286" s="803"/>
      <c r="Y1286" s="803"/>
      <c r="Z1286" s="803"/>
      <c r="AA1286" s="711"/>
      <c r="AB1286" s="711"/>
      <c r="AC1286" s="711"/>
      <c r="AD1286" s="736"/>
      <c r="AE1286" s="736"/>
      <c r="AF1286" s="624"/>
      <c r="AG1286" s="624"/>
      <c r="AH1286" s="624"/>
      <c r="AI1286" s="624"/>
      <c r="AJ1286" s="984"/>
      <c r="AK1286" s="985"/>
      <c r="AL1286" s="986"/>
      <c r="AM1286" s="987"/>
      <c r="AN1286" s="988"/>
      <c r="AO1286" s="986"/>
      <c r="AP1286" s="989"/>
      <c r="AQ1286" s="986"/>
      <c r="AR1286" s="990"/>
      <c r="AS1286" s="624"/>
      <c r="AT1286" s="624"/>
      <c r="AU1286" s="624"/>
      <c r="AV1286" s="624"/>
      <c r="AW1286" s="624"/>
      <c r="AX1286" s="624"/>
      <c r="AY1286" s="624"/>
      <c r="AZ1286" s="624"/>
      <c r="BA1286" s="624"/>
      <c r="BB1286" s="624"/>
      <c r="BC1286" s="624"/>
      <c r="BD1286" s="624"/>
      <c r="BE1286" s="624"/>
    </row>
    <row r="1287" ht="16.5" customHeight="1">
      <c r="A1287" s="711"/>
      <c r="B1287" s="711"/>
      <c r="C1287" s="711"/>
      <c r="D1287" s="711"/>
      <c r="E1287" s="711"/>
      <c r="F1287" s="711"/>
      <c r="G1287" s="711"/>
      <c r="H1287" s="711"/>
      <c r="I1287" s="711"/>
      <c r="J1287" s="711"/>
      <c r="K1287" s="741"/>
      <c r="L1287" s="741"/>
      <c r="M1287" s="788"/>
      <c r="N1287" s="741"/>
      <c r="O1287" s="741"/>
      <c r="P1287" s="741"/>
      <c r="Q1287" s="741"/>
      <c r="R1287" s="788"/>
      <c r="S1287" s="819"/>
      <c r="T1287" s="820"/>
      <c r="U1287" s="819"/>
      <c r="V1287" s="820"/>
      <c r="W1287" s="788"/>
      <c r="X1287" s="803"/>
      <c r="Y1287" s="803"/>
      <c r="Z1287" s="803"/>
      <c r="AA1287" s="711"/>
      <c r="AB1287" s="711"/>
      <c r="AC1287" s="711"/>
      <c r="AD1287" s="736"/>
      <c r="AE1287" s="736"/>
      <c r="AF1287" s="624"/>
      <c r="AG1287" s="624"/>
      <c r="AH1287" s="624"/>
      <c r="AI1287" s="624"/>
      <c r="AJ1287" s="984"/>
      <c r="AK1287" s="985"/>
      <c r="AL1287" s="986"/>
      <c r="AM1287" s="987"/>
      <c r="AN1287" s="988"/>
      <c r="AO1287" s="986"/>
      <c r="AP1287" s="989"/>
      <c r="AQ1287" s="986"/>
      <c r="AR1287" s="990"/>
      <c r="AS1287" s="624"/>
      <c r="AT1287" s="624"/>
      <c r="AU1287" s="624"/>
      <c r="AV1287" s="624"/>
      <c r="AW1287" s="624"/>
      <c r="AX1287" s="624"/>
      <c r="AY1287" s="624"/>
      <c r="AZ1287" s="624"/>
      <c r="BA1287" s="624"/>
      <c r="BB1287" s="624"/>
      <c r="BC1287" s="624"/>
      <c r="BD1287" s="624"/>
      <c r="BE1287" s="624"/>
    </row>
    <row r="1288" ht="16.5" customHeight="1">
      <c r="A1288" s="711"/>
      <c r="B1288" s="711"/>
      <c r="C1288" s="711"/>
      <c r="D1288" s="711"/>
      <c r="E1288" s="711"/>
      <c r="F1288" s="711"/>
      <c r="G1288" s="711"/>
      <c r="H1288" s="711"/>
      <c r="I1288" s="711"/>
      <c r="J1288" s="711"/>
      <c r="K1288" s="741"/>
      <c r="L1288" s="741"/>
      <c r="M1288" s="788"/>
      <c r="N1288" s="741"/>
      <c r="O1288" s="741"/>
      <c r="P1288" s="741"/>
      <c r="Q1288" s="741"/>
      <c r="R1288" s="788"/>
      <c r="S1288" s="819"/>
      <c r="T1288" s="820"/>
      <c r="U1288" s="819"/>
      <c r="V1288" s="820"/>
      <c r="W1288" s="788"/>
      <c r="X1288" s="803"/>
      <c r="Y1288" s="803"/>
      <c r="Z1288" s="803"/>
      <c r="AA1288" s="711"/>
      <c r="AB1288" s="711"/>
      <c r="AC1288" s="711"/>
      <c r="AD1288" s="736"/>
      <c r="AE1288" s="736"/>
      <c r="AF1288" s="624"/>
      <c r="AG1288" s="624"/>
      <c r="AH1288" s="624"/>
      <c r="AI1288" s="624"/>
      <c r="AJ1288" s="984"/>
      <c r="AK1288" s="985"/>
      <c r="AL1288" s="986"/>
      <c r="AM1288" s="987"/>
      <c r="AN1288" s="988"/>
      <c r="AO1288" s="986"/>
      <c r="AP1288" s="989"/>
      <c r="AQ1288" s="986"/>
      <c r="AR1288" s="990"/>
      <c r="AS1288" s="624"/>
      <c r="AT1288" s="624"/>
      <c r="AU1288" s="624"/>
      <c r="AV1288" s="624"/>
      <c r="AW1288" s="624"/>
      <c r="AX1288" s="624"/>
      <c r="AY1288" s="624"/>
      <c r="AZ1288" s="624"/>
      <c r="BA1288" s="624"/>
      <c r="BB1288" s="624"/>
      <c r="BC1288" s="624"/>
      <c r="BD1288" s="624"/>
      <c r="BE1288" s="624"/>
    </row>
    <row r="1289" ht="16.5" customHeight="1">
      <c r="A1289" s="711"/>
      <c r="B1289" s="711"/>
      <c r="C1289" s="711"/>
      <c r="D1289" s="711"/>
      <c r="E1289" s="711"/>
      <c r="F1289" s="711"/>
      <c r="G1289" s="711"/>
      <c r="H1289" s="711"/>
      <c r="I1289" s="711"/>
      <c r="J1289" s="711"/>
      <c r="K1289" s="741"/>
      <c r="L1289" s="741"/>
      <c r="M1289" s="788"/>
      <c r="N1289" s="741"/>
      <c r="O1289" s="741"/>
      <c r="P1289" s="741"/>
      <c r="Q1289" s="741"/>
      <c r="R1289" s="788"/>
      <c r="S1289" s="819"/>
      <c r="T1289" s="820"/>
      <c r="U1289" s="819"/>
      <c r="V1289" s="820"/>
      <c r="W1289" s="788"/>
      <c r="X1289" s="803"/>
      <c r="Y1289" s="803"/>
      <c r="Z1289" s="803"/>
      <c r="AA1289" s="711"/>
      <c r="AB1289" s="711"/>
      <c r="AC1289" s="711"/>
      <c r="AD1289" s="736"/>
      <c r="AE1289" s="736"/>
      <c r="AF1289" s="624"/>
      <c r="AG1289" s="624"/>
      <c r="AH1289" s="624"/>
      <c r="AI1289" s="624"/>
      <c r="AJ1289" s="984"/>
      <c r="AK1289" s="985"/>
      <c r="AL1289" s="986"/>
      <c r="AM1289" s="987"/>
      <c r="AN1289" s="988"/>
      <c r="AO1289" s="986"/>
      <c r="AP1289" s="989"/>
      <c r="AQ1289" s="986"/>
      <c r="AR1289" s="990"/>
      <c r="AS1289" s="624"/>
      <c r="AT1289" s="624"/>
      <c r="AU1289" s="624"/>
      <c r="AV1289" s="624"/>
      <c r="AW1289" s="624"/>
      <c r="AX1289" s="624"/>
      <c r="AY1289" s="624"/>
      <c r="AZ1289" s="624"/>
      <c r="BA1289" s="624"/>
      <c r="BB1289" s="624"/>
      <c r="BC1289" s="624"/>
      <c r="BD1289" s="624"/>
      <c r="BE1289" s="624"/>
    </row>
    <row r="1290" ht="16.5" customHeight="1">
      <c r="A1290" s="711"/>
      <c r="B1290" s="711"/>
      <c r="C1290" s="711"/>
      <c r="D1290" s="711"/>
      <c r="E1290" s="711"/>
      <c r="F1290" s="711"/>
      <c r="G1290" s="711"/>
      <c r="H1290" s="711"/>
      <c r="I1290" s="711"/>
      <c r="J1290" s="711"/>
      <c r="K1290" s="741"/>
      <c r="L1290" s="741"/>
      <c r="M1290" s="788"/>
      <c r="N1290" s="741"/>
      <c r="O1290" s="741"/>
      <c r="P1290" s="741"/>
      <c r="Q1290" s="741"/>
      <c r="R1290" s="788"/>
      <c r="S1290" s="819"/>
      <c r="T1290" s="820"/>
      <c r="U1290" s="819"/>
      <c r="V1290" s="820"/>
      <c r="W1290" s="788"/>
      <c r="X1290" s="803"/>
      <c r="Y1290" s="803"/>
      <c r="Z1290" s="803"/>
      <c r="AA1290" s="711"/>
      <c r="AB1290" s="711"/>
      <c r="AC1290" s="711"/>
      <c r="AD1290" s="736"/>
      <c r="AE1290" s="736"/>
      <c r="AF1290" s="624"/>
      <c r="AG1290" s="624"/>
      <c r="AH1290" s="624"/>
      <c r="AI1290" s="624"/>
      <c r="AJ1290" s="984"/>
      <c r="AK1290" s="985"/>
      <c r="AL1290" s="986"/>
      <c r="AM1290" s="987"/>
      <c r="AN1290" s="988"/>
      <c r="AO1290" s="986"/>
      <c r="AP1290" s="989"/>
      <c r="AQ1290" s="986"/>
      <c r="AR1290" s="990"/>
      <c r="AS1290" s="624"/>
      <c r="AT1290" s="624"/>
      <c r="AU1290" s="624"/>
      <c r="AV1290" s="624"/>
      <c r="AW1290" s="624"/>
      <c r="AX1290" s="624"/>
      <c r="AY1290" s="624"/>
      <c r="AZ1290" s="624"/>
      <c r="BA1290" s="624"/>
      <c r="BB1290" s="624"/>
      <c r="BC1290" s="624"/>
      <c r="BD1290" s="624"/>
      <c r="BE1290" s="624"/>
    </row>
    <row r="1291" ht="16.5" customHeight="1">
      <c r="A1291" s="711"/>
      <c r="B1291" s="711"/>
      <c r="C1291" s="711"/>
      <c r="D1291" s="711"/>
      <c r="E1291" s="711"/>
      <c r="F1291" s="711"/>
      <c r="G1291" s="711"/>
      <c r="H1291" s="711"/>
      <c r="I1291" s="711"/>
      <c r="J1291" s="711"/>
      <c r="K1291" s="741"/>
      <c r="L1291" s="741"/>
      <c r="M1291" s="788"/>
      <c r="N1291" s="741"/>
      <c r="O1291" s="741"/>
      <c r="P1291" s="741"/>
      <c r="Q1291" s="741"/>
      <c r="R1291" s="788"/>
      <c r="S1291" s="819"/>
      <c r="T1291" s="820"/>
      <c r="U1291" s="819"/>
      <c r="V1291" s="820"/>
      <c r="W1291" s="788"/>
      <c r="X1291" s="803"/>
      <c r="Y1291" s="803"/>
      <c r="Z1291" s="803"/>
      <c r="AA1291" s="711"/>
      <c r="AB1291" s="711"/>
      <c r="AC1291" s="711"/>
      <c r="AD1291" s="736"/>
      <c r="AE1291" s="736"/>
      <c r="AF1291" s="624"/>
      <c r="AG1291" s="624"/>
      <c r="AH1291" s="624"/>
      <c r="AI1291" s="624"/>
      <c r="AJ1291" s="984"/>
      <c r="AK1291" s="985"/>
      <c r="AL1291" s="986"/>
      <c r="AM1291" s="987"/>
      <c r="AN1291" s="988"/>
      <c r="AO1291" s="986"/>
      <c r="AP1291" s="989"/>
      <c r="AQ1291" s="986"/>
      <c r="AR1291" s="990"/>
      <c r="AS1291" s="624"/>
      <c r="AT1291" s="624"/>
      <c r="AU1291" s="624"/>
      <c r="AV1291" s="624"/>
      <c r="AW1291" s="624"/>
      <c r="AX1291" s="624"/>
      <c r="AY1291" s="624"/>
      <c r="AZ1291" s="624"/>
      <c r="BA1291" s="624"/>
      <c r="BB1291" s="624"/>
      <c r="BC1291" s="624"/>
      <c r="BD1291" s="624"/>
      <c r="BE1291" s="624"/>
    </row>
    <row r="1292" ht="16.5" customHeight="1">
      <c r="A1292" s="711"/>
      <c r="B1292" s="711"/>
      <c r="C1292" s="711"/>
      <c r="D1292" s="711"/>
      <c r="E1292" s="711"/>
      <c r="F1292" s="711"/>
      <c r="G1292" s="711"/>
      <c r="H1292" s="711"/>
      <c r="I1292" s="711"/>
      <c r="J1292" s="711"/>
      <c r="K1292" s="741"/>
      <c r="L1292" s="741"/>
      <c r="M1292" s="788"/>
      <c r="N1292" s="741"/>
      <c r="O1292" s="741"/>
      <c r="P1292" s="741"/>
      <c r="Q1292" s="741"/>
      <c r="R1292" s="788"/>
      <c r="S1292" s="819"/>
      <c r="T1292" s="820"/>
      <c r="U1292" s="819"/>
      <c r="V1292" s="820"/>
      <c r="W1292" s="788"/>
      <c r="X1292" s="803"/>
      <c r="Y1292" s="803"/>
      <c r="Z1292" s="803"/>
      <c r="AA1292" s="711"/>
      <c r="AB1292" s="711"/>
      <c r="AC1292" s="711"/>
      <c r="AD1292" s="736"/>
      <c r="AE1292" s="736"/>
      <c r="AF1292" s="624"/>
      <c r="AG1292" s="624"/>
      <c r="AH1292" s="624"/>
      <c r="AI1292" s="624"/>
      <c r="AJ1292" s="984"/>
      <c r="AK1292" s="985"/>
      <c r="AL1292" s="986"/>
      <c r="AM1292" s="987"/>
      <c r="AN1292" s="988"/>
      <c r="AO1292" s="986"/>
      <c r="AP1292" s="989"/>
      <c r="AQ1292" s="986"/>
      <c r="AR1292" s="990"/>
      <c r="AS1292" s="624"/>
      <c r="AT1292" s="624"/>
      <c r="AU1292" s="624"/>
      <c r="AV1292" s="624"/>
      <c r="AW1292" s="624"/>
      <c r="AX1292" s="624"/>
      <c r="AY1292" s="624"/>
      <c r="AZ1292" s="624"/>
      <c r="BA1292" s="624"/>
      <c r="BB1292" s="624"/>
      <c r="BC1292" s="624"/>
      <c r="BD1292" s="624"/>
      <c r="BE1292" s="624"/>
    </row>
    <row r="1293" ht="16.5" customHeight="1">
      <c r="A1293" s="711"/>
      <c r="B1293" s="711"/>
      <c r="C1293" s="711"/>
      <c r="D1293" s="711"/>
      <c r="E1293" s="711"/>
      <c r="F1293" s="711"/>
      <c r="G1293" s="711"/>
      <c r="H1293" s="711"/>
      <c r="I1293" s="711"/>
      <c r="J1293" s="711"/>
      <c r="K1293" s="741"/>
      <c r="L1293" s="741"/>
      <c r="M1293" s="788"/>
      <c r="N1293" s="741"/>
      <c r="O1293" s="741"/>
      <c r="P1293" s="741"/>
      <c r="Q1293" s="741"/>
      <c r="R1293" s="788"/>
      <c r="S1293" s="819"/>
      <c r="T1293" s="820"/>
      <c r="U1293" s="819"/>
      <c r="V1293" s="820"/>
      <c r="W1293" s="788"/>
      <c r="X1293" s="803"/>
      <c r="Y1293" s="803"/>
      <c r="Z1293" s="803"/>
      <c r="AA1293" s="711"/>
      <c r="AB1293" s="711"/>
      <c r="AC1293" s="711"/>
      <c r="AD1293" s="736"/>
      <c r="AE1293" s="736"/>
      <c r="AF1293" s="624"/>
      <c r="AG1293" s="624"/>
      <c r="AH1293" s="624"/>
      <c r="AI1293" s="624"/>
      <c r="AJ1293" s="984"/>
      <c r="AK1293" s="985"/>
      <c r="AL1293" s="986"/>
      <c r="AM1293" s="987"/>
      <c r="AN1293" s="988"/>
      <c r="AO1293" s="986"/>
      <c r="AP1293" s="989"/>
      <c r="AQ1293" s="986"/>
      <c r="AR1293" s="990"/>
      <c r="AS1293" s="624"/>
      <c r="AT1293" s="624"/>
      <c r="AU1293" s="624"/>
      <c r="AV1293" s="624"/>
      <c r="AW1293" s="624"/>
      <c r="AX1293" s="624"/>
      <c r="AY1293" s="624"/>
      <c r="AZ1293" s="624"/>
      <c r="BA1293" s="624"/>
      <c r="BB1293" s="624"/>
      <c r="BC1293" s="624"/>
      <c r="BD1293" s="624"/>
      <c r="BE1293" s="624"/>
    </row>
    <row r="1294" ht="16.5" customHeight="1">
      <c r="A1294" s="711"/>
      <c r="B1294" s="711"/>
      <c r="C1294" s="711"/>
      <c r="D1294" s="711"/>
      <c r="E1294" s="711"/>
      <c r="F1294" s="711"/>
      <c r="G1294" s="711"/>
      <c r="H1294" s="711"/>
      <c r="I1294" s="711"/>
      <c r="J1294" s="711"/>
      <c r="K1294" s="741"/>
      <c r="L1294" s="741"/>
      <c r="M1294" s="788"/>
      <c r="N1294" s="741"/>
      <c r="O1294" s="741"/>
      <c r="P1294" s="741"/>
      <c r="Q1294" s="741"/>
      <c r="R1294" s="788"/>
      <c r="S1294" s="819"/>
      <c r="T1294" s="820"/>
      <c r="U1294" s="819"/>
      <c r="V1294" s="820"/>
      <c r="W1294" s="788"/>
      <c r="X1294" s="803"/>
      <c r="Y1294" s="803"/>
      <c r="Z1294" s="803"/>
      <c r="AA1294" s="711"/>
      <c r="AB1294" s="711"/>
      <c r="AC1294" s="711"/>
      <c r="AD1294" s="736"/>
      <c r="AE1294" s="736"/>
      <c r="AF1294" s="624"/>
      <c r="AG1294" s="624"/>
      <c r="AH1294" s="624"/>
      <c r="AI1294" s="624"/>
      <c r="AJ1294" s="984"/>
      <c r="AK1294" s="985"/>
      <c r="AL1294" s="986"/>
      <c r="AM1294" s="987"/>
      <c r="AN1294" s="988"/>
      <c r="AO1294" s="986"/>
      <c r="AP1294" s="989"/>
      <c r="AQ1294" s="986"/>
      <c r="AR1294" s="990"/>
      <c r="AS1294" s="624"/>
      <c r="AT1294" s="624"/>
      <c r="AU1294" s="624"/>
      <c r="AV1294" s="624"/>
      <c r="AW1294" s="624"/>
      <c r="AX1294" s="624"/>
      <c r="AY1294" s="624"/>
      <c r="AZ1294" s="624"/>
      <c r="BA1294" s="624"/>
      <c r="BB1294" s="624"/>
      <c r="BC1294" s="624"/>
      <c r="BD1294" s="624"/>
      <c r="BE1294" s="624"/>
    </row>
    <row r="1295" ht="16.5" customHeight="1">
      <c r="A1295" s="711"/>
      <c r="B1295" s="711"/>
      <c r="C1295" s="711"/>
      <c r="D1295" s="711"/>
      <c r="E1295" s="711"/>
      <c r="F1295" s="711"/>
      <c r="G1295" s="711"/>
      <c r="H1295" s="711"/>
      <c r="I1295" s="711"/>
      <c r="J1295" s="711"/>
      <c r="K1295" s="741"/>
      <c r="L1295" s="741"/>
      <c r="M1295" s="788"/>
      <c r="N1295" s="741"/>
      <c r="O1295" s="741"/>
      <c r="P1295" s="741"/>
      <c r="Q1295" s="741"/>
      <c r="R1295" s="788"/>
      <c r="S1295" s="819"/>
      <c r="T1295" s="820"/>
      <c r="U1295" s="819"/>
      <c r="V1295" s="820"/>
      <c r="W1295" s="788"/>
      <c r="X1295" s="803"/>
      <c r="Y1295" s="803"/>
      <c r="Z1295" s="803"/>
      <c r="AA1295" s="711"/>
      <c r="AB1295" s="711"/>
      <c r="AC1295" s="711"/>
      <c r="AD1295" s="736"/>
      <c r="AE1295" s="736"/>
      <c r="AF1295" s="624"/>
      <c r="AG1295" s="624"/>
      <c r="AH1295" s="624"/>
      <c r="AI1295" s="624"/>
      <c r="AJ1295" s="984"/>
      <c r="AK1295" s="985"/>
      <c r="AL1295" s="986"/>
      <c r="AM1295" s="987"/>
      <c r="AN1295" s="988"/>
      <c r="AO1295" s="986"/>
      <c r="AP1295" s="989"/>
      <c r="AQ1295" s="986"/>
      <c r="AR1295" s="990"/>
      <c r="AS1295" s="624"/>
      <c r="AT1295" s="624"/>
      <c r="AU1295" s="624"/>
      <c r="AV1295" s="624"/>
      <c r="AW1295" s="624"/>
      <c r="AX1295" s="624"/>
      <c r="AY1295" s="624"/>
      <c r="AZ1295" s="624"/>
      <c r="BA1295" s="624"/>
      <c r="BB1295" s="624"/>
      <c r="BC1295" s="624"/>
      <c r="BD1295" s="624"/>
      <c r="BE1295" s="624"/>
    </row>
    <row r="1296" ht="16.5" customHeight="1">
      <c r="A1296" s="711"/>
      <c r="B1296" s="711"/>
      <c r="C1296" s="711"/>
      <c r="D1296" s="711"/>
      <c r="E1296" s="711"/>
      <c r="F1296" s="711"/>
      <c r="G1296" s="711"/>
      <c r="H1296" s="711"/>
      <c r="I1296" s="711"/>
      <c r="J1296" s="711"/>
      <c r="K1296" s="741"/>
      <c r="L1296" s="741"/>
      <c r="M1296" s="788"/>
      <c r="N1296" s="741"/>
      <c r="O1296" s="741"/>
      <c r="P1296" s="741"/>
      <c r="Q1296" s="741"/>
      <c r="R1296" s="788"/>
      <c r="S1296" s="819"/>
      <c r="T1296" s="820"/>
      <c r="U1296" s="819"/>
      <c r="V1296" s="820"/>
      <c r="W1296" s="788"/>
      <c r="X1296" s="803"/>
      <c r="Y1296" s="803"/>
      <c r="Z1296" s="803"/>
      <c r="AA1296" s="711"/>
      <c r="AB1296" s="711"/>
      <c r="AC1296" s="711"/>
      <c r="AD1296" s="736"/>
      <c r="AE1296" s="736"/>
      <c r="AF1296" s="624"/>
      <c r="AG1296" s="624"/>
      <c r="AH1296" s="624"/>
      <c r="AI1296" s="624"/>
      <c r="AJ1296" s="984"/>
      <c r="AK1296" s="985"/>
      <c r="AL1296" s="986"/>
      <c r="AM1296" s="987"/>
      <c r="AN1296" s="988"/>
      <c r="AO1296" s="986"/>
      <c r="AP1296" s="989"/>
      <c r="AQ1296" s="986"/>
      <c r="AR1296" s="990"/>
      <c r="AS1296" s="624"/>
      <c r="AT1296" s="624"/>
      <c r="AU1296" s="624"/>
      <c r="AV1296" s="624"/>
      <c r="AW1296" s="624"/>
      <c r="AX1296" s="624"/>
      <c r="AY1296" s="624"/>
      <c r="AZ1296" s="624"/>
      <c r="BA1296" s="624"/>
      <c r="BB1296" s="624"/>
      <c r="BC1296" s="624"/>
      <c r="BD1296" s="624"/>
      <c r="BE1296" s="624"/>
    </row>
    <row r="1297" ht="16.5" customHeight="1">
      <c r="A1297" s="711"/>
      <c r="B1297" s="711"/>
      <c r="C1297" s="711"/>
      <c r="D1297" s="711"/>
      <c r="E1297" s="711"/>
      <c r="F1297" s="711"/>
      <c r="G1297" s="711"/>
      <c r="H1297" s="711"/>
      <c r="I1297" s="711"/>
      <c r="J1297" s="711"/>
      <c r="K1297" s="741"/>
      <c r="L1297" s="741"/>
      <c r="M1297" s="788"/>
      <c r="N1297" s="741"/>
      <c r="O1297" s="741"/>
      <c r="P1297" s="741"/>
      <c r="Q1297" s="741"/>
      <c r="R1297" s="788"/>
      <c r="S1297" s="819"/>
      <c r="T1297" s="820"/>
      <c r="U1297" s="819"/>
      <c r="V1297" s="820"/>
      <c r="W1297" s="788"/>
      <c r="X1297" s="803"/>
      <c r="Y1297" s="803"/>
      <c r="Z1297" s="803"/>
      <c r="AA1297" s="711"/>
      <c r="AB1297" s="711"/>
      <c r="AC1297" s="711"/>
      <c r="AD1297" s="736"/>
      <c r="AE1297" s="736"/>
      <c r="AF1297" s="624"/>
      <c r="AG1297" s="624"/>
      <c r="AH1297" s="624"/>
      <c r="AI1297" s="624"/>
      <c r="AJ1297" s="984"/>
      <c r="AK1297" s="985"/>
      <c r="AL1297" s="986"/>
      <c r="AM1297" s="987"/>
      <c r="AN1297" s="988"/>
      <c r="AO1297" s="986"/>
      <c r="AP1297" s="989"/>
      <c r="AQ1297" s="986"/>
      <c r="AR1297" s="990"/>
      <c r="AS1297" s="624"/>
      <c r="AT1297" s="624"/>
      <c r="AU1297" s="624"/>
      <c r="AV1297" s="624"/>
      <c r="AW1297" s="624"/>
      <c r="AX1297" s="624"/>
      <c r="AY1297" s="624"/>
      <c r="AZ1297" s="624"/>
      <c r="BA1297" s="624"/>
      <c r="BB1297" s="624"/>
      <c r="BC1297" s="624"/>
      <c r="BD1297" s="624"/>
      <c r="BE1297" s="624"/>
    </row>
    <row r="1298" ht="16.5" customHeight="1">
      <c r="A1298" s="711"/>
      <c r="B1298" s="711"/>
      <c r="C1298" s="711"/>
      <c r="D1298" s="711"/>
      <c r="E1298" s="711"/>
      <c r="F1298" s="711"/>
      <c r="G1298" s="711"/>
      <c r="H1298" s="711"/>
      <c r="I1298" s="711"/>
      <c r="J1298" s="711"/>
      <c r="K1298" s="741"/>
      <c r="L1298" s="741"/>
      <c r="M1298" s="788"/>
      <c r="N1298" s="741"/>
      <c r="O1298" s="741"/>
      <c r="P1298" s="741"/>
      <c r="Q1298" s="741"/>
      <c r="R1298" s="788"/>
      <c r="S1298" s="819"/>
      <c r="T1298" s="820"/>
      <c r="U1298" s="819"/>
      <c r="V1298" s="820"/>
      <c r="W1298" s="788"/>
      <c r="X1298" s="803"/>
      <c r="Y1298" s="803"/>
      <c r="Z1298" s="803"/>
      <c r="AA1298" s="711"/>
      <c r="AB1298" s="711"/>
      <c r="AC1298" s="711"/>
      <c r="AD1298" s="736"/>
      <c r="AE1298" s="736"/>
      <c r="AF1298" s="624"/>
      <c r="AG1298" s="624"/>
      <c r="AH1298" s="624"/>
      <c r="AI1298" s="624"/>
      <c r="AJ1298" s="984"/>
      <c r="AK1298" s="985"/>
      <c r="AL1298" s="986"/>
      <c r="AM1298" s="987"/>
      <c r="AN1298" s="988"/>
      <c r="AO1298" s="986"/>
      <c r="AP1298" s="989"/>
      <c r="AQ1298" s="986"/>
      <c r="AR1298" s="990"/>
      <c r="AS1298" s="624"/>
      <c r="AT1298" s="624"/>
      <c r="AU1298" s="624"/>
      <c r="AV1298" s="624"/>
      <c r="AW1298" s="624"/>
      <c r="AX1298" s="624"/>
      <c r="AY1298" s="624"/>
      <c r="AZ1298" s="624"/>
      <c r="BA1298" s="624"/>
      <c r="BB1298" s="624"/>
      <c r="BC1298" s="624"/>
      <c r="BD1298" s="624"/>
      <c r="BE1298" s="624"/>
    </row>
    <row r="1299" ht="16.5" customHeight="1">
      <c r="A1299" s="711"/>
      <c r="B1299" s="711"/>
      <c r="C1299" s="711"/>
      <c r="D1299" s="711"/>
      <c r="E1299" s="711"/>
      <c r="F1299" s="711"/>
      <c r="G1299" s="711"/>
      <c r="H1299" s="711"/>
      <c r="I1299" s="711"/>
      <c r="J1299" s="711"/>
      <c r="K1299" s="741"/>
      <c r="L1299" s="741"/>
      <c r="M1299" s="788"/>
      <c r="N1299" s="741"/>
      <c r="O1299" s="741"/>
      <c r="P1299" s="741"/>
      <c r="Q1299" s="741"/>
      <c r="R1299" s="788"/>
      <c r="S1299" s="819"/>
      <c r="T1299" s="820"/>
      <c r="U1299" s="819"/>
      <c r="V1299" s="820"/>
      <c r="W1299" s="788"/>
      <c r="X1299" s="803"/>
      <c r="Y1299" s="803"/>
      <c r="Z1299" s="803"/>
      <c r="AA1299" s="711"/>
      <c r="AB1299" s="711"/>
      <c r="AC1299" s="711"/>
      <c r="AD1299" s="736"/>
      <c r="AE1299" s="736"/>
      <c r="AF1299" s="624"/>
      <c r="AG1299" s="624"/>
      <c r="AH1299" s="624"/>
      <c r="AI1299" s="624"/>
      <c r="AJ1299" s="984"/>
      <c r="AK1299" s="985"/>
      <c r="AL1299" s="986"/>
      <c r="AM1299" s="987"/>
      <c r="AN1299" s="988"/>
      <c r="AO1299" s="986"/>
      <c r="AP1299" s="989"/>
      <c r="AQ1299" s="986"/>
      <c r="AR1299" s="990"/>
      <c r="AS1299" s="624"/>
      <c r="AT1299" s="624"/>
      <c r="AU1299" s="624"/>
      <c r="AV1299" s="624"/>
      <c r="AW1299" s="624"/>
      <c r="AX1299" s="624"/>
      <c r="AY1299" s="624"/>
      <c r="AZ1299" s="624"/>
      <c r="BA1299" s="624"/>
      <c r="BB1299" s="624"/>
      <c r="BC1299" s="624"/>
      <c r="BD1299" s="624"/>
      <c r="BE1299" s="624"/>
    </row>
    <row r="1300" ht="16.5" customHeight="1">
      <c r="A1300" s="711"/>
      <c r="B1300" s="711"/>
      <c r="C1300" s="711"/>
      <c r="D1300" s="711"/>
      <c r="E1300" s="711"/>
      <c r="F1300" s="711"/>
      <c r="G1300" s="711"/>
      <c r="H1300" s="711"/>
      <c r="I1300" s="711"/>
      <c r="J1300" s="711"/>
      <c r="K1300" s="741"/>
      <c r="L1300" s="741"/>
      <c r="M1300" s="788"/>
      <c r="N1300" s="741"/>
      <c r="O1300" s="741"/>
      <c r="P1300" s="741"/>
      <c r="Q1300" s="741"/>
      <c r="R1300" s="788"/>
      <c r="S1300" s="819"/>
      <c r="T1300" s="820"/>
      <c r="U1300" s="819"/>
      <c r="V1300" s="820"/>
      <c r="W1300" s="788"/>
      <c r="X1300" s="803"/>
      <c r="Y1300" s="803"/>
      <c r="Z1300" s="803"/>
      <c r="AA1300" s="711"/>
      <c r="AB1300" s="711"/>
      <c r="AC1300" s="711"/>
      <c r="AD1300" s="736"/>
      <c r="AE1300" s="736"/>
      <c r="AF1300" s="624"/>
      <c r="AG1300" s="624"/>
      <c r="AH1300" s="624"/>
      <c r="AI1300" s="624"/>
      <c r="AJ1300" s="984"/>
      <c r="AK1300" s="985"/>
      <c r="AL1300" s="986"/>
      <c r="AM1300" s="987"/>
      <c r="AN1300" s="988"/>
      <c r="AO1300" s="986"/>
      <c r="AP1300" s="989"/>
      <c r="AQ1300" s="986"/>
      <c r="AR1300" s="990"/>
      <c r="AS1300" s="624"/>
      <c r="AT1300" s="624"/>
      <c r="AU1300" s="624"/>
      <c r="AV1300" s="624"/>
      <c r="AW1300" s="624"/>
      <c r="AX1300" s="624"/>
      <c r="AY1300" s="624"/>
      <c r="AZ1300" s="624"/>
      <c r="BA1300" s="624"/>
      <c r="BB1300" s="624"/>
      <c r="BC1300" s="624"/>
      <c r="BD1300" s="624"/>
      <c r="BE1300" s="624"/>
    </row>
    <row r="1301" ht="16.5" customHeight="1">
      <c r="A1301" s="711"/>
      <c r="B1301" s="711"/>
      <c r="C1301" s="711"/>
      <c r="D1301" s="711"/>
      <c r="E1301" s="711"/>
      <c r="F1301" s="711"/>
      <c r="G1301" s="711"/>
      <c r="H1301" s="711"/>
      <c r="I1301" s="711"/>
      <c r="J1301" s="711"/>
      <c r="K1301" s="741"/>
      <c r="L1301" s="741"/>
      <c r="M1301" s="788"/>
      <c r="N1301" s="741"/>
      <c r="O1301" s="741"/>
      <c r="P1301" s="741"/>
      <c r="Q1301" s="741"/>
      <c r="R1301" s="788"/>
      <c r="S1301" s="819"/>
      <c r="T1301" s="820"/>
      <c r="U1301" s="819"/>
      <c r="V1301" s="820"/>
      <c r="W1301" s="788"/>
      <c r="X1301" s="803"/>
      <c r="Y1301" s="803"/>
      <c r="Z1301" s="803"/>
      <c r="AA1301" s="711"/>
      <c r="AB1301" s="711"/>
      <c r="AC1301" s="711"/>
      <c r="AD1301" s="736"/>
      <c r="AE1301" s="736"/>
      <c r="AF1301" s="624"/>
      <c r="AG1301" s="624"/>
      <c r="AH1301" s="624"/>
      <c r="AI1301" s="624"/>
      <c r="AJ1301" s="984"/>
      <c r="AK1301" s="985"/>
      <c r="AL1301" s="986"/>
      <c r="AM1301" s="987"/>
      <c r="AN1301" s="988"/>
      <c r="AO1301" s="986"/>
      <c r="AP1301" s="989"/>
      <c r="AQ1301" s="986"/>
      <c r="AR1301" s="990"/>
      <c r="AS1301" s="624"/>
      <c r="AT1301" s="624"/>
      <c r="AU1301" s="624"/>
      <c r="AV1301" s="624"/>
      <c r="AW1301" s="624"/>
      <c r="AX1301" s="624"/>
      <c r="AY1301" s="624"/>
      <c r="AZ1301" s="624"/>
      <c r="BA1301" s="624"/>
      <c r="BB1301" s="624"/>
      <c r="BC1301" s="624"/>
      <c r="BD1301" s="624"/>
      <c r="BE1301" s="624"/>
    </row>
    <row r="1302" ht="16.5" customHeight="1">
      <c r="A1302" s="711"/>
      <c r="B1302" s="711"/>
      <c r="C1302" s="711"/>
      <c r="D1302" s="711"/>
      <c r="E1302" s="711"/>
      <c r="F1302" s="711"/>
      <c r="G1302" s="711"/>
      <c r="H1302" s="711"/>
      <c r="I1302" s="711"/>
      <c r="J1302" s="711"/>
      <c r="K1302" s="741"/>
      <c r="L1302" s="741"/>
      <c r="M1302" s="788"/>
      <c r="N1302" s="741"/>
      <c r="O1302" s="741"/>
      <c r="P1302" s="741"/>
      <c r="Q1302" s="741"/>
      <c r="R1302" s="788"/>
      <c r="S1302" s="819"/>
      <c r="T1302" s="820"/>
      <c r="U1302" s="819"/>
      <c r="V1302" s="820"/>
      <c r="W1302" s="788"/>
      <c r="X1302" s="803"/>
      <c r="Y1302" s="803"/>
      <c r="Z1302" s="803"/>
      <c r="AA1302" s="711"/>
      <c r="AB1302" s="711"/>
      <c r="AC1302" s="711"/>
      <c r="AD1302" s="736"/>
      <c r="AE1302" s="736"/>
      <c r="AF1302" s="624"/>
      <c r="AG1302" s="624"/>
      <c r="AH1302" s="624"/>
      <c r="AI1302" s="624"/>
      <c r="AJ1302" s="984"/>
      <c r="AK1302" s="985"/>
      <c r="AL1302" s="986"/>
      <c r="AM1302" s="987"/>
      <c r="AN1302" s="988"/>
      <c r="AO1302" s="986"/>
      <c r="AP1302" s="989"/>
      <c r="AQ1302" s="986"/>
      <c r="AR1302" s="990"/>
      <c r="AS1302" s="624"/>
      <c r="AT1302" s="624"/>
      <c r="AU1302" s="624"/>
      <c r="AV1302" s="624"/>
      <c r="AW1302" s="624"/>
      <c r="AX1302" s="624"/>
      <c r="AY1302" s="624"/>
      <c r="AZ1302" s="624"/>
      <c r="BA1302" s="624"/>
      <c r="BB1302" s="624"/>
      <c r="BC1302" s="624"/>
      <c r="BD1302" s="624"/>
      <c r="BE1302" s="624"/>
    </row>
    <row r="1303" ht="16.5" customHeight="1">
      <c r="A1303" s="711"/>
      <c r="B1303" s="711"/>
      <c r="C1303" s="711"/>
      <c r="D1303" s="711"/>
      <c r="E1303" s="711"/>
      <c r="F1303" s="711"/>
      <c r="G1303" s="711"/>
      <c r="H1303" s="711"/>
      <c r="I1303" s="711"/>
      <c r="J1303" s="711"/>
      <c r="K1303" s="741"/>
      <c r="L1303" s="741"/>
      <c r="M1303" s="788"/>
      <c r="N1303" s="741"/>
      <c r="O1303" s="741"/>
      <c r="P1303" s="741"/>
      <c r="Q1303" s="741"/>
      <c r="R1303" s="788"/>
      <c r="S1303" s="819"/>
      <c r="T1303" s="820"/>
      <c r="U1303" s="819"/>
      <c r="V1303" s="820"/>
      <c r="W1303" s="788"/>
      <c r="X1303" s="803"/>
      <c r="Y1303" s="803"/>
      <c r="Z1303" s="803"/>
      <c r="AA1303" s="711"/>
      <c r="AB1303" s="711"/>
      <c r="AC1303" s="711"/>
      <c r="AD1303" s="736"/>
      <c r="AE1303" s="736"/>
      <c r="AF1303" s="624"/>
      <c r="AG1303" s="624"/>
      <c r="AH1303" s="624"/>
      <c r="AI1303" s="624"/>
      <c r="AJ1303" s="984"/>
      <c r="AK1303" s="985"/>
      <c r="AL1303" s="986"/>
      <c r="AM1303" s="987"/>
      <c r="AN1303" s="988"/>
      <c r="AO1303" s="986"/>
      <c r="AP1303" s="989"/>
      <c r="AQ1303" s="986"/>
      <c r="AR1303" s="990"/>
      <c r="AS1303" s="624"/>
      <c r="AT1303" s="624"/>
      <c r="AU1303" s="624"/>
      <c r="AV1303" s="624"/>
      <c r="AW1303" s="624"/>
      <c r="AX1303" s="624"/>
      <c r="AY1303" s="624"/>
      <c r="AZ1303" s="624"/>
      <c r="BA1303" s="624"/>
      <c r="BB1303" s="624"/>
      <c r="BC1303" s="624"/>
      <c r="BD1303" s="624"/>
      <c r="BE1303" s="624"/>
    </row>
    <row r="1304" ht="16.5" customHeight="1">
      <c r="A1304" s="711"/>
      <c r="B1304" s="711"/>
      <c r="C1304" s="711"/>
      <c r="D1304" s="711"/>
      <c r="E1304" s="711"/>
      <c r="F1304" s="711"/>
      <c r="G1304" s="711"/>
      <c r="H1304" s="711"/>
      <c r="I1304" s="711"/>
      <c r="J1304" s="711"/>
      <c r="K1304" s="741"/>
      <c r="L1304" s="741"/>
      <c r="M1304" s="788"/>
      <c r="N1304" s="741"/>
      <c r="O1304" s="741"/>
      <c r="P1304" s="741"/>
      <c r="Q1304" s="741"/>
      <c r="R1304" s="788"/>
      <c r="S1304" s="819"/>
      <c r="T1304" s="820"/>
      <c r="U1304" s="819"/>
      <c r="V1304" s="820"/>
      <c r="W1304" s="788"/>
      <c r="X1304" s="803"/>
      <c r="Y1304" s="803"/>
      <c r="Z1304" s="803"/>
      <c r="AA1304" s="711"/>
      <c r="AB1304" s="711"/>
      <c r="AC1304" s="711"/>
      <c r="AD1304" s="736"/>
      <c r="AE1304" s="736"/>
      <c r="AF1304" s="624"/>
      <c r="AG1304" s="624"/>
      <c r="AH1304" s="624"/>
      <c r="AI1304" s="624"/>
      <c r="AJ1304" s="984"/>
      <c r="AK1304" s="985"/>
      <c r="AL1304" s="986"/>
      <c r="AM1304" s="987"/>
      <c r="AN1304" s="988"/>
      <c r="AO1304" s="986"/>
      <c r="AP1304" s="989"/>
      <c r="AQ1304" s="986"/>
      <c r="AR1304" s="990"/>
      <c r="AS1304" s="624"/>
      <c r="AT1304" s="624"/>
      <c r="AU1304" s="624"/>
      <c r="AV1304" s="624"/>
      <c r="AW1304" s="624"/>
      <c r="AX1304" s="624"/>
      <c r="AY1304" s="624"/>
      <c r="AZ1304" s="624"/>
      <c r="BA1304" s="624"/>
      <c r="BB1304" s="624"/>
      <c r="BC1304" s="624"/>
      <c r="BD1304" s="624"/>
      <c r="BE1304" s="624"/>
    </row>
    <row r="1305" ht="16.5" customHeight="1">
      <c r="A1305" s="711"/>
      <c r="B1305" s="711"/>
      <c r="C1305" s="711"/>
      <c r="D1305" s="711"/>
      <c r="E1305" s="711"/>
      <c r="F1305" s="711"/>
      <c r="G1305" s="711"/>
      <c r="H1305" s="711"/>
      <c r="I1305" s="711"/>
      <c r="J1305" s="711"/>
      <c r="K1305" s="741"/>
      <c r="L1305" s="741"/>
      <c r="M1305" s="788"/>
      <c r="N1305" s="741"/>
      <c r="O1305" s="741"/>
      <c r="P1305" s="741"/>
      <c r="Q1305" s="741"/>
      <c r="R1305" s="788"/>
      <c r="S1305" s="819"/>
      <c r="T1305" s="820"/>
      <c r="U1305" s="819"/>
      <c r="V1305" s="820"/>
      <c r="W1305" s="788"/>
      <c r="X1305" s="803"/>
      <c r="Y1305" s="803"/>
      <c r="Z1305" s="803"/>
      <c r="AA1305" s="711"/>
      <c r="AB1305" s="711"/>
      <c r="AC1305" s="711"/>
      <c r="AD1305" s="736"/>
      <c r="AE1305" s="736"/>
      <c r="AF1305" s="624"/>
      <c r="AG1305" s="624"/>
      <c r="AH1305" s="624"/>
      <c r="AI1305" s="624"/>
      <c r="AJ1305" s="984"/>
      <c r="AK1305" s="985"/>
      <c r="AL1305" s="986"/>
      <c r="AM1305" s="987"/>
      <c r="AN1305" s="988"/>
      <c r="AO1305" s="986"/>
      <c r="AP1305" s="989"/>
      <c r="AQ1305" s="986"/>
      <c r="AR1305" s="990"/>
      <c r="AS1305" s="624"/>
      <c r="AT1305" s="624"/>
      <c r="AU1305" s="624"/>
      <c r="AV1305" s="624"/>
      <c r="AW1305" s="624"/>
      <c r="AX1305" s="624"/>
      <c r="AY1305" s="624"/>
      <c r="AZ1305" s="624"/>
      <c r="BA1305" s="624"/>
      <c r="BB1305" s="624"/>
      <c r="BC1305" s="624"/>
      <c r="BD1305" s="624"/>
      <c r="BE1305" s="624"/>
    </row>
    <row r="1306" ht="16.5" customHeight="1">
      <c r="A1306" s="711"/>
      <c r="B1306" s="711"/>
      <c r="C1306" s="711"/>
      <c r="D1306" s="711"/>
      <c r="E1306" s="711"/>
      <c r="F1306" s="711"/>
      <c r="G1306" s="711"/>
      <c r="H1306" s="711"/>
      <c r="I1306" s="711"/>
      <c r="J1306" s="711"/>
      <c r="K1306" s="741"/>
      <c r="L1306" s="741"/>
      <c r="M1306" s="788"/>
      <c r="N1306" s="741"/>
      <c r="O1306" s="741"/>
      <c r="P1306" s="741"/>
      <c r="Q1306" s="741"/>
      <c r="R1306" s="788"/>
      <c r="S1306" s="819"/>
      <c r="T1306" s="820"/>
      <c r="U1306" s="819"/>
      <c r="V1306" s="820"/>
      <c r="W1306" s="788"/>
      <c r="X1306" s="803"/>
      <c r="Y1306" s="803"/>
      <c r="Z1306" s="803"/>
      <c r="AA1306" s="711"/>
      <c r="AB1306" s="711"/>
      <c r="AC1306" s="711"/>
      <c r="AD1306" s="736"/>
      <c r="AE1306" s="736"/>
      <c r="AF1306" s="624"/>
      <c r="AG1306" s="624"/>
      <c r="AH1306" s="624"/>
      <c r="AI1306" s="624"/>
      <c r="AJ1306" s="984"/>
      <c r="AK1306" s="985"/>
      <c r="AL1306" s="986"/>
      <c r="AM1306" s="987"/>
      <c r="AN1306" s="988"/>
      <c r="AO1306" s="986"/>
      <c r="AP1306" s="989"/>
      <c r="AQ1306" s="986"/>
      <c r="AR1306" s="990"/>
      <c r="AS1306" s="624"/>
      <c r="AT1306" s="624"/>
      <c r="AU1306" s="624"/>
      <c r="AV1306" s="624"/>
      <c r="AW1306" s="624"/>
      <c r="AX1306" s="624"/>
      <c r="AY1306" s="624"/>
      <c r="AZ1306" s="624"/>
      <c r="BA1306" s="624"/>
      <c r="BB1306" s="624"/>
      <c r="BC1306" s="624"/>
      <c r="BD1306" s="624"/>
      <c r="BE1306" s="624"/>
    </row>
    <row r="1307" ht="16.5" customHeight="1">
      <c r="A1307" s="711"/>
      <c r="B1307" s="711"/>
      <c r="C1307" s="711"/>
      <c r="D1307" s="711"/>
      <c r="E1307" s="711"/>
      <c r="F1307" s="711"/>
      <c r="G1307" s="711"/>
      <c r="H1307" s="711"/>
      <c r="I1307" s="711"/>
      <c r="J1307" s="711"/>
      <c r="K1307" s="741"/>
      <c r="L1307" s="741"/>
      <c r="M1307" s="788"/>
      <c r="N1307" s="741"/>
      <c r="O1307" s="741"/>
      <c r="P1307" s="741"/>
      <c r="Q1307" s="741"/>
      <c r="R1307" s="788"/>
      <c r="S1307" s="819"/>
      <c r="T1307" s="820"/>
      <c r="U1307" s="819"/>
      <c r="V1307" s="820"/>
      <c r="W1307" s="788"/>
      <c r="X1307" s="803"/>
      <c r="Y1307" s="803"/>
      <c r="Z1307" s="803"/>
      <c r="AA1307" s="711"/>
      <c r="AB1307" s="711"/>
      <c r="AC1307" s="711"/>
      <c r="AD1307" s="736"/>
      <c r="AE1307" s="736"/>
      <c r="AF1307" s="624"/>
      <c r="AG1307" s="624"/>
      <c r="AH1307" s="624"/>
      <c r="AI1307" s="624"/>
      <c r="AJ1307" s="984"/>
      <c r="AK1307" s="985"/>
      <c r="AL1307" s="986"/>
      <c r="AM1307" s="987"/>
      <c r="AN1307" s="988"/>
      <c r="AO1307" s="986"/>
      <c r="AP1307" s="989"/>
      <c r="AQ1307" s="986"/>
      <c r="AR1307" s="990"/>
      <c r="AS1307" s="624"/>
      <c r="AT1307" s="624"/>
      <c r="AU1307" s="624"/>
      <c r="AV1307" s="624"/>
      <c r="AW1307" s="624"/>
      <c r="AX1307" s="624"/>
      <c r="AY1307" s="624"/>
      <c r="AZ1307" s="624"/>
      <c r="BA1307" s="624"/>
      <c r="BB1307" s="624"/>
      <c r="BC1307" s="624"/>
      <c r="BD1307" s="624"/>
      <c r="BE1307" s="624"/>
    </row>
    <row r="1308" ht="16.5" customHeight="1">
      <c r="A1308" s="711"/>
      <c r="B1308" s="711"/>
      <c r="C1308" s="711"/>
      <c r="D1308" s="711"/>
      <c r="E1308" s="711"/>
      <c r="F1308" s="711"/>
      <c r="G1308" s="711"/>
      <c r="H1308" s="711"/>
      <c r="I1308" s="711"/>
      <c r="J1308" s="711"/>
      <c r="K1308" s="741"/>
      <c r="L1308" s="741"/>
      <c r="M1308" s="788"/>
      <c r="N1308" s="741"/>
      <c r="O1308" s="741"/>
      <c r="P1308" s="741"/>
      <c r="Q1308" s="741"/>
      <c r="R1308" s="788"/>
      <c r="S1308" s="819"/>
      <c r="T1308" s="820"/>
      <c r="U1308" s="819"/>
      <c r="V1308" s="820"/>
      <c r="W1308" s="788"/>
      <c r="X1308" s="803"/>
      <c r="Y1308" s="803"/>
      <c r="Z1308" s="803"/>
      <c r="AA1308" s="711"/>
      <c r="AB1308" s="711"/>
      <c r="AC1308" s="711"/>
      <c r="AD1308" s="736"/>
      <c r="AE1308" s="736"/>
      <c r="AF1308" s="624"/>
      <c r="AG1308" s="624"/>
      <c r="AH1308" s="624"/>
      <c r="AI1308" s="624"/>
      <c r="AJ1308" s="984"/>
      <c r="AK1308" s="985"/>
      <c r="AL1308" s="986"/>
      <c r="AM1308" s="987"/>
      <c r="AN1308" s="988"/>
      <c r="AO1308" s="986"/>
      <c r="AP1308" s="989"/>
      <c r="AQ1308" s="986"/>
      <c r="AR1308" s="990"/>
      <c r="AS1308" s="624"/>
      <c r="AT1308" s="624"/>
      <c r="AU1308" s="624"/>
      <c r="AV1308" s="624"/>
      <c r="AW1308" s="624"/>
      <c r="AX1308" s="624"/>
      <c r="AY1308" s="624"/>
      <c r="AZ1308" s="624"/>
      <c r="BA1308" s="624"/>
      <c r="BB1308" s="624"/>
      <c r="BC1308" s="624"/>
      <c r="BD1308" s="624"/>
      <c r="BE1308" s="624"/>
    </row>
    <row r="1309" ht="16.5" customHeight="1">
      <c r="A1309" s="711"/>
      <c r="B1309" s="711"/>
      <c r="C1309" s="711"/>
      <c r="D1309" s="711"/>
      <c r="E1309" s="711"/>
      <c r="F1309" s="711"/>
      <c r="G1309" s="711"/>
      <c r="H1309" s="711"/>
      <c r="I1309" s="711"/>
      <c r="J1309" s="711"/>
      <c r="K1309" s="741"/>
      <c r="L1309" s="741"/>
      <c r="M1309" s="788"/>
      <c r="N1309" s="741"/>
      <c r="O1309" s="741"/>
      <c r="P1309" s="741"/>
      <c r="Q1309" s="741"/>
      <c r="R1309" s="788"/>
      <c r="S1309" s="819"/>
      <c r="T1309" s="820"/>
      <c r="U1309" s="819"/>
      <c r="V1309" s="820"/>
      <c r="W1309" s="788"/>
      <c r="X1309" s="803"/>
      <c r="Y1309" s="803"/>
      <c r="Z1309" s="803"/>
      <c r="AA1309" s="711"/>
      <c r="AB1309" s="711"/>
      <c r="AC1309" s="711"/>
      <c r="AD1309" s="736"/>
      <c r="AE1309" s="736"/>
      <c r="AF1309" s="624"/>
      <c r="AG1309" s="624"/>
      <c r="AH1309" s="624"/>
      <c r="AI1309" s="624"/>
      <c r="AJ1309" s="984"/>
      <c r="AK1309" s="985"/>
      <c r="AL1309" s="986"/>
      <c r="AM1309" s="987"/>
      <c r="AN1309" s="988"/>
      <c r="AO1309" s="986"/>
      <c r="AP1309" s="989"/>
      <c r="AQ1309" s="986"/>
      <c r="AR1309" s="990"/>
      <c r="AS1309" s="624"/>
      <c r="AT1309" s="624"/>
      <c r="AU1309" s="624"/>
      <c r="AV1309" s="624"/>
      <c r="AW1309" s="624"/>
      <c r="AX1309" s="624"/>
      <c r="AY1309" s="624"/>
      <c r="AZ1309" s="624"/>
      <c r="BA1309" s="624"/>
      <c r="BB1309" s="624"/>
      <c r="BC1309" s="624"/>
      <c r="BD1309" s="624"/>
      <c r="BE1309" s="624"/>
    </row>
    <row r="1310" ht="16.5" customHeight="1">
      <c r="A1310" s="711"/>
      <c r="B1310" s="711"/>
      <c r="C1310" s="711"/>
      <c r="D1310" s="711"/>
      <c r="E1310" s="711"/>
      <c r="F1310" s="711"/>
      <c r="G1310" s="711"/>
      <c r="H1310" s="711"/>
      <c r="I1310" s="711"/>
      <c r="J1310" s="711"/>
      <c r="K1310" s="741"/>
      <c r="L1310" s="741"/>
      <c r="M1310" s="788"/>
      <c r="N1310" s="741"/>
      <c r="O1310" s="741"/>
      <c r="P1310" s="741"/>
      <c r="Q1310" s="741"/>
      <c r="R1310" s="788"/>
      <c r="S1310" s="819"/>
      <c r="T1310" s="820"/>
      <c r="U1310" s="819"/>
      <c r="V1310" s="820"/>
      <c r="W1310" s="788"/>
      <c r="X1310" s="803"/>
      <c r="Y1310" s="803"/>
      <c r="Z1310" s="803"/>
      <c r="AA1310" s="711"/>
      <c r="AB1310" s="711"/>
      <c r="AC1310" s="711"/>
      <c r="AD1310" s="736"/>
      <c r="AE1310" s="736"/>
      <c r="AF1310" s="624"/>
      <c r="AG1310" s="624"/>
      <c r="AH1310" s="624"/>
      <c r="AI1310" s="624"/>
      <c r="AJ1310" s="984"/>
      <c r="AK1310" s="985"/>
      <c r="AL1310" s="986"/>
      <c r="AM1310" s="987"/>
      <c r="AN1310" s="988"/>
      <c r="AO1310" s="986"/>
      <c r="AP1310" s="989"/>
      <c r="AQ1310" s="986"/>
      <c r="AR1310" s="990"/>
      <c r="AS1310" s="624"/>
      <c r="AT1310" s="624"/>
      <c r="AU1310" s="624"/>
      <c r="AV1310" s="624"/>
      <c r="AW1310" s="624"/>
      <c r="AX1310" s="624"/>
      <c r="AY1310" s="624"/>
      <c r="AZ1310" s="624"/>
      <c r="BA1310" s="624"/>
      <c r="BB1310" s="624"/>
      <c r="BC1310" s="624"/>
      <c r="BD1310" s="624"/>
      <c r="BE1310" s="624"/>
    </row>
    <row r="1311" ht="16.5" customHeight="1">
      <c r="A1311" s="711"/>
      <c r="B1311" s="711"/>
      <c r="C1311" s="711"/>
      <c r="D1311" s="711"/>
      <c r="E1311" s="711"/>
      <c r="F1311" s="711"/>
      <c r="G1311" s="711"/>
      <c r="H1311" s="711"/>
      <c r="I1311" s="711"/>
      <c r="J1311" s="711"/>
      <c r="K1311" s="741"/>
      <c r="L1311" s="741"/>
      <c r="M1311" s="788"/>
      <c r="N1311" s="741"/>
      <c r="O1311" s="741"/>
      <c r="P1311" s="741"/>
      <c r="Q1311" s="741"/>
      <c r="R1311" s="788"/>
      <c r="S1311" s="819"/>
      <c r="T1311" s="820"/>
      <c r="U1311" s="819"/>
      <c r="V1311" s="820"/>
      <c r="W1311" s="788"/>
      <c r="X1311" s="803"/>
      <c r="Y1311" s="803"/>
      <c r="Z1311" s="803"/>
      <c r="AA1311" s="711"/>
      <c r="AB1311" s="711"/>
      <c r="AC1311" s="711"/>
      <c r="AD1311" s="736"/>
      <c r="AE1311" s="736"/>
      <c r="AF1311" s="624"/>
      <c r="AG1311" s="624"/>
      <c r="AH1311" s="624"/>
      <c r="AI1311" s="624"/>
      <c r="AJ1311" s="984"/>
      <c r="AK1311" s="985"/>
      <c r="AL1311" s="986"/>
      <c r="AM1311" s="987"/>
      <c r="AN1311" s="988"/>
      <c r="AO1311" s="986"/>
      <c r="AP1311" s="989"/>
      <c r="AQ1311" s="986"/>
      <c r="AR1311" s="990"/>
      <c r="AS1311" s="624"/>
      <c r="AT1311" s="624"/>
      <c r="AU1311" s="624"/>
      <c r="AV1311" s="624"/>
      <c r="AW1311" s="624"/>
      <c r="AX1311" s="624"/>
      <c r="AY1311" s="624"/>
      <c r="AZ1311" s="624"/>
      <c r="BA1311" s="624"/>
      <c r="BB1311" s="624"/>
      <c r="BC1311" s="624"/>
      <c r="BD1311" s="624"/>
      <c r="BE1311" s="624"/>
    </row>
    <row r="1312" ht="16.5" customHeight="1">
      <c r="A1312" s="711"/>
      <c r="B1312" s="711"/>
      <c r="C1312" s="711"/>
      <c r="D1312" s="711"/>
      <c r="E1312" s="711"/>
      <c r="F1312" s="711"/>
      <c r="G1312" s="711"/>
      <c r="H1312" s="711"/>
      <c r="I1312" s="711"/>
      <c r="J1312" s="711"/>
      <c r="K1312" s="741"/>
      <c r="L1312" s="741"/>
      <c r="M1312" s="788"/>
      <c r="N1312" s="741"/>
      <c r="O1312" s="741"/>
      <c r="P1312" s="741"/>
      <c r="Q1312" s="741"/>
      <c r="R1312" s="788"/>
      <c r="S1312" s="819"/>
      <c r="T1312" s="820"/>
      <c r="U1312" s="819"/>
      <c r="V1312" s="820"/>
      <c r="W1312" s="788"/>
      <c r="X1312" s="803"/>
      <c r="Y1312" s="803"/>
      <c r="Z1312" s="803"/>
      <c r="AA1312" s="711"/>
      <c r="AB1312" s="711"/>
      <c r="AC1312" s="711"/>
      <c r="AD1312" s="736"/>
      <c r="AE1312" s="736"/>
      <c r="AF1312" s="624"/>
      <c r="AG1312" s="624"/>
      <c r="AH1312" s="624"/>
      <c r="AI1312" s="624"/>
      <c r="AJ1312" s="984"/>
      <c r="AK1312" s="985"/>
      <c r="AL1312" s="986"/>
      <c r="AM1312" s="987"/>
      <c r="AN1312" s="988"/>
      <c r="AO1312" s="986"/>
      <c r="AP1312" s="989"/>
      <c r="AQ1312" s="986"/>
      <c r="AR1312" s="990"/>
      <c r="AS1312" s="624"/>
      <c r="AT1312" s="624"/>
      <c r="AU1312" s="624"/>
      <c r="AV1312" s="624"/>
      <c r="AW1312" s="624"/>
      <c r="AX1312" s="624"/>
      <c r="AY1312" s="624"/>
      <c r="AZ1312" s="624"/>
      <c r="BA1312" s="624"/>
      <c r="BB1312" s="624"/>
      <c r="BC1312" s="624"/>
      <c r="BD1312" s="624"/>
      <c r="BE1312" s="624"/>
    </row>
    <row r="1313" ht="16.5" customHeight="1">
      <c r="A1313" s="711"/>
      <c r="B1313" s="711"/>
      <c r="C1313" s="711"/>
      <c r="D1313" s="711"/>
      <c r="E1313" s="711"/>
      <c r="F1313" s="711"/>
      <c r="G1313" s="711"/>
      <c r="H1313" s="711"/>
      <c r="I1313" s="711"/>
      <c r="J1313" s="711"/>
      <c r="K1313" s="741"/>
      <c r="L1313" s="741"/>
      <c r="M1313" s="788"/>
      <c r="N1313" s="741"/>
      <c r="O1313" s="741"/>
      <c r="P1313" s="741"/>
      <c r="Q1313" s="741"/>
      <c r="R1313" s="788"/>
      <c r="S1313" s="819"/>
      <c r="T1313" s="820"/>
      <c r="U1313" s="819"/>
      <c r="V1313" s="820"/>
      <c r="W1313" s="788"/>
      <c r="X1313" s="803"/>
      <c r="Y1313" s="803"/>
      <c r="Z1313" s="803"/>
      <c r="AA1313" s="711"/>
      <c r="AB1313" s="711"/>
      <c r="AC1313" s="711"/>
      <c r="AD1313" s="736"/>
      <c r="AE1313" s="736"/>
      <c r="AF1313" s="624"/>
      <c r="AG1313" s="624"/>
      <c r="AH1313" s="624"/>
      <c r="AI1313" s="624"/>
      <c r="AJ1313" s="984"/>
      <c r="AK1313" s="985"/>
      <c r="AL1313" s="986"/>
      <c r="AM1313" s="987"/>
      <c r="AN1313" s="988"/>
      <c r="AO1313" s="986"/>
      <c r="AP1313" s="989"/>
      <c r="AQ1313" s="986"/>
      <c r="AR1313" s="990"/>
      <c r="AS1313" s="624"/>
      <c r="AT1313" s="624"/>
      <c r="AU1313" s="624"/>
      <c r="AV1313" s="624"/>
      <c r="AW1313" s="624"/>
      <c r="AX1313" s="624"/>
      <c r="AY1313" s="624"/>
      <c r="AZ1313" s="624"/>
      <c r="BA1313" s="624"/>
      <c r="BB1313" s="624"/>
      <c r="BC1313" s="624"/>
      <c r="BD1313" s="624"/>
      <c r="BE1313" s="624"/>
    </row>
    <row r="1314" ht="16.5" customHeight="1">
      <c r="A1314" s="711"/>
      <c r="B1314" s="711"/>
      <c r="C1314" s="711"/>
      <c r="D1314" s="711"/>
      <c r="E1314" s="711"/>
      <c r="F1314" s="711"/>
      <c r="G1314" s="711"/>
      <c r="H1314" s="711"/>
      <c r="I1314" s="711"/>
      <c r="J1314" s="711"/>
      <c r="K1314" s="741"/>
      <c r="L1314" s="741"/>
      <c r="M1314" s="788"/>
      <c r="N1314" s="741"/>
      <c r="O1314" s="741"/>
      <c r="P1314" s="741"/>
      <c r="Q1314" s="741"/>
      <c r="R1314" s="788"/>
      <c r="S1314" s="819"/>
      <c r="T1314" s="820"/>
      <c r="U1314" s="819"/>
      <c r="V1314" s="820"/>
      <c r="W1314" s="788"/>
      <c r="X1314" s="803"/>
      <c r="Y1314" s="803"/>
      <c r="Z1314" s="803"/>
      <c r="AA1314" s="711"/>
      <c r="AB1314" s="711"/>
      <c r="AC1314" s="711"/>
      <c r="AD1314" s="736"/>
      <c r="AE1314" s="736"/>
      <c r="AF1314" s="624"/>
      <c r="AG1314" s="624"/>
      <c r="AH1314" s="624"/>
      <c r="AI1314" s="624"/>
      <c r="AJ1314" s="984"/>
      <c r="AK1314" s="985"/>
      <c r="AL1314" s="986"/>
      <c r="AM1314" s="987"/>
      <c r="AN1314" s="988"/>
      <c r="AO1314" s="986"/>
      <c r="AP1314" s="989"/>
      <c r="AQ1314" s="986"/>
      <c r="AR1314" s="990"/>
      <c r="AS1314" s="624"/>
      <c r="AT1314" s="624"/>
      <c r="AU1314" s="624"/>
      <c r="AV1314" s="624"/>
      <c r="AW1314" s="624"/>
      <c r="AX1314" s="624"/>
      <c r="AY1314" s="624"/>
      <c r="AZ1314" s="624"/>
      <c r="BA1314" s="624"/>
      <c r="BB1314" s="624"/>
      <c r="BC1314" s="624"/>
      <c r="BD1314" s="624"/>
      <c r="BE1314" s="624"/>
    </row>
    <row r="1315" ht="16.5" customHeight="1">
      <c r="A1315" s="711"/>
      <c r="B1315" s="711"/>
      <c r="C1315" s="711"/>
      <c r="D1315" s="711"/>
      <c r="E1315" s="711"/>
      <c r="F1315" s="711"/>
      <c r="G1315" s="711"/>
      <c r="H1315" s="711"/>
      <c r="I1315" s="711"/>
      <c r="J1315" s="711"/>
      <c r="K1315" s="741"/>
      <c r="L1315" s="741"/>
      <c r="M1315" s="788"/>
      <c r="N1315" s="741"/>
      <c r="O1315" s="741"/>
      <c r="P1315" s="741"/>
      <c r="Q1315" s="741"/>
      <c r="R1315" s="788"/>
      <c r="S1315" s="819"/>
      <c r="T1315" s="820"/>
      <c r="U1315" s="819"/>
      <c r="V1315" s="820"/>
      <c r="W1315" s="788"/>
      <c r="X1315" s="803"/>
      <c r="Y1315" s="803"/>
      <c r="Z1315" s="803"/>
      <c r="AA1315" s="711"/>
      <c r="AB1315" s="711"/>
      <c r="AC1315" s="711"/>
      <c r="AD1315" s="736"/>
      <c r="AE1315" s="736"/>
      <c r="AF1315" s="624"/>
      <c r="AG1315" s="624"/>
      <c r="AH1315" s="624"/>
      <c r="AI1315" s="624"/>
      <c r="AJ1315" s="984"/>
      <c r="AK1315" s="985"/>
      <c r="AL1315" s="986"/>
      <c r="AM1315" s="987"/>
      <c r="AN1315" s="988"/>
      <c r="AO1315" s="986"/>
      <c r="AP1315" s="989"/>
      <c r="AQ1315" s="986"/>
      <c r="AR1315" s="990"/>
      <c r="AS1315" s="624"/>
      <c r="AT1315" s="624"/>
      <c r="AU1315" s="624"/>
      <c r="AV1315" s="624"/>
      <c r="AW1315" s="624"/>
      <c r="AX1315" s="624"/>
      <c r="AY1315" s="624"/>
      <c r="AZ1315" s="624"/>
      <c r="BA1315" s="624"/>
      <c r="BB1315" s="624"/>
      <c r="BC1315" s="624"/>
      <c r="BD1315" s="624"/>
      <c r="BE1315" s="624"/>
    </row>
    <row r="1316" ht="16.5" customHeight="1">
      <c r="A1316" s="711"/>
      <c r="B1316" s="711"/>
      <c r="C1316" s="711"/>
      <c r="D1316" s="711"/>
      <c r="E1316" s="711"/>
      <c r="F1316" s="711"/>
      <c r="G1316" s="711"/>
      <c r="H1316" s="711"/>
      <c r="I1316" s="711"/>
      <c r="J1316" s="711"/>
      <c r="K1316" s="741"/>
      <c r="L1316" s="741"/>
      <c r="M1316" s="788"/>
      <c r="N1316" s="741"/>
      <c r="O1316" s="741"/>
      <c r="P1316" s="741"/>
      <c r="Q1316" s="741"/>
      <c r="R1316" s="788"/>
      <c r="S1316" s="819"/>
      <c r="T1316" s="820"/>
      <c r="U1316" s="819"/>
      <c r="V1316" s="820"/>
      <c r="W1316" s="788"/>
      <c r="X1316" s="803"/>
      <c r="Y1316" s="803"/>
      <c r="Z1316" s="803"/>
      <c r="AA1316" s="711"/>
      <c r="AB1316" s="711"/>
      <c r="AC1316" s="711"/>
      <c r="AD1316" s="736"/>
      <c r="AE1316" s="736"/>
      <c r="AF1316" s="624"/>
      <c r="AG1316" s="624"/>
      <c r="AH1316" s="624"/>
      <c r="AI1316" s="624"/>
      <c r="AJ1316" s="984"/>
      <c r="AK1316" s="985"/>
      <c r="AL1316" s="986"/>
      <c r="AM1316" s="987"/>
      <c r="AN1316" s="988"/>
      <c r="AO1316" s="986"/>
      <c r="AP1316" s="989"/>
      <c r="AQ1316" s="986"/>
      <c r="AR1316" s="990"/>
      <c r="AS1316" s="624"/>
      <c r="AT1316" s="624"/>
      <c r="AU1316" s="624"/>
      <c r="AV1316" s="624"/>
      <c r="AW1316" s="624"/>
      <c r="AX1316" s="624"/>
      <c r="AY1316" s="624"/>
      <c r="AZ1316" s="624"/>
      <c r="BA1316" s="624"/>
      <c r="BB1316" s="624"/>
      <c r="BC1316" s="624"/>
      <c r="BD1316" s="624"/>
      <c r="BE1316" s="624"/>
    </row>
    <row r="1317" ht="16.5" customHeight="1">
      <c r="A1317" s="711"/>
      <c r="B1317" s="711"/>
      <c r="C1317" s="711"/>
      <c r="D1317" s="711"/>
      <c r="E1317" s="711"/>
      <c r="F1317" s="711"/>
      <c r="G1317" s="711"/>
      <c r="H1317" s="711"/>
      <c r="I1317" s="711"/>
      <c r="J1317" s="711"/>
      <c r="K1317" s="741"/>
      <c r="L1317" s="741"/>
      <c r="M1317" s="788"/>
      <c r="N1317" s="741"/>
      <c r="O1317" s="741"/>
      <c r="P1317" s="741"/>
      <c r="Q1317" s="741"/>
      <c r="R1317" s="788"/>
      <c r="S1317" s="819"/>
      <c r="T1317" s="820"/>
      <c r="U1317" s="819"/>
      <c r="V1317" s="820"/>
      <c r="W1317" s="788"/>
      <c r="X1317" s="803"/>
      <c r="Y1317" s="803"/>
      <c r="Z1317" s="803"/>
      <c r="AA1317" s="711"/>
      <c r="AB1317" s="711"/>
      <c r="AC1317" s="711"/>
      <c r="AD1317" s="736"/>
      <c r="AE1317" s="736"/>
      <c r="AF1317" s="624"/>
      <c r="AG1317" s="624"/>
      <c r="AH1317" s="624"/>
      <c r="AI1317" s="624"/>
      <c r="AJ1317" s="984"/>
      <c r="AK1317" s="985"/>
      <c r="AL1317" s="986"/>
      <c r="AM1317" s="987"/>
      <c r="AN1317" s="988"/>
      <c r="AO1317" s="986"/>
      <c r="AP1317" s="989"/>
      <c r="AQ1317" s="986"/>
      <c r="AR1317" s="990"/>
      <c r="AS1317" s="624"/>
      <c r="AT1317" s="624"/>
      <c r="AU1317" s="624"/>
      <c r="AV1317" s="624"/>
      <c r="AW1317" s="624"/>
      <c r="AX1317" s="624"/>
      <c r="AY1317" s="624"/>
      <c r="AZ1317" s="624"/>
      <c r="BA1317" s="624"/>
      <c r="BB1317" s="624"/>
      <c r="BC1317" s="624"/>
      <c r="BD1317" s="624"/>
      <c r="BE1317" s="624"/>
    </row>
    <row r="1318" ht="16.5" customHeight="1">
      <c r="A1318" s="711"/>
      <c r="B1318" s="711"/>
      <c r="C1318" s="711"/>
      <c r="D1318" s="711"/>
      <c r="E1318" s="711"/>
      <c r="F1318" s="711"/>
      <c r="G1318" s="711"/>
      <c r="H1318" s="711"/>
      <c r="I1318" s="711"/>
      <c r="J1318" s="711"/>
      <c r="K1318" s="741"/>
      <c r="L1318" s="741"/>
      <c r="M1318" s="788"/>
      <c r="N1318" s="741"/>
      <c r="O1318" s="741"/>
      <c r="P1318" s="741"/>
      <c r="Q1318" s="741"/>
      <c r="R1318" s="788"/>
      <c r="S1318" s="819"/>
      <c r="T1318" s="820"/>
      <c r="U1318" s="819"/>
      <c r="V1318" s="820"/>
      <c r="W1318" s="788"/>
      <c r="X1318" s="803"/>
      <c r="Y1318" s="803"/>
      <c r="Z1318" s="803"/>
      <c r="AA1318" s="711"/>
      <c r="AB1318" s="711"/>
      <c r="AC1318" s="711"/>
      <c r="AD1318" s="736"/>
      <c r="AE1318" s="736"/>
      <c r="AF1318" s="624"/>
      <c r="AG1318" s="624"/>
      <c r="AH1318" s="624"/>
      <c r="AI1318" s="624"/>
      <c r="AJ1318" s="984"/>
      <c r="AK1318" s="985"/>
      <c r="AL1318" s="986"/>
      <c r="AM1318" s="987"/>
      <c r="AN1318" s="988"/>
      <c r="AO1318" s="986"/>
      <c r="AP1318" s="989"/>
      <c r="AQ1318" s="986"/>
      <c r="AR1318" s="990"/>
      <c r="AS1318" s="624"/>
      <c r="AT1318" s="624"/>
      <c r="AU1318" s="624"/>
      <c r="AV1318" s="624"/>
      <c r="AW1318" s="624"/>
      <c r="AX1318" s="624"/>
      <c r="AY1318" s="624"/>
      <c r="AZ1318" s="624"/>
      <c r="BA1318" s="624"/>
      <c r="BB1318" s="624"/>
      <c r="BC1318" s="624"/>
      <c r="BD1318" s="624"/>
      <c r="BE1318" s="624"/>
    </row>
    <row r="1319" ht="16.5" customHeight="1">
      <c r="A1319" s="711"/>
      <c r="B1319" s="711"/>
      <c r="C1319" s="711"/>
      <c r="D1319" s="711"/>
      <c r="E1319" s="711"/>
      <c r="F1319" s="711"/>
      <c r="G1319" s="711"/>
      <c r="H1319" s="711"/>
      <c r="I1319" s="711"/>
      <c r="J1319" s="711"/>
      <c r="K1319" s="741"/>
      <c r="L1319" s="741"/>
      <c r="M1319" s="788"/>
      <c r="N1319" s="741"/>
      <c r="O1319" s="741"/>
      <c r="P1319" s="741"/>
      <c r="Q1319" s="741"/>
      <c r="R1319" s="788"/>
      <c r="S1319" s="819"/>
      <c r="T1319" s="820"/>
      <c r="U1319" s="819"/>
      <c r="V1319" s="820"/>
      <c r="W1319" s="788"/>
      <c r="X1319" s="803"/>
      <c r="Y1319" s="803"/>
      <c r="Z1319" s="803"/>
      <c r="AA1319" s="711"/>
      <c r="AB1319" s="711"/>
      <c r="AC1319" s="711"/>
      <c r="AD1319" s="736"/>
      <c r="AE1319" s="736"/>
      <c r="AF1319" s="624"/>
      <c r="AG1319" s="624"/>
      <c r="AH1319" s="624"/>
      <c r="AI1319" s="624"/>
      <c r="AJ1319" s="984"/>
      <c r="AK1319" s="985"/>
      <c r="AL1319" s="986"/>
      <c r="AM1319" s="987"/>
      <c r="AN1319" s="988"/>
      <c r="AO1319" s="986"/>
      <c r="AP1319" s="989"/>
      <c r="AQ1319" s="986"/>
      <c r="AR1319" s="990"/>
      <c r="AS1319" s="624"/>
      <c r="AT1319" s="624"/>
      <c r="AU1319" s="624"/>
      <c r="AV1319" s="624"/>
      <c r="AW1319" s="624"/>
      <c r="AX1319" s="624"/>
      <c r="AY1319" s="624"/>
      <c r="AZ1319" s="624"/>
      <c r="BA1319" s="624"/>
      <c r="BB1319" s="624"/>
      <c r="BC1319" s="624"/>
      <c r="BD1319" s="624"/>
      <c r="BE1319" s="624"/>
    </row>
    <row r="1320" ht="16.5" customHeight="1">
      <c r="A1320" s="711"/>
      <c r="B1320" s="711"/>
      <c r="C1320" s="711"/>
      <c r="D1320" s="711"/>
      <c r="E1320" s="711"/>
      <c r="F1320" s="711"/>
      <c r="G1320" s="711"/>
      <c r="H1320" s="711"/>
      <c r="I1320" s="711"/>
      <c r="J1320" s="711"/>
      <c r="K1320" s="741"/>
      <c r="L1320" s="741"/>
      <c r="M1320" s="788"/>
      <c r="N1320" s="741"/>
      <c r="O1320" s="741"/>
      <c r="P1320" s="741"/>
      <c r="Q1320" s="741"/>
      <c r="R1320" s="788"/>
      <c r="S1320" s="819"/>
      <c r="T1320" s="820"/>
      <c r="U1320" s="819"/>
      <c r="V1320" s="820"/>
      <c r="W1320" s="788"/>
      <c r="X1320" s="803"/>
      <c r="Y1320" s="803"/>
      <c r="Z1320" s="803"/>
      <c r="AA1320" s="711"/>
      <c r="AB1320" s="711"/>
      <c r="AC1320" s="711"/>
      <c r="AD1320" s="736"/>
      <c r="AE1320" s="736"/>
      <c r="AF1320" s="624"/>
      <c r="AG1320" s="624"/>
      <c r="AH1320" s="624"/>
      <c r="AI1320" s="624"/>
      <c r="AJ1320" s="984"/>
      <c r="AK1320" s="985"/>
      <c r="AL1320" s="986"/>
      <c r="AM1320" s="987"/>
      <c r="AN1320" s="988"/>
      <c r="AO1320" s="986"/>
      <c r="AP1320" s="989"/>
      <c r="AQ1320" s="986"/>
      <c r="AR1320" s="990"/>
      <c r="AS1320" s="624"/>
      <c r="AT1320" s="624"/>
      <c r="AU1320" s="624"/>
      <c r="AV1320" s="624"/>
      <c r="AW1320" s="624"/>
      <c r="AX1320" s="624"/>
      <c r="AY1320" s="624"/>
      <c r="AZ1320" s="624"/>
      <c r="BA1320" s="624"/>
      <c r="BB1320" s="624"/>
      <c r="BC1320" s="624"/>
      <c r="BD1320" s="624"/>
      <c r="BE1320" s="624"/>
    </row>
    <row r="1321" ht="16.5" customHeight="1">
      <c r="A1321" s="711"/>
      <c r="B1321" s="711"/>
      <c r="C1321" s="711"/>
      <c r="D1321" s="711"/>
      <c r="E1321" s="711"/>
      <c r="F1321" s="711"/>
      <c r="G1321" s="711"/>
      <c r="H1321" s="711"/>
      <c r="I1321" s="711"/>
      <c r="J1321" s="711"/>
      <c r="K1321" s="741"/>
      <c r="L1321" s="741"/>
      <c r="M1321" s="788"/>
      <c r="N1321" s="741"/>
      <c r="O1321" s="741"/>
      <c r="P1321" s="741"/>
      <c r="Q1321" s="741"/>
      <c r="R1321" s="788"/>
      <c r="S1321" s="819"/>
      <c r="T1321" s="820"/>
      <c r="U1321" s="819"/>
      <c r="V1321" s="820"/>
      <c r="W1321" s="788"/>
      <c r="X1321" s="803"/>
      <c r="Y1321" s="803"/>
      <c r="Z1321" s="803"/>
      <c r="AA1321" s="711"/>
      <c r="AB1321" s="711"/>
      <c r="AC1321" s="711"/>
      <c r="AD1321" s="736"/>
      <c r="AE1321" s="736"/>
      <c r="AF1321" s="624"/>
      <c r="AG1321" s="624"/>
      <c r="AH1321" s="624"/>
      <c r="AI1321" s="624"/>
      <c r="AJ1321" s="984"/>
      <c r="AK1321" s="985"/>
      <c r="AL1321" s="986"/>
      <c r="AM1321" s="987"/>
      <c r="AN1321" s="988"/>
      <c r="AO1321" s="986"/>
      <c r="AP1321" s="989"/>
      <c r="AQ1321" s="986"/>
      <c r="AR1321" s="990"/>
      <c r="AS1321" s="624"/>
      <c r="AT1321" s="624"/>
      <c r="AU1321" s="624"/>
      <c r="AV1321" s="624"/>
      <c r="AW1321" s="624"/>
      <c r="AX1321" s="624"/>
      <c r="AY1321" s="624"/>
      <c r="AZ1321" s="624"/>
      <c r="BA1321" s="624"/>
      <c r="BB1321" s="624"/>
      <c r="BC1321" s="624"/>
      <c r="BD1321" s="624"/>
      <c r="BE1321" s="624"/>
    </row>
    <row r="1322" ht="16.5" customHeight="1">
      <c r="A1322" s="711"/>
      <c r="B1322" s="711"/>
      <c r="C1322" s="711"/>
      <c r="D1322" s="711"/>
      <c r="E1322" s="711"/>
      <c r="F1322" s="711"/>
      <c r="G1322" s="711"/>
      <c r="H1322" s="711"/>
      <c r="I1322" s="711"/>
      <c r="J1322" s="711"/>
      <c r="K1322" s="741"/>
      <c r="L1322" s="741"/>
      <c r="M1322" s="788"/>
      <c r="N1322" s="741"/>
      <c r="O1322" s="741"/>
      <c r="P1322" s="741"/>
      <c r="Q1322" s="741"/>
      <c r="R1322" s="788"/>
      <c r="S1322" s="819"/>
      <c r="T1322" s="820"/>
      <c r="U1322" s="819"/>
      <c r="V1322" s="820"/>
      <c r="W1322" s="788"/>
      <c r="X1322" s="803"/>
      <c r="Y1322" s="803"/>
      <c r="Z1322" s="803"/>
      <c r="AA1322" s="711"/>
      <c r="AB1322" s="711"/>
      <c r="AC1322" s="711"/>
      <c r="AD1322" s="736"/>
      <c r="AE1322" s="736"/>
      <c r="AF1322" s="624"/>
      <c r="AG1322" s="624"/>
      <c r="AH1322" s="624"/>
      <c r="AI1322" s="624"/>
      <c r="AJ1322" s="984"/>
      <c r="AK1322" s="985"/>
      <c r="AL1322" s="986"/>
      <c r="AM1322" s="987"/>
      <c r="AN1322" s="988"/>
      <c r="AO1322" s="986"/>
      <c r="AP1322" s="989"/>
      <c r="AQ1322" s="986"/>
      <c r="AR1322" s="990"/>
      <c r="AS1322" s="624"/>
      <c r="AT1322" s="624"/>
      <c r="AU1322" s="624"/>
      <c r="AV1322" s="624"/>
      <c r="AW1322" s="624"/>
      <c r="AX1322" s="624"/>
      <c r="AY1322" s="624"/>
      <c r="AZ1322" s="624"/>
      <c r="BA1322" s="624"/>
      <c r="BB1322" s="624"/>
      <c r="BC1322" s="624"/>
      <c r="BD1322" s="624"/>
      <c r="BE1322" s="624"/>
    </row>
    <row r="1323" ht="16.5" customHeight="1">
      <c r="A1323" s="711"/>
      <c r="B1323" s="711"/>
      <c r="C1323" s="711"/>
      <c r="D1323" s="711"/>
      <c r="E1323" s="711"/>
      <c r="F1323" s="711"/>
      <c r="G1323" s="711"/>
      <c r="H1323" s="711"/>
      <c r="I1323" s="711"/>
      <c r="J1323" s="711"/>
      <c r="K1323" s="741"/>
      <c r="L1323" s="741"/>
      <c r="M1323" s="788"/>
      <c r="N1323" s="741"/>
      <c r="O1323" s="741"/>
      <c r="P1323" s="741"/>
      <c r="Q1323" s="741"/>
      <c r="R1323" s="788"/>
      <c r="S1323" s="819"/>
      <c r="T1323" s="820"/>
      <c r="U1323" s="819"/>
      <c r="V1323" s="820"/>
      <c r="W1323" s="788"/>
      <c r="X1323" s="803"/>
      <c r="Y1323" s="803"/>
      <c r="Z1323" s="803"/>
      <c r="AA1323" s="711"/>
      <c r="AB1323" s="711"/>
      <c r="AC1323" s="711"/>
      <c r="AD1323" s="736"/>
      <c r="AE1323" s="736"/>
      <c r="AF1323" s="624"/>
      <c r="AG1323" s="624"/>
      <c r="AH1323" s="624"/>
      <c r="AI1323" s="624"/>
      <c r="AJ1323" s="984"/>
      <c r="AK1323" s="985"/>
      <c r="AL1323" s="986"/>
      <c r="AM1323" s="987"/>
      <c r="AN1323" s="988"/>
      <c r="AO1323" s="986"/>
      <c r="AP1323" s="989"/>
      <c r="AQ1323" s="986"/>
      <c r="AR1323" s="990"/>
      <c r="AS1323" s="624"/>
      <c r="AT1323" s="624"/>
      <c r="AU1323" s="624"/>
      <c r="AV1323" s="624"/>
      <c r="AW1323" s="624"/>
      <c r="AX1323" s="624"/>
      <c r="AY1323" s="624"/>
      <c r="AZ1323" s="624"/>
      <c r="BA1323" s="624"/>
      <c r="BB1323" s="624"/>
      <c r="BC1323" s="624"/>
      <c r="BD1323" s="624"/>
      <c r="BE1323" s="624"/>
    </row>
    <row r="1324" ht="16.5" customHeight="1">
      <c r="A1324" s="711"/>
      <c r="B1324" s="711"/>
      <c r="C1324" s="711"/>
      <c r="D1324" s="711"/>
      <c r="E1324" s="711"/>
      <c r="F1324" s="711"/>
      <c r="G1324" s="711"/>
      <c r="H1324" s="711"/>
      <c r="I1324" s="711"/>
      <c r="J1324" s="711"/>
      <c r="K1324" s="741"/>
      <c r="L1324" s="741"/>
      <c r="M1324" s="788"/>
      <c r="N1324" s="741"/>
      <c r="O1324" s="741"/>
      <c r="P1324" s="741"/>
      <c r="Q1324" s="741"/>
      <c r="R1324" s="788"/>
      <c r="S1324" s="819"/>
      <c r="T1324" s="820"/>
      <c r="U1324" s="819"/>
      <c r="V1324" s="820"/>
      <c r="W1324" s="788"/>
      <c r="X1324" s="803"/>
      <c r="Y1324" s="803"/>
      <c r="Z1324" s="803"/>
      <c r="AA1324" s="711"/>
      <c r="AB1324" s="711"/>
      <c r="AC1324" s="711"/>
      <c r="AD1324" s="736"/>
      <c r="AE1324" s="736"/>
      <c r="AF1324" s="624"/>
      <c r="AG1324" s="624"/>
      <c r="AH1324" s="624"/>
      <c r="AI1324" s="624"/>
      <c r="AJ1324" s="984"/>
      <c r="AK1324" s="985"/>
      <c r="AL1324" s="986"/>
      <c r="AM1324" s="987"/>
      <c r="AN1324" s="988"/>
      <c r="AO1324" s="986"/>
      <c r="AP1324" s="989"/>
      <c r="AQ1324" s="986"/>
      <c r="AR1324" s="990"/>
      <c r="AS1324" s="624"/>
      <c r="AT1324" s="624"/>
      <c r="AU1324" s="624"/>
      <c r="AV1324" s="624"/>
      <c r="AW1324" s="624"/>
      <c r="AX1324" s="624"/>
      <c r="AY1324" s="624"/>
      <c r="AZ1324" s="624"/>
      <c r="BA1324" s="624"/>
      <c r="BB1324" s="624"/>
      <c r="BC1324" s="624"/>
      <c r="BD1324" s="624"/>
      <c r="BE1324" s="624"/>
    </row>
    <row r="1325" ht="16.5" customHeight="1">
      <c r="A1325" s="711"/>
      <c r="B1325" s="711"/>
      <c r="C1325" s="711"/>
      <c r="D1325" s="711"/>
      <c r="E1325" s="711"/>
      <c r="F1325" s="711"/>
      <c r="G1325" s="711"/>
      <c r="H1325" s="711"/>
      <c r="I1325" s="711"/>
      <c r="J1325" s="711"/>
      <c r="K1325" s="741"/>
      <c r="L1325" s="741"/>
      <c r="M1325" s="788"/>
      <c r="N1325" s="741"/>
      <c r="O1325" s="741"/>
      <c r="P1325" s="741"/>
      <c r="Q1325" s="741"/>
      <c r="R1325" s="788"/>
      <c r="S1325" s="819"/>
      <c r="T1325" s="820"/>
      <c r="U1325" s="819"/>
      <c r="V1325" s="820"/>
      <c r="W1325" s="788"/>
      <c r="X1325" s="803"/>
      <c r="Y1325" s="803"/>
      <c r="Z1325" s="803"/>
      <c r="AA1325" s="711"/>
      <c r="AB1325" s="711"/>
      <c r="AC1325" s="711"/>
      <c r="AD1325" s="736"/>
      <c r="AE1325" s="736"/>
      <c r="AF1325" s="624"/>
      <c r="AG1325" s="624"/>
      <c r="AH1325" s="624"/>
      <c r="AI1325" s="624"/>
      <c r="AJ1325" s="984"/>
      <c r="AK1325" s="985"/>
      <c r="AL1325" s="986"/>
      <c r="AM1325" s="987"/>
      <c r="AN1325" s="988"/>
      <c r="AO1325" s="986"/>
      <c r="AP1325" s="989"/>
      <c r="AQ1325" s="986"/>
      <c r="AR1325" s="990"/>
      <c r="AS1325" s="624"/>
      <c r="AT1325" s="624"/>
      <c r="AU1325" s="624"/>
      <c r="AV1325" s="624"/>
      <c r="AW1325" s="624"/>
      <c r="AX1325" s="624"/>
      <c r="AY1325" s="624"/>
      <c r="AZ1325" s="624"/>
      <c r="BA1325" s="624"/>
      <c r="BB1325" s="624"/>
      <c r="BC1325" s="624"/>
      <c r="BD1325" s="624"/>
      <c r="BE1325" s="624"/>
    </row>
    <row r="1326" ht="16.5" customHeight="1">
      <c r="A1326" s="711"/>
      <c r="B1326" s="711"/>
      <c r="C1326" s="711"/>
      <c r="D1326" s="711"/>
      <c r="E1326" s="711"/>
      <c r="F1326" s="711"/>
      <c r="G1326" s="711"/>
      <c r="H1326" s="711"/>
      <c r="I1326" s="711"/>
      <c r="J1326" s="711"/>
      <c r="K1326" s="741"/>
      <c r="L1326" s="741"/>
      <c r="M1326" s="788"/>
      <c r="N1326" s="741"/>
      <c r="O1326" s="741"/>
      <c r="P1326" s="741"/>
      <c r="Q1326" s="741"/>
      <c r="R1326" s="788"/>
      <c r="S1326" s="819"/>
      <c r="T1326" s="820"/>
      <c r="U1326" s="819"/>
      <c r="V1326" s="820"/>
      <c r="W1326" s="788"/>
      <c r="X1326" s="803"/>
      <c r="Y1326" s="803"/>
      <c r="Z1326" s="803"/>
      <c r="AA1326" s="711"/>
      <c r="AB1326" s="711"/>
      <c r="AC1326" s="711"/>
      <c r="AD1326" s="736"/>
      <c r="AE1326" s="736"/>
      <c r="AF1326" s="624"/>
      <c r="AG1326" s="624"/>
      <c r="AH1326" s="624"/>
      <c r="AI1326" s="624"/>
      <c r="AJ1326" s="984"/>
      <c r="AK1326" s="985"/>
      <c r="AL1326" s="986"/>
      <c r="AM1326" s="987"/>
      <c r="AN1326" s="988"/>
      <c r="AO1326" s="986"/>
      <c r="AP1326" s="989"/>
      <c r="AQ1326" s="986"/>
      <c r="AR1326" s="990"/>
      <c r="AS1326" s="624"/>
      <c r="AT1326" s="624"/>
      <c r="AU1326" s="624"/>
      <c r="AV1326" s="624"/>
      <c r="AW1326" s="624"/>
      <c r="AX1326" s="624"/>
      <c r="AY1326" s="624"/>
      <c r="AZ1326" s="624"/>
      <c r="BA1326" s="624"/>
      <c r="BB1326" s="624"/>
      <c r="BC1326" s="624"/>
      <c r="BD1326" s="624"/>
      <c r="BE1326" s="624"/>
    </row>
    <row r="1327" ht="16.5" customHeight="1">
      <c r="A1327" s="711"/>
      <c r="B1327" s="711"/>
      <c r="C1327" s="711"/>
      <c r="D1327" s="711"/>
      <c r="E1327" s="711"/>
      <c r="F1327" s="711"/>
      <c r="G1327" s="711"/>
      <c r="H1327" s="711"/>
      <c r="I1327" s="711"/>
      <c r="J1327" s="711"/>
      <c r="K1327" s="741"/>
      <c r="L1327" s="741"/>
      <c r="M1327" s="788"/>
      <c r="N1327" s="741"/>
      <c r="O1327" s="741"/>
      <c r="P1327" s="741"/>
      <c r="Q1327" s="741"/>
      <c r="R1327" s="788"/>
      <c r="S1327" s="819"/>
      <c r="T1327" s="820"/>
      <c r="U1327" s="819"/>
      <c r="V1327" s="820"/>
      <c r="W1327" s="788"/>
      <c r="X1327" s="803"/>
      <c r="Y1327" s="803"/>
      <c r="Z1327" s="803"/>
      <c r="AA1327" s="711"/>
      <c r="AB1327" s="711"/>
      <c r="AC1327" s="711"/>
      <c r="AD1327" s="736"/>
      <c r="AE1327" s="736"/>
      <c r="AF1327" s="624"/>
      <c r="AG1327" s="624"/>
      <c r="AH1327" s="624"/>
      <c r="AI1327" s="624"/>
      <c r="AJ1327" s="984"/>
      <c r="AK1327" s="985"/>
      <c r="AL1327" s="986"/>
      <c r="AM1327" s="987"/>
      <c r="AN1327" s="988"/>
      <c r="AO1327" s="986"/>
      <c r="AP1327" s="989"/>
      <c r="AQ1327" s="986"/>
      <c r="AR1327" s="990"/>
      <c r="AS1327" s="624"/>
      <c r="AT1327" s="624"/>
      <c r="AU1327" s="624"/>
      <c r="AV1327" s="624"/>
      <c r="AW1327" s="624"/>
      <c r="AX1327" s="624"/>
      <c r="AY1327" s="624"/>
      <c r="AZ1327" s="624"/>
      <c r="BA1327" s="624"/>
      <c r="BB1327" s="624"/>
      <c r="BC1327" s="624"/>
      <c r="BD1327" s="624"/>
      <c r="BE1327" s="624"/>
    </row>
    <row r="1328" ht="16.5" customHeight="1">
      <c r="A1328" s="711"/>
      <c r="B1328" s="711"/>
      <c r="C1328" s="711"/>
      <c r="D1328" s="711"/>
      <c r="E1328" s="711"/>
      <c r="F1328" s="711"/>
      <c r="G1328" s="711"/>
      <c r="H1328" s="711"/>
      <c r="I1328" s="711"/>
      <c r="J1328" s="711"/>
      <c r="K1328" s="741"/>
      <c r="L1328" s="741"/>
      <c r="M1328" s="788"/>
      <c r="N1328" s="741"/>
      <c r="O1328" s="741"/>
      <c r="P1328" s="741"/>
      <c r="Q1328" s="741"/>
      <c r="R1328" s="788"/>
      <c r="S1328" s="819"/>
      <c r="T1328" s="820"/>
      <c r="U1328" s="819"/>
      <c r="V1328" s="820"/>
      <c r="W1328" s="788"/>
      <c r="X1328" s="803"/>
      <c r="Y1328" s="803"/>
      <c r="Z1328" s="803"/>
      <c r="AA1328" s="711"/>
      <c r="AB1328" s="711"/>
      <c r="AC1328" s="711"/>
      <c r="AD1328" s="736"/>
      <c r="AE1328" s="736"/>
      <c r="AF1328" s="624"/>
      <c r="AG1328" s="624"/>
      <c r="AH1328" s="624"/>
      <c r="AI1328" s="624"/>
      <c r="AJ1328" s="984"/>
      <c r="AK1328" s="985"/>
      <c r="AL1328" s="986"/>
      <c r="AM1328" s="987"/>
      <c r="AN1328" s="988"/>
      <c r="AO1328" s="986"/>
      <c r="AP1328" s="989"/>
      <c r="AQ1328" s="986"/>
      <c r="AR1328" s="990"/>
      <c r="AS1328" s="624"/>
      <c r="AT1328" s="624"/>
      <c r="AU1328" s="624"/>
      <c r="AV1328" s="624"/>
      <c r="AW1328" s="624"/>
      <c r="AX1328" s="624"/>
      <c r="AY1328" s="624"/>
      <c r="AZ1328" s="624"/>
      <c r="BA1328" s="624"/>
      <c r="BB1328" s="624"/>
      <c r="BC1328" s="624"/>
      <c r="BD1328" s="624"/>
      <c r="BE1328" s="624"/>
    </row>
    <row r="1329" ht="16.5" customHeight="1">
      <c r="A1329" s="711"/>
      <c r="B1329" s="711"/>
      <c r="C1329" s="711"/>
      <c r="D1329" s="711"/>
      <c r="E1329" s="711"/>
      <c r="F1329" s="711"/>
      <c r="G1329" s="711"/>
      <c r="H1329" s="711"/>
      <c r="I1329" s="711"/>
      <c r="J1329" s="711"/>
      <c r="K1329" s="741"/>
      <c r="L1329" s="741"/>
      <c r="M1329" s="788"/>
      <c r="N1329" s="741"/>
      <c r="O1329" s="741"/>
      <c r="P1329" s="741"/>
      <c r="Q1329" s="741"/>
      <c r="R1329" s="788"/>
      <c r="S1329" s="819"/>
      <c r="T1329" s="820"/>
      <c r="U1329" s="819"/>
      <c r="V1329" s="820"/>
      <c r="W1329" s="788"/>
      <c r="X1329" s="803"/>
      <c r="Y1329" s="803"/>
      <c r="Z1329" s="803"/>
      <c r="AA1329" s="711"/>
      <c r="AB1329" s="711"/>
      <c r="AC1329" s="711"/>
      <c r="AD1329" s="736"/>
      <c r="AE1329" s="736"/>
      <c r="AF1329" s="624"/>
      <c r="AG1329" s="624"/>
      <c r="AH1329" s="624"/>
      <c r="AI1329" s="624"/>
      <c r="AJ1329" s="984"/>
      <c r="AK1329" s="985"/>
      <c r="AL1329" s="986"/>
      <c r="AM1329" s="987"/>
      <c r="AN1329" s="988"/>
      <c r="AO1329" s="986"/>
      <c r="AP1329" s="989"/>
      <c r="AQ1329" s="986"/>
      <c r="AR1329" s="990"/>
      <c r="AS1329" s="624"/>
      <c r="AT1329" s="624"/>
      <c r="AU1329" s="624"/>
      <c r="AV1329" s="624"/>
      <c r="AW1329" s="624"/>
      <c r="AX1329" s="624"/>
      <c r="AY1329" s="624"/>
      <c r="AZ1329" s="624"/>
      <c r="BA1329" s="624"/>
      <c r="BB1329" s="624"/>
      <c r="BC1329" s="624"/>
      <c r="BD1329" s="624"/>
      <c r="BE1329" s="624"/>
    </row>
    <row r="1330" ht="16.5" customHeight="1">
      <c r="A1330" s="711"/>
      <c r="B1330" s="711"/>
      <c r="C1330" s="711"/>
      <c r="D1330" s="711"/>
      <c r="E1330" s="711"/>
      <c r="F1330" s="711"/>
      <c r="G1330" s="711"/>
      <c r="H1330" s="711"/>
      <c r="I1330" s="711"/>
      <c r="J1330" s="711"/>
      <c r="K1330" s="741"/>
      <c r="L1330" s="741"/>
      <c r="M1330" s="788"/>
      <c r="N1330" s="741"/>
      <c r="O1330" s="741"/>
      <c r="P1330" s="741"/>
      <c r="Q1330" s="741"/>
      <c r="R1330" s="788"/>
      <c r="S1330" s="819"/>
      <c r="T1330" s="820"/>
      <c r="U1330" s="819"/>
      <c r="V1330" s="820"/>
      <c r="W1330" s="788"/>
      <c r="X1330" s="803"/>
      <c r="Y1330" s="803"/>
      <c r="Z1330" s="803"/>
      <c r="AA1330" s="711"/>
      <c r="AB1330" s="711"/>
      <c r="AC1330" s="711"/>
      <c r="AD1330" s="736"/>
      <c r="AE1330" s="736"/>
      <c r="AF1330" s="624"/>
      <c r="AG1330" s="624"/>
      <c r="AH1330" s="624"/>
      <c r="AI1330" s="624"/>
      <c r="AJ1330" s="984"/>
      <c r="AK1330" s="985"/>
      <c r="AL1330" s="986"/>
      <c r="AM1330" s="987"/>
      <c r="AN1330" s="988"/>
      <c r="AO1330" s="986"/>
      <c r="AP1330" s="989"/>
      <c r="AQ1330" s="986"/>
      <c r="AR1330" s="990"/>
      <c r="AS1330" s="624"/>
      <c r="AT1330" s="624"/>
      <c r="AU1330" s="624"/>
      <c r="AV1330" s="624"/>
      <c r="AW1330" s="624"/>
      <c r="AX1330" s="624"/>
      <c r="AY1330" s="624"/>
      <c r="AZ1330" s="624"/>
      <c r="BA1330" s="624"/>
      <c r="BB1330" s="624"/>
      <c r="BC1330" s="624"/>
      <c r="BD1330" s="624"/>
      <c r="BE1330" s="624"/>
    </row>
    <row r="1331" ht="16.5" customHeight="1">
      <c r="A1331" s="711"/>
      <c r="B1331" s="711"/>
      <c r="C1331" s="711"/>
      <c r="D1331" s="711"/>
      <c r="E1331" s="711"/>
      <c r="F1331" s="711"/>
      <c r="G1331" s="711"/>
      <c r="H1331" s="711"/>
      <c r="I1331" s="711"/>
      <c r="J1331" s="711"/>
      <c r="K1331" s="741"/>
      <c r="L1331" s="741"/>
      <c r="M1331" s="788"/>
      <c r="N1331" s="741"/>
      <c r="O1331" s="741"/>
      <c r="P1331" s="741"/>
      <c r="Q1331" s="741"/>
      <c r="R1331" s="788"/>
      <c r="S1331" s="819"/>
      <c r="T1331" s="820"/>
      <c r="U1331" s="819"/>
      <c r="V1331" s="820"/>
      <c r="W1331" s="788"/>
      <c r="X1331" s="803"/>
      <c r="Y1331" s="803"/>
      <c r="Z1331" s="803"/>
      <c r="AA1331" s="711"/>
      <c r="AB1331" s="711"/>
      <c r="AC1331" s="711"/>
      <c r="AD1331" s="736"/>
      <c r="AE1331" s="736"/>
      <c r="AF1331" s="624"/>
      <c r="AG1331" s="624"/>
      <c r="AH1331" s="624"/>
      <c r="AI1331" s="624"/>
      <c r="AJ1331" s="984"/>
      <c r="AK1331" s="985"/>
      <c r="AL1331" s="986"/>
      <c r="AM1331" s="987"/>
      <c r="AN1331" s="988"/>
      <c r="AO1331" s="986"/>
      <c r="AP1331" s="989"/>
      <c r="AQ1331" s="986"/>
      <c r="AR1331" s="990"/>
      <c r="AS1331" s="624"/>
      <c r="AT1331" s="624"/>
      <c r="AU1331" s="624"/>
      <c r="AV1331" s="624"/>
      <c r="AW1331" s="624"/>
      <c r="AX1331" s="624"/>
      <c r="AY1331" s="624"/>
      <c r="AZ1331" s="624"/>
      <c r="BA1331" s="624"/>
      <c r="BB1331" s="624"/>
      <c r="BC1331" s="624"/>
      <c r="BD1331" s="624"/>
      <c r="BE1331" s="624"/>
    </row>
    <row r="1332" ht="16.5" customHeight="1">
      <c r="A1332" s="711"/>
      <c r="B1332" s="711"/>
      <c r="C1332" s="711"/>
      <c r="D1332" s="711"/>
      <c r="E1332" s="711"/>
      <c r="F1332" s="711"/>
      <c r="G1332" s="711"/>
      <c r="H1332" s="711"/>
      <c r="I1332" s="711"/>
      <c r="J1332" s="711"/>
      <c r="K1332" s="741"/>
      <c r="L1332" s="741"/>
      <c r="M1332" s="788"/>
      <c r="N1332" s="741"/>
      <c r="O1332" s="741"/>
      <c r="P1332" s="741"/>
      <c r="Q1332" s="741"/>
      <c r="R1332" s="788"/>
      <c r="S1332" s="819"/>
      <c r="T1332" s="820"/>
      <c r="U1332" s="819"/>
      <c r="V1332" s="820"/>
      <c r="W1332" s="788"/>
      <c r="X1332" s="803"/>
      <c r="Y1332" s="803"/>
      <c r="Z1332" s="803"/>
      <c r="AA1332" s="711"/>
      <c r="AB1332" s="711"/>
      <c r="AC1332" s="711"/>
      <c r="AD1332" s="736"/>
      <c r="AE1332" s="736"/>
      <c r="AF1332" s="624"/>
      <c r="AG1332" s="624"/>
      <c r="AH1332" s="624"/>
      <c r="AI1332" s="624"/>
      <c r="AJ1332" s="984"/>
      <c r="AK1332" s="985"/>
      <c r="AL1332" s="986"/>
      <c r="AM1332" s="987"/>
      <c r="AN1332" s="988"/>
      <c r="AO1332" s="986"/>
      <c r="AP1332" s="989"/>
      <c r="AQ1332" s="986"/>
      <c r="AR1332" s="990"/>
      <c r="AS1332" s="624"/>
      <c r="AT1332" s="624"/>
      <c r="AU1332" s="624"/>
      <c r="AV1332" s="624"/>
      <c r="AW1332" s="624"/>
      <c r="AX1332" s="624"/>
      <c r="AY1332" s="624"/>
      <c r="AZ1332" s="624"/>
      <c r="BA1332" s="624"/>
      <c r="BB1332" s="624"/>
      <c r="BC1332" s="624"/>
      <c r="BD1332" s="624"/>
      <c r="BE1332" s="624"/>
    </row>
    <row r="1333" ht="16.5" customHeight="1">
      <c r="A1333" s="711"/>
      <c r="B1333" s="711"/>
      <c r="C1333" s="711"/>
      <c r="D1333" s="711"/>
      <c r="E1333" s="711"/>
      <c r="F1333" s="711"/>
      <c r="G1333" s="711"/>
      <c r="H1333" s="711"/>
      <c r="I1333" s="711"/>
      <c r="J1333" s="711"/>
      <c r="K1333" s="741"/>
      <c r="L1333" s="741"/>
      <c r="M1333" s="788"/>
      <c r="N1333" s="741"/>
      <c r="O1333" s="741"/>
      <c r="P1333" s="741"/>
      <c r="Q1333" s="741"/>
      <c r="R1333" s="788"/>
      <c r="S1333" s="819"/>
      <c r="T1333" s="820"/>
      <c r="U1333" s="819"/>
      <c r="V1333" s="820"/>
      <c r="W1333" s="788"/>
      <c r="X1333" s="803"/>
      <c r="Y1333" s="803"/>
      <c r="Z1333" s="803"/>
      <c r="AA1333" s="711"/>
      <c r="AB1333" s="711"/>
      <c r="AC1333" s="711"/>
      <c r="AD1333" s="736"/>
      <c r="AE1333" s="736"/>
      <c r="AF1333" s="624"/>
      <c r="AG1333" s="624"/>
      <c r="AH1333" s="624"/>
      <c r="AI1333" s="624"/>
      <c r="AJ1333" s="984"/>
      <c r="AK1333" s="985"/>
      <c r="AL1333" s="986"/>
      <c r="AM1333" s="987"/>
      <c r="AN1333" s="988"/>
      <c r="AO1333" s="986"/>
      <c r="AP1333" s="989"/>
      <c r="AQ1333" s="986"/>
      <c r="AR1333" s="990"/>
      <c r="AS1333" s="624"/>
      <c r="AT1333" s="624"/>
      <c r="AU1333" s="624"/>
      <c r="AV1333" s="624"/>
      <c r="AW1333" s="624"/>
      <c r="AX1333" s="624"/>
      <c r="AY1333" s="624"/>
      <c r="AZ1333" s="624"/>
      <c r="BA1333" s="624"/>
      <c r="BB1333" s="624"/>
      <c r="BC1333" s="624"/>
      <c r="BD1333" s="624"/>
      <c r="BE1333" s="624"/>
    </row>
    <row r="1334" ht="16.5" customHeight="1">
      <c r="A1334" s="711"/>
      <c r="B1334" s="711"/>
      <c r="C1334" s="711"/>
      <c r="D1334" s="711"/>
      <c r="E1334" s="711"/>
      <c r="F1334" s="711"/>
      <c r="G1334" s="711"/>
      <c r="H1334" s="711"/>
      <c r="I1334" s="711"/>
      <c r="J1334" s="711"/>
      <c r="K1334" s="741"/>
      <c r="L1334" s="741"/>
      <c r="M1334" s="788"/>
      <c r="N1334" s="741"/>
      <c r="O1334" s="741"/>
      <c r="P1334" s="741"/>
      <c r="Q1334" s="741"/>
      <c r="R1334" s="788"/>
      <c r="S1334" s="819"/>
      <c r="T1334" s="820"/>
      <c r="U1334" s="819"/>
      <c r="V1334" s="820"/>
      <c r="W1334" s="788"/>
      <c r="X1334" s="803"/>
      <c r="Y1334" s="803"/>
      <c r="Z1334" s="803"/>
      <c r="AA1334" s="711"/>
      <c r="AB1334" s="711"/>
      <c r="AC1334" s="711"/>
      <c r="AD1334" s="736"/>
      <c r="AE1334" s="736"/>
      <c r="AF1334" s="624"/>
      <c r="AG1334" s="624"/>
      <c r="AH1334" s="624"/>
      <c r="AI1334" s="624"/>
      <c r="AJ1334" s="984"/>
      <c r="AK1334" s="985"/>
      <c r="AL1334" s="986"/>
      <c r="AM1334" s="987"/>
      <c r="AN1334" s="988"/>
      <c r="AO1334" s="986"/>
      <c r="AP1334" s="989"/>
      <c r="AQ1334" s="986"/>
      <c r="AR1334" s="990"/>
      <c r="AS1334" s="624"/>
      <c r="AT1334" s="624"/>
      <c r="AU1334" s="624"/>
      <c r="AV1334" s="624"/>
      <c r="AW1334" s="624"/>
      <c r="AX1334" s="624"/>
      <c r="AY1334" s="624"/>
      <c r="AZ1334" s="624"/>
      <c r="BA1334" s="624"/>
      <c r="BB1334" s="624"/>
      <c r="BC1334" s="624"/>
      <c r="BD1334" s="624"/>
      <c r="BE1334" s="624"/>
    </row>
    <row r="1335" ht="16.5" customHeight="1">
      <c r="A1335" s="711"/>
      <c r="B1335" s="711"/>
      <c r="C1335" s="711"/>
      <c r="D1335" s="711"/>
      <c r="E1335" s="711"/>
      <c r="F1335" s="711"/>
      <c r="G1335" s="711"/>
      <c r="H1335" s="711"/>
      <c r="I1335" s="711"/>
      <c r="J1335" s="711"/>
      <c r="K1335" s="741"/>
      <c r="L1335" s="741"/>
      <c r="M1335" s="788"/>
      <c r="N1335" s="741"/>
      <c r="O1335" s="741"/>
      <c r="P1335" s="741"/>
      <c r="Q1335" s="741"/>
      <c r="R1335" s="788"/>
      <c r="S1335" s="819"/>
      <c r="T1335" s="820"/>
      <c r="U1335" s="819"/>
      <c r="V1335" s="820"/>
      <c r="W1335" s="788"/>
      <c r="X1335" s="803"/>
      <c r="Y1335" s="803"/>
      <c r="Z1335" s="803"/>
      <c r="AA1335" s="711"/>
      <c r="AB1335" s="711"/>
      <c r="AC1335" s="711"/>
      <c r="AD1335" s="736"/>
      <c r="AE1335" s="736"/>
      <c r="AF1335" s="624"/>
      <c r="AG1335" s="624"/>
      <c r="AH1335" s="624"/>
      <c r="AI1335" s="624"/>
      <c r="AJ1335" s="984"/>
      <c r="AK1335" s="985"/>
      <c r="AL1335" s="986"/>
      <c r="AM1335" s="987"/>
      <c r="AN1335" s="988"/>
      <c r="AO1335" s="986"/>
      <c r="AP1335" s="989"/>
      <c r="AQ1335" s="986"/>
      <c r="AR1335" s="990"/>
      <c r="AS1335" s="624"/>
      <c r="AT1335" s="624"/>
      <c r="AU1335" s="624"/>
      <c r="AV1335" s="624"/>
      <c r="AW1335" s="624"/>
      <c r="AX1335" s="624"/>
      <c r="AY1335" s="624"/>
      <c r="AZ1335" s="624"/>
      <c r="BA1335" s="624"/>
      <c r="BB1335" s="624"/>
      <c r="BC1335" s="624"/>
      <c r="BD1335" s="624"/>
      <c r="BE1335" s="624"/>
    </row>
    <row r="1336" ht="16.5" customHeight="1">
      <c r="A1336" s="711"/>
      <c r="B1336" s="711"/>
      <c r="C1336" s="711"/>
      <c r="D1336" s="711"/>
      <c r="E1336" s="711"/>
      <c r="F1336" s="711"/>
      <c r="G1336" s="711"/>
      <c r="H1336" s="711"/>
      <c r="I1336" s="711"/>
      <c r="J1336" s="711"/>
      <c r="K1336" s="741"/>
      <c r="L1336" s="741"/>
      <c r="M1336" s="788"/>
      <c r="N1336" s="741"/>
      <c r="O1336" s="741"/>
      <c r="P1336" s="741"/>
      <c r="Q1336" s="741"/>
      <c r="R1336" s="788"/>
      <c r="S1336" s="819"/>
      <c r="T1336" s="820"/>
      <c r="U1336" s="819"/>
      <c r="V1336" s="820"/>
      <c r="W1336" s="788"/>
      <c r="X1336" s="803"/>
      <c r="Y1336" s="803"/>
      <c r="Z1336" s="803"/>
      <c r="AA1336" s="711"/>
      <c r="AB1336" s="711"/>
      <c r="AC1336" s="711"/>
      <c r="AD1336" s="736"/>
      <c r="AE1336" s="736"/>
      <c r="AF1336" s="624"/>
      <c r="AG1336" s="624"/>
      <c r="AH1336" s="624"/>
      <c r="AI1336" s="624"/>
      <c r="AJ1336" s="984"/>
      <c r="AK1336" s="985"/>
      <c r="AL1336" s="986"/>
      <c r="AM1336" s="987"/>
      <c r="AN1336" s="988"/>
      <c r="AO1336" s="986"/>
      <c r="AP1336" s="989"/>
      <c r="AQ1336" s="986"/>
      <c r="AR1336" s="990"/>
      <c r="AS1336" s="624"/>
      <c r="AT1336" s="624"/>
      <c r="AU1336" s="624"/>
      <c r="AV1336" s="624"/>
      <c r="AW1336" s="624"/>
      <c r="AX1336" s="624"/>
      <c r="AY1336" s="624"/>
      <c r="AZ1336" s="624"/>
      <c r="BA1336" s="624"/>
      <c r="BB1336" s="624"/>
      <c r="BC1336" s="624"/>
      <c r="BD1336" s="624"/>
      <c r="BE1336" s="624"/>
    </row>
    <row r="1337" ht="16.5" customHeight="1">
      <c r="A1337" s="711"/>
      <c r="B1337" s="711"/>
      <c r="C1337" s="711"/>
      <c r="D1337" s="711"/>
      <c r="E1337" s="711"/>
      <c r="F1337" s="711"/>
      <c r="G1337" s="711"/>
      <c r="H1337" s="711"/>
      <c r="I1337" s="711"/>
      <c r="J1337" s="711"/>
      <c r="K1337" s="741"/>
      <c r="L1337" s="741"/>
      <c r="M1337" s="788"/>
      <c r="N1337" s="741"/>
      <c r="O1337" s="741"/>
      <c r="P1337" s="741"/>
      <c r="Q1337" s="741"/>
      <c r="R1337" s="788"/>
      <c r="S1337" s="819"/>
      <c r="T1337" s="820"/>
      <c r="U1337" s="819"/>
      <c r="V1337" s="820"/>
      <c r="W1337" s="788"/>
      <c r="X1337" s="803"/>
      <c r="Y1337" s="803"/>
      <c r="Z1337" s="803"/>
      <c r="AA1337" s="711"/>
      <c r="AB1337" s="711"/>
      <c r="AC1337" s="711"/>
      <c r="AD1337" s="736"/>
      <c r="AE1337" s="736"/>
      <c r="AF1337" s="624"/>
      <c r="AG1337" s="624"/>
      <c r="AH1337" s="624"/>
      <c r="AI1337" s="624"/>
      <c r="AJ1337" s="984"/>
      <c r="AK1337" s="985"/>
      <c r="AL1337" s="986"/>
      <c r="AM1337" s="987"/>
      <c r="AN1337" s="988"/>
      <c r="AO1337" s="986"/>
      <c r="AP1337" s="989"/>
      <c r="AQ1337" s="986"/>
      <c r="AR1337" s="990"/>
      <c r="AS1337" s="624"/>
      <c r="AT1337" s="624"/>
      <c r="AU1337" s="624"/>
      <c r="AV1337" s="624"/>
      <c r="AW1337" s="624"/>
      <c r="AX1337" s="624"/>
      <c r="AY1337" s="624"/>
      <c r="AZ1337" s="624"/>
      <c r="BA1337" s="624"/>
      <c r="BB1337" s="624"/>
      <c r="BC1337" s="624"/>
      <c r="BD1337" s="624"/>
      <c r="BE1337" s="624"/>
    </row>
    <row r="1338" ht="16.5" customHeight="1">
      <c r="A1338" s="711"/>
      <c r="B1338" s="711"/>
      <c r="C1338" s="711"/>
      <c r="D1338" s="711"/>
      <c r="E1338" s="711"/>
      <c r="F1338" s="711"/>
      <c r="G1338" s="711"/>
      <c r="H1338" s="711"/>
      <c r="I1338" s="711"/>
      <c r="J1338" s="711"/>
      <c r="K1338" s="741"/>
      <c r="L1338" s="741"/>
      <c r="M1338" s="788"/>
      <c r="N1338" s="741"/>
      <c r="O1338" s="741"/>
      <c r="P1338" s="741"/>
      <c r="Q1338" s="741"/>
      <c r="R1338" s="788"/>
      <c r="S1338" s="819"/>
      <c r="T1338" s="820"/>
      <c r="U1338" s="819"/>
      <c r="V1338" s="820"/>
      <c r="W1338" s="788"/>
      <c r="X1338" s="803"/>
      <c r="Y1338" s="803"/>
      <c r="Z1338" s="803"/>
      <c r="AA1338" s="711"/>
      <c r="AB1338" s="711"/>
      <c r="AC1338" s="711"/>
      <c r="AD1338" s="736"/>
      <c r="AE1338" s="736"/>
      <c r="AF1338" s="624"/>
      <c r="AG1338" s="624"/>
      <c r="AH1338" s="624"/>
      <c r="AI1338" s="624"/>
      <c r="AJ1338" s="984"/>
      <c r="AK1338" s="985"/>
      <c r="AL1338" s="986"/>
      <c r="AM1338" s="987"/>
      <c r="AN1338" s="988"/>
      <c r="AO1338" s="986"/>
      <c r="AP1338" s="989"/>
      <c r="AQ1338" s="986"/>
      <c r="AR1338" s="990"/>
      <c r="AS1338" s="624"/>
      <c r="AT1338" s="624"/>
      <c r="AU1338" s="624"/>
      <c r="AV1338" s="624"/>
      <c r="AW1338" s="624"/>
      <c r="AX1338" s="624"/>
      <c r="AY1338" s="624"/>
      <c r="AZ1338" s="624"/>
      <c r="BA1338" s="624"/>
      <c r="BB1338" s="624"/>
      <c r="BC1338" s="624"/>
      <c r="BD1338" s="624"/>
      <c r="BE1338" s="624"/>
    </row>
    <row r="1339" ht="16.5" customHeight="1">
      <c r="A1339" s="711"/>
      <c r="B1339" s="711"/>
      <c r="C1339" s="711"/>
      <c r="D1339" s="711"/>
      <c r="E1339" s="711"/>
      <c r="F1339" s="711"/>
      <c r="G1339" s="711"/>
      <c r="H1339" s="711"/>
      <c r="I1339" s="711"/>
      <c r="J1339" s="711"/>
      <c r="K1339" s="741"/>
      <c r="L1339" s="741"/>
      <c r="M1339" s="788"/>
      <c r="N1339" s="741"/>
      <c r="O1339" s="741"/>
      <c r="P1339" s="741"/>
      <c r="Q1339" s="741"/>
      <c r="R1339" s="788"/>
      <c r="S1339" s="819"/>
      <c r="T1339" s="820"/>
      <c r="U1339" s="819"/>
      <c r="V1339" s="820"/>
      <c r="W1339" s="788"/>
      <c r="X1339" s="803"/>
      <c r="Y1339" s="803"/>
      <c r="Z1339" s="803"/>
      <c r="AA1339" s="711"/>
      <c r="AB1339" s="711"/>
      <c r="AC1339" s="711"/>
      <c r="AD1339" s="736"/>
      <c r="AE1339" s="736"/>
      <c r="AF1339" s="624"/>
      <c r="AG1339" s="624"/>
      <c r="AH1339" s="624"/>
      <c r="AI1339" s="624"/>
      <c r="AJ1339" s="984"/>
      <c r="AK1339" s="985"/>
      <c r="AL1339" s="986"/>
      <c r="AM1339" s="987"/>
      <c r="AN1339" s="988"/>
      <c r="AO1339" s="986"/>
      <c r="AP1339" s="989"/>
      <c r="AQ1339" s="986"/>
      <c r="AR1339" s="990"/>
      <c r="AS1339" s="624"/>
      <c r="AT1339" s="624"/>
      <c r="AU1339" s="624"/>
      <c r="AV1339" s="624"/>
      <c r="AW1339" s="624"/>
      <c r="AX1339" s="624"/>
      <c r="AY1339" s="624"/>
      <c r="AZ1339" s="624"/>
      <c r="BA1339" s="624"/>
      <c r="BB1339" s="624"/>
      <c r="BC1339" s="624"/>
      <c r="BD1339" s="624"/>
      <c r="BE1339" s="624"/>
    </row>
    <row r="1340" ht="16.5" customHeight="1">
      <c r="A1340" s="711"/>
      <c r="B1340" s="711"/>
      <c r="C1340" s="711"/>
      <c r="D1340" s="711"/>
      <c r="E1340" s="711"/>
      <c r="F1340" s="711"/>
      <c r="G1340" s="711"/>
      <c r="H1340" s="711"/>
      <c r="I1340" s="711"/>
      <c r="J1340" s="711"/>
      <c r="K1340" s="741"/>
      <c r="L1340" s="741"/>
      <c r="M1340" s="788"/>
      <c r="N1340" s="741"/>
      <c r="O1340" s="741"/>
      <c r="P1340" s="741"/>
      <c r="Q1340" s="741"/>
      <c r="R1340" s="788"/>
      <c r="S1340" s="819"/>
      <c r="T1340" s="820"/>
      <c r="U1340" s="819"/>
      <c r="V1340" s="820"/>
      <c r="W1340" s="788"/>
      <c r="X1340" s="803"/>
      <c r="Y1340" s="803"/>
      <c r="Z1340" s="803"/>
      <c r="AA1340" s="711"/>
      <c r="AB1340" s="711"/>
      <c r="AC1340" s="711"/>
      <c r="AD1340" s="736"/>
      <c r="AE1340" s="736"/>
      <c r="AF1340" s="624"/>
      <c r="AG1340" s="624"/>
      <c r="AH1340" s="624"/>
      <c r="AI1340" s="624"/>
      <c r="AJ1340" s="984"/>
      <c r="AK1340" s="985"/>
      <c r="AL1340" s="986"/>
      <c r="AM1340" s="987"/>
      <c r="AN1340" s="988"/>
      <c r="AO1340" s="986"/>
      <c r="AP1340" s="989"/>
      <c r="AQ1340" s="986"/>
      <c r="AR1340" s="990"/>
      <c r="AS1340" s="624"/>
      <c r="AT1340" s="624"/>
      <c r="AU1340" s="624"/>
      <c r="AV1340" s="624"/>
      <c r="AW1340" s="624"/>
      <c r="AX1340" s="624"/>
      <c r="AY1340" s="624"/>
      <c r="AZ1340" s="624"/>
      <c r="BA1340" s="624"/>
      <c r="BB1340" s="624"/>
      <c r="BC1340" s="624"/>
      <c r="BD1340" s="624"/>
      <c r="BE1340" s="624"/>
    </row>
    <row r="1341" ht="16.5" customHeight="1">
      <c r="A1341" s="711"/>
      <c r="B1341" s="711"/>
      <c r="C1341" s="711"/>
      <c r="D1341" s="711"/>
      <c r="E1341" s="711"/>
      <c r="F1341" s="711"/>
      <c r="G1341" s="711"/>
      <c r="H1341" s="711"/>
      <c r="I1341" s="711"/>
      <c r="J1341" s="711"/>
      <c r="K1341" s="741"/>
      <c r="L1341" s="741"/>
      <c r="M1341" s="788"/>
      <c r="N1341" s="741"/>
      <c r="O1341" s="741"/>
      <c r="P1341" s="741"/>
      <c r="Q1341" s="741"/>
      <c r="R1341" s="788"/>
      <c r="S1341" s="819"/>
      <c r="T1341" s="820"/>
      <c r="U1341" s="819"/>
      <c r="V1341" s="820"/>
      <c r="W1341" s="788"/>
      <c r="X1341" s="803"/>
      <c r="Y1341" s="803"/>
      <c r="Z1341" s="803"/>
      <c r="AA1341" s="711"/>
      <c r="AB1341" s="711"/>
      <c r="AC1341" s="711"/>
      <c r="AD1341" s="736"/>
      <c r="AE1341" s="736"/>
      <c r="AF1341" s="624"/>
      <c r="AG1341" s="624"/>
      <c r="AH1341" s="624"/>
      <c r="AI1341" s="624"/>
      <c r="AJ1341" s="984"/>
      <c r="AK1341" s="985"/>
      <c r="AL1341" s="986"/>
      <c r="AM1341" s="987"/>
      <c r="AN1341" s="988"/>
      <c r="AO1341" s="986"/>
      <c r="AP1341" s="989"/>
      <c r="AQ1341" s="986"/>
      <c r="AR1341" s="990"/>
      <c r="AS1341" s="624"/>
      <c r="AT1341" s="624"/>
      <c r="AU1341" s="624"/>
      <c r="AV1341" s="624"/>
      <c r="AW1341" s="624"/>
      <c r="AX1341" s="624"/>
      <c r="AY1341" s="624"/>
      <c r="AZ1341" s="624"/>
      <c r="BA1341" s="624"/>
      <c r="BB1341" s="624"/>
      <c r="BC1341" s="624"/>
      <c r="BD1341" s="624"/>
      <c r="BE1341" s="624"/>
    </row>
    <row r="1342" ht="16.5" customHeight="1">
      <c r="A1342" s="711"/>
      <c r="B1342" s="711"/>
      <c r="C1342" s="711"/>
      <c r="D1342" s="711"/>
      <c r="E1342" s="711"/>
      <c r="F1342" s="711"/>
      <c r="G1342" s="711"/>
      <c r="H1342" s="711"/>
      <c r="I1342" s="711"/>
      <c r="J1342" s="711"/>
      <c r="K1342" s="741"/>
      <c r="L1342" s="741"/>
      <c r="M1342" s="788"/>
      <c r="N1342" s="741"/>
      <c r="O1342" s="741"/>
      <c r="P1342" s="741"/>
      <c r="Q1342" s="741"/>
      <c r="R1342" s="788"/>
      <c r="S1342" s="819"/>
      <c r="T1342" s="820"/>
      <c r="U1342" s="819"/>
      <c r="V1342" s="820"/>
      <c r="W1342" s="788"/>
      <c r="X1342" s="803"/>
      <c r="Y1342" s="803"/>
      <c r="Z1342" s="803"/>
      <c r="AA1342" s="711"/>
      <c r="AB1342" s="711"/>
      <c r="AC1342" s="711"/>
      <c r="AD1342" s="736"/>
      <c r="AE1342" s="736"/>
      <c r="AF1342" s="624"/>
      <c r="AG1342" s="624"/>
      <c r="AH1342" s="624"/>
      <c r="AI1342" s="624"/>
      <c r="AJ1342" s="984"/>
      <c r="AK1342" s="985"/>
      <c r="AL1342" s="986"/>
      <c r="AM1342" s="987"/>
      <c r="AN1342" s="988"/>
      <c r="AO1342" s="986"/>
      <c r="AP1342" s="989"/>
      <c r="AQ1342" s="986"/>
      <c r="AR1342" s="990"/>
      <c r="AS1342" s="624"/>
      <c r="AT1342" s="624"/>
      <c r="AU1342" s="624"/>
      <c r="AV1342" s="624"/>
      <c r="AW1342" s="624"/>
      <c r="AX1342" s="624"/>
      <c r="AY1342" s="624"/>
      <c r="AZ1342" s="624"/>
      <c r="BA1342" s="624"/>
      <c r="BB1342" s="624"/>
      <c r="BC1342" s="624"/>
      <c r="BD1342" s="624"/>
      <c r="BE1342" s="624"/>
    </row>
    <row r="1343" ht="16.5" customHeight="1">
      <c r="A1343" s="711"/>
      <c r="B1343" s="711"/>
      <c r="C1343" s="711"/>
      <c r="D1343" s="711"/>
      <c r="E1343" s="711"/>
      <c r="F1343" s="711"/>
      <c r="G1343" s="711"/>
      <c r="H1343" s="711"/>
      <c r="I1343" s="711"/>
      <c r="J1343" s="711"/>
      <c r="K1343" s="741"/>
      <c r="L1343" s="741"/>
      <c r="M1343" s="788"/>
      <c r="N1343" s="741"/>
      <c r="O1343" s="741"/>
      <c r="P1343" s="741"/>
      <c r="Q1343" s="741"/>
      <c r="R1343" s="788"/>
      <c r="S1343" s="819"/>
      <c r="T1343" s="820"/>
      <c r="U1343" s="819"/>
      <c r="V1343" s="820"/>
      <c r="W1343" s="788"/>
      <c r="X1343" s="803"/>
      <c r="Y1343" s="803"/>
      <c r="Z1343" s="803"/>
      <c r="AA1343" s="711"/>
      <c r="AB1343" s="711"/>
      <c r="AC1343" s="711"/>
      <c r="AD1343" s="736"/>
      <c r="AE1343" s="736"/>
      <c r="AF1343" s="624"/>
      <c r="AG1343" s="624"/>
      <c r="AH1343" s="624"/>
      <c r="AI1343" s="624"/>
      <c r="AJ1343" s="984"/>
      <c r="AK1343" s="985"/>
      <c r="AL1343" s="986"/>
      <c r="AM1343" s="987"/>
      <c r="AN1343" s="988"/>
      <c r="AO1343" s="986"/>
      <c r="AP1343" s="989"/>
      <c r="AQ1343" s="986"/>
      <c r="AR1343" s="990"/>
      <c r="AS1343" s="624"/>
      <c r="AT1343" s="624"/>
      <c r="AU1343" s="624"/>
      <c r="AV1343" s="624"/>
      <c r="AW1343" s="624"/>
      <c r="AX1343" s="624"/>
      <c r="AY1343" s="624"/>
      <c r="AZ1343" s="624"/>
      <c r="BA1343" s="624"/>
      <c r="BB1343" s="624"/>
      <c r="BC1343" s="624"/>
      <c r="BD1343" s="624"/>
      <c r="BE1343" s="624"/>
    </row>
    <row r="1344" ht="16.5" customHeight="1">
      <c r="A1344" s="711"/>
      <c r="B1344" s="711"/>
      <c r="C1344" s="711"/>
      <c r="D1344" s="711"/>
      <c r="E1344" s="711"/>
      <c r="F1344" s="711"/>
      <c r="G1344" s="711"/>
      <c r="H1344" s="711"/>
      <c r="I1344" s="711"/>
      <c r="J1344" s="711"/>
      <c r="K1344" s="741"/>
      <c r="L1344" s="741"/>
      <c r="M1344" s="788"/>
      <c r="N1344" s="741"/>
      <c r="O1344" s="741"/>
      <c r="P1344" s="741"/>
      <c r="Q1344" s="741"/>
      <c r="R1344" s="788"/>
      <c r="S1344" s="819"/>
      <c r="T1344" s="820"/>
      <c r="U1344" s="819"/>
      <c r="V1344" s="820"/>
      <c r="W1344" s="788"/>
      <c r="X1344" s="803"/>
      <c r="Y1344" s="803"/>
      <c r="Z1344" s="803"/>
      <c r="AA1344" s="711"/>
      <c r="AB1344" s="711"/>
      <c r="AC1344" s="711"/>
      <c r="AD1344" s="736"/>
      <c r="AE1344" s="736"/>
      <c r="AF1344" s="624"/>
      <c r="AG1344" s="624"/>
      <c r="AH1344" s="624"/>
      <c r="AI1344" s="624"/>
      <c r="AJ1344" s="984"/>
      <c r="AK1344" s="985"/>
      <c r="AL1344" s="986"/>
      <c r="AM1344" s="987"/>
      <c r="AN1344" s="988"/>
      <c r="AO1344" s="986"/>
      <c r="AP1344" s="989"/>
      <c r="AQ1344" s="986"/>
      <c r="AR1344" s="990"/>
      <c r="AS1344" s="624"/>
      <c r="AT1344" s="624"/>
      <c r="AU1344" s="624"/>
      <c r="AV1344" s="624"/>
      <c r="AW1344" s="624"/>
      <c r="AX1344" s="624"/>
      <c r="AY1344" s="624"/>
      <c r="AZ1344" s="624"/>
      <c r="BA1344" s="624"/>
      <c r="BB1344" s="624"/>
      <c r="BC1344" s="624"/>
      <c r="BD1344" s="624"/>
      <c r="BE1344" s="624"/>
    </row>
    <row r="1345" ht="16.5" customHeight="1">
      <c r="A1345" s="711"/>
      <c r="B1345" s="711"/>
      <c r="C1345" s="711"/>
      <c r="D1345" s="711"/>
      <c r="E1345" s="711"/>
      <c r="F1345" s="711"/>
      <c r="G1345" s="711"/>
      <c r="H1345" s="711"/>
      <c r="I1345" s="711"/>
      <c r="J1345" s="711"/>
      <c r="K1345" s="741"/>
      <c r="L1345" s="741"/>
      <c r="M1345" s="788"/>
      <c r="N1345" s="741"/>
      <c r="O1345" s="741"/>
      <c r="P1345" s="741"/>
      <c r="Q1345" s="741"/>
      <c r="R1345" s="788"/>
      <c r="S1345" s="819"/>
      <c r="T1345" s="820"/>
      <c r="U1345" s="819"/>
      <c r="V1345" s="820"/>
      <c r="W1345" s="788"/>
      <c r="X1345" s="803"/>
      <c r="Y1345" s="803"/>
      <c r="Z1345" s="803"/>
      <c r="AA1345" s="711"/>
      <c r="AB1345" s="711"/>
      <c r="AC1345" s="711"/>
      <c r="AD1345" s="736"/>
      <c r="AE1345" s="736"/>
      <c r="AF1345" s="624"/>
      <c r="AG1345" s="624"/>
      <c r="AH1345" s="624"/>
      <c r="AI1345" s="624"/>
      <c r="AJ1345" s="984"/>
      <c r="AK1345" s="985"/>
      <c r="AL1345" s="986"/>
      <c r="AM1345" s="987"/>
      <c r="AN1345" s="988"/>
      <c r="AO1345" s="986"/>
      <c r="AP1345" s="989"/>
      <c r="AQ1345" s="986"/>
      <c r="AR1345" s="990"/>
      <c r="AS1345" s="624"/>
      <c r="AT1345" s="624"/>
      <c r="AU1345" s="624"/>
      <c r="AV1345" s="624"/>
      <c r="AW1345" s="624"/>
      <c r="AX1345" s="624"/>
      <c r="AY1345" s="624"/>
      <c r="AZ1345" s="624"/>
      <c r="BA1345" s="624"/>
      <c r="BB1345" s="624"/>
      <c r="BC1345" s="624"/>
      <c r="BD1345" s="624"/>
      <c r="BE1345" s="624"/>
    </row>
    <row r="1346" ht="16.5" customHeight="1">
      <c r="A1346" s="711"/>
      <c r="B1346" s="711"/>
      <c r="C1346" s="711"/>
      <c r="D1346" s="711"/>
      <c r="E1346" s="711"/>
      <c r="F1346" s="711"/>
      <c r="G1346" s="711"/>
      <c r="H1346" s="711"/>
      <c r="I1346" s="711"/>
      <c r="J1346" s="711"/>
      <c r="K1346" s="741"/>
      <c r="L1346" s="741"/>
      <c r="M1346" s="788"/>
      <c r="N1346" s="741"/>
      <c r="O1346" s="741"/>
      <c r="P1346" s="741"/>
      <c r="Q1346" s="741"/>
      <c r="R1346" s="788"/>
      <c r="S1346" s="819"/>
      <c r="T1346" s="820"/>
      <c r="U1346" s="819"/>
      <c r="V1346" s="820"/>
      <c r="W1346" s="788"/>
      <c r="X1346" s="803"/>
      <c r="Y1346" s="803"/>
      <c r="Z1346" s="803"/>
      <c r="AA1346" s="711"/>
      <c r="AB1346" s="711"/>
      <c r="AC1346" s="711"/>
      <c r="AD1346" s="736"/>
      <c r="AE1346" s="736"/>
      <c r="AF1346" s="624"/>
      <c r="AG1346" s="624"/>
      <c r="AH1346" s="624"/>
      <c r="AI1346" s="624"/>
      <c r="AJ1346" s="984"/>
      <c r="AK1346" s="985"/>
      <c r="AL1346" s="986"/>
      <c r="AM1346" s="987"/>
      <c r="AN1346" s="988"/>
      <c r="AO1346" s="986"/>
      <c r="AP1346" s="989"/>
      <c r="AQ1346" s="986"/>
      <c r="AR1346" s="990"/>
      <c r="AS1346" s="624"/>
      <c r="AT1346" s="624"/>
      <c r="AU1346" s="624"/>
      <c r="AV1346" s="624"/>
      <c r="AW1346" s="624"/>
      <c r="AX1346" s="624"/>
      <c r="AY1346" s="624"/>
      <c r="AZ1346" s="624"/>
      <c r="BA1346" s="624"/>
      <c r="BB1346" s="624"/>
      <c r="BC1346" s="624"/>
      <c r="BD1346" s="624"/>
      <c r="BE1346" s="624"/>
    </row>
    <row r="1347" ht="16.5" customHeight="1">
      <c r="A1347" s="711"/>
      <c r="B1347" s="711"/>
      <c r="C1347" s="711"/>
      <c r="D1347" s="711"/>
      <c r="E1347" s="711"/>
      <c r="F1347" s="711"/>
      <c r="G1347" s="711"/>
      <c r="H1347" s="711"/>
      <c r="I1347" s="711"/>
      <c r="J1347" s="711"/>
      <c r="K1347" s="741"/>
      <c r="L1347" s="741"/>
      <c r="M1347" s="788"/>
      <c r="N1347" s="741"/>
      <c r="O1347" s="741"/>
      <c r="P1347" s="741"/>
      <c r="Q1347" s="741"/>
      <c r="R1347" s="788"/>
      <c r="S1347" s="819"/>
      <c r="T1347" s="820"/>
      <c r="U1347" s="819"/>
      <c r="V1347" s="820"/>
      <c r="W1347" s="788"/>
      <c r="X1347" s="803"/>
      <c r="Y1347" s="803"/>
      <c r="Z1347" s="803"/>
      <c r="AA1347" s="711"/>
      <c r="AB1347" s="711"/>
      <c r="AC1347" s="711"/>
      <c r="AD1347" s="736"/>
      <c r="AE1347" s="736"/>
      <c r="AF1347" s="624"/>
      <c r="AG1347" s="624"/>
      <c r="AH1347" s="624"/>
      <c r="AI1347" s="624"/>
      <c r="AJ1347" s="984"/>
      <c r="AK1347" s="985"/>
      <c r="AL1347" s="986"/>
      <c r="AM1347" s="987"/>
      <c r="AN1347" s="988"/>
      <c r="AO1347" s="986"/>
      <c r="AP1347" s="989"/>
      <c r="AQ1347" s="986"/>
      <c r="AR1347" s="990"/>
      <c r="AS1347" s="624"/>
      <c r="AT1347" s="624"/>
      <c r="AU1347" s="624"/>
      <c r="AV1347" s="624"/>
      <c r="AW1347" s="624"/>
      <c r="AX1347" s="624"/>
      <c r="AY1347" s="624"/>
      <c r="AZ1347" s="624"/>
      <c r="BA1347" s="624"/>
      <c r="BB1347" s="624"/>
      <c r="BC1347" s="624"/>
      <c r="BD1347" s="624"/>
      <c r="BE1347" s="624"/>
    </row>
    <row r="1348" ht="16.5" customHeight="1">
      <c r="A1348" s="711"/>
      <c r="B1348" s="711"/>
      <c r="C1348" s="711"/>
      <c r="D1348" s="711"/>
      <c r="E1348" s="711"/>
      <c r="F1348" s="711"/>
      <c r="G1348" s="711"/>
      <c r="H1348" s="711"/>
      <c r="I1348" s="711"/>
      <c r="J1348" s="711"/>
      <c r="K1348" s="741"/>
      <c r="L1348" s="741"/>
      <c r="M1348" s="788"/>
      <c r="N1348" s="741"/>
      <c r="O1348" s="741"/>
      <c r="P1348" s="741"/>
      <c r="Q1348" s="741"/>
      <c r="R1348" s="788"/>
      <c r="S1348" s="819"/>
      <c r="T1348" s="820"/>
      <c r="U1348" s="819"/>
      <c r="V1348" s="820"/>
      <c r="W1348" s="788"/>
      <c r="X1348" s="803"/>
      <c r="Y1348" s="803"/>
      <c r="Z1348" s="803"/>
      <c r="AA1348" s="711"/>
      <c r="AB1348" s="711"/>
      <c r="AC1348" s="711"/>
      <c r="AD1348" s="736"/>
      <c r="AE1348" s="736"/>
      <c r="AF1348" s="624"/>
      <c r="AG1348" s="624"/>
      <c r="AH1348" s="624"/>
      <c r="AI1348" s="624"/>
      <c r="AJ1348" s="984"/>
      <c r="AK1348" s="985"/>
      <c r="AL1348" s="986"/>
      <c r="AM1348" s="987"/>
      <c r="AN1348" s="988"/>
      <c r="AO1348" s="986"/>
      <c r="AP1348" s="989"/>
      <c r="AQ1348" s="986"/>
      <c r="AR1348" s="990"/>
      <c r="AS1348" s="624"/>
      <c r="AT1348" s="624"/>
      <c r="AU1348" s="624"/>
      <c r="AV1348" s="624"/>
      <c r="AW1348" s="624"/>
      <c r="AX1348" s="624"/>
      <c r="AY1348" s="624"/>
      <c r="AZ1348" s="624"/>
      <c r="BA1348" s="624"/>
      <c r="BB1348" s="624"/>
      <c r="BC1348" s="624"/>
      <c r="BD1348" s="624"/>
      <c r="BE1348" s="624"/>
    </row>
    <row r="1349" ht="16.5" customHeight="1">
      <c r="A1349" s="711"/>
      <c r="B1349" s="711"/>
      <c r="C1349" s="711"/>
      <c r="D1349" s="711"/>
      <c r="E1349" s="711"/>
      <c r="F1349" s="711"/>
      <c r="G1349" s="711"/>
      <c r="H1349" s="711"/>
      <c r="I1349" s="711"/>
      <c r="J1349" s="711"/>
      <c r="K1349" s="741"/>
      <c r="L1349" s="741"/>
      <c r="M1349" s="788"/>
      <c r="N1349" s="741"/>
      <c r="O1349" s="741"/>
      <c r="P1349" s="741"/>
      <c r="Q1349" s="741"/>
      <c r="R1349" s="788"/>
      <c r="S1349" s="819"/>
      <c r="T1349" s="820"/>
      <c r="U1349" s="819"/>
      <c r="V1349" s="820"/>
      <c r="W1349" s="788"/>
      <c r="X1349" s="803"/>
      <c r="Y1349" s="803"/>
      <c r="Z1349" s="803"/>
      <c r="AA1349" s="711"/>
      <c r="AB1349" s="711"/>
      <c r="AC1349" s="711"/>
      <c r="AD1349" s="736"/>
      <c r="AE1349" s="736"/>
      <c r="AF1349" s="624"/>
      <c r="AG1349" s="624"/>
      <c r="AH1349" s="624"/>
      <c r="AI1349" s="624"/>
      <c r="AJ1349" s="984"/>
      <c r="AK1349" s="985"/>
      <c r="AL1349" s="986"/>
      <c r="AM1349" s="987"/>
      <c r="AN1349" s="988"/>
      <c r="AO1349" s="986"/>
      <c r="AP1349" s="989"/>
      <c r="AQ1349" s="986"/>
      <c r="AR1349" s="990"/>
      <c r="AS1349" s="624"/>
      <c r="AT1349" s="624"/>
      <c r="AU1349" s="624"/>
      <c r="AV1349" s="624"/>
      <c r="AW1349" s="624"/>
      <c r="AX1349" s="624"/>
      <c r="AY1349" s="624"/>
      <c r="AZ1349" s="624"/>
      <c r="BA1349" s="624"/>
      <c r="BB1349" s="624"/>
      <c r="BC1349" s="624"/>
      <c r="BD1349" s="624"/>
      <c r="BE1349" s="624"/>
    </row>
    <row r="1350" ht="16.5" customHeight="1">
      <c r="A1350" s="711"/>
      <c r="B1350" s="711"/>
      <c r="C1350" s="711"/>
      <c r="D1350" s="711"/>
      <c r="E1350" s="711"/>
      <c r="F1350" s="711"/>
      <c r="G1350" s="711"/>
      <c r="H1350" s="711"/>
      <c r="I1350" s="711"/>
      <c r="J1350" s="711"/>
      <c r="K1350" s="741"/>
      <c r="L1350" s="741"/>
      <c r="M1350" s="788"/>
      <c r="N1350" s="741"/>
      <c r="O1350" s="741"/>
      <c r="P1350" s="741"/>
      <c r="Q1350" s="741"/>
      <c r="R1350" s="788"/>
      <c r="S1350" s="819"/>
      <c r="T1350" s="820"/>
      <c r="U1350" s="819"/>
      <c r="V1350" s="820"/>
      <c r="W1350" s="788"/>
      <c r="X1350" s="803"/>
      <c r="Y1350" s="803"/>
      <c r="Z1350" s="803"/>
      <c r="AA1350" s="711"/>
      <c r="AB1350" s="711"/>
      <c r="AC1350" s="711"/>
      <c r="AD1350" s="736"/>
      <c r="AE1350" s="736"/>
      <c r="AF1350" s="624"/>
      <c r="AG1350" s="624"/>
      <c r="AH1350" s="624"/>
      <c r="AI1350" s="624"/>
      <c r="AJ1350" s="984"/>
      <c r="AK1350" s="985"/>
      <c r="AL1350" s="986"/>
      <c r="AM1350" s="987"/>
      <c r="AN1350" s="988"/>
      <c r="AO1350" s="986"/>
      <c r="AP1350" s="989"/>
      <c r="AQ1350" s="986"/>
      <c r="AR1350" s="990"/>
      <c r="AS1350" s="624"/>
      <c r="AT1350" s="624"/>
      <c r="AU1350" s="624"/>
      <c r="AV1350" s="624"/>
      <c r="AW1350" s="624"/>
      <c r="AX1350" s="624"/>
      <c r="AY1350" s="624"/>
      <c r="AZ1350" s="624"/>
      <c r="BA1350" s="624"/>
      <c r="BB1350" s="624"/>
      <c r="BC1350" s="624"/>
      <c r="BD1350" s="624"/>
      <c r="BE1350" s="624"/>
    </row>
    <row r="1351" ht="16.5" customHeight="1">
      <c r="A1351" s="711"/>
      <c r="B1351" s="711"/>
      <c r="C1351" s="711"/>
      <c r="D1351" s="711"/>
      <c r="E1351" s="711"/>
      <c r="F1351" s="711"/>
      <c r="G1351" s="711"/>
      <c r="H1351" s="711"/>
      <c r="I1351" s="711"/>
      <c r="J1351" s="711"/>
      <c r="K1351" s="741"/>
      <c r="L1351" s="741"/>
      <c r="M1351" s="788"/>
      <c r="N1351" s="741"/>
      <c r="O1351" s="741"/>
      <c r="P1351" s="741"/>
      <c r="Q1351" s="741"/>
      <c r="R1351" s="788"/>
      <c r="S1351" s="819"/>
      <c r="T1351" s="820"/>
      <c r="U1351" s="819"/>
      <c r="V1351" s="820"/>
      <c r="W1351" s="788"/>
      <c r="X1351" s="803"/>
      <c r="Y1351" s="803"/>
      <c r="Z1351" s="803"/>
      <c r="AA1351" s="711"/>
      <c r="AB1351" s="711"/>
      <c r="AC1351" s="711"/>
      <c r="AD1351" s="736"/>
      <c r="AE1351" s="736"/>
      <c r="AF1351" s="624"/>
      <c r="AG1351" s="624"/>
      <c r="AH1351" s="624"/>
      <c r="AI1351" s="624"/>
      <c r="AJ1351" s="984"/>
      <c r="AK1351" s="985"/>
      <c r="AL1351" s="986"/>
      <c r="AM1351" s="987"/>
      <c r="AN1351" s="988"/>
      <c r="AO1351" s="986"/>
      <c r="AP1351" s="989"/>
      <c r="AQ1351" s="986"/>
      <c r="AR1351" s="990"/>
      <c r="AS1351" s="624"/>
      <c r="AT1351" s="624"/>
      <c r="AU1351" s="624"/>
      <c r="AV1351" s="624"/>
      <c r="AW1351" s="624"/>
      <c r="AX1351" s="624"/>
      <c r="AY1351" s="624"/>
      <c r="AZ1351" s="624"/>
      <c r="BA1351" s="624"/>
      <c r="BB1351" s="624"/>
      <c r="BC1351" s="624"/>
      <c r="BD1351" s="624"/>
      <c r="BE1351" s="624"/>
    </row>
    <row r="1352" ht="16.5" customHeight="1">
      <c r="A1352" s="711"/>
      <c r="B1352" s="711"/>
      <c r="C1352" s="711"/>
      <c r="D1352" s="711"/>
      <c r="E1352" s="711"/>
      <c r="F1352" s="711"/>
      <c r="G1352" s="711"/>
      <c r="H1352" s="711"/>
      <c r="I1352" s="711"/>
      <c r="J1352" s="711"/>
      <c r="K1352" s="741"/>
      <c r="L1352" s="741"/>
      <c r="M1352" s="788"/>
      <c r="N1352" s="741"/>
      <c r="O1352" s="741"/>
      <c r="P1352" s="741"/>
      <c r="Q1352" s="741"/>
      <c r="R1352" s="788"/>
      <c r="S1352" s="819"/>
      <c r="T1352" s="820"/>
      <c r="U1352" s="819"/>
      <c r="V1352" s="820"/>
      <c r="W1352" s="788"/>
      <c r="X1352" s="803"/>
      <c r="Y1352" s="803"/>
      <c r="Z1352" s="803"/>
      <c r="AA1352" s="711"/>
      <c r="AB1352" s="711"/>
      <c r="AC1352" s="711"/>
      <c r="AD1352" s="736"/>
      <c r="AE1352" s="736"/>
      <c r="AF1352" s="624"/>
      <c r="AG1352" s="624"/>
      <c r="AH1352" s="624"/>
      <c r="AI1352" s="624"/>
      <c r="AJ1352" s="984"/>
      <c r="AK1352" s="985"/>
      <c r="AL1352" s="986"/>
      <c r="AM1352" s="987"/>
      <c r="AN1352" s="988"/>
      <c r="AO1352" s="986"/>
      <c r="AP1352" s="989"/>
      <c r="AQ1352" s="986"/>
      <c r="AR1352" s="990"/>
      <c r="AS1352" s="624"/>
      <c r="AT1352" s="624"/>
      <c r="AU1352" s="624"/>
      <c r="AV1352" s="624"/>
      <c r="AW1352" s="624"/>
      <c r="AX1352" s="624"/>
      <c r="AY1352" s="624"/>
      <c r="AZ1352" s="624"/>
      <c r="BA1352" s="624"/>
      <c r="BB1352" s="624"/>
      <c r="BC1352" s="624"/>
      <c r="BD1352" s="624"/>
      <c r="BE1352" s="624"/>
    </row>
    <row r="1353" ht="16.5" customHeight="1">
      <c r="A1353" s="711"/>
      <c r="B1353" s="711"/>
      <c r="C1353" s="711"/>
      <c r="D1353" s="711"/>
      <c r="E1353" s="711"/>
      <c r="F1353" s="711"/>
      <c r="G1353" s="711"/>
      <c r="H1353" s="711"/>
      <c r="I1353" s="711"/>
      <c r="J1353" s="711"/>
      <c r="K1353" s="741"/>
      <c r="L1353" s="741"/>
      <c r="M1353" s="788"/>
      <c r="N1353" s="741"/>
      <c r="O1353" s="741"/>
      <c r="P1353" s="741"/>
      <c r="Q1353" s="741"/>
      <c r="R1353" s="788"/>
      <c r="S1353" s="819"/>
      <c r="T1353" s="820"/>
      <c r="U1353" s="819"/>
      <c r="V1353" s="820"/>
      <c r="W1353" s="788"/>
      <c r="X1353" s="803"/>
      <c r="Y1353" s="803"/>
      <c r="Z1353" s="803"/>
      <c r="AA1353" s="711"/>
      <c r="AB1353" s="711"/>
      <c r="AC1353" s="711"/>
      <c r="AD1353" s="736"/>
      <c r="AE1353" s="736"/>
      <c r="AF1353" s="624"/>
      <c r="AG1353" s="624"/>
      <c r="AH1353" s="624"/>
      <c r="AI1353" s="624"/>
      <c r="AJ1353" s="984"/>
      <c r="AK1353" s="985"/>
      <c r="AL1353" s="986"/>
      <c r="AM1353" s="987"/>
      <c r="AN1353" s="988"/>
      <c r="AO1353" s="986"/>
      <c r="AP1353" s="989"/>
      <c r="AQ1353" s="986"/>
      <c r="AR1353" s="990"/>
      <c r="AS1353" s="624"/>
      <c r="AT1353" s="624"/>
      <c r="AU1353" s="624"/>
      <c r="AV1353" s="624"/>
      <c r="AW1353" s="624"/>
      <c r="AX1353" s="624"/>
      <c r="AY1353" s="624"/>
      <c r="AZ1353" s="624"/>
      <c r="BA1353" s="624"/>
      <c r="BB1353" s="624"/>
      <c r="BC1353" s="624"/>
      <c r="BD1353" s="624"/>
      <c r="BE1353" s="624"/>
    </row>
    <row r="1354" ht="16.5" customHeight="1">
      <c r="A1354" s="711"/>
      <c r="B1354" s="711"/>
      <c r="C1354" s="711"/>
      <c r="D1354" s="711"/>
      <c r="E1354" s="711"/>
      <c r="F1354" s="711"/>
      <c r="G1354" s="711"/>
      <c r="H1354" s="711"/>
      <c r="I1354" s="711"/>
      <c r="J1354" s="711"/>
      <c r="K1354" s="741"/>
      <c r="L1354" s="741"/>
      <c r="M1354" s="788"/>
      <c r="N1354" s="741"/>
      <c r="O1354" s="741"/>
      <c r="P1354" s="741"/>
      <c r="Q1354" s="741"/>
      <c r="R1354" s="788"/>
      <c r="S1354" s="819"/>
      <c r="T1354" s="820"/>
      <c r="U1354" s="819"/>
      <c r="V1354" s="820"/>
      <c r="W1354" s="788"/>
      <c r="X1354" s="803"/>
      <c r="Y1354" s="803"/>
      <c r="Z1354" s="803"/>
      <c r="AA1354" s="711"/>
      <c r="AB1354" s="711"/>
      <c r="AC1354" s="711"/>
      <c r="AD1354" s="736"/>
      <c r="AE1354" s="736"/>
      <c r="AF1354" s="624"/>
      <c r="AG1354" s="624"/>
      <c r="AH1354" s="624"/>
      <c r="AI1354" s="624"/>
      <c r="AJ1354" s="984"/>
      <c r="AK1354" s="985"/>
      <c r="AL1354" s="986"/>
      <c r="AM1354" s="987"/>
      <c r="AN1354" s="988"/>
      <c r="AO1354" s="986"/>
      <c r="AP1354" s="989"/>
      <c r="AQ1354" s="986"/>
      <c r="AR1354" s="990"/>
      <c r="AS1354" s="624"/>
      <c r="AT1354" s="624"/>
      <c r="AU1354" s="624"/>
      <c r="AV1354" s="624"/>
      <c r="AW1354" s="624"/>
      <c r="AX1354" s="624"/>
      <c r="AY1354" s="624"/>
      <c r="AZ1354" s="624"/>
      <c r="BA1354" s="624"/>
      <c r="BB1354" s="624"/>
      <c r="BC1354" s="624"/>
      <c r="BD1354" s="624"/>
      <c r="BE1354" s="624"/>
    </row>
    <row r="1355" ht="16.5" customHeight="1">
      <c r="A1355" s="711"/>
      <c r="B1355" s="711"/>
      <c r="C1355" s="711"/>
      <c r="D1355" s="711"/>
      <c r="E1355" s="711"/>
      <c r="F1355" s="711"/>
      <c r="G1355" s="711"/>
      <c r="H1355" s="711"/>
      <c r="I1355" s="711"/>
      <c r="J1355" s="711"/>
      <c r="K1355" s="741"/>
      <c r="L1355" s="741"/>
      <c r="M1355" s="788"/>
      <c r="N1355" s="741"/>
      <c r="O1355" s="741"/>
      <c r="P1355" s="741"/>
      <c r="Q1355" s="741"/>
      <c r="R1355" s="788"/>
      <c r="S1355" s="819"/>
      <c r="T1355" s="820"/>
      <c r="U1355" s="819"/>
      <c r="V1355" s="820"/>
      <c r="W1355" s="788"/>
      <c r="X1355" s="803"/>
      <c r="Y1355" s="803"/>
      <c r="Z1355" s="803"/>
      <c r="AA1355" s="711"/>
      <c r="AB1355" s="711"/>
      <c r="AC1355" s="711"/>
      <c r="AD1355" s="736"/>
      <c r="AE1355" s="736"/>
      <c r="AF1355" s="624"/>
      <c r="AG1355" s="624"/>
      <c r="AH1355" s="624"/>
      <c r="AI1355" s="624"/>
      <c r="AJ1355" s="984"/>
      <c r="AK1355" s="985"/>
      <c r="AL1355" s="986"/>
      <c r="AM1355" s="987"/>
      <c r="AN1355" s="988"/>
      <c r="AO1355" s="986"/>
      <c r="AP1355" s="989"/>
      <c r="AQ1355" s="986"/>
      <c r="AR1355" s="990"/>
      <c r="AS1355" s="624"/>
      <c r="AT1355" s="624"/>
      <c r="AU1355" s="624"/>
      <c r="AV1355" s="624"/>
      <c r="AW1355" s="624"/>
      <c r="AX1355" s="624"/>
      <c r="AY1355" s="624"/>
      <c r="AZ1355" s="624"/>
      <c r="BA1355" s="624"/>
      <c r="BB1355" s="624"/>
      <c r="BC1355" s="624"/>
      <c r="BD1355" s="624"/>
      <c r="BE1355" s="624"/>
    </row>
    <row r="1356" ht="16.5" customHeight="1">
      <c r="A1356" s="711"/>
      <c r="B1356" s="711"/>
      <c r="C1356" s="711"/>
      <c r="D1356" s="711"/>
      <c r="E1356" s="711"/>
      <c r="F1356" s="711"/>
      <c r="G1356" s="711"/>
      <c r="H1356" s="711"/>
      <c r="I1356" s="711"/>
      <c r="J1356" s="711"/>
      <c r="K1356" s="741"/>
      <c r="L1356" s="741"/>
      <c r="M1356" s="788"/>
      <c r="N1356" s="741"/>
      <c r="O1356" s="741"/>
      <c r="P1356" s="741"/>
      <c r="Q1356" s="741"/>
      <c r="R1356" s="788"/>
      <c r="S1356" s="819"/>
      <c r="T1356" s="820"/>
      <c r="U1356" s="819"/>
      <c r="V1356" s="820"/>
      <c r="W1356" s="788"/>
      <c r="X1356" s="803"/>
      <c r="Y1356" s="803"/>
      <c r="Z1356" s="803"/>
      <c r="AA1356" s="711"/>
      <c r="AB1356" s="711"/>
      <c r="AC1356" s="711"/>
      <c r="AD1356" s="736"/>
      <c r="AE1356" s="736"/>
      <c r="AF1356" s="624"/>
      <c r="AG1356" s="624"/>
      <c r="AH1356" s="624"/>
      <c r="AI1356" s="624"/>
      <c r="AJ1356" s="984"/>
      <c r="AK1356" s="985"/>
      <c r="AL1356" s="986"/>
      <c r="AM1356" s="987"/>
      <c r="AN1356" s="988"/>
      <c r="AO1356" s="986"/>
      <c r="AP1356" s="989"/>
      <c r="AQ1356" s="986"/>
      <c r="AR1356" s="990"/>
      <c r="AS1356" s="624"/>
      <c r="AT1356" s="624"/>
      <c r="AU1356" s="624"/>
      <c r="AV1356" s="624"/>
      <c r="AW1356" s="624"/>
      <c r="AX1356" s="624"/>
      <c r="AY1356" s="624"/>
      <c r="AZ1356" s="624"/>
      <c r="BA1356" s="624"/>
      <c r="BB1356" s="624"/>
      <c r="BC1356" s="624"/>
      <c r="BD1356" s="624"/>
      <c r="BE1356" s="624"/>
    </row>
    <row r="1357" ht="16.5" customHeight="1">
      <c r="A1357" s="711"/>
      <c r="B1357" s="711"/>
      <c r="C1357" s="711"/>
      <c r="D1357" s="711"/>
      <c r="E1357" s="711"/>
      <c r="F1357" s="711"/>
      <c r="G1357" s="711"/>
      <c r="H1357" s="711"/>
      <c r="I1357" s="711"/>
      <c r="J1357" s="711"/>
      <c r="K1357" s="741"/>
      <c r="L1357" s="741"/>
      <c r="M1357" s="788"/>
      <c r="N1357" s="741"/>
      <c r="O1357" s="741"/>
      <c r="P1357" s="741"/>
      <c r="Q1357" s="741"/>
      <c r="R1357" s="788"/>
      <c r="S1357" s="819"/>
      <c r="T1357" s="820"/>
      <c r="U1357" s="819"/>
      <c r="V1357" s="820"/>
      <c r="W1357" s="788"/>
      <c r="X1357" s="803"/>
      <c r="Y1357" s="803"/>
      <c r="Z1357" s="803"/>
      <c r="AA1357" s="711"/>
      <c r="AB1357" s="711"/>
      <c r="AC1357" s="711"/>
      <c r="AD1357" s="736"/>
      <c r="AE1357" s="736"/>
      <c r="AF1357" s="624"/>
      <c r="AG1357" s="624"/>
      <c r="AH1357" s="624"/>
      <c r="AI1357" s="624"/>
      <c r="AJ1357" s="984"/>
      <c r="AK1357" s="985"/>
      <c r="AL1357" s="986"/>
      <c r="AM1357" s="987"/>
      <c r="AN1357" s="988"/>
      <c r="AO1357" s="986"/>
      <c r="AP1357" s="989"/>
      <c r="AQ1357" s="986"/>
      <c r="AR1357" s="990"/>
      <c r="AS1357" s="624"/>
      <c r="AT1357" s="624"/>
      <c r="AU1357" s="624"/>
      <c r="AV1357" s="624"/>
      <c r="AW1357" s="624"/>
      <c r="AX1357" s="624"/>
      <c r="AY1357" s="624"/>
      <c r="AZ1357" s="624"/>
      <c r="BA1357" s="624"/>
      <c r="BB1357" s="624"/>
      <c r="BC1357" s="624"/>
      <c r="BD1357" s="624"/>
      <c r="BE1357" s="624"/>
    </row>
    <row r="1358" ht="16.5" customHeight="1">
      <c r="A1358" s="711"/>
      <c r="B1358" s="711"/>
      <c r="C1358" s="711"/>
      <c r="D1358" s="711"/>
      <c r="E1358" s="711"/>
      <c r="F1358" s="711"/>
      <c r="G1358" s="711"/>
      <c r="H1358" s="711"/>
      <c r="I1358" s="711"/>
      <c r="J1358" s="711"/>
      <c r="K1358" s="741"/>
      <c r="L1358" s="741"/>
      <c r="M1358" s="788"/>
      <c r="N1358" s="741"/>
      <c r="O1358" s="741"/>
      <c r="P1358" s="741"/>
      <c r="Q1358" s="741"/>
      <c r="R1358" s="788"/>
      <c r="S1358" s="819"/>
      <c r="T1358" s="820"/>
      <c r="U1358" s="819"/>
      <c r="V1358" s="820"/>
      <c r="W1358" s="788"/>
      <c r="X1358" s="803"/>
      <c r="Y1358" s="803"/>
      <c r="Z1358" s="803"/>
      <c r="AA1358" s="711"/>
      <c r="AB1358" s="711"/>
      <c r="AC1358" s="711"/>
      <c r="AD1358" s="736"/>
      <c r="AE1358" s="736"/>
      <c r="AF1358" s="624"/>
      <c r="AG1358" s="624"/>
      <c r="AH1358" s="624"/>
      <c r="AI1358" s="624"/>
      <c r="AJ1358" s="984"/>
      <c r="AK1358" s="985"/>
      <c r="AL1358" s="986"/>
      <c r="AM1358" s="987"/>
      <c r="AN1358" s="988"/>
      <c r="AO1358" s="986"/>
      <c r="AP1358" s="989"/>
      <c r="AQ1358" s="986"/>
      <c r="AR1358" s="990"/>
      <c r="AS1358" s="624"/>
      <c r="AT1358" s="624"/>
      <c r="AU1358" s="624"/>
      <c r="AV1358" s="624"/>
      <c r="AW1358" s="624"/>
      <c r="AX1358" s="624"/>
      <c r="AY1358" s="624"/>
      <c r="AZ1358" s="624"/>
      <c r="BA1358" s="624"/>
      <c r="BB1358" s="624"/>
      <c r="BC1358" s="624"/>
      <c r="BD1358" s="624"/>
      <c r="BE1358" s="624"/>
    </row>
    <row r="1359" ht="16.5" customHeight="1">
      <c r="A1359" s="711"/>
      <c r="B1359" s="711"/>
      <c r="C1359" s="711"/>
      <c r="D1359" s="711"/>
      <c r="E1359" s="711"/>
      <c r="F1359" s="711"/>
      <c r="G1359" s="711"/>
      <c r="H1359" s="711"/>
      <c r="I1359" s="711"/>
      <c r="J1359" s="711"/>
      <c r="K1359" s="741"/>
      <c r="L1359" s="741"/>
      <c r="M1359" s="788"/>
      <c r="N1359" s="741"/>
      <c r="O1359" s="741"/>
      <c r="P1359" s="741"/>
      <c r="Q1359" s="741"/>
      <c r="R1359" s="788"/>
      <c r="S1359" s="819"/>
      <c r="T1359" s="820"/>
      <c r="U1359" s="819"/>
      <c r="V1359" s="820"/>
      <c r="W1359" s="788"/>
      <c r="X1359" s="803"/>
      <c r="Y1359" s="803"/>
      <c r="Z1359" s="803"/>
      <c r="AA1359" s="711"/>
      <c r="AB1359" s="711"/>
      <c r="AC1359" s="711"/>
      <c r="AD1359" s="736"/>
      <c r="AE1359" s="736"/>
      <c r="AF1359" s="624"/>
      <c r="AG1359" s="624"/>
      <c r="AH1359" s="624"/>
      <c r="AI1359" s="624"/>
      <c r="AJ1359" s="984"/>
      <c r="AK1359" s="985"/>
      <c r="AL1359" s="986"/>
      <c r="AM1359" s="987"/>
      <c r="AN1359" s="988"/>
      <c r="AO1359" s="986"/>
      <c r="AP1359" s="989"/>
      <c r="AQ1359" s="986"/>
      <c r="AR1359" s="990"/>
      <c r="AS1359" s="624"/>
      <c r="AT1359" s="624"/>
      <c r="AU1359" s="624"/>
      <c r="AV1359" s="624"/>
      <c r="AW1359" s="624"/>
      <c r="AX1359" s="624"/>
      <c r="AY1359" s="624"/>
      <c r="AZ1359" s="624"/>
      <c r="BA1359" s="624"/>
      <c r="BB1359" s="624"/>
      <c r="BC1359" s="624"/>
      <c r="BD1359" s="624"/>
      <c r="BE1359" s="624"/>
    </row>
    <row r="1360" ht="16.5" customHeight="1">
      <c r="A1360" s="711"/>
      <c r="B1360" s="711"/>
      <c r="C1360" s="711"/>
      <c r="D1360" s="711"/>
      <c r="E1360" s="711"/>
      <c r="F1360" s="711"/>
      <c r="G1360" s="711"/>
      <c r="H1360" s="711"/>
      <c r="I1360" s="711"/>
      <c r="J1360" s="711"/>
      <c r="K1360" s="741"/>
      <c r="L1360" s="741"/>
      <c r="M1360" s="788"/>
      <c r="N1360" s="741"/>
      <c r="O1360" s="741"/>
      <c r="P1360" s="741"/>
      <c r="Q1360" s="741"/>
      <c r="R1360" s="788"/>
      <c r="S1360" s="819"/>
      <c r="T1360" s="820"/>
      <c r="U1360" s="819"/>
      <c r="V1360" s="820"/>
      <c r="W1360" s="788"/>
      <c r="X1360" s="803"/>
      <c r="Y1360" s="803"/>
      <c r="Z1360" s="803"/>
      <c r="AA1360" s="711"/>
      <c r="AB1360" s="711"/>
      <c r="AC1360" s="711"/>
      <c r="AD1360" s="736"/>
      <c r="AE1360" s="736"/>
      <c r="AF1360" s="624"/>
      <c r="AG1360" s="624"/>
      <c r="AH1360" s="624"/>
      <c r="AI1360" s="624"/>
      <c r="AJ1360" s="984"/>
      <c r="AK1360" s="985"/>
      <c r="AL1360" s="986"/>
      <c r="AM1360" s="987"/>
      <c r="AN1360" s="988"/>
      <c r="AO1360" s="986"/>
      <c r="AP1360" s="989"/>
      <c r="AQ1360" s="986"/>
      <c r="AR1360" s="990"/>
      <c r="AS1360" s="624"/>
      <c r="AT1360" s="624"/>
      <c r="AU1360" s="624"/>
      <c r="AV1360" s="624"/>
      <c r="AW1360" s="624"/>
      <c r="AX1360" s="624"/>
      <c r="AY1360" s="624"/>
      <c r="AZ1360" s="624"/>
      <c r="BA1360" s="624"/>
      <c r="BB1360" s="624"/>
      <c r="BC1360" s="624"/>
      <c r="BD1360" s="624"/>
      <c r="BE1360" s="624"/>
    </row>
    <row r="1361" ht="16.5" customHeight="1">
      <c r="A1361" s="711"/>
      <c r="B1361" s="711"/>
      <c r="C1361" s="711"/>
      <c r="D1361" s="711"/>
      <c r="E1361" s="711"/>
      <c r="F1361" s="711"/>
      <c r="G1361" s="711"/>
      <c r="H1361" s="711"/>
      <c r="I1361" s="711"/>
      <c r="J1361" s="711"/>
      <c r="K1361" s="741"/>
      <c r="L1361" s="741"/>
      <c r="M1361" s="788"/>
      <c r="N1361" s="741"/>
      <c r="O1361" s="741"/>
      <c r="P1361" s="741"/>
      <c r="Q1361" s="741"/>
      <c r="R1361" s="788"/>
      <c r="S1361" s="819"/>
      <c r="T1361" s="820"/>
      <c r="U1361" s="819"/>
      <c r="V1361" s="820"/>
      <c r="W1361" s="788"/>
      <c r="X1361" s="803"/>
      <c r="Y1361" s="803"/>
      <c r="Z1361" s="803"/>
      <c r="AA1361" s="711"/>
      <c r="AB1361" s="711"/>
      <c r="AC1361" s="711"/>
      <c r="AD1361" s="736"/>
      <c r="AE1361" s="736"/>
      <c r="AF1361" s="624"/>
      <c r="AG1361" s="624"/>
      <c r="AH1361" s="624"/>
      <c r="AI1361" s="624"/>
      <c r="AJ1361" s="984"/>
      <c r="AK1361" s="985"/>
      <c r="AL1361" s="986"/>
      <c r="AM1361" s="987"/>
      <c r="AN1361" s="988"/>
      <c r="AO1361" s="986"/>
      <c r="AP1361" s="989"/>
      <c r="AQ1361" s="986"/>
      <c r="AR1361" s="990"/>
      <c r="AS1361" s="624"/>
      <c r="AT1361" s="624"/>
      <c r="AU1361" s="624"/>
      <c r="AV1361" s="624"/>
      <c r="AW1361" s="624"/>
      <c r="AX1361" s="624"/>
      <c r="AY1361" s="624"/>
      <c r="AZ1361" s="624"/>
      <c r="BA1361" s="624"/>
      <c r="BB1361" s="624"/>
      <c r="BC1361" s="624"/>
      <c r="BD1361" s="624"/>
      <c r="BE1361" s="624"/>
    </row>
    <row r="1362" ht="16.5" customHeight="1">
      <c r="A1362" s="711"/>
      <c r="B1362" s="711"/>
      <c r="C1362" s="711"/>
      <c r="D1362" s="711"/>
      <c r="E1362" s="711"/>
      <c r="F1362" s="711"/>
      <c r="G1362" s="711"/>
      <c r="H1362" s="711"/>
      <c r="I1362" s="711"/>
      <c r="J1362" s="711"/>
      <c r="K1362" s="741"/>
      <c r="L1362" s="741"/>
      <c r="M1362" s="788"/>
      <c r="N1362" s="741"/>
      <c r="O1362" s="741"/>
      <c r="P1362" s="741"/>
      <c r="Q1362" s="741"/>
      <c r="R1362" s="788"/>
      <c r="S1362" s="819"/>
      <c r="T1362" s="820"/>
      <c r="U1362" s="819"/>
      <c r="V1362" s="820"/>
      <c r="W1362" s="788"/>
      <c r="X1362" s="803"/>
      <c r="Y1362" s="803"/>
      <c r="Z1362" s="803"/>
      <c r="AA1362" s="711"/>
      <c r="AB1362" s="711"/>
      <c r="AC1362" s="711"/>
      <c r="AD1362" s="736"/>
      <c r="AE1362" s="736"/>
      <c r="AF1362" s="624"/>
      <c r="AG1362" s="624"/>
      <c r="AH1362" s="624"/>
      <c r="AI1362" s="624"/>
      <c r="AJ1362" s="984"/>
      <c r="AK1362" s="985"/>
      <c r="AL1362" s="986"/>
      <c r="AM1362" s="987"/>
      <c r="AN1362" s="988"/>
      <c r="AO1362" s="986"/>
      <c r="AP1362" s="989"/>
      <c r="AQ1362" s="986"/>
      <c r="AR1362" s="990"/>
      <c r="AS1362" s="624"/>
      <c r="AT1362" s="624"/>
      <c r="AU1362" s="624"/>
      <c r="AV1362" s="624"/>
      <c r="AW1362" s="624"/>
      <c r="AX1362" s="624"/>
      <c r="AY1362" s="624"/>
      <c r="AZ1362" s="624"/>
      <c r="BA1362" s="624"/>
      <c r="BB1362" s="624"/>
      <c r="BC1362" s="624"/>
      <c r="BD1362" s="624"/>
      <c r="BE1362" s="624"/>
    </row>
    <row r="1363" ht="16.5" customHeight="1">
      <c r="A1363" s="711"/>
      <c r="B1363" s="711"/>
      <c r="C1363" s="711"/>
      <c r="D1363" s="711"/>
      <c r="E1363" s="711"/>
      <c r="F1363" s="711"/>
      <c r="G1363" s="711"/>
      <c r="H1363" s="711"/>
      <c r="I1363" s="711"/>
      <c r="J1363" s="711"/>
      <c r="K1363" s="741"/>
      <c r="L1363" s="741"/>
      <c r="M1363" s="788"/>
      <c r="N1363" s="741"/>
      <c r="O1363" s="741"/>
      <c r="P1363" s="741"/>
      <c r="Q1363" s="741"/>
      <c r="R1363" s="788"/>
      <c r="S1363" s="819"/>
      <c r="T1363" s="820"/>
      <c r="U1363" s="819"/>
      <c r="V1363" s="820"/>
      <c r="W1363" s="788"/>
      <c r="X1363" s="803"/>
      <c r="Y1363" s="803"/>
      <c r="Z1363" s="803"/>
      <c r="AA1363" s="711"/>
      <c r="AB1363" s="711"/>
      <c r="AC1363" s="711"/>
      <c r="AD1363" s="736"/>
      <c r="AE1363" s="736"/>
      <c r="AF1363" s="624"/>
      <c r="AG1363" s="624"/>
      <c r="AH1363" s="624"/>
      <c r="AI1363" s="624"/>
      <c r="AJ1363" s="984"/>
      <c r="AK1363" s="985"/>
      <c r="AL1363" s="986"/>
      <c r="AM1363" s="987"/>
      <c r="AN1363" s="988"/>
      <c r="AO1363" s="986"/>
      <c r="AP1363" s="989"/>
      <c r="AQ1363" s="986"/>
      <c r="AR1363" s="990"/>
      <c r="AS1363" s="624"/>
      <c r="AT1363" s="624"/>
      <c r="AU1363" s="624"/>
      <c r="AV1363" s="624"/>
      <c r="AW1363" s="624"/>
      <c r="AX1363" s="624"/>
      <c r="AY1363" s="624"/>
      <c r="AZ1363" s="624"/>
      <c r="BA1363" s="624"/>
      <c r="BB1363" s="624"/>
      <c r="BC1363" s="624"/>
      <c r="BD1363" s="624"/>
      <c r="BE1363" s="624"/>
    </row>
    <row r="1364" ht="16.5" customHeight="1">
      <c r="A1364" s="711"/>
      <c r="B1364" s="711"/>
      <c r="C1364" s="711"/>
      <c r="D1364" s="711"/>
      <c r="E1364" s="711"/>
      <c r="F1364" s="711"/>
      <c r="G1364" s="711"/>
      <c r="H1364" s="711"/>
      <c r="I1364" s="711"/>
      <c r="J1364" s="711"/>
      <c r="K1364" s="741"/>
      <c r="L1364" s="741"/>
      <c r="M1364" s="788"/>
      <c r="N1364" s="741"/>
      <c r="O1364" s="741"/>
      <c r="P1364" s="741"/>
      <c r="Q1364" s="741"/>
      <c r="R1364" s="788"/>
      <c r="S1364" s="819"/>
      <c r="T1364" s="820"/>
      <c r="U1364" s="819"/>
      <c r="V1364" s="820"/>
      <c r="W1364" s="788"/>
      <c r="X1364" s="803"/>
      <c r="Y1364" s="803"/>
      <c r="Z1364" s="803"/>
      <c r="AA1364" s="711"/>
      <c r="AB1364" s="711"/>
      <c r="AC1364" s="711"/>
      <c r="AD1364" s="736"/>
      <c r="AE1364" s="736"/>
      <c r="AF1364" s="624"/>
      <c r="AG1364" s="624"/>
      <c r="AH1364" s="624"/>
      <c r="AI1364" s="624"/>
      <c r="AJ1364" s="984"/>
      <c r="AK1364" s="985"/>
      <c r="AL1364" s="986"/>
      <c r="AM1364" s="987"/>
      <c r="AN1364" s="988"/>
      <c r="AO1364" s="986"/>
      <c r="AP1364" s="989"/>
      <c r="AQ1364" s="986"/>
      <c r="AR1364" s="990"/>
      <c r="AS1364" s="624"/>
      <c r="AT1364" s="624"/>
      <c r="AU1364" s="624"/>
      <c r="AV1364" s="624"/>
      <c r="AW1364" s="624"/>
      <c r="AX1364" s="624"/>
      <c r="AY1364" s="624"/>
      <c r="AZ1364" s="624"/>
      <c r="BA1364" s="624"/>
      <c r="BB1364" s="624"/>
      <c r="BC1364" s="624"/>
      <c r="BD1364" s="624"/>
      <c r="BE1364" s="624"/>
    </row>
    <row r="1365" ht="16.5" customHeight="1">
      <c r="A1365" s="711"/>
      <c r="B1365" s="711"/>
      <c r="C1365" s="711"/>
      <c r="D1365" s="711"/>
      <c r="E1365" s="711"/>
      <c r="F1365" s="711"/>
      <c r="G1365" s="711"/>
      <c r="H1365" s="711"/>
      <c r="I1365" s="711"/>
      <c r="J1365" s="711"/>
      <c r="K1365" s="741"/>
      <c r="L1365" s="741"/>
      <c r="M1365" s="788"/>
      <c r="N1365" s="741"/>
      <c r="O1365" s="741"/>
      <c r="P1365" s="741"/>
      <c r="Q1365" s="741"/>
      <c r="R1365" s="788"/>
      <c r="S1365" s="819"/>
      <c r="T1365" s="820"/>
      <c r="U1365" s="819"/>
      <c r="V1365" s="820"/>
      <c r="W1365" s="788"/>
      <c r="X1365" s="803"/>
      <c r="Y1365" s="803"/>
      <c r="Z1365" s="803"/>
      <c r="AA1365" s="711"/>
      <c r="AB1365" s="711"/>
      <c r="AC1365" s="711"/>
      <c r="AD1365" s="736"/>
      <c r="AE1365" s="736"/>
      <c r="AF1365" s="624"/>
      <c r="AG1365" s="624"/>
      <c r="AH1365" s="624"/>
      <c r="AI1365" s="624"/>
      <c r="AJ1365" s="984"/>
      <c r="AK1365" s="985"/>
      <c r="AL1365" s="986"/>
      <c r="AM1365" s="987"/>
      <c r="AN1365" s="988"/>
      <c r="AO1365" s="986"/>
      <c r="AP1365" s="989"/>
      <c r="AQ1365" s="986"/>
      <c r="AR1365" s="990"/>
      <c r="AS1365" s="624"/>
      <c r="AT1365" s="624"/>
      <c r="AU1365" s="624"/>
      <c r="AV1365" s="624"/>
      <c r="AW1365" s="624"/>
      <c r="AX1365" s="624"/>
      <c r="AY1365" s="624"/>
      <c r="AZ1365" s="624"/>
      <c r="BA1365" s="624"/>
      <c r="BB1365" s="624"/>
      <c r="BC1365" s="624"/>
      <c r="BD1365" s="624"/>
      <c r="BE1365" s="624"/>
    </row>
    <row r="1366" ht="16.5" customHeight="1">
      <c r="A1366" s="711"/>
      <c r="B1366" s="711"/>
      <c r="C1366" s="711"/>
      <c r="D1366" s="711"/>
      <c r="E1366" s="711"/>
      <c r="F1366" s="711"/>
      <c r="G1366" s="711"/>
      <c r="H1366" s="711"/>
      <c r="I1366" s="711"/>
      <c r="J1366" s="711"/>
      <c r="K1366" s="741"/>
      <c r="L1366" s="741"/>
      <c r="M1366" s="788"/>
      <c r="N1366" s="741"/>
      <c r="O1366" s="741"/>
      <c r="P1366" s="741"/>
      <c r="Q1366" s="741"/>
      <c r="R1366" s="788"/>
      <c r="S1366" s="819"/>
      <c r="T1366" s="820"/>
      <c r="U1366" s="819"/>
      <c r="V1366" s="820"/>
      <c r="W1366" s="788"/>
      <c r="X1366" s="803"/>
      <c r="Y1366" s="803"/>
      <c r="Z1366" s="803"/>
      <c r="AA1366" s="711"/>
      <c r="AB1366" s="711"/>
      <c r="AC1366" s="711"/>
      <c r="AD1366" s="736"/>
      <c r="AE1366" s="736"/>
      <c r="AF1366" s="624"/>
      <c r="AG1366" s="624"/>
      <c r="AH1366" s="624"/>
      <c r="AI1366" s="624"/>
      <c r="AJ1366" s="984"/>
      <c r="AK1366" s="985"/>
      <c r="AL1366" s="986"/>
      <c r="AM1366" s="987"/>
      <c r="AN1366" s="988"/>
      <c r="AO1366" s="986"/>
      <c r="AP1366" s="989"/>
      <c r="AQ1366" s="986"/>
      <c r="AR1366" s="990"/>
      <c r="AS1366" s="624"/>
      <c r="AT1366" s="624"/>
      <c r="AU1366" s="624"/>
      <c r="AV1366" s="624"/>
      <c r="AW1366" s="624"/>
      <c r="AX1366" s="624"/>
      <c r="AY1366" s="624"/>
      <c r="AZ1366" s="624"/>
      <c r="BA1366" s="624"/>
      <c r="BB1366" s="624"/>
      <c r="BC1366" s="624"/>
      <c r="BD1366" s="624"/>
      <c r="BE1366" s="624"/>
    </row>
    <row r="1367" ht="16.5" customHeight="1">
      <c r="A1367" s="711"/>
      <c r="B1367" s="711"/>
      <c r="C1367" s="711"/>
      <c r="D1367" s="711"/>
      <c r="E1367" s="711"/>
      <c r="F1367" s="711"/>
      <c r="G1367" s="711"/>
      <c r="H1367" s="711"/>
      <c r="I1367" s="711"/>
      <c r="J1367" s="711"/>
      <c r="K1367" s="741"/>
      <c r="L1367" s="741"/>
      <c r="M1367" s="788"/>
      <c r="N1367" s="741"/>
      <c r="O1367" s="741"/>
      <c r="P1367" s="741"/>
      <c r="Q1367" s="741"/>
      <c r="R1367" s="788"/>
      <c r="S1367" s="819"/>
      <c r="T1367" s="820"/>
      <c r="U1367" s="819"/>
      <c r="V1367" s="820"/>
      <c r="W1367" s="788"/>
      <c r="X1367" s="803"/>
      <c r="Y1367" s="803"/>
      <c r="Z1367" s="803"/>
      <c r="AA1367" s="711"/>
      <c r="AB1367" s="711"/>
      <c r="AC1367" s="711"/>
      <c r="AD1367" s="736"/>
      <c r="AE1367" s="736"/>
      <c r="AF1367" s="624"/>
      <c r="AG1367" s="624"/>
      <c r="AH1367" s="624"/>
      <c r="AI1367" s="624"/>
      <c r="AJ1367" s="984"/>
      <c r="AK1367" s="985"/>
      <c r="AL1367" s="986"/>
      <c r="AM1367" s="987"/>
      <c r="AN1367" s="988"/>
      <c r="AO1367" s="986"/>
      <c r="AP1367" s="989"/>
      <c r="AQ1367" s="986"/>
      <c r="AR1367" s="990"/>
      <c r="AS1367" s="624"/>
      <c r="AT1367" s="624"/>
      <c r="AU1367" s="624"/>
      <c r="AV1367" s="624"/>
      <c r="AW1367" s="624"/>
      <c r="AX1367" s="624"/>
      <c r="AY1367" s="624"/>
      <c r="AZ1367" s="624"/>
      <c r="BA1367" s="624"/>
      <c r="BB1367" s="624"/>
      <c r="BC1367" s="624"/>
      <c r="BD1367" s="624"/>
      <c r="BE1367" s="624"/>
    </row>
    <row r="1368" ht="16.5" customHeight="1">
      <c r="A1368" s="711"/>
      <c r="B1368" s="711"/>
      <c r="C1368" s="711"/>
      <c r="D1368" s="711"/>
      <c r="E1368" s="711"/>
      <c r="F1368" s="711"/>
      <c r="G1368" s="711"/>
      <c r="H1368" s="711"/>
      <c r="I1368" s="711"/>
      <c r="J1368" s="711"/>
      <c r="K1368" s="741"/>
      <c r="L1368" s="741"/>
      <c r="M1368" s="788"/>
      <c r="N1368" s="741"/>
      <c r="O1368" s="741"/>
      <c r="P1368" s="741"/>
      <c r="Q1368" s="741"/>
      <c r="R1368" s="788"/>
      <c r="S1368" s="819"/>
      <c r="T1368" s="820"/>
      <c r="U1368" s="819"/>
      <c r="V1368" s="820"/>
      <c r="W1368" s="788"/>
      <c r="X1368" s="803"/>
      <c r="Y1368" s="803"/>
      <c r="Z1368" s="803"/>
      <c r="AA1368" s="711"/>
      <c r="AB1368" s="711"/>
      <c r="AC1368" s="711"/>
      <c r="AD1368" s="736"/>
      <c r="AE1368" s="736"/>
      <c r="AF1368" s="624"/>
      <c r="AG1368" s="624"/>
      <c r="AH1368" s="624"/>
      <c r="AI1368" s="624"/>
      <c r="AJ1368" s="984"/>
      <c r="AK1368" s="985"/>
      <c r="AL1368" s="986"/>
      <c r="AM1368" s="987"/>
      <c r="AN1368" s="988"/>
      <c r="AO1368" s="986"/>
      <c r="AP1368" s="989"/>
      <c r="AQ1368" s="986"/>
      <c r="AR1368" s="990"/>
      <c r="AS1368" s="624"/>
      <c r="AT1368" s="624"/>
      <c r="AU1368" s="624"/>
      <c r="AV1368" s="624"/>
      <c r="AW1368" s="624"/>
      <c r="AX1368" s="624"/>
      <c r="AY1368" s="624"/>
      <c r="AZ1368" s="624"/>
      <c r="BA1368" s="624"/>
      <c r="BB1368" s="624"/>
      <c r="BC1368" s="624"/>
      <c r="BD1368" s="624"/>
      <c r="BE1368" s="624"/>
    </row>
    <row r="1369" ht="16.5" customHeight="1">
      <c r="A1369" s="711"/>
      <c r="B1369" s="711"/>
      <c r="C1369" s="711"/>
      <c r="D1369" s="711"/>
      <c r="E1369" s="711"/>
      <c r="F1369" s="711"/>
      <c r="G1369" s="711"/>
      <c r="H1369" s="711"/>
      <c r="I1369" s="711"/>
      <c r="J1369" s="711"/>
      <c r="K1369" s="741"/>
      <c r="L1369" s="741"/>
      <c r="M1369" s="788"/>
      <c r="N1369" s="741"/>
      <c r="O1369" s="741"/>
      <c r="P1369" s="741"/>
      <c r="Q1369" s="741"/>
      <c r="R1369" s="788"/>
      <c r="S1369" s="819"/>
      <c r="T1369" s="820"/>
      <c r="U1369" s="819"/>
      <c r="V1369" s="820"/>
      <c r="W1369" s="788"/>
      <c r="X1369" s="803"/>
      <c r="Y1369" s="803"/>
      <c r="Z1369" s="803"/>
      <c r="AA1369" s="711"/>
      <c r="AB1369" s="711"/>
      <c r="AC1369" s="711"/>
      <c r="AD1369" s="736"/>
      <c r="AE1369" s="736"/>
      <c r="AF1369" s="624"/>
      <c r="AG1369" s="624"/>
      <c r="AH1369" s="624"/>
      <c r="AI1369" s="624"/>
      <c r="AJ1369" s="984"/>
      <c r="AK1369" s="985"/>
      <c r="AL1369" s="986"/>
      <c r="AM1369" s="987"/>
      <c r="AN1369" s="988"/>
      <c r="AO1369" s="986"/>
      <c r="AP1369" s="989"/>
      <c r="AQ1369" s="986"/>
      <c r="AR1369" s="990"/>
      <c r="AS1369" s="624"/>
      <c r="AT1369" s="624"/>
      <c r="AU1369" s="624"/>
      <c r="AV1369" s="624"/>
      <c r="AW1369" s="624"/>
      <c r="AX1369" s="624"/>
      <c r="AY1369" s="624"/>
      <c r="AZ1369" s="624"/>
      <c r="BA1369" s="624"/>
      <c r="BB1369" s="624"/>
      <c r="BC1369" s="624"/>
      <c r="BD1369" s="624"/>
      <c r="BE1369" s="624"/>
    </row>
    <row r="1370" ht="16.5" customHeight="1">
      <c r="A1370" s="711"/>
      <c r="B1370" s="711"/>
      <c r="C1370" s="711"/>
      <c r="D1370" s="711"/>
      <c r="E1370" s="711"/>
      <c r="F1370" s="711"/>
      <c r="G1370" s="711"/>
      <c r="H1370" s="711"/>
      <c r="I1370" s="711"/>
      <c r="J1370" s="711"/>
      <c r="K1370" s="741"/>
      <c r="L1370" s="741"/>
      <c r="M1370" s="788"/>
      <c r="N1370" s="741"/>
      <c r="O1370" s="741"/>
      <c r="P1370" s="741"/>
      <c r="Q1370" s="741"/>
      <c r="R1370" s="788"/>
      <c r="S1370" s="819"/>
      <c r="T1370" s="820"/>
      <c r="U1370" s="819"/>
      <c r="V1370" s="820"/>
      <c r="W1370" s="788"/>
      <c r="X1370" s="803"/>
      <c r="Y1370" s="803"/>
      <c r="Z1370" s="803"/>
      <c r="AA1370" s="711"/>
      <c r="AB1370" s="711"/>
      <c r="AC1370" s="711"/>
      <c r="AD1370" s="736"/>
      <c r="AE1370" s="736"/>
      <c r="AF1370" s="624"/>
      <c r="AG1370" s="624"/>
      <c r="AH1370" s="624"/>
      <c r="AI1370" s="624"/>
      <c r="AJ1370" s="984"/>
      <c r="AK1370" s="985"/>
      <c r="AL1370" s="986"/>
      <c r="AM1370" s="987"/>
      <c r="AN1370" s="988"/>
      <c r="AO1370" s="986"/>
      <c r="AP1370" s="989"/>
      <c r="AQ1370" s="986"/>
      <c r="AR1370" s="990"/>
      <c r="AS1370" s="624"/>
      <c r="AT1370" s="624"/>
      <c r="AU1370" s="624"/>
      <c r="AV1370" s="624"/>
      <c r="AW1370" s="624"/>
      <c r="AX1370" s="624"/>
      <c r="AY1370" s="624"/>
      <c r="AZ1370" s="624"/>
      <c r="BA1370" s="624"/>
      <c r="BB1370" s="624"/>
      <c r="BC1370" s="624"/>
      <c r="BD1370" s="624"/>
      <c r="BE1370" s="624"/>
    </row>
    <row r="1371" ht="16.5" customHeight="1">
      <c r="A1371" s="711"/>
      <c r="B1371" s="711"/>
      <c r="C1371" s="711"/>
      <c r="D1371" s="711"/>
      <c r="E1371" s="711"/>
      <c r="F1371" s="711"/>
      <c r="G1371" s="711"/>
      <c r="H1371" s="711"/>
      <c r="I1371" s="711"/>
      <c r="J1371" s="711"/>
      <c r="K1371" s="741"/>
      <c r="L1371" s="741"/>
      <c r="M1371" s="788"/>
      <c r="N1371" s="741"/>
      <c r="O1371" s="741"/>
      <c r="P1371" s="741"/>
      <c r="Q1371" s="741"/>
      <c r="R1371" s="788"/>
      <c r="S1371" s="819"/>
      <c r="T1371" s="820"/>
      <c r="U1371" s="819"/>
      <c r="V1371" s="820"/>
      <c r="W1371" s="788"/>
      <c r="X1371" s="803"/>
      <c r="Y1371" s="803"/>
      <c r="Z1371" s="803"/>
      <c r="AA1371" s="711"/>
      <c r="AB1371" s="711"/>
      <c r="AC1371" s="711"/>
      <c r="AD1371" s="736"/>
      <c r="AE1371" s="736"/>
      <c r="AF1371" s="624"/>
      <c r="AG1371" s="624"/>
      <c r="AH1371" s="624"/>
      <c r="AI1371" s="624"/>
      <c r="AJ1371" s="984"/>
      <c r="AK1371" s="985"/>
      <c r="AL1371" s="986"/>
      <c r="AM1371" s="987"/>
      <c r="AN1371" s="988"/>
      <c r="AO1371" s="986"/>
      <c r="AP1371" s="989"/>
      <c r="AQ1371" s="986"/>
      <c r="AR1371" s="990"/>
      <c r="AS1371" s="624"/>
      <c r="AT1371" s="624"/>
      <c r="AU1371" s="624"/>
      <c r="AV1371" s="624"/>
      <c r="AW1371" s="624"/>
      <c r="AX1371" s="624"/>
      <c r="AY1371" s="624"/>
      <c r="AZ1371" s="624"/>
      <c r="BA1371" s="624"/>
      <c r="BB1371" s="624"/>
      <c r="BC1371" s="624"/>
      <c r="BD1371" s="624"/>
      <c r="BE1371" s="624"/>
    </row>
    <row r="1372" ht="16.5" customHeight="1">
      <c r="A1372" s="711"/>
      <c r="B1372" s="711"/>
      <c r="C1372" s="711"/>
      <c r="D1372" s="711"/>
      <c r="E1372" s="711"/>
      <c r="F1372" s="711"/>
      <c r="G1372" s="711"/>
      <c r="H1372" s="711"/>
      <c r="I1372" s="711"/>
      <c r="J1372" s="711"/>
      <c r="K1372" s="741"/>
      <c r="L1372" s="741"/>
      <c r="M1372" s="788"/>
      <c r="N1372" s="741"/>
      <c r="O1372" s="741"/>
      <c r="P1372" s="741"/>
      <c r="Q1372" s="741"/>
      <c r="R1372" s="788"/>
      <c r="S1372" s="819"/>
      <c r="T1372" s="820"/>
      <c r="U1372" s="819"/>
      <c r="V1372" s="820"/>
      <c r="W1372" s="788"/>
      <c r="X1372" s="803"/>
      <c r="Y1372" s="803"/>
      <c r="Z1372" s="803"/>
      <c r="AA1372" s="711"/>
      <c r="AB1372" s="711"/>
      <c r="AC1372" s="711"/>
      <c r="AD1372" s="736"/>
      <c r="AE1372" s="736"/>
      <c r="AF1372" s="624"/>
      <c r="AG1372" s="624"/>
      <c r="AH1372" s="624"/>
      <c r="AI1372" s="624"/>
      <c r="AJ1372" s="984"/>
      <c r="AK1372" s="985"/>
      <c r="AL1372" s="986"/>
      <c r="AM1372" s="987"/>
      <c r="AN1372" s="988"/>
      <c r="AO1372" s="986"/>
      <c r="AP1372" s="989"/>
      <c r="AQ1372" s="986"/>
      <c r="AR1372" s="990"/>
      <c r="AS1372" s="624"/>
      <c r="AT1372" s="624"/>
      <c r="AU1372" s="624"/>
      <c r="AV1372" s="624"/>
      <c r="AW1372" s="624"/>
      <c r="AX1372" s="624"/>
      <c r="AY1372" s="624"/>
      <c r="AZ1372" s="624"/>
      <c r="BA1372" s="624"/>
      <c r="BB1372" s="624"/>
      <c r="BC1372" s="624"/>
      <c r="BD1372" s="624"/>
      <c r="BE1372" s="624"/>
    </row>
    <row r="1373" ht="16.5" customHeight="1">
      <c r="A1373" s="711"/>
      <c r="B1373" s="711"/>
      <c r="C1373" s="711"/>
      <c r="D1373" s="711"/>
      <c r="E1373" s="711"/>
      <c r="F1373" s="711"/>
      <c r="G1373" s="711"/>
      <c r="H1373" s="711"/>
      <c r="I1373" s="711"/>
      <c r="J1373" s="711"/>
      <c r="K1373" s="741"/>
      <c r="L1373" s="741"/>
      <c r="M1373" s="788"/>
      <c r="N1373" s="741"/>
      <c r="O1373" s="741"/>
      <c r="P1373" s="741"/>
      <c r="Q1373" s="741"/>
      <c r="R1373" s="788"/>
      <c r="S1373" s="819"/>
      <c r="T1373" s="820"/>
      <c r="U1373" s="819"/>
      <c r="V1373" s="820"/>
      <c r="W1373" s="788"/>
      <c r="X1373" s="803"/>
      <c r="Y1373" s="803"/>
      <c r="Z1373" s="803"/>
      <c r="AA1373" s="711"/>
      <c r="AB1373" s="711"/>
      <c r="AC1373" s="711"/>
      <c r="AD1373" s="736"/>
      <c r="AE1373" s="736"/>
      <c r="AF1373" s="624"/>
      <c r="AG1373" s="624"/>
      <c r="AH1373" s="624"/>
      <c r="AI1373" s="624"/>
      <c r="AJ1373" s="984"/>
      <c r="AK1373" s="985"/>
      <c r="AL1373" s="986"/>
      <c r="AM1373" s="987"/>
      <c r="AN1373" s="988"/>
      <c r="AO1373" s="986"/>
      <c r="AP1373" s="989"/>
      <c r="AQ1373" s="986"/>
      <c r="AR1373" s="990"/>
      <c r="AS1373" s="624"/>
      <c r="AT1373" s="624"/>
      <c r="AU1373" s="624"/>
      <c r="AV1373" s="624"/>
      <c r="AW1373" s="624"/>
      <c r="AX1373" s="624"/>
      <c r="AY1373" s="624"/>
      <c r="AZ1373" s="624"/>
      <c r="BA1373" s="624"/>
      <c r="BB1373" s="624"/>
      <c r="BC1373" s="624"/>
      <c r="BD1373" s="624"/>
      <c r="BE1373" s="624"/>
    </row>
    <row r="1374" ht="16.5" customHeight="1">
      <c r="A1374" s="711"/>
      <c r="B1374" s="711"/>
      <c r="C1374" s="711"/>
      <c r="D1374" s="711"/>
      <c r="E1374" s="711"/>
      <c r="F1374" s="711"/>
      <c r="G1374" s="711"/>
      <c r="H1374" s="711"/>
      <c r="I1374" s="711"/>
      <c r="J1374" s="711"/>
      <c r="K1374" s="741"/>
      <c r="L1374" s="741"/>
      <c r="M1374" s="788"/>
      <c r="N1374" s="741"/>
      <c r="O1374" s="741"/>
      <c r="P1374" s="741"/>
      <c r="Q1374" s="741"/>
      <c r="R1374" s="788"/>
      <c r="S1374" s="819"/>
      <c r="T1374" s="820"/>
      <c r="U1374" s="819"/>
      <c r="V1374" s="820"/>
      <c r="W1374" s="788"/>
      <c r="X1374" s="803"/>
      <c r="Y1374" s="803"/>
      <c r="Z1374" s="803"/>
      <c r="AA1374" s="711"/>
      <c r="AB1374" s="711"/>
      <c r="AC1374" s="711"/>
      <c r="AD1374" s="736"/>
      <c r="AE1374" s="736"/>
      <c r="AF1374" s="624"/>
      <c r="AG1374" s="624"/>
      <c r="AH1374" s="624"/>
      <c r="AI1374" s="624"/>
      <c r="AJ1374" s="984"/>
      <c r="AK1374" s="985"/>
      <c r="AL1374" s="986"/>
      <c r="AM1374" s="987"/>
      <c r="AN1374" s="988"/>
      <c r="AO1374" s="986"/>
      <c r="AP1374" s="989"/>
      <c r="AQ1374" s="986"/>
      <c r="AR1374" s="990"/>
      <c r="AS1374" s="624"/>
      <c r="AT1374" s="624"/>
      <c r="AU1374" s="624"/>
      <c r="AV1374" s="624"/>
      <c r="AW1374" s="624"/>
      <c r="AX1374" s="624"/>
      <c r="AY1374" s="624"/>
      <c r="AZ1374" s="624"/>
      <c r="BA1374" s="624"/>
      <c r="BB1374" s="624"/>
      <c r="BC1374" s="624"/>
      <c r="BD1374" s="624"/>
      <c r="BE1374" s="624"/>
    </row>
    <row r="1375" ht="16.5" customHeight="1">
      <c r="A1375" s="711"/>
      <c r="B1375" s="711"/>
      <c r="C1375" s="711"/>
      <c r="D1375" s="711"/>
      <c r="E1375" s="711"/>
      <c r="F1375" s="711"/>
      <c r="G1375" s="711"/>
      <c r="H1375" s="711"/>
      <c r="I1375" s="711"/>
      <c r="J1375" s="711"/>
      <c r="K1375" s="741"/>
      <c r="L1375" s="741"/>
      <c r="M1375" s="788"/>
      <c r="N1375" s="741"/>
      <c r="O1375" s="741"/>
      <c r="P1375" s="741"/>
      <c r="Q1375" s="741"/>
      <c r="R1375" s="788"/>
      <c r="S1375" s="819"/>
      <c r="T1375" s="820"/>
      <c r="U1375" s="819"/>
      <c r="V1375" s="820"/>
      <c r="W1375" s="788"/>
      <c r="X1375" s="803"/>
      <c r="Y1375" s="803"/>
      <c r="Z1375" s="803"/>
      <c r="AA1375" s="711"/>
      <c r="AB1375" s="711"/>
      <c r="AC1375" s="711"/>
      <c r="AD1375" s="736"/>
      <c r="AE1375" s="736"/>
      <c r="AF1375" s="624"/>
      <c r="AG1375" s="624"/>
      <c r="AH1375" s="624"/>
      <c r="AI1375" s="624"/>
      <c r="AJ1375" s="984"/>
      <c r="AK1375" s="985"/>
      <c r="AL1375" s="986"/>
      <c r="AM1375" s="987"/>
      <c r="AN1375" s="988"/>
      <c r="AO1375" s="986"/>
      <c r="AP1375" s="989"/>
      <c r="AQ1375" s="986"/>
      <c r="AR1375" s="990"/>
      <c r="AS1375" s="624"/>
      <c r="AT1375" s="624"/>
      <c r="AU1375" s="624"/>
      <c r="AV1375" s="624"/>
      <c r="AW1375" s="624"/>
      <c r="AX1375" s="624"/>
      <c r="AY1375" s="624"/>
      <c r="AZ1375" s="624"/>
      <c r="BA1375" s="624"/>
      <c r="BB1375" s="624"/>
      <c r="BC1375" s="624"/>
      <c r="BD1375" s="624"/>
      <c r="BE1375" s="624"/>
    </row>
    <row r="1376" ht="16.5" customHeight="1">
      <c r="A1376" s="711"/>
      <c r="B1376" s="711"/>
      <c r="C1376" s="711"/>
      <c r="D1376" s="711"/>
      <c r="E1376" s="711"/>
      <c r="F1376" s="711"/>
      <c r="G1376" s="711"/>
      <c r="H1376" s="711"/>
      <c r="I1376" s="711"/>
      <c r="J1376" s="711"/>
      <c r="K1376" s="741"/>
      <c r="L1376" s="741"/>
      <c r="M1376" s="788"/>
      <c r="N1376" s="741"/>
      <c r="O1376" s="741"/>
      <c r="P1376" s="741"/>
      <c r="Q1376" s="741"/>
      <c r="R1376" s="788"/>
      <c r="S1376" s="819"/>
      <c r="T1376" s="820"/>
      <c r="U1376" s="819"/>
      <c r="V1376" s="820"/>
      <c r="W1376" s="788"/>
      <c r="X1376" s="803"/>
      <c r="Y1376" s="803"/>
      <c r="Z1376" s="803"/>
      <c r="AA1376" s="711"/>
      <c r="AB1376" s="711"/>
      <c r="AC1376" s="711"/>
      <c r="AD1376" s="736"/>
      <c r="AE1376" s="736"/>
      <c r="AF1376" s="624"/>
      <c r="AG1376" s="624"/>
      <c r="AH1376" s="624"/>
      <c r="AI1376" s="624"/>
      <c r="AJ1376" s="984"/>
      <c r="AK1376" s="985"/>
      <c r="AL1376" s="986"/>
      <c r="AM1376" s="987"/>
      <c r="AN1376" s="988"/>
      <c r="AO1376" s="986"/>
      <c r="AP1376" s="989"/>
      <c r="AQ1376" s="986"/>
      <c r="AR1376" s="990"/>
      <c r="AS1376" s="624"/>
      <c r="AT1376" s="624"/>
      <c r="AU1376" s="624"/>
      <c r="AV1376" s="624"/>
      <c r="AW1376" s="624"/>
      <c r="AX1376" s="624"/>
      <c r="AY1376" s="624"/>
      <c r="AZ1376" s="624"/>
      <c r="BA1376" s="624"/>
      <c r="BB1376" s="624"/>
      <c r="BC1376" s="624"/>
      <c r="BD1376" s="624"/>
      <c r="BE1376" s="624"/>
    </row>
    <row r="1377" ht="16.5" customHeight="1">
      <c r="A1377" s="711"/>
      <c r="B1377" s="711"/>
      <c r="C1377" s="711"/>
      <c r="D1377" s="711"/>
      <c r="E1377" s="711"/>
      <c r="F1377" s="711"/>
      <c r="G1377" s="711"/>
      <c r="H1377" s="711"/>
      <c r="I1377" s="711"/>
      <c r="J1377" s="711"/>
      <c r="K1377" s="741"/>
      <c r="L1377" s="741"/>
      <c r="M1377" s="788"/>
      <c r="N1377" s="741"/>
      <c r="O1377" s="741"/>
      <c r="P1377" s="741"/>
      <c r="Q1377" s="741"/>
      <c r="R1377" s="788"/>
      <c r="S1377" s="819"/>
      <c r="T1377" s="820"/>
      <c r="U1377" s="819"/>
      <c r="V1377" s="820"/>
      <c r="W1377" s="788"/>
      <c r="X1377" s="803"/>
      <c r="Y1377" s="803"/>
      <c r="Z1377" s="803"/>
      <c r="AA1377" s="711"/>
      <c r="AB1377" s="711"/>
      <c r="AC1377" s="711"/>
      <c r="AD1377" s="736"/>
      <c r="AE1377" s="736"/>
      <c r="AF1377" s="624"/>
      <c r="AG1377" s="624"/>
      <c r="AH1377" s="624"/>
      <c r="AI1377" s="624"/>
      <c r="AJ1377" s="984"/>
      <c r="AK1377" s="985"/>
      <c r="AL1377" s="986"/>
      <c r="AM1377" s="987"/>
      <c r="AN1377" s="988"/>
      <c r="AO1377" s="986"/>
      <c r="AP1377" s="989"/>
      <c r="AQ1377" s="986"/>
      <c r="AR1377" s="990"/>
      <c r="AS1377" s="624"/>
      <c r="AT1377" s="624"/>
      <c r="AU1377" s="624"/>
      <c r="AV1377" s="624"/>
      <c r="AW1377" s="624"/>
      <c r="AX1377" s="624"/>
      <c r="AY1377" s="624"/>
      <c r="AZ1377" s="624"/>
      <c r="BA1377" s="624"/>
      <c r="BB1377" s="624"/>
      <c r="BC1377" s="624"/>
      <c r="BD1377" s="624"/>
      <c r="BE1377" s="624"/>
    </row>
    <row r="1378" ht="16.5" customHeight="1">
      <c r="A1378" s="711"/>
      <c r="B1378" s="711"/>
      <c r="C1378" s="711"/>
      <c r="D1378" s="711"/>
      <c r="E1378" s="711"/>
      <c r="F1378" s="711"/>
      <c r="G1378" s="711"/>
      <c r="H1378" s="711"/>
      <c r="I1378" s="711"/>
      <c r="J1378" s="711"/>
      <c r="K1378" s="741"/>
      <c r="L1378" s="741"/>
      <c r="M1378" s="788"/>
      <c r="N1378" s="741"/>
      <c r="O1378" s="741"/>
      <c r="P1378" s="741"/>
      <c r="Q1378" s="741"/>
      <c r="R1378" s="788"/>
      <c r="S1378" s="819"/>
      <c r="T1378" s="820"/>
      <c r="U1378" s="819"/>
      <c r="V1378" s="820"/>
      <c r="W1378" s="788"/>
      <c r="X1378" s="803"/>
      <c r="Y1378" s="803"/>
      <c r="Z1378" s="803"/>
      <c r="AA1378" s="711"/>
      <c r="AB1378" s="711"/>
      <c r="AC1378" s="711"/>
      <c r="AD1378" s="736"/>
      <c r="AE1378" s="736"/>
      <c r="AF1378" s="624"/>
      <c r="AG1378" s="624"/>
      <c r="AH1378" s="624"/>
      <c r="AI1378" s="624"/>
      <c r="AJ1378" s="984"/>
      <c r="AK1378" s="985"/>
      <c r="AL1378" s="986"/>
      <c r="AM1378" s="987"/>
      <c r="AN1378" s="988"/>
      <c r="AO1378" s="986"/>
      <c r="AP1378" s="989"/>
      <c r="AQ1378" s="986"/>
      <c r="AR1378" s="990"/>
      <c r="AS1378" s="624"/>
      <c r="AT1378" s="624"/>
      <c r="AU1378" s="624"/>
      <c r="AV1378" s="624"/>
      <c r="AW1378" s="624"/>
      <c r="AX1378" s="624"/>
      <c r="AY1378" s="624"/>
      <c r="AZ1378" s="624"/>
      <c r="BA1378" s="624"/>
      <c r="BB1378" s="624"/>
      <c r="BC1378" s="624"/>
      <c r="BD1378" s="624"/>
      <c r="BE1378" s="624"/>
    </row>
    <row r="1379" ht="16.5" customHeight="1">
      <c r="A1379" s="711"/>
      <c r="B1379" s="711"/>
      <c r="C1379" s="711"/>
      <c r="D1379" s="711"/>
      <c r="E1379" s="711"/>
      <c r="F1379" s="711"/>
      <c r="G1379" s="711"/>
      <c r="H1379" s="711"/>
      <c r="I1379" s="711"/>
      <c r="J1379" s="711"/>
      <c r="K1379" s="741"/>
      <c r="L1379" s="741"/>
      <c r="M1379" s="788"/>
      <c r="N1379" s="741"/>
      <c r="O1379" s="741"/>
      <c r="P1379" s="741"/>
      <c r="Q1379" s="741"/>
      <c r="R1379" s="788"/>
      <c r="S1379" s="819"/>
      <c r="T1379" s="820"/>
      <c r="U1379" s="819"/>
      <c r="V1379" s="820"/>
      <c r="W1379" s="788"/>
      <c r="X1379" s="803"/>
      <c r="Y1379" s="803"/>
      <c r="Z1379" s="803"/>
      <c r="AA1379" s="711"/>
      <c r="AB1379" s="711"/>
      <c r="AC1379" s="711"/>
      <c r="AD1379" s="736"/>
      <c r="AE1379" s="736"/>
      <c r="AF1379" s="624"/>
      <c r="AG1379" s="624"/>
      <c r="AH1379" s="624"/>
      <c r="AI1379" s="624"/>
      <c r="AJ1379" s="984"/>
      <c r="AK1379" s="985"/>
      <c r="AL1379" s="986"/>
      <c r="AM1379" s="987"/>
      <c r="AN1379" s="988"/>
      <c r="AO1379" s="986"/>
      <c r="AP1379" s="989"/>
      <c r="AQ1379" s="986"/>
      <c r="AR1379" s="990"/>
      <c r="AS1379" s="624"/>
      <c r="AT1379" s="624"/>
      <c r="AU1379" s="624"/>
      <c r="AV1379" s="624"/>
      <c r="AW1379" s="624"/>
      <c r="AX1379" s="624"/>
      <c r="AY1379" s="624"/>
      <c r="AZ1379" s="624"/>
      <c r="BA1379" s="624"/>
      <c r="BB1379" s="624"/>
      <c r="BC1379" s="624"/>
      <c r="BD1379" s="624"/>
      <c r="BE1379" s="624"/>
    </row>
    <row r="1380" ht="16.5" customHeight="1">
      <c r="A1380" s="711"/>
      <c r="B1380" s="711"/>
      <c r="C1380" s="711"/>
      <c r="D1380" s="711"/>
      <c r="E1380" s="711"/>
      <c r="F1380" s="711"/>
      <c r="G1380" s="711"/>
      <c r="H1380" s="711"/>
      <c r="I1380" s="711"/>
      <c r="J1380" s="711"/>
      <c r="K1380" s="741"/>
      <c r="L1380" s="741"/>
      <c r="M1380" s="788"/>
      <c r="N1380" s="741"/>
      <c r="O1380" s="741"/>
      <c r="P1380" s="741"/>
      <c r="Q1380" s="741"/>
      <c r="R1380" s="788"/>
      <c r="S1380" s="819"/>
      <c r="T1380" s="820"/>
      <c r="U1380" s="819"/>
      <c r="V1380" s="820"/>
      <c r="W1380" s="788"/>
      <c r="X1380" s="803"/>
      <c r="Y1380" s="803"/>
      <c r="Z1380" s="803"/>
      <c r="AA1380" s="711"/>
      <c r="AB1380" s="711"/>
      <c r="AC1380" s="711"/>
      <c r="AD1380" s="736"/>
      <c r="AE1380" s="736"/>
      <c r="AF1380" s="624"/>
      <c r="AG1380" s="624"/>
      <c r="AH1380" s="624"/>
      <c r="AI1380" s="624"/>
      <c r="AJ1380" s="984"/>
      <c r="AK1380" s="985"/>
      <c r="AL1380" s="986"/>
      <c r="AM1380" s="987"/>
      <c r="AN1380" s="988"/>
      <c r="AO1380" s="986"/>
      <c r="AP1380" s="989"/>
      <c r="AQ1380" s="986"/>
      <c r="AR1380" s="990"/>
      <c r="AS1380" s="624"/>
      <c r="AT1380" s="624"/>
      <c r="AU1380" s="624"/>
      <c r="AV1380" s="624"/>
      <c r="AW1380" s="624"/>
      <c r="AX1380" s="624"/>
      <c r="AY1380" s="624"/>
      <c r="AZ1380" s="624"/>
      <c r="BA1380" s="624"/>
      <c r="BB1380" s="624"/>
      <c r="BC1380" s="624"/>
      <c r="BD1380" s="624"/>
      <c r="BE1380" s="624"/>
    </row>
    <row r="1381" ht="16.5" customHeight="1">
      <c r="A1381" s="711"/>
      <c r="B1381" s="711"/>
      <c r="C1381" s="711"/>
      <c r="D1381" s="711"/>
      <c r="E1381" s="711"/>
      <c r="F1381" s="711"/>
      <c r="G1381" s="711"/>
      <c r="H1381" s="711"/>
      <c r="I1381" s="711"/>
      <c r="J1381" s="711"/>
      <c r="K1381" s="741"/>
      <c r="L1381" s="741"/>
      <c r="M1381" s="788"/>
      <c r="N1381" s="741"/>
      <c r="O1381" s="741"/>
      <c r="P1381" s="741"/>
      <c r="Q1381" s="741"/>
      <c r="R1381" s="788"/>
      <c r="S1381" s="819"/>
      <c r="T1381" s="820"/>
      <c r="U1381" s="819"/>
      <c r="V1381" s="820"/>
      <c r="W1381" s="788"/>
      <c r="X1381" s="803"/>
      <c r="Y1381" s="803"/>
      <c r="Z1381" s="803"/>
      <c r="AA1381" s="711"/>
      <c r="AB1381" s="711"/>
      <c r="AC1381" s="711"/>
      <c r="AD1381" s="736"/>
      <c r="AE1381" s="736"/>
      <c r="AF1381" s="624"/>
      <c r="AG1381" s="624"/>
      <c r="AH1381" s="624"/>
      <c r="AI1381" s="624"/>
      <c r="AJ1381" s="984"/>
      <c r="AK1381" s="985"/>
      <c r="AL1381" s="986"/>
      <c r="AM1381" s="987"/>
      <c r="AN1381" s="988"/>
      <c r="AO1381" s="986"/>
      <c r="AP1381" s="989"/>
      <c r="AQ1381" s="986"/>
      <c r="AR1381" s="990"/>
      <c r="AS1381" s="624"/>
      <c r="AT1381" s="624"/>
      <c r="AU1381" s="624"/>
      <c r="AV1381" s="624"/>
      <c r="AW1381" s="624"/>
      <c r="AX1381" s="624"/>
      <c r="AY1381" s="624"/>
      <c r="AZ1381" s="624"/>
      <c r="BA1381" s="624"/>
      <c r="BB1381" s="624"/>
      <c r="BC1381" s="624"/>
      <c r="BD1381" s="624"/>
      <c r="BE1381" s="624"/>
    </row>
    <row r="1382" ht="16.5" customHeight="1">
      <c r="A1382" s="711"/>
      <c r="B1382" s="711"/>
      <c r="C1382" s="711"/>
      <c r="D1382" s="711"/>
      <c r="E1382" s="711"/>
      <c r="F1382" s="711"/>
      <c r="G1382" s="711"/>
      <c r="H1382" s="711"/>
      <c r="I1382" s="711"/>
      <c r="J1382" s="711"/>
      <c r="K1382" s="741"/>
      <c r="L1382" s="741"/>
      <c r="M1382" s="788"/>
      <c r="N1382" s="741"/>
      <c r="O1382" s="741"/>
      <c r="P1382" s="741"/>
      <c r="Q1382" s="741"/>
      <c r="R1382" s="788"/>
      <c r="S1382" s="819"/>
      <c r="T1382" s="820"/>
      <c r="U1382" s="819"/>
      <c r="V1382" s="820"/>
      <c r="W1382" s="788"/>
      <c r="X1382" s="803"/>
      <c r="Y1382" s="803"/>
      <c r="Z1382" s="803"/>
      <c r="AA1382" s="711"/>
      <c r="AB1382" s="711"/>
      <c r="AC1382" s="711"/>
      <c r="AD1382" s="736"/>
      <c r="AE1382" s="736"/>
      <c r="AF1382" s="624"/>
      <c r="AG1382" s="624"/>
      <c r="AH1382" s="624"/>
      <c r="AI1382" s="624"/>
      <c r="AJ1382" s="984"/>
      <c r="AK1382" s="985"/>
      <c r="AL1382" s="986"/>
      <c r="AM1382" s="987"/>
      <c r="AN1382" s="988"/>
      <c r="AO1382" s="986"/>
      <c r="AP1382" s="989"/>
      <c r="AQ1382" s="986"/>
      <c r="AR1382" s="990"/>
      <c r="AS1382" s="624"/>
      <c r="AT1382" s="624"/>
      <c r="AU1382" s="624"/>
      <c r="AV1382" s="624"/>
      <c r="AW1382" s="624"/>
      <c r="AX1382" s="624"/>
      <c r="AY1382" s="624"/>
      <c r="AZ1382" s="624"/>
      <c r="BA1382" s="624"/>
      <c r="BB1382" s="624"/>
      <c r="BC1382" s="624"/>
      <c r="BD1382" s="624"/>
      <c r="BE1382" s="624"/>
    </row>
    <row r="1383" ht="16.5" customHeight="1">
      <c r="A1383" s="711"/>
      <c r="B1383" s="711"/>
      <c r="C1383" s="711"/>
      <c r="D1383" s="711"/>
      <c r="E1383" s="711"/>
      <c r="F1383" s="711"/>
      <c r="G1383" s="711"/>
      <c r="H1383" s="711"/>
      <c r="I1383" s="711"/>
      <c r="J1383" s="711"/>
      <c r="K1383" s="741"/>
      <c r="L1383" s="741"/>
      <c r="M1383" s="788"/>
      <c r="N1383" s="741"/>
      <c r="O1383" s="741"/>
      <c r="P1383" s="741"/>
      <c r="Q1383" s="741"/>
      <c r="R1383" s="788"/>
      <c r="S1383" s="819"/>
      <c r="T1383" s="820"/>
      <c r="U1383" s="819"/>
      <c r="V1383" s="820"/>
      <c r="W1383" s="788"/>
      <c r="X1383" s="803"/>
      <c r="Y1383" s="803"/>
      <c r="Z1383" s="803"/>
      <c r="AA1383" s="711"/>
      <c r="AB1383" s="711"/>
      <c r="AC1383" s="711"/>
      <c r="AD1383" s="736"/>
      <c r="AE1383" s="736"/>
      <c r="AF1383" s="624"/>
      <c r="AG1383" s="624"/>
      <c r="AH1383" s="624"/>
      <c r="AI1383" s="624"/>
      <c r="AJ1383" s="984"/>
      <c r="AK1383" s="985"/>
      <c r="AL1383" s="986"/>
      <c r="AM1383" s="987"/>
      <c r="AN1383" s="988"/>
      <c r="AO1383" s="986"/>
      <c r="AP1383" s="989"/>
      <c r="AQ1383" s="986"/>
      <c r="AR1383" s="990"/>
      <c r="AS1383" s="624"/>
      <c r="AT1383" s="624"/>
      <c r="AU1383" s="624"/>
      <c r="AV1383" s="624"/>
      <c r="AW1383" s="624"/>
      <c r="AX1383" s="624"/>
      <c r="AY1383" s="624"/>
      <c r="AZ1383" s="624"/>
      <c r="BA1383" s="624"/>
      <c r="BB1383" s="624"/>
      <c r="BC1383" s="624"/>
      <c r="BD1383" s="624"/>
      <c r="BE1383" s="624"/>
    </row>
    <row r="1384" ht="16.5" customHeight="1">
      <c r="A1384" s="711"/>
      <c r="B1384" s="711"/>
      <c r="C1384" s="711"/>
      <c r="D1384" s="711"/>
      <c r="E1384" s="711"/>
      <c r="F1384" s="711"/>
      <c r="G1384" s="711"/>
      <c r="H1384" s="711"/>
      <c r="I1384" s="711"/>
      <c r="J1384" s="711"/>
      <c r="K1384" s="741"/>
      <c r="L1384" s="741"/>
      <c r="M1384" s="788"/>
      <c r="N1384" s="741"/>
      <c r="O1384" s="741"/>
      <c r="P1384" s="741"/>
      <c r="Q1384" s="741"/>
      <c r="R1384" s="788"/>
      <c r="S1384" s="819"/>
      <c r="T1384" s="820"/>
      <c r="U1384" s="819"/>
      <c r="V1384" s="820"/>
      <c r="W1384" s="788"/>
      <c r="X1384" s="803"/>
      <c r="Y1384" s="803"/>
      <c r="Z1384" s="803"/>
      <c r="AA1384" s="711"/>
      <c r="AB1384" s="711"/>
      <c r="AC1384" s="711"/>
      <c r="AD1384" s="736"/>
      <c r="AE1384" s="736"/>
      <c r="AF1384" s="624"/>
      <c r="AG1384" s="624"/>
      <c r="AH1384" s="624"/>
      <c r="AI1384" s="624"/>
      <c r="AJ1384" s="984"/>
      <c r="AK1384" s="985"/>
      <c r="AL1384" s="986"/>
      <c r="AM1384" s="987"/>
      <c r="AN1384" s="988"/>
      <c r="AO1384" s="986"/>
      <c r="AP1384" s="989"/>
      <c r="AQ1384" s="986"/>
      <c r="AR1384" s="990"/>
      <c r="AS1384" s="624"/>
      <c r="AT1384" s="624"/>
      <c r="AU1384" s="624"/>
      <c r="AV1384" s="624"/>
      <c r="AW1384" s="624"/>
      <c r="AX1384" s="624"/>
      <c r="AY1384" s="624"/>
      <c r="AZ1384" s="624"/>
      <c r="BA1384" s="624"/>
      <c r="BB1384" s="624"/>
      <c r="BC1384" s="624"/>
      <c r="BD1384" s="624"/>
      <c r="BE1384" s="624"/>
    </row>
    <row r="1385" ht="16.5" customHeight="1">
      <c r="A1385" s="711"/>
      <c r="B1385" s="711"/>
      <c r="C1385" s="711"/>
      <c r="D1385" s="711"/>
      <c r="E1385" s="711"/>
      <c r="F1385" s="711"/>
      <c r="G1385" s="711"/>
      <c r="H1385" s="711"/>
      <c r="I1385" s="711"/>
      <c r="J1385" s="711"/>
      <c r="K1385" s="741"/>
      <c r="L1385" s="741"/>
      <c r="M1385" s="788"/>
      <c r="N1385" s="741"/>
      <c r="O1385" s="741"/>
      <c r="P1385" s="741"/>
      <c r="Q1385" s="741"/>
      <c r="R1385" s="788"/>
      <c r="S1385" s="819"/>
      <c r="T1385" s="820"/>
      <c r="U1385" s="819"/>
      <c r="V1385" s="820"/>
      <c r="W1385" s="788"/>
      <c r="X1385" s="803"/>
      <c r="Y1385" s="803"/>
      <c r="Z1385" s="803"/>
      <c r="AA1385" s="711"/>
      <c r="AB1385" s="711"/>
      <c r="AC1385" s="711"/>
      <c r="AD1385" s="736"/>
      <c r="AE1385" s="736"/>
      <c r="AF1385" s="624"/>
      <c r="AG1385" s="624"/>
      <c r="AH1385" s="624"/>
      <c r="AI1385" s="624"/>
      <c r="AJ1385" s="984"/>
      <c r="AK1385" s="985"/>
      <c r="AL1385" s="986"/>
      <c r="AM1385" s="987"/>
      <c r="AN1385" s="988"/>
      <c r="AO1385" s="986"/>
      <c r="AP1385" s="989"/>
      <c r="AQ1385" s="986"/>
      <c r="AR1385" s="990"/>
      <c r="AS1385" s="624"/>
      <c r="AT1385" s="624"/>
      <c r="AU1385" s="624"/>
      <c r="AV1385" s="624"/>
      <c r="AW1385" s="624"/>
      <c r="AX1385" s="624"/>
      <c r="AY1385" s="624"/>
      <c r="AZ1385" s="624"/>
      <c r="BA1385" s="624"/>
      <c r="BB1385" s="624"/>
      <c r="BC1385" s="624"/>
      <c r="BD1385" s="624"/>
      <c r="BE1385" s="624"/>
    </row>
    <row r="1386" ht="16.5" customHeight="1">
      <c r="A1386" s="711"/>
      <c r="B1386" s="711"/>
      <c r="C1386" s="711"/>
      <c r="D1386" s="711"/>
      <c r="E1386" s="711"/>
      <c r="F1386" s="711"/>
      <c r="G1386" s="711"/>
      <c r="H1386" s="711"/>
      <c r="I1386" s="711"/>
      <c r="J1386" s="711"/>
      <c r="K1386" s="741"/>
      <c r="L1386" s="741"/>
      <c r="M1386" s="788"/>
      <c r="N1386" s="741"/>
      <c r="O1386" s="741"/>
      <c r="P1386" s="741"/>
      <c r="Q1386" s="741"/>
      <c r="R1386" s="788"/>
      <c r="S1386" s="819"/>
      <c r="T1386" s="820"/>
      <c r="U1386" s="819"/>
      <c r="V1386" s="820"/>
      <c r="W1386" s="788"/>
      <c r="X1386" s="803"/>
      <c r="Y1386" s="803"/>
      <c r="Z1386" s="803"/>
      <c r="AA1386" s="711"/>
      <c r="AB1386" s="711"/>
      <c r="AC1386" s="711"/>
      <c r="AD1386" s="736"/>
      <c r="AE1386" s="736"/>
      <c r="AF1386" s="624"/>
      <c r="AG1386" s="624"/>
      <c r="AH1386" s="624"/>
      <c r="AI1386" s="624"/>
      <c r="AJ1386" s="984"/>
      <c r="AK1386" s="985"/>
      <c r="AL1386" s="986"/>
      <c r="AM1386" s="987"/>
      <c r="AN1386" s="988"/>
      <c r="AO1386" s="986"/>
      <c r="AP1386" s="989"/>
      <c r="AQ1386" s="986"/>
      <c r="AR1386" s="990"/>
      <c r="AS1386" s="624"/>
      <c r="AT1386" s="624"/>
      <c r="AU1386" s="624"/>
      <c r="AV1386" s="624"/>
      <c r="AW1386" s="624"/>
      <c r="AX1386" s="624"/>
      <c r="AY1386" s="624"/>
      <c r="AZ1386" s="624"/>
      <c r="BA1386" s="624"/>
      <c r="BB1386" s="624"/>
      <c r="BC1386" s="624"/>
      <c r="BD1386" s="624"/>
      <c r="BE1386" s="624"/>
    </row>
    <row r="1387" ht="16.5" customHeight="1">
      <c r="A1387" s="711"/>
      <c r="B1387" s="711"/>
      <c r="C1387" s="711"/>
      <c r="D1387" s="711"/>
      <c r="E1387" s="711"/>
      <c r="F1387" s="711"/>
      <c r="G1387" s="711"/>
      <c r="H1387" s="711"/>
      <c r="I1387" s="711"/>
      <c r="J1387" s="711"/>
      <c r="K1387" s="741"/>
      <c r="L1387" s="741"/>
      <c r="M1387" s="788"/>
      <c r="N1387" s="741"/>
      <c r="O1387" s="741"/>
      <c r="P1387" s="741"/>
      <c r="Q1387" s="741"/>
      <c r="R1387" s="788"/>
      <c r="S1387" s="819"/>
      <c r="T1387" s="820"/>
      <c r="U1387" s="819"/>
      <c r="V1387" s="820"/>
      <c r="W1387" s="788"/>
      <c r="X1387" s="803"/>
      <c r="Y1387" s="803"/>
      <c r="Z1387" s="803"/>
      <c r="AA1387" s="711"/>
      <c r="AB1387" s="711"/>
      <c r="AC1387" s="711"/>
      <c r="AD1387" s="736"/>
      <c r="AE1387" s="736"/>
      <c r="AF1387" s="624"/>
      <c r="AG1387" s="624"/>
      <c r="AH1387" s="624"/>
      <c r="AI1387" s="624"/>
      <c r="AJ1387" s="984"/>
      <c r="AK1387" s="985"/>
      <c r="AL1387" s="986"/>
      <c r="AM1387" s="987"/>
      <c r="AN1387" s="988"/>
      <c r="AO1387" s="986"/>
      <c r="AP1387" s="989"/>
      <c r="AQ1387" s="986"/>
      <c r="AR1387" s="990"/>
      <c r="AS1387" s="624"/>
      <c r="AT1387" s="624"/>
      <c r="AU1387" s="624"/>
      <c r="AV1387" s="624"/>
      <c r="AW1387" s="624"/>
      <c r="AX1387" s="624"/>
      <c r="AY1387" s="624"/>
      <c r="AZ1387" s="624"/>
      <c r="BA1387" s="624"/>
      <c r="BB1387" s="624"/>
      <c r="BC1387" s="624"/>
      <c r="BD1387" s="624"/>
      <c r="BE1387" s="624"/>
    </row>
    <row r="1388" ht="16.5" customHeight="1">
      <c r="A1388" s="711"/>
      <c r="B1388" s="711"/>
      <c r="C1388" s="711"/>
      <c r="D1388" s="711"/>
      <c r="E1388" s="711"/>
      <c r="F1388" s="711"/>
      <c r="G1388" s="711"/>
      <c r="H1388" s="711"/>
      <c r="I1388" s="711"/>
      <c r="J1388" s="711"/>
      <c r="K1388" s="741"/>
      <c r="L1388" s="741"/>
      <c r="M1388" s="788"/>
      <c r="N1388" s="741"/>
      <c r="O1388" s="741"/>
      <c r="P1388" s="741"/>
      <c r="Q1388" s="741"/>
      <c r="R1388" s="788"/>
      <c r="S1388" s="819"/>
      <c r="T1388" s="820"/>
      <c r="U1388" s="819"/>
      <c r="V1388" s="820"/>
      <c r="W1388" s="788"/>
      <c r="X1388" s="803"/>
      <c r="Y1388" s="803"/>
      <c r="Z1388" s="803"/>
      <c r="AA1388" s="711"/>
      <c r="AB1388" s="711"/>
      <c r="AC1388" s="711"/>
      <c r="AD1388" s="736"/>
      <c r="AE1388" s="736"/>
      <c r="AF1388" s="624"/>
      <c r="AG1388" s="624"/>
      <c r="AH1388" s="624"/>
      <c r="AI1388" s="624"/>
      <c r="AJ1388" s="984"/>
      <c r="AK1388" s="985"/>
      <c r="AL1388" s="986"/>
      <c r="AM1388" s="987"/>
      <c r="AN1388" s="988"/>
      <c r="AO1388" s="986"/>
      <c r="AP1388" s="989"/>
      <c r="AQ1388" s="986"/>
      <c r="AR1388" s="990"/>
      <c r="AS1388" s="624"/>
      <c r="AT1388" s="624"/>
      <c r="AU1388" s="624"/>
      <c r="AV1388" s="624"/>
      <c r="AW1388" s="624"/>
      <c r="AX1388" s="624"/>
      <c r="AY1388" s="624"/>
      <c r="AZ1388" s="624"/>
      <c r="BA1388" s="624"/>
      <c r="BB1388" s="624"/>
      <c r="BC1388" s="624"/>
      <c r="BD1388" s="624"/>
      <c r="BE1388" s="624"/>
    </row>
    <row r="1389" ht="16.5" customHeight="1">
      <c r="A1389" s="711"/>
      <c r="B1389" s="711"/>
      <c r="C1389" s="711"/>
      <c r="D1389" s="711"/>
      <c r="E1389" s="711"/>
      <c r="F1389" s="711"/>
      <c r="G1389" s="711"/>
      <c r="H1389" s="711"/>
      <c r="I1389" s="711"/>
      <c r="J1389" s="711"/>
      <c r="K1389" s="741"/>
      <c r="L1389" s="741"/>
      <c r="M1389" s="788"/>
      <c r="N1389" s="741"/>
      <c r="O1389" s="741"/>
      <c r="P1389" s="741"/>
      <c r="Q1389" s="741"/>
      <c r="R1389" s="788"/>
      <c r="S1389" s="819"/>
      <c r="T1389" s="820"/>
      <c r="U1389" s="819"/>
      <c r="V1389" s="820"/>
      <c r="W1389" s="788"/>
      <c r="X1389" s="803"/>
      <c r="Y1389" s="803"/>
      <c r="Z1389" s="803"/>
      <c r="AA1389" s="711"/>
      <c r="AB1389" s="711"/>
      <c r="AC1389" s="711"/>
      <c r="AD1389" s="736"/>
      <c r="AE1389" s="736"/>
      <c r="AF1389" s="624"/>
      <c r="AG1389" s="624"/>
      <c r="AH1389" s="624"/>
      <c r="AI1389" s="624"/>
      <c r="AJ1389" s="984"/>
      <c r="AK1389" s="985"/>
      <c r="AL1389" s="986"/>
      <c r="AM1389" s="987"/>
      <c r="AN1389" s="988"/>
      <c r="AO1389" s="986"/>
      <c r="AP1389" s="989"/>
      <c r="AQ1389" s="986"/>
      <c r="AR1389" s="990"/>
      <c r="AS1389" s="624"/>
      <c r="AT1389" s="624"/>
      <c r="AU1389" s="624"/>
      <c r="AV1389" s="624"/>
      <c r="AW1389" s="624"/>
      <c r="AX1389" s="624"/>
      <c r="AY1389" s="624"/>
      <c r="AZ1389" s="624"/>
      <c r="BA1389" s="624"/>
      <c r="BB1389" s="624"/>
      <c r="BC1389" s="624"/>
      <c r="BD1389" s="624"/>
      <c r="BE1389" s="624"/>
    </row>
    <row r="1390" ht="16.5" customHeight="1">
      <c r="A1390" s="711"/>
      <c r="B1390" s="711"/>
      <c r="C1390" s="711"/>
      <c r="D1390" s="711"/>
      <c r="E1390" s="711"/>
      <c r="F1390" s="711"/>
      <c r="G1390" s="711"/>
      <c r="H1390" s="711"/>
      <c r="I1390" s="711"/>
      <c r="J1390" s="711"/>
      <c r="K1390" s="741"/>
      <c r="L1390" s="741"/>
      <c r="M1390" s="788"/>
      <c r="N1390" s="741"/>
      <c r="O1390" s="741"/>
      <c r="P1390" s="741"/>
      <c r="Q1390" s="741"/>
      <c r="R1390" s="788"/>
      <c r="S1390" s="819"/>
      <c r="T1390" s="820"/>
      <c r="U1390" s="819"/>
      <c r="V1390" s="820"/>
      <c r="W1390" s="788"/>
      <c r="X1390" s="803"/>
      <c r="Y1390" s="803"/>
      <c r="Z1390" s="803"/>
      <c r="AA1390" s="711"/>
      <c r="AB1390" s="711"/>
      <c r="AC1390" s="711"/>
      <c r="AD1390" s="736"/>
      <c r="AE1390" s="736"/>
      <c r="AF1390" s="624"/>
      <c r="AG1390" s="624"/>
      <c r="AH1390" s="624"/>
      <c r="AI1390" s="624"/>
      <c r="AJ1390" s="984"/>
      <c r="AK1390" s="985"/>
      <c r="AL1390" s="986"/>
      <c r="AM1390" s="987"/>
      <c r="AN1390" s="988"/>
      <c r="AO1390" s="986"/>
      <c r="AP1390" s="989"/>
      <c r="AQ1390" s="986"/>
      <c r="AR1390" s="990"/>
      <c r="AS1390" s="624"/>
      <c r="AT1390" s="624"/>
      <c r="AU1390" s="624"/>
      <c r="AV1390" s="624"/>
      <c r="AW1390" s="624"/>
      <c r="AX1390" s="624"/>
      <c r="AY1390" s="624"/>
      <c r="AZ1390" s="624"/>
      <c r="BA1390" s="624"/>
      <c r="BB1390" s="624"/>
      <c r="BC1390" s="624"/>
      <c r="BD1390" s="624"/>
      <c r="BE1390" s="624"/>
    </row>
    <row r="1391" ht="16.5" customHeight="1">
      <c r="A1391" s="711"/>
      <c r="B1391" s="711"/>
      <c r="C1391" s="711"/>
      <c r="D1391" s="711"/>
      <c r="E1391" s="711"/>
      <c r="F1391" s="711"/>
      <c r="G1391" s="711"/>
      <c r="H1391" s="711"/>
      <c r="I1391" s="711"/>
      <c r="J1391" s="711"/>
      <c r="K1391" s="741"/>
      <c r="L1391" s="741"/>
      <c r="M1391" s="788"/>
      <c r="N1391" s="741"/>
      <c r="O1391" s="741"/>
      <c r="P1391" s="741"/>
      <c r="Q1391" s="741"/>
      <c r="R1391" s="788"/>
      <c r="S1391" s="819"/>
      <c r="T1391" s="820"/>
      <c r="U1391" s="819"/>
      <c r="V1391" s="820"/>
      <c r="W1391" s="788"/>
      <c r="X1391" s="803"/>
      <c r="Y1391" s="803"/>
      <c r="Z1391" s="803"/>
      <c r="AA1391" s="711"/>
      <c r="AB1391" s="711"/>
      <c r="AC1391" s="711"/>
      <c r="AD1391" s="736"/>
      <c r="AE1391" s="736"/>
      <c r="AF1391" s="624"/>
      <c r="AG1391" s="624"/>
      <c r="AH1391" s="624"/>
      <c r="AI1391" s="624"/>
      <c r="AJ1391" s="984"/>
      <c r="AK1391" s="985"/>
      <c r="AL1391" s="986"/>
      <c r="AM1391" s="987"/>
      <c r="AN1391" s="988"/>
      <c r="AO1391" s="986"/>
      <c r="AP1391" s="989"/>
      <c r="AQ1391" s="986"/>
      <c r="AR1391" s="990"/>
      <c r="AS1391" s="624"/>
      <c r="AT1391" s="624"/>
      <c r="AU1391" s="624"/>
      <c r="AV1391" s="624"/>
      <c r="AW1391" s="624"/>
      <c r="AX1391" s="624"/>
      <c r="AY1391" s="624"/>
      <c r="AZ1391" s="624"/>
      <c r="BA1391" s="624"/>
      <c r="BB1391" s="624"/>
      <c r="BC1391" s="624"/>
      <c r="BD1391" s="624"/>
      <c r="BE1391" s="624"/>
    </row>
    <row r="1392" ht="16.5" customHeight="1">
      <c r="A1392" s="711"/>
      <c r="B1392" s="711"/>
      <c r="C1392" s="711"/>
      <c r="D1392" s="711"/>
      <c r="E1392" s="711"/>
      <c r="F1392" s="711"/>
      <c r="G1392" s="711"/>
      <c r="H1392" s="711"/>
      <c r="I1392" s="711"/>
      <c r="J1392" s="711"/>
      <c r="K1392" s="741"/>
      <c r="L1392" s="741"/>
      <c r="M1392" s="788"/>
      <c r="N1392" s="741"/>
      <c r="O1392" s="741"/>
      <c r="P1392" s="741"/>
      <c r="Q1392" s="741"/>
      <c r="R1392" s="788"/>
      <c r="S1392" s="819"/>
      <c r="T1392" s="820"/>
      <c r="U1392" s="819"/>
      <c r="V1392" s="820"/>
      <c r="W1392" s="788"/>
      <c r="X1392" s="803"/>
      <c r="Y1392" s="803"/>
      <c r="Z1392" s="803"/>
      <c r="AA1392" s="711"/>
      <c r="AB1392" s="711"/>
      <c r="AC1392" s="711"/>
      <c r="AD1392" s="736"/>
      <c r="AE1392" s="736"/>
      <c r="AF1392" s="624"/>
      <c r="AG1392" s="624"/>
      <c r="AH1392" s="624"/>
      <c r="AI1392" s="624"/>
      <c r="AJ1392" s="984"/>
      <c r="AK1392" s="985"/>
      <c r="AL1392" s="986"/>
      <c r="AM1392" s="987"/>
      <c r="AN1392" s="988"/>
      <c r="AO1392" s="986"/>
      <c r="AP1392" s="989"/>
      <c r="AQ1392" s="986"/>
      <c r="AR1392" s="990"/>
      <c r="AS1392" s="624"/>
      <c r="AT1392" s="624"/>
      <c r="AU1392" s="624"/>
      <c r="AV1392" s="624"/>
      <c r="AW1392" s="624"/>
      <c r="AX1392" s="624"/>
      <c r="AY1392" s="624"/>
      <c r="AZ1392" s="624"/>
      <c r="BA1392" s="624"/>
      <c r="BB1392" s="624"/>
      <c r="BC1392" s="624"/>
      <c r="BD1392" s="624"/>
      <c r="BE1392" s="624"/>
    </row>
    <row r="1393" ht="16.5" customHeight="1">
      <c r="A1393" s="711"/>
      <c r="B1393" s="711"/>
      <c r="C1393" s="711"/>
      <c r="D1393" s="711"/>
      <c r="E1393" s="711"/>
      <c r="F1393" s="711"/>
      <c r="G1393" s="711"/>
      <c r="H1393" s="711"/>
      <c r="I1393" s="711"/>
      <c r="J1393" s="711"/>
      <c r="K1393" s="741"/>
      <c r="L1393" s="741"/>
      <c r="M1393" s="788"/>
      <c r="N1393" s="741"/>
      <c r="O1393" s="741"/>
      <c r="P1393" s="741"/>
      <c r="Q1393" s="741"/>
      <c r="R1393" s="788"/>
      <c r="S1393" s="819"/>
      <c r="T1393" s="820"/>
      <c r="U1393" s="819"/>
      <c r="V1393" s="820"/>
      <c r="W1393" s="788"/>
      <c r="X1393" s="803"/>
      <c r="Y1393" s="803"/>
      <c r="Z1393" s="803"/>
      <c r="AA1393" s="711"/>
      <c r="AB1393" s="711"/>
      <c r="AC1393" s="711"/>
      <c r="AD1393" s="736"/>
      <c r="AE1393" s="736"/>
      <c r="AF1393" s="624"/>
      <c r="AG1393" s="624"/>
      <c r="AH1393" s="624"/>
      <c r="AI1393" s="624"/>
      <c r="AJ1393" s="984"/>
      <c r="AK1393" s="985"/>
      <c r="AL1393" s="986"/>
      <c r="AM1393" s="987"/>
      <c r="AN1393" s="988"/>
      <c r="AO1393" s="986"/>
      <c r="AP1393" s="989"/>
      <c r="AQ1393" s="986"/>
      <c r="AR1393" s="990"/>
      <c r="AS1393" s="624"/>
      <c r="AT1393" s="624"/>
      <c r="AU1393" s="624"/>
      <c r="AV1393" s="624"/>
      <c r="AW1393" s="624"/>
      <c r="AX1393" s="624"/>
      <c r="AY1393" s="624"/>
      <c r="AZ1393" s="624"/>
      <c r="BA1393" s="624"/>
      <c r="BB1393" s="624"/>
      <c r="BC1393" s="624"/>
      <c r="BD1393" s="624"/>
      <c r="BE1393" s="624"/>
    </row>
    <row r="1394" ht="16.5" customHeight="1">
      <c r="A1394" s="711"/>
      <c r="B1394" s="711"/>
      <c r="C1394" s="711"/>
      <c r="D1394" s="711"/>
      <c r="E1394" s="711"/>
      <c r="F1394" s="711"/>
      <c r="G1394" s="711"/>
      <c r="H1394" s="711"/>
      <c r="I1394" s="711"/>
      <c r="J1394" s="711"/>
      <c r="K1394" s="741"/>
      <c r="L1394" s="741"/>
      <c r="M1394" s="788"/>
      <c r="N1394" s="741"/>
      <c r="O1394" s="741"/>
      <c r="P1394" s="741"/>
      <c r="Q1394" s="741"/>
      <c r="R1394" s="788"/>
      <c r="S1394" s="819"/>
      <c r="T1394" s="820"/>
      <c r="U1394" s="819"/>
      <c r="V1394" s="820"/>
      <c r="W1394" s="788"/>
      <c r="X1394" s="803"/>
      <c r="Y1394" s="803"/>
      <c r="Z1394" s="803"/>
      <c r="AA1394" s="711"/>
      <c r="AB1394" s="711"/>
      <c r="AC1394" s="711"/>
      <c r="AD1394" s="736"/>
      <c r="AE1394" s="736"/>
      <c r="AF1394" s="624"/>
      <c r="AG1394" s="624"/>
      <c r="AH1394" s="624"/>
      <c r="AI1394" s="624"/>
      <c r="AJ1394" s="984"/>
      <c r="AK1394" s="985"/>
      <c r="AL1394" s="986"/>
      <c r="AM1394" s="987"/>
      <c r="AN1394" s="988"/>
      <c r="AO1394" s="986"/>
      <c r="AP1394" s="989"/>
      <c r="AQ1394" s="986"/>
      <c r="AR1394" s="990"/>
      <c r="AS1394" s="624"/>
      <c r="AT1394" s="624"/>
      <c r="AU1394" s="624"/>
      <c r="AV1394" s="624"/>
      <c r="AW1394" s="624"/>
      <c r="AX1394" s="624"/>
      <c r="AY1394" s="624"/>
      <c r="AZ1394" s="624"/>
      <c r="BA1394" s="624"/>
      <c r="BB1394" s="624"/>
      <c r="BC1394" s="624"/>
      <c r="BD1394" s="624"/>
      <c r="BE1394" s="624"/>
    </row>
    <row r="1395" ht="16.5" customHeight="1">
      <c r="A1395" s="711"/>
      <c r="B1395" s="711"/>
      <c r="C1395" s="711"/>
      <c r="D1395" s="711"/>
      <c r="E1395" s="711"/>
      <c r="F1395" s="711"/>
      <c r="G1395" s="711"/>
      <c r="H1395" s="711"/>
      <c r="I1395" s="711"/>
      <c r="J1395" s="711"/>
      <c r="K1395" s="741"/>
      <c r="L1395" s="741"/>
      <c r="M1395" s="788"/>
      <c r="N1395" s="741"/>
      <c r="O1395" s="741"/>
      <c r="P1395" s="741"/>
      <c r="Q1395" s="741"/>
      <c r="R1395" s="788"/>
      <c r="S1395" s="819"/>
      <c r="T1395" s="820"/>
      <c r="U1395" s="819"/>
      <c r="V1395" s="820"/>
      <c r="W1395" s="788"/>
      <c r="X1395" s="803"/>
      <c r="Y1395" s="803"/>
      <c r="Z1395" s="803"/>
      <c r="AA1395" s="711"/>
      <c r="AB1395" s="711"/>
      <c r="AC1395" s="711"/>
      <c r="AD1395" s="736"/>
      <c r="AE1395" s="736"/>
      <c r="AF1395" s="624"/>
      <c r="AG1395" s="624"/>
      <c r="AH1395" s="624"/>
      <c r="AI1395" s="624"/>
      <c r="AJ1395" s="984"/>
      <c r="AK1395" s="985"/>
      <c r="AL1395" s="986"/>
      <c r="AM1395" s="987"/>
      <c r="AN1395" s="988"/>
      <c r="AO1395" s="986"/>
      <c r="AP1395" s="989"/>
      <c r="AQ1395" s="986"/>
      <c r="AR1395" s="990"/>
      <c r="AS1395" s="624"/>
      <c r="AT1395" s="624"/>
      <c r="AU1395" s="624"/>
      <c r="AV1395" s="624"/>
      <c r="AW1395" s="624"/>
      <c r="AX1395" s="624"/>
      <c r="AY1395" s="624"/>
      <c r="AZ1395" s="624"/>
      <c r="BA1395" s="624"/>
      <c r="BB1395" s="624"/>
      <c r="BC1395" s="624"/>
      <c r="BD1395" s="624"/>
      <c r="BE1395" s="624"/>
    </row>
    <row r="1396" ht="16.5" customHeight="1">
      <c r="A1396" s="711"/>
      <c r="B1396" s="711"/>
      <c r="C1396" s="711"/>
      <c r="D1396" s="711"/>
      <c r="E1396" s="711"/>
      <c r="F1396" s="711"/>
      <c r="G1396" s="711"/>
      <c r="H1396" s="711"/>
      <c r="I1396" s="711"/>
      <c r="J1396" s="711"/>
      <c r="K1396" s="741"/>
      <c r="L1396" s="741"/>
      <c r="M1396" s="788"/>
      <c r="N1396" s="741"/>
      <c r="O1396" s="741"/>
      <c r="P1396" s="741"/>
      <c r="Q1396" s="741"/>
      <c r="R1396" s="788"/>
      <c r="S1396" s="819"/>
      <c r="T1396" s="820"/>
      <c r="U1396" s="819"/>
      <c r="V1396" s="820"/>
      <c r="W1396" s="788"/>
      <c r="X1396" s="803"/>
      <c r="Y1396" s="803"/>
      <c r="Z1396" s="803"/>
      <c r="AA1396" s="711"/>
      <c r="AB1396" s="711"/>
      <c r="AC1396" s="711"/>
      <c r="AD1396" s="736"/>
      <c r="AE1396" s="736"/>
      <c r="AF1396" s="624"/>
      <c r="AG1396" s="624"/>
      <c r="AH1396" s="624"/>
      <c r="AI1396" s="624"/>
      <c r="AJ1396" s="984"/>
      <c r="AK1396" s="985"/>
      <c r="AL1396" s="986"/>
      <c r="AM1396" s="987"/>
      <c r="AN1396" s="988"/>
      <c r="AO1396" s="986"/>
      <c r="AP1396" s="989"/>
      <c r="AQ1396" s="986"/>
      <c r="AR1396" s="990"/>
      <c r="AS1396" s="624"/>
      <c r="AT1396" s="624"/>
      <c r="AU1396" s="624"/>
      <c r="AV1396" s="624"/>
      <c r="AW1396" s="624"/>
      <c r="AX1396" s="624"/>
      <c r="AY1396" s="624"/>
      <c r="AZ1396" s="624"/>
      <c r="BA1396" s="624"/>
      <c r="BB1396" s="624"/>
      <c r="BC1396" s="624"/>
      <c r="BD1396" s="624"/>
      <c r="BE1396" s="624"/>
    </row>
    <row r="1397" ht="16.5" customHeight="1">
      <c r="A1397" s="711"/>
      <c r="B1397" s="711"/>
      <c r="C1397" s="711"/>
      <c r="D1397" s="711"/>
      <c r="E1397" s="711"/>
      <c r="F1397" s="711"/>
      <c r="G1397" s="711"/>
      <c r="H1397" s="711"/>
      <c r="I1397" s="711"/>
      <c r="J1397" s="711"/>
      <c r="K1397" s="741"/>
      <c r="L1397" s="741"/>
      <c r="M1397" s="788"/>
      <c r="N1397" s="741"/>
      <c r="O1397" s="741"/>
      <c r="P1397" s="741"/>
      <c r="Q1397" s="741"/>
      <c r="R1397" s="788"/>
      <c r="S1397" s="819"/>
      <c r="T1397" s="820"/>
      <c r="U1397" s="819"/>
      <c r="V1397" s="820"/>
      <c r="W1397" s="788"/>
      <c r="X1397" s="803"/>
      <c r="Y1397" s="803"/>
      <c r="Z1397" s="803"/>
      <c r="AA1397" s="711"/>
      <c r="AB1397" s="711"/>
      <c r="AC1397" s="711"/>
      <c r="AD1397" s="736"/>
      <c r="AE1397" s="736"/>
      <c r="AF1397" s="624"/>
      <c r="AG1397" s="624"/>
      <c r="AH1397" s="624"/>
      <c r="AI1397" s="624"/>
      <c r="AJ1397" s="984"/>
      <c r="AK1397" s="985"/>
      <c r="AL1397" s="986"/>
      <c r="AM1397" s="987"/>
      <c r="AN1397" s="988"/>
      <c r="AO1397" s="986"/>
      <c r="AP1397" s="989"/>
      <c r="AQ1397" s="986"/>
      <c r="AR1397" s="990"/>
      <c r="AS1397" s="624"/>
      <c r="AT1397" s="624"/>
      <c r="AU1397" s="624"/>
      <c r="AV1397" s="624"/>
      <c r="AW1397" s="624"/>
      <c r="AX1397" s="624"/>
      <c r="AY1397" s="624"/>
      <c r="AZ1397" s="624"/>
      <c r="BA1397" s="624"/>
      <c r="BB1397" s="624"/>
      <c r="BC1397" s="624"/>
      <c r="BD1397" s="624"/>
      <c r="BE1397" s="624"/>
    </row>
    <row r="1398" ht="16.5" customHeight="1">
      <c r="A1398" s="711"/>
      <c r="B1398" s="711"/>
      <c r="C1398" s="711"/>
      <c r="D1398" s="711"/>
      <c r="E1398" s="711"/>
      <c r="F1398" s="711"/>
      <c r="G1398" s="711"/>
      <c r="H1398" s="711"/>
      <c r="I1398" s="711"/>
      <c r="J1398" s="711"/>
      <c r="K1398" s="741"/>
      <c r="L1398" s="741"/>
      <c r="M1398" s="788"/>
      <c r="N1398" s="741"/>
      <c r="O1398" s="741"/>
      <c r="P1398" s="741"/>
      <c r="Q1398" s="741"/>
      <c r="R1398" s="788"/>
      <c r="S1398" s="819"/>
      <c r="T1398" s="820"/>
      <c r="U1398" s="819"/>
      <c r="V1398" s="820"/>
      <c r="W1398" s="788"/>
      <c r="X1398" s="803"/>
      <c r="Y1398" s="803"/>
      <c r="Z1398" s="803"/>
      <c r="AA1398" s="711"/>
      <c r="AB1398" s="711"/>
      <c r="AC1398" s="711"/>
      <c r="AD1398" s="736"/>
      <c r="AE1398" s="736"/>
      <c r="AF1398" s="624"/>
      <c r="AG1398" s="624"/>
      <c r="AH1398" s="624"/>
      <c r="AI1398" s="624"/>
      <c r="AJ1398" s="984"/>
      <c r="AK1398" s="985"/>
      <c r="AL1398" s="986"/>
      <c r="AM1398" s="987"/>
      <c r="AN1398" s="988"/>
      <c r="AO1398" s="986"/>
      <c r="AP1398" s="989"/>
      <c r="AQ1398" s="986"/>
      <c r="AR1398" s="990"/>
      <c r="AS1398" s="624"/>
      <c r="AT1398" s="624"/>
      <c r="AU1398" s="624"/>
      <c r="AV1398" s="624"/>
      <c r="AW1398" s="624"/>
      <c r="AX1398" s="624"/>
      <c r="AY1398" s="624"/>
      <c r="AZ1398" s="624"/>
      <c r="BA1398" s="624"/>
      <c r="BB1398" s="624"/>
      <c r="BC1398" s="624"/>
      <c r="BD1398" s="624"/>
      <c r="BE1398" s="624"/>
    </row>
    <row r="1399" ht="16.5" customHeight="1">
      <c r="A1399" s="711"/>
      <c r="B1399" s="711"/>
      <c r="C1399" s="711"/>
      <c r="D1399" s="711"/>
      <c r="E1399" s="711"/>
      <c r="F1399" s="711"/>
      <c r="G1399" s="711"/>
      <c r="H1399" s="711"/>
      <c r="I1399" s="711"/>
      <c r="J1399" s="711"/>
      <c r="K1399" s="741"/>
      <c r="L1399" s="741"/>
      <c r="M1399" s="788"/>
      <c r="N1399" s="741"/>
      <c r="O1399" s="741"/>
      <c r="P1399" s="741"/>
      <c r="Q1399" s="741"/>
      <c r="R1399" s="788"/>
      <c r="S1399" s="819"/>
      <c r="T1399" s="820"/>
      <c r="U1399" s="819"/>
      <c r="V1399" s="820"/>
      <c r="W1399" s="788"/>
      <c r="X1399" s="803"/>
      <c r="Y1399" s="803"/>
      <c r="Z1399" s="803"/>
      <c r="AA1399" s="711"/>
      <c r="AB1399" s="711"/>
      <c r="AC1399" s="711"/>
      <c r="AD1399" s="736"/>
      <c r="AE1399" s="736"/>
      <c r="AF1399" s="624"/>
      <c r="AG1399" s="624"/>
      <c r="AH1399" s="624"/>
      <c r="AI1399" s="624"/>
      <c r="AJ1399" s="984"/>
      <c r="AK1399" s="985"/>
      <c r="AL1399" s="986"/>
      <c r="AM1399" s="987"/>
      <c r="AN1399" s="988"/>
      <c r="AO1399" s="986"/>
      <c r="AP1399" s="989"/>
      <c r="AQ1399" s="986"/>
      <c r="AR1399" s="990"/>
      <c r="AS1399" s="624"/>
      <c r="AT1399" s="624"/>
      <c r="AU1399" s="624"/>
      <c r="AV1399" s="624"/>
      <c r="AW1399" s="624"/>
      <c r="AX1399" s="624"/>
      <c r="AY1399" s="624"/>
      <c r="AZ1399" s="624"/>
      <c r="BA1399" s="624"/>
      <c r="BB1399" s="624"/>
      <c r="BC1399" s="624"/>
      <c r="BD1399" s="624"/>
      <c r="BE1399" s="624"/>
    </row>
    <row r="1400" ht="16.5" customHeight="1">
      <c r="A1400" s="711"/>
      <c r="B1400" s="711"/>
      <c r="C1400" s="711"/>
      <c r="D1400" s="711"/>
      <c r="E1400" s="711"/>
      <c r="F1400" s="711"/>
      <c r="G1400" s="711"/>
      <c r="H1400" s="711"/>
      <c r="I1400" s="711"/>
      <c r="J1400" s="711"/>
      <c r="K1400" s="741"/>
      <c r="L1400" s="741"/>
      <c r="M1400" s="788"/>
      <c r="N1400" s="741"/>
      <c r="O1400" s="741"/>
      <c r="P1400" s="741"/>
      <c r="Q1400" s="741"/>
      <c r="R1400" s="788"/>
      <c r="S1400" s="819"/>
      <c r="T1400" s="820"/>
      <c r="U1400" s="819"/>
      <c r="V1400" s="820"/>
      <c r="W1400" s="788"/>
      <c r="X1400" s="803"/>
      <c r="Y1400" s="803"/>
      <c r="Z1400" s="803"/>
      <c r="AA1400" s="711"/>
      <c r="AB1400" s="711"/>
      <c r="AC1400" s="711"/>
      <c r="AD1400" s="736"/>
      <c r="AE1400" s="736"/>
      <c r="AF1400" s="624"/>
      <c r="AG1400" s="624"/>
      <c r="AH1400" s="624"/>
      <c r="AI1400" s="624"/>
      <c r="AJ1400" s="984"/>
      <c r="AK1400" s="985"/>
      <c r="AL1400" s="986"/>
      <c r="AM1400" s="987"/>
      <c r="AN1400" s="988"/>
      <c r="AO1400" s="986"/>
      <c r="AP1400" s="989"/>
      <c r="AQ1400" s="986"/>
      <c r="AR1400" s="990"/>
      <c r="AS1400" s="624"/>
      <c r="AT1400" s="624"/>
      <c r="AU1400" s="624"/>
      <c r="AV1400" s="624"/>
      <c r="AW1400" s="624"/>
      <c r="AX1400" s="624"/>
      <c r="AY1400" s="624"/>
      <c r="AZ1400" s="624"/>
      <c r="BA1400" s="624"/>
      <c r="BB1400" s="624"/>
      <c r="BC1400" s="624"/>
      <c r="BD1400" s="624"/>
      <c r="BE1400" s="624"/>
    </row>
    <row r="1401" ht="16.5" customHeight="1">
      <c r="A1401" s="711"/>
      <c r="B1401" s="711"/>
      <c r="C1401" s="711"/>
      <c r="D1401" s="711"/>
      <c r="E1401" s="711"/>
      <c r="F1401" s="711"/>
      <c r="G1401" s="711"/>
      <c r="H1401" s="711"/>
      <c r="I1401" s="711"/>
      <c r="J1401" s="711"/>
      <c r="K1401" s="741"/>
      <c r="L1401" s="741"/>
      <c r="M1401" s="788"/>
      <c r="N1401" s="741"/>
      <c r="O1401" s="741"/>
      <c r="P1401" s="741"/>
      <c r="Q1401" s="741"/>
      <c r="R1401" s="788"/>
      <c r="S1401" s="819"/>
      <c r="T1401" s="820"/>
      <c r="U1401" s="819"/>
      <c r="V1401" s="820"/>
      <c r="W1401" s="788"/>
      <c r="X1401" s="803"/>
      <c r="Y1401" s="803"/>
      <c r="Z1401" s="803"/>
      <c r="AA1401" s="711"/>
      <c r="AB1401" s="711"/>
      <c r="AC1401" s="711"/>
      <c r="AD1401" s="736"/>
      <c r="AE1401" s="736"/>
      <c r="AF1401" s="624"/>
      <c r="AG1401" s="624"/>
      <c r="AH1401" s="624"/>
      <c r="AI1401" s="624"/>
      <c r="AJ1401" s="984"/>
      <c r="AK1401" s="985"/>
      <c r="AL1401" s="986"/>
      <c r="AM1401" s="987"/>
      <c r="AN1401" s="988"/>
      <c r="AO1401" s="986"/>
      <c r="AP1401" s="989"/>
      <c r="AQ1401" s="986"/>
      <c r="AR1401" s="990"/>
      <c r="AS1401" s="624"/>
      <c r="AT1401" s="624"/>
      <c r="AU1401" s="624"/>
      <c r="AV1401" s="624"/>
      <c r="AW1401" s="624"/>
      <c r="AX1401" s="624"/>
      <c r="AY1401" s="624"/>
      <c r="AZ1401" s="624"/>
      <c r="BA1401" s="624"/>
      <c r="BB1401" s="624"/>
      <c r="BC1401" s="624"/>
      <c r="BD1401" s="624"/>
      <c r="BE1401" s="624"/>
    </row>
    <row r="1402" ht="16.5" customHeight="1">
      <c r="A1402" s="711"/>
      <c r="B1402" s="711"/>
      <c r="C1402" s="711"/>
      <c r="D1402" s="711"/>
      <c r="E1402" s="711"/>
      <c r="F1402" s="711"/>
      <c r="G1402" s="711"/>
      <c r="H1402" s="711"/>
      <c r="I1402" s="711"/>
      <c r="J1402" s="711"/>
      <c r="K1402" s="741"/>
      <c r="L1402" s="741"/>
      <c r="M1402" s="788"/>
      <c r="N1402" s="741"/>
      <c r="O1402" s="741"/>
      <c r="P1402" s="741"/>
      <c r="Q1402" s="741"/>
      <c r="R1402" s="788"/>
      <c r="S1402" s="819"/>
      <c r="T1402" s="820"/>
      <c r="U1402" s="819"/>
      <c r="V1402" s="820"/>
      <c r="W1402" s="788"/>
      <c r="X1402" s="803"/>
      <c r="Y1402" s="803"/>
      <c r="Z1402" s="803"/>
      <c r="AA1402" s="711"/>
      <c r="AB1402" s="711"/>
      <c r="AC1402" s="711"/>
      <c r="AD1402" s="736"/>
      <c r="AE1402" s="736"/>
      <c r="AF1402" s="624"/>
      <c r="AG1402" s="624"/>
      <c r="AH1402" s="624"/>
      <c r="AI1402" s="624"/>
      <c r="AJ1402" s="984"/>
      <c r="AK1402" s="985"/>
      <c r="AL1402" s="986"/>
      <c r="AM1402" s="987"/>
      <c r="AN1402" s="988"/>
      <c r="AO1402" s="986"/>
      <c r="AP1402" s="989"/>
      <c r="AQ1402" s="986"/>
      <c r="AR1402" s="990"/>
      <c r="AS1402" s="624"/>
      <c r="AT1402" s="624"/>
      <c r="AU1402" s="624"/>
      <c r="AV1402" s="624"/>
      <c r="AW1402" s="624"/>
      <c r="AX1402" s="624"/>
      <c r="AY1402" s="624"/>
      <c r="AZ1402" s="624"/>
      <c r="BA1402" s="624"/>
      <c r="BB1402" s="624"/>
      <c r="BC1402" s="624"/>
      <c r="BD1402" s="624"/>
      <c r="BE1402" s="624"/>
    </row>
    <row r="1403" ht="16.5" customHeight="1">
      <c r="A1403" s="711"/>
      <c r="B1403" s="711"/>
      <c r="C1403" s="711"/>
      <c r="D1403" s="711"/>
      <c r="E1403" s="711"/>
      <c r="F1403" s="711"/>
      <c r="G1403" s="711"/>
      <c r="H1403" s="711"/>
      <c r="I1403" s="711"/>
      <c r="J1403" s="711"/>
      <c r="K1403" s="741"/>
      <c r="L1403" s="741"/>
      <c r="M1403" s="788"/>
      <c r="N1403" s="741"/>
      <c r="O1403" s="741"/>
      <c r="P1403" s="741"/>
      <c r="Q1403" s="741"/>
      <c r="R1403" s="788"/>
      <c r="S1403" s="819"/>
      <c r="T1403" s="820"/>
      <c r="U1403" s="819"/>
      <c r="V1403" s="820"/>
      <c r="W1403" s="788"/>
      <c r="X1403" s="803"/>
      <c r="Y1403" s="803"/>
      <c r="Z1403" s="803"/>
      <c r="AA1403" s="711"/>
      <c r="AB1403" s="711"/>
      <c r="AC1403" s="711"/>
      <c r="AD1403" s="736"/>
      <c r="AE1403" s="736"/>
      <c r="AF1403" s="624"/>
      <c r="AG1403" s="624"/>
      <c r="AH1403" s="624"/>
      <c r="AI1403" s="624"/>
      <c r="AJ1403" s="984"/>
      <c r="AK1403" s="985"/>
      <c r="AL1403" s="986"/>
      <c r="AM1403" s="987"/>
      <c r="AN1403" s="988"/>
      <c r="AO1403" s="986"/>
      <c r="AP1403" s="989"/>
      <c r="AQ1403" s="986"/>
      <c r="AR1403" s="990"/>
      <c r="AS1403" s="624"/>
      <c r="AT1403" s="624"/>
      <c r="AU1403" s="624"/>
      <c r="AV1403" s="624"/>
      <c r="AW1403" s="624"/>
      <c r="AX1403" s="624"/>
      <c r="AY1403" s="624"/>
      <c r="AZ1403" s="624"/>
      <c r="BA1403" s="624"/>
      <c r="BB1403" s="624"/>
      <c r="BC1403" s="624"/>
      <c r="BD1403" s="624"/>
      <c r="BE1403" s="624"/>
    </row>
    <row r="1404" ht="16.5" customHeight="1">
      <c r="A1404" s="711"/>
      <c r="B1404" s="711"/>
      <c r="C1404" s="711"/>
      <c r="D1404" s="711"/>
      <c r="E1404" s="711"/>
      <c r="F1404" s="711"/>
      <c r="G1404" s="711"/>
      <c r="H1404" s="711"/>
      <c r="I1404" s="711"/>
      <c r="J1404" s="711"/>
      <c r="K1404" s="741"/>
      <c r="L1404" s="741"/>
      <c r="M1404" s="788"/>
      <c r="N1404" s="741"/>
      <c r="O1404" s="741"/>
      <c r="P1404" s="741"/>
      <c r="Q1404" s="741"/>
      <c r="R1404" s="788"/>
      <c r="S1404" s="819"/>
      <c r="T1404" s="820"/>
      <c r="U1404" s="819"/>
      <c r="V1404" s="820"/>
      <c r="W1404" s="788"/>
      <c r="X1404" s="803"/>
      <c r="Y1404" s="803"/>
      <c r="Z1404" s="803"/>
      <c r="AA1404" s="711"/>
      <c r="AB1404" s="711"/>
      <c r="AC1404" s="711"/>
      <c r="AD1404" s="736"/>
      <c r="AE1404" s="736"/>
      <c r="AF1404" s="624"/>
      <c r="AG1404" s="624"/>
      <c r="AH1404" s="624"/>
      <c r="AI1404" s="624"/>
      <c r="AJ1404" s="984"/>
      <c r="AK1404" s="985"/>
      <c r="AL1404" s="986"/>
      <c r="AM1404" s="987"/>
      <c r="AN1404" s="988"/>
      <c r="AO1404" s="986"/>
      <c r="AP1404" s="989"/>
      <c r="AQ1404" s="986"/>
      <c r="AR1404" s="990"/>
      <c r="AS1404" s="624"/>
      <c r="AT1404" s="624"/>
      <c r="AU1404" s="624"/>
      <c r="AV1404" s="624"/>
      <c r="AW1404" s="624"/>
      <c r="AX1404" s="624"/>
      <c r="AY1404" s="624"/>
      <c r="AZ1404" s="624"/>
      <c r="BA1404" s="624"/>
      <c r="BB1404" s="624"/>
      <c r="BC1404" s="624"/>
      <c r="BD1404" s="624"/>
      <c r="BE1404" s="624"/>
    </row>
    <row r="1405" ht="16.5" customHeight="1">
      <c r="A1405" s="711"/>
      <c r="B1405" s="711"/>
      <c r="C1405" s="711"/>
      <c r="D1405" s="711"/>
      <c r="E1405" s="711"/>
      <c r="F1405" s="711"/>
      <c r="G1405" s="711"/>
      <c r="H1405" s="711"/>
      <c r="I1405" s="711"/>
      <c r="J1405" s="711"/>
      <c r="K1405" s="741"/>
      <c r="L1405" s="741"/>
      <c r="M1405" s="788"/>
      <c r="N1405" s="741"/>
      <c r="O1405" s="741"/>
      <c r="P1405" s="741"/>
      <c r="Q1405" s="741"/>
      <c r="R1405" s="788"/>
      <c r="S1405" s="819"/>
      <c r="T1405" s="820"/>
      <c r="U1405" s="819"/>
      <c r="V1405" s="820"/>
      <c r="W1405" s="788"/>
      <c r="X1405" s="803"/>
      <c r="Y1405" s="803"/>
      <c r="Z1405" s="803"/>
      <c r="AA1405" s="711"/>
      <c r="AB1405" s="711"/>
      <c r="AC1405" s="711"/>
      <c r="AD1405" s="736"/>
      <c r="AE1405" s="736"/>
      <c r="AF1405" s="624"/>
      <c r="AG1405" s="624"/>
      <c r="AH1405" s="624"/>
      <c r="AI1405" s="624"/>
      <c r="AJ1405" s="984"/>
      <c r="AK1405" s="985"/>
      <c r="AL1405" s="986"/>
      <c r="AM1405" s="987"/>
      <c r="AN1405" s="988"/>
      <c r="AO1405" s="986"/>
      <c r="AP1405" s="989"/>
      <c r="AQ1405" s="986"/>
      <c r="AR1405" s="990"/>
      <c r="AS1405" s="624"/>
      <c r="AT1405" s="624"/>
      <c r="AU1405" s="624"/>
      <c r="AV1405" s="624"/>
      <c r="AW1405" s="624"/>
      <c r="AX1405" s="624"/>
      <c r="AY1405" s="624"/>
      <c r="AZ1405" s="624"/>
      <c r="BA1405" s="624"/>
      <c r="BB1405" s="624"/>
      <c r="BC1405" s="624"/>
      <c r="BD1405" s="624"/>
      <c r="BE1405" s="624"/>
    </row>
    <row r="1406" ht="16.5" customHeight="1">
      <c r="A1406" s="711"/>
      <c r="B1406" s="711"/>
      <c r="C1406" s="711"/>
      <c r="D1406" s="711"/>
      <c r="E1406" s="711"/>
      <c r="F1406" s="711"/>
      <c r="G1406" s="711"/>
      <c r="H1406" s="711"/>
      <c r="I1406" s="711"/>
      <c r="J1406" s="711"/>
      <c r="K1406" s="741"/>
      <c r="L1406" s="741"/>
      <c r="M1406" s="788"/>
      <c r="N1406" s="741"/>
      <c r="O1406" s="741"/>
      <c r="P1406" s="741"/>
      <c r="Q1406" s="741"/>
      <c r="R1406" s="788"/>
      <c r="S1406" s="819"/>
      <c r="T1406" s="820"/>
      <c r="U1406" s="819"/>
      <c r="V1406" s="820"/>
      <c r="W1406" s="788"/>
      <c r="X1406" s="803"/>
      <c r="Y1406" s="803"/>
      <c r="Z1406" s="803"/>
      <c r="AA1406" s="711"/>
      <c r="AB1406" s="711"/>
      <c r="AC1406" s="711"/>
      <c r="AD1406" s="736"/>
      <c r="AE1406" s="736"/>
      <c r="AF1406" s="624"/>
      <c r="AG1406" s="624"/>
      <c r="AH1406" s="624"/>
      <c r="AI1406" s="624"/>
      <c r="AJ1406" s="984"/>
      <c r="AK1406" s="985"/>
      <c r="AL1406" s="986"/>
      <c r="AM1406" s="987"/>
      <c r="AN1406" s="988"/>
      <c r="AO1406" s="986"/>
      <c r="AP1406" s="989"/>
      <c r="AQ1406" s="986"/>
      <c r="AR1406" s="990"/>
      <c r="AS1406" s="624"/>
      <c r="AT1406" s="624"/>
      <c r="AU1406" s="624"/>
      <c r="AV1406" s="624"/>
      <c r="AW1406" s="624"/>
      <c r="AX1406" s="624"/>
      <c r="AY1406" s="624"/>
      <c r="AZ1406" s="624"/>
      <c r="BA1406" s="624"/>
      <c r="BB1406" s="624"/>
      <c r="BC1406" s="624"/>
      <c r="BD1406" s="624"/>
      <c r="BE1406" s="624"/>
    </row>
    <row r="1407" ht="16.5" customHeight="1">
      <c r="A1407" s="711"/>
      <c r="B1407" s="711"/>
      <c r="C1407" s="711"/>
      <c r="D1407" s="711"/>
      <c r="E1407" s="711"/>
      <c r="F1407" s="711"/>
      <c r="G1407" s="711"/>
      <c r="H1407" s="711"/>
      <c r="I1407" s="711"/>
      <c r="J1407" s="711"/>
      <c r="K1407" s="741"/>
      <c r="L1407" s="741"/>
      <c r="M1407" s="788"/>
      <c r="N1407" s="741"/>
      <c r="O1407" s="741"/>
      <c r="P1407" s="741"/>
      <c r="Q1407" s="741"/>
      <c r="R1407" s="788"/>
      <c r="S1407" s="819"/>
      <c r="T1407" s="820"/>
      <c r="U1407" s="819"/>
      <c r="V1407" s="820"/>
      <c r="W1407" s="788"/>
      <c r="X1407" s="803"/>
      <c r="Y1407" s="803"/>
      <c r="Z1407" s="803"/>
      <c r="AA1407" s="711"/>
      <c r="AB1407" s="711"/>
      <c r="AC1407" s="711"/>
      <c r="AD1407" s="736"/>
      <c r="AE1407" s="736"/>
      <c r="AF1407" s="624"/>
      <c r="AG1407" s="624"/>
      <c r="AH1407" s="624"/>
      <c r="AI1407" s="624"/>
      <c r="AJ1407" s="984"/>
      <c r="AK1407" s="985"/>
      <c r="AL1407" s="986"/>
      <c r="AM1407" s="987"/>
      <c r="AN1407" s="988"/>
      <c r="AO1407" s="986"/>
      <c r="AP1407" s="989"/>
      <c r="AQ1407" s="986"/>
      <c r="AR1407" s="990"/>
      <c r="AS1407" s="624"/>
      <c r="AT1407" s="624"/>
      <c r="AU1407" s="624"/>
      <c r="AV1407" s="624"/>
      <c r="AW1407" s="624"/>
      <c r="AX1407" s="624"/>
      <c r="AY1407" s="624"/>
      <c r="AZ1407" s="624"/>
      <c r="BA1407" s="624"/>
      <c r="BB1407" s="624"/>
      <c r="BC1407" s="624"/>
      <c r="BD1407" s="624"/>
      <c r="BE1407" s="624"/>
    </row>
    <row r="1408" ht="16.5" customHeight="1">
      <c r="A1408" s="711"/>
      <c r="B1408" s="711"/>
      <c r="C1408" s="711"/>
      <c r="D1408" s="711"/>
      <c r="E1408" s="711"/>
      <c r="F1408" s="711"/>
      <c r="G1408" s="711"/>
      <c r="H1408" s="711"/>
      <c r="I1408" s="711"/>
      <c r="J1408" s="711"/>
      <c r="K1408" s="741"/>
      <c r="L1408" s="741"/>
      <c r="M1408" s="788"/>
      <c r="N1408" s="741"/>
      <c r="O1408" s="741"/>
      <c r="P1408" s="741"/>
      <c r="Q1408" s="741"/>
      <c r="R1408" s="788"/>
      <c r="S1408" s="819"/>
      <c r="T1408" s="820"/>
      <c r="U1408" s="819"/>
      <c r="V1408" s="820"/>
      <c r="W1408" s="788"/>
      <c r="X1408" s="803"/>
      <c r="Y1408" s="803"/>
      <c r="Z1408" s="803"/>
      <c r="AA1408" s="711"/>
      <c r="AB1408" s="711"/>
      <c r="AC1408" s="711"/>
      <c r="AD1408" s="736"/>
      <c r="AE1408" s="736"/>
      <c r="AF1408" s="624"/>
      <c r="AG1408" s="624"/>
      <c r="AH1408" s="624"/>
      <c r="AI1408" s="624"/>
      <c r="AJ1408" s="984"/>
      <c r="AK1408" s="985"/>
      <c r="AL1408" s="986"/>
      <c r="AM1408" s="987"/>
      <c r="AN1408" s="988"/>
      <c r="AO1408" s="986"/>
      <c r="AP1408" s="989"/>
      <c r="AQ1408" s="986"/>
      <c r="AR1408" s="990"/>
      <c r="AS1408" s="624"/>
      <c r="AT1408" s="624"/>
      <c r="AU1408" s="624"/>
      <c r="AV1408" s="624"/>
      <c r="AW1408" s="624"/>
      <c r="AX1408" s="624"/>
      <c r="AY1408" s="624"/>
      <c r="AZ1408" s="624"/>
      <c r="BA1408" s="624"/>
      <c r="BB1408" s="624"/>
      <c r="BC1408" s="624"/>
      <c r="BD1408" s="624"/>
      <c r="BE1408" s="624"/>
    </row>
    <row r="1409" ht="16.5" customHeight="1">
      <c r="A1409" s="711"/>
      <c r="B1409" s="711"/>
      <c r="C1409" s="711"/>
      <c r="D1409" s="711"/>
      <c r="E1409" s="711"/>
      <c r="F1409" s="711"/>
      <c r="G1409" s="711"/>
      <c r="H1409" s="711"/>
      <c r="I1409" s="711"/>
      <c r="J1409" s="711"/>
      <c r="K1409" s="741"/>
      <c r="L1409" s="741"/>
      <c r="M1409" s="788"/>
      <c r="N1409" s="741"/>
      <c r="O1409" s="741"/>
      <c r="P1409" s="741"/>
      <c r="Q1409" s="741"/>
      <c r="R1409" s="788"/>
      <c r="S1409" s="819"/>
      <c r="T1409" s="820"/>
      <c r="U1409" s="819"/>
      <c r="V1409" s="820"/>
      <c r="W1409" s="788"/>
      <c r="X1409" s="803"/>
      <c r="Y1409" s="803"/>
      <c r="Z1409" s="803"/>
      <c r="AA1409" s="711"/>
      <c r="AB1409" s="711"/>
      <c r="AC1409" s="711"/>
      <c r="AD1409" s="736"/>
      <c r="AE1409" s="736"/>
      <c r="AF1409" s="624"/>
      <c r="AG1409" s="624"/>
      <c r="AH1409" s="624"/>
      <c r="AI1409" s="624"/>
      <c r="AJ1409" s="984"/>
      <c r="AK1409" s="985"/>
      <c r="AL1409" s="986"/>
      <c r="AM1409" s="987"/>
      <c r="AN1409" s="988"/>
      <c r="AO1409" s="986"/>
      <c r="AP1409" s="989"/>
      <c r="AQ1409" s="986"/>
      <c r="AR1409" s="990"/>
      <c r="AS1409" s="624"/>
      <c r="AT1409" s="624"/>
      <c r="AU1409" s="624"/>
      <c r="AV1409" s="624"/>
      <c r="AW1409" s="624"/>
      <c r="AX1409" s="624"/>
      <c r="AY1409" s="624"/>
      <c r="AZ1409" s="624"/>
      <c r="BA1409" s="624"/>
      <c r="BB1409" s="624"/>
      <c r="BC1409" s="624"/>
      <c r="BD1409" s="624"/>
      <c r="BE1409" s="624"/>
    </row>
    <row r="1410" ht="16.5" customHeight="1">
      <c r="A1410" s="711"/>
      <c r="B1410" s="711"/>
      <c r="C1410" s="711"/>
      <c r="D1410" s="711"/>
      <c r="E1410" s="711"/>
      <c r="F1410" s="711"/>
      <c r="G1410" s="711"/>
      <c r="H1410" s="711"/>
      <c r="I1410" s="711"/>
      <c r="J1410" s="711"/>
      <c r="K1410" s="741"/>
      <c r="L1410" s="741"/>
      <c r="M1410" s="788"/>
      <c r="N1410" s="741"/>
      <c r="O1410" s="741"/>
      <c r="P1410" s="741"/>
      <c r="Q1410" s="741"/>
      <c r="R1410" s="788"/>
      <c r="S1410" s="819"/>
      <c r="T1410" s="820"/>
      <c r="U1410" s="819"/>
      <c r="V1410" s="820"/>
      <c r="W1410" s="788"/>
      <c r="X1410" s="803"/>
      <c r="Y1410" s="803"/>
      <c r="Z1410" s="803"/>
      <c r="AA1410" s="711"/>
      <c r="AB1410" s="711"/>
      <c r="AC1410" s="711"/>
      <c r="AD1410" s="736"/>
      <c r="AE1410" s="736"/>
      <c r="AF1410" s="624"/>
      <c r="AG1410" s="624"/>
      <c r="AH1410" s="624"/>
      <c r="AI1410" s="624"/>
      <c r="AJ1410" s="984"/>
      <c r="AK1410" s="985"/>
      <c r="AL1410" s="986"/>
      <c r="AM1410" s="987"/>
      <c r="AN1410" s="988"/>
      <c r="AO1410" s="986"/>
      <c r="AP1410" s="989"/>
      <c r="AQ1410" s="986"/>
      <c r="AR1410" s="990"/>
      <c r="AS1410" s="624"/>
      <c r="AT1410" s="624"/>
      <c r="AU1410" s="624"/>
      <c r="AV1410" s="624"/>
      <c r="AW1410" s="624"/>
      <c r="AX1410" s="624"/>
      <c r="AY1410" s="624"/>
      <c r="AZ1410" s="624"/>
      <c r="BA1410" s="624"/>
      <c r="BB1410" s="624"/>
      <c r="BC1410" s="624"/>
      <c r="BD1410" s="624"/>
      <c r="BE1410" s="624"/>
    </row>
    <row r="1411" ht="16.5" customHeight="1">
      <c r="A1411" s="711"/>
      <c r="B1411" s="711"/>
      <c r="C1411" s="711"/>
      <c r="D1411" s="711"/>
      <c r="E1411" s="711"/>
      <c r="F1411" s="711"/>
      <c r="G1411" s="711"/>
      <c r="H1411" s="711"/>
      <c r="I1411" s="711"/>
      <c r="J1411" s="711"/>
      <c r="K1411" s="741"/>
      <c r="L1411" s="741"/>
      <c r="M1411" s="788"/>
      <c r="N1411" s="741"/>
      <c r="O1411" s="741"/>
      <c r="P1411" s="741"/>
      <c r="Q1411" s="741"/>
      <c r="R1411" s="788"/>
      <c r="S1411" s="819"/>
      <c r="T1411" s="820"/>
      <c r="U1411" s="819"/>
      <c r="V1411" s="820"/>
      <c r="W1411" s="788"/>
      <c r="X1411" s="803"/>
      <c r="Y1411" s="803"/>
      <c r="Z1411" s="803"/>
      <c r="AA1411" s="711"/>
      <c r="AB1411" s="711"/>
      <c r="AC1411" s="711"/>
      <c r="AD1411" s="736"/>
      <c r="AE1411" s="736"/>
      <c r="AF1411" s="624"/>
      <c r="AG1411" s="624"/>
      <c r="AH1411" s="624"/>
      <c r="AI1411" s="624"/>
      <c r="AJ1411" s="984"/>
      <c r="AK1411" s="985"/>
      <c r="AL1411" s="986"/>
      <c r="AM1411" s="987"/>
      <c r="AN1411" s="988"/>
      <c r="AO1411" s="986"/>
      <c r="AP1411" s="989"/>
      <c r="AQ1411" s="986"/>
      <c r="AR1411" s="990"/>
      <c r="AS1411" s="624"/>
      <c r="AT1411" s="624"/>
      <c r="AU1411" s="624"/>
      <c r="AV1411" s="624"/>
      <c r="AW1411" s="624"/>
      <c r="AX1411" s="624"/>
      <c r="AY1411" s="624"/>
      <c r="AZ1411" s="624"/>
      <c r="BA1411" s="624"/>
      <c r="BB1411" s="624"/>
      <c r="BC1411" s="624"/>
      <c r="BD1411" s="624"/>
      <c r="BE1411" s="624"/>
    </row>
    <row r="1412" ht="16.5" customHeight="1">
      <c r="A1412" s="711"/>
      <c r="B1412" s="711"/>
      <c r="C1412" s="711"/>
      <c r="D1412" s="711"/>
      <c r="E1412" s="711"/>
      <c r="F1412" s="711"/>
      <c r="G1412" s="711"/>
      <c r="H1412" s="711"/>
      <c r="I1412" s="711"/>
      <c r="J1412" s="711"/>
      <c r="K1412" s="741"/>
      <c r="L1412" s="741"/>
      <c r="M1412" s="788"/>
      <c r="N1412" s="741"/>
      <c r="O1412" s="741"/>
      <c r="P1412" s="741"/>
      <c r="Q1412" s="741"/>
      <c r="R1412" s="788"/>
      <c r="S1412" s="819"/>
      <c r="T1412" s="820"/>
      <c r="U1412" s="819"/>
      <c r="V1412" s="820"/>
      <c r="W1412" s="788"/>
      <c r="X1412" s="803"/>
      <c r="Y1412" s="803"/>
      <c r="Z1412" s="803"/>
      <c r="AA1412" s="711"/>
      <c r="AB1412" s="711"/>
      <c r="AC1412" s="711"/>
      <c r="AD1412" s="736"/>
      <c r="AE1412" s="736"/>
      <c r="AF1412" s="624"/>
      <c r="AG1412" s="624"/>
      <c r="AH1412" s="624"/>
      <c r="AI1412" s="624"/>
      <c r="AJ1412" s="984"/>
      <c r="AK1412" s="985"/>
      <c r="AL1412" s="986"/>
      <c r="AM1412" s="987"/>
      <c r="AN1412" s="988"/>
      <c r="AO1412" s="986"/>
      <c r="AP1412" s="989"/>
      <c r="AQ1412" s="986"/>
      <c r="AR1412" s="990"/>
      <c r="AS1412" s="624"/>
      <c r="AT1412" s="624"/>
      <c r="AU1412" s="624"/>
      <c r="AV1412" s="624"/>
      <c r="AW1412" s="624"/>
      <c r="AX1412" s="624"/>
      <c r="AY1412" s="624"/>
      <c r="AZ1412" s="624"/>
      <c r="BA1412" s="624"/>
      <c r="BB1412" s="624"/>
      <c r="BC1412" s="624"/>
      <c r="BD1412" s="624"/>
      <c r="BE1412" s="624"/>
    </row>
    <row r="1413" ht="16.5" customHeight="1">
      <c r="A1413" s="711"/>
      <c r="B1413" s="711"/>
      <c r="C1413" s="711"/>
      <c r="D1413" s="711"/>
      <c r="E1413" s="711"/>
      <c r="F1413" s="711"/>
      <c r="G1413" s="711"/>
      <c r="H1413" s="711"/>
      <c r="I1413" s="711"/>
      <c r="J1413" s="711"/>
      <c r="K1413" s="741"/>
      <c r="L1413" s="741"/>
      <c r="M1413" s="788"/>
      <c r="N1413" s="741"/>
      <c r="O1413" s="741"/>
      <c r="P1413" s="741"/>
      <c r="Q1413" s="741"/>
      <c r="R1413" s="788"/>
      <c r="S1413" s="819"/>
      <c r="T1413" s="820"/>
      <c r="U1413" s="819"/>
      <c r="V1413" s="820"/>
      <c r="W1413" s="788"/>
      <c r="X1413" s="803"/>
      <c r="Y1413" s="803"/>
      <c r="Z1413" s="803"/>
      <c r="AA1413" s="711"/>
      <c r="AB1413" s="711"/>
      <c r="AC1413" s="711"/>
      <c r="AD1413" s="736"/>
      <c r="AE1413" s="736"/>
      <c r="AF1413" s="624"/>
      <c r="AG1413" s="624"/>
      <c r="AH1413" s="624"/>
      <c r="AI1413" s="624"/>
      <c r="AJ1413" s="984"/>
      <c r="AK1413" s="985"/>
      <c r="AL1413" s="986"/>
      <c r="AM1413" s="987"/>
      <c r="AN1413" s="988"/>
      <c r="AO1413" s="986"/>
      <c r="AP1413" s="989"/>
      <c r="AQ1413" s="986"/>
      <c r="AR1413" s="990"/>
      <c r="AS1413" s="624"/>
      <c r="AT1413" s="624"/>
      <c r="AU1413" s="624"/>
      <c r="AV1413" s="624"/>
      <c r="AW1413" s="624"/>
      <c r="AX1413" s="624"/>
      <c r="AY1413" s="624"/>
      <c r="AZ1413" s="624"/>
      <c r="BA1413" s="624"/>
      <c r="BB1413" s="624"/>
      <c r="BC1413" s="624"/>
      <c r="BD1413" s="624"/>
      <c r="BE1413" s="624"/>
    </row>
    <row r="1414" ht="16.5" customHeight="1">
      <c r="A1414" s="711"/>
      <c r="B1414" s="711"/>
      <c r="C1414" s="711"/>
      <c r="D1414" s="711"/>
      <c r="E1414" s="711"/>
      <c r="F1414" s="711"/>
      <c r="G1414" s="711"/>
      <c r="H1414" s="711"/>
      <c r="I1414" s="711"/>
      <c r="J1414" s="711"/>
      <c r="K1414" s="741"/>
      <c r="L1414" s="741"/>
      <c r="M1414" s="788"/>
      <c r="N1414" s="741"/>
      <c r="O1414" s="741"/>
      <c r="P1414" s="741"/>
      <c r="Q1414" s="741"/>
      <c r="R1414" s="788"/>
      <c r="S1414" s="819"/>
      <c r="T1414" s="820"/>
      <c r="U1414" s="819"/>
      <c r="V1414" s="820"/>
      <c r="W1414" s="788"/>
      <c r="X1414" s="803"/>
      <c r="Y1414" s="803"/>
      <c r="Z1414" s="803"/>
      <c r="AA1414" s="711"/>
      <c r="AB1414" s="711"/>
      <c r="AC1414" s="711"/>
      <c r="AD1414" s="736"/>
      <c r="AE1414" s="736"/>
      <c r="AF1414" s="624"/>
      <c r="AG1414" s="624"/>
      <c r="AH1414" s="624"/>
      <c r="AI1414" s="624"/>
      <c r="AJ1414" s="984"/>
      <c r="AK1414" s="985"/>
      <c r="AL1414" s="986"/>
      <c r="AM1414" s="987"/>
      <c r="AN1414" s="988"/>
      <c r="AO1414" s="986"/>
      <c r="AP1414" s="989"/>
      <c r="AQ1414" s="986"/>
      <c r="AR1414" s="990"/>
      <c r="AS1414" s="624"/>
      <c r="AT1414" s="624"/>
      <c r="AU1414" s="624"/>
      <c r="AV1414" s="624"/>
      <c r="AW1414" s="624"/>
      <c r="AX1414" s="624"/>
      <c r="AY1414" s="624"/>
      <c r="AZ1414" s="624"/>
      <c r="BA1414" s="624"/>
      <c r="BB1414" s="624"/>
      <c r="BC1414" s="624"/>
      <c r="BD1414" s="624"/>
      <c r="BE1414" s="624"/>
    </row>
    <row r="1415" ht="16.5" customHeight="1">
      <c r="A1415" s="711"/>
      <c r="B1415" s="711"/>
      <c r="C1415" s="711"/>
      <c r="D1415" s="711"/>
      <c r="E1415" s="711"/>
      <c r="F1415" s="711"/>
      <c r="G1415" s="711"/>
      <c r="H1415" s="711"/>
      <c r="I1415" s="711"/>
      <c r="J1415" s="711"/>
      <c r="K1415" s="741"/>
      <c r="L1415" s="741"/>
      <c r="M1415" s="788"/>
      <c r="N1415" s="741"/>
      <c r="O1415" s="741"/>
      <c r="P1415" s="741"/>
      <c r="Q1415" s="741"/>
      <c r="R1415" s="788"/>
      <c r="S1415" s="819"/>
      <c r="T1415" s="820"/>
      <c r="U1415" s="819"/>
      <c r="V1415" s="820"/>
      <c r="W1415" s="788"/>
      <c r="X1415" s="803"/>
      <c r="Y1415" s="803"/>
      <c r="Z1415" s="803"/>
      <c r="AA1415" s="711"/>
      <c r="AB1415" s="711"/>
      <c r="AC1415" s="711"/>
      <c r="AD1415" s="736"/>
      <c r="AE1415" s="736"/>
      <c r="AF1415" s="624"/>
      <c r="AG1415" s="624"/>
      <c r="AH1415" s="624"/>
      <c r="AI1415" s="624"/>
      <c r="AJ1415" s="984"/>
      <c r="AK1415" s="985"/>
      <c r="AL1415" s="986"/>
      <c r="AM1415" s="987"/>
      <c r="AN1415" s="988"/>
      <c r="AO1415" s="986"/>
      <c r="AP1415" s="989"/>
      <c r="AQ1415" s="986"/>
      <c r="AR1415" s="990"/>
      <c r="AS1415" s="624"/>
      <c r="AT1415" s="624"/>
      <c r="AU1415" s="624"/>
      <c r="AV1415" s="624"/>
      <c r="AW1415" s="624"/>
      <c r="AX1415" s="624"/>
      <c r="AY1415" s="624"/>
      <c r="AZ1415" s="624"/>
      <c r="BA1415" s="624"/>
      <c r="BB1415" s="624"/>
      <c r="BC1415" s="624"/>
      <c r="BD1415" s="624"/>
      <c r="BE1415" s="624"/>
    </row>
    <row r="1416" ht="16.5" customHeight="1">
      <c r="A1416" s="711"/>
      <c r="B1416" s="711"/>
      <c r="C1416" s="711"/>
      <c r="D1416" s="711"/>
      <c r="E1416" s="711"/>
      <c r="F1416" s="711"/>
      <c r="G1416" s="711"/>
      <c r="H1416" s="711"/>
      <c r="I1416" s="711"/>
      <c r="J1416" s="711"/>
      <c r="K1416" s="741"/>
      <c r="L1416" s="741"/>
      <c r="M1416" s="788"/>
      <c r="N1416" s="741"/>
      <c r="O1416" s="741"/>
      <c r="P1416" s="741"/>
      <c r="Q1416" s="741"/>
      <c r="R1416" s="788"/>
      <c r="S1416" s="819"/>
      <c r="T1416" s="820"/>
      <c r="U1416" s="819"/>
      <c r="V1416" s="820"/>
      <c r="W1416" s="788"/>
      <c r="X1416" s="803"/>
      <c r="Y1416" s="803"/>
      <c r="Z1416" s="803"/>
      <c r="AA1416" s="711"/>
      <c r="AB1416" s="711"/>
      <c r="AC1416" s="711"/>
      <c r="AD1416" s="736"/>
      <c r="AE1416" s="736"/>
      <c r="AF1416" s="624"/>
      <c r="AG1416" s="624"/>
      <c r="AH1416" s="624"/>
      <c r="AI1416" s="624"/>
      <c r="AJ1416" s="984"/>
      <c r="AK1416" s="985"/>
      <c r="AL1416" s="986"/>
      <c r="AM1416" s="987"/>
      <c r="AN1416" s="988"/>
      <c r="AO1416" s="986"/>
      <c r="AP1416" s="989"/>
      <c r="AQ1416" s="986"/>
      <c r="AR1416" s="990"/>
      <c r="AS1416" s="624"/>
      <c r="AT1416" s="624"/>
      <c r="AU1416" s="624"/>
      <c r="AV1416" s="624"/>
      <c r="AW1416" s="624"/>
      <c r="AX1416" s="624"/>
      <c r="AY1416" s="624"/>
      <c r="AZ1416" s="624"/>
      <c r="BA1416" s="624"/>
      <c r="BB1416" s="624"/>
      <c r="BC1416" s="624"/>
      <c r="BD1416" s="624"/>
      <c r="BE1416" s="624"/>
    </row>
    <row r="1417" ht="16.5" customHeight="1">
      <c r="A1417" s="711"/>
      <c r="B1417" s="711"/>
      <c r="C1417" s="711"/>
      <c r="D1417" s="711"/>
      <c r="E1417" s="711"/>
      <c r="F1417" s="711"/>
      <c r="G1417" s="711"/>
      <c r="H1417" s="711"/>
      <c r="I1417" s="711"/>
      <c r="J1417" s="711"/>
      <c r="K1417" s="741"/>
      <c r="L1417" s="741"/>
      <c r="M1417" s="788"/>
      <c r="N1417" s="741"/>
      <c r="O1417" s="741"/>
      <c r="P1417" s="741"/>
      <c r="Q1417" s="741"/>
      <c r="R1417" s="788"/>
      <c r="S1417" s="819"/>
      <c r="T1417" s="820"/>
      <c r="U1417" s="819"/>
      <c r="V1417" s="820"/>
      <c r="W1417" s="788"/>
      <c r="X1417" s="803"/>
      <c r="Y1417" s="803"/>
      <c r="Z1417" s="803"/>
      <c r="AA1417" s="711"/>
      <c r="AB1417" s="711"/>
      <c r="AC1417" s="711"/>
      <c r="AD1417" s="736"/>
      <c r="AE1417" s="736"/>
      <c r="AF1417" s="624"/>
      <c r="AG1417" s="624"/>
      <c r="AH1417" s="624"/>
      <c r="AI1417" s="624"/>
      <c r="AJ1417" s="984"/>
      <c r="AK1417" s="985"/>
      <c r="AL1417" s="986"/>
      <c r="AM1417" s="987"/>
      <c r="AN1417" s="988"/>
      <c r="AO1417" s="986"/>
      <c r="AP1417" s="989"/>
      <c r="AQ1417" s="986"/>
      <c r="AR1417" s="990"/>
      <c r="AS1417" s="624"/>
      <c r="AT1417" s="624"/>
      <c r="AU1417" s="624"/>
      <c r="AV1417" s="624"/>
      <c r="AW1417" s="624"/>
      <c r="AX1417" s="624"/>
      <c r="AY1417" s="624"/>
      <c r="AZ1417" s="624"/>
      <c r="BA1417" s="624"/>
      <c r="BB1417" s="624"/>
      <c r="BC1417" s="624"/>
      <c r="BD1417" s="624"/>
      <c r="BE1417" s="624"/>
    </row>
    <row r="1418" ht="16.5" customHeight="1">
      <c r="A1418" s="711"/>
      <c r="B1418" s="711"/>
      <c r="C1418" s="711"/>
      <c r="D1418" s="711"/>
      <c r="E1418" s="711"/>
      <c r="F1418" s="711"/>
      <c r="G1418" s="711"/>
      <c r="H1418" s="711"/>
      <c r="I1418" s="711"/>
      <c r="J1418" s="711"/>
      <c r="K1418" s="741"/>
      <c r="L1418" s="741"/>
      <c r="M1418" s="788"/>
      <c r="N1418" s="741"/>
      <c r="O1418" s="741"/>
      <c r="P1418" s="741"/>
      <c r="Q1418" s="741"/>
      <c r="R1418" s="788"/>
      <c r="S1418" s="819"/>
      <c r="T1418" s="820"/>
      <c r="U1418" s="819"/>
      <c r="V1418" s="820"/>
      <c r="W1418" s="788"/>
      <c r="X1418" s="803"/>
      <c r="Y1418" s="803"/>
      <c r="Z1418" s="803"/>
      <c r="AA1418" s="711"/>
      <c r="AB1418" s="711"/>
      <c r="AC1418" s="711"/>
      <c r="AD1418" s="736"/>
      <c r="AE1418" s="736"/>
      <c r="AF1418" s="624"/>
      <c r="AG1418" s="624"/>
      <c r="AH1418" s="624"/>
      <c r="AI1418" s="624"/>
      <c r="AJ1418" s="984"/>
      <c r="AK1418" s="985"/>
      <c r="AL1418" s="986"/>
      <c r="AM1418" s="987"/>
      <c r="AN1418" s="988"/>
      <c r="AO1418" s="986"/>
      <c r="AP1418" s="989"/>
      <c r="AQ1418" s="986"/>
      <c r="AR1418" s="990"/>
      <c r="AS1418" s="624"/>
      <c r="AT1418" s="624"/>
      <c r="AU1418" s="624"/>
      <c r="AV1418" s="624"/>
      <c r="AW1418" s="624"/>
      <c r="AX1418" s="624"/>
      <c r="AY1418" s="624"/>
      <c r="AZ1418" s="624"/>
      <c r="BA1418" s="624"/>
      <c r="BB1418" s="624"/>
      <c r="BC1418" s="624"/>
      <c r="BD1418" s="624"/>
      <c r="BE1418" s="624"/>
    </row>
    <row r="1419" ht="16.5" customHeight="1">
      <c r="A1419" s="711"/>
      <c r="B1419" s="711"/>
      <c r="C1419" s="711"/>
      <c r="D1419" s="711"/>
      <c r="E1419" s="711"/>
      <c r="F1419" s="711"/>
      <c r="G1419" s="711"/>
      <c r="H1419" s="711"/>
      <c r="I1419" s="711"/>
      <c r="J1419" s="711"/>
      <c r="K1419" s="741"/>
      <c r="L1419" s="741"/>
      <c r="M1419" s="788"/>
      <c r="N1419" s="741"/>
      <c r="O1419" s="741"/>
      <c r="P1419" s="741"/>
      <c r="Q1419" s="741"/>
      <c r="R1419" s="788"/>
      <c r="S1419" s="819"/>
      <c r="T1419" s="820"/>
      <c r="U1419" s="819"/>
      <c r="V1419" s="820"/>
      <c r="W1419" s="788"/>
      <c r="X1419" s="803"/>
      <c r="Y1419" s="803"/>
      <c r="Z1419" s="803"/>
      <c r="AA1419" s="711"/>
      <c r="AB1419" s="711"/>
      <c r="AC1419" s="711"/>
      <c r="AD1419" s="736"/>
      <c r="AE1419" s="736"/>
      <c r="AF1419" s="624"/>
      <c r="AG1419" s="624"/>
      <c r="AH1419" s="624"/>
      <c r="AI1419" s="624"/>
      <c r="AJ1419" s="984"/>
      <c r="AK1419" s="985"/>
      <c r="AL1419" s="986"/>
      <c r="AM1419" s="987"/>
      <c r="AN1419" s="988"/>
      <c r="AO1419" s="986"/>
      <c r="AP1419" s="989"/>
      <c r="AQ1419" s="986"/>
      <c r="AR1419" s="990"/>
      <c r="AS1419" s="624"/>
      <c r="AT1419" s="624"/>
      <c r="AU1419" s="624"/>
      <c r="AV1419" s="624"/>
      <c r="AW1419" s="624"/>
      <c r="AX1419" s="624"/>
      <c r="AY1419" s="624"/>
      <c r="AZ1419" s="624"/>
      <c r="BA1419" s="624"/>
      <c r="BB1419" s="624"/>
      <c r="BC1419" s="624"/>
      <c r="BD1419" s="624"/>
      <c r="BE1419" s="624"/>
    </row>
    <row r="1420" ht="16.5" customHeight="1">
      <c r="A1420" s="711"/>
      <c r="B1420" s="711"/>
      <c r="C1420" s="711"/>
      <c r="D1420" s="711"/>
      <c r="E1420" s="711"/>
      <c r="F1420" s="711"/>
      <c r="G1420" s="711"/>
      <c r="H1420" s="711"/>
      <c r="I1420" s="711"/>
      <c r="J1420" s="711"/>
      <c r="K1420" s="741"/>
      <c r="L1420" s="741"/>
      <c r="M1420" s="788"/>
      <c r="N1420" s="741"/>
      <c r="O1420" s="741"/>
      <c r="P1420" s="741"/>
      <c r="Q1420" s="741"/>
      <c r="R1420" s="788"/>
      <c r="S1420" s="819"/>
      <c r="T1420" s="820"/>
      <c r="U1420" s="819"/>
      <c r="V1420" s="820"/>
      <c r="W1420" s="788"/>
      <c r="X1420" s="803"/>
      <c r="Y1420" s="803"/>
      <c r="Z1420" s="803"/>
      <c r="AA1420" s="711"/>
      <c r="AB1420" s="711"/>
      <c r="AC1420" s="711"/>
      <c r="AD1420" s="736"/>
      <c r="AE1420" s="736"/>
      <c r="AF1420" s="624"/>
      <c r="AG1420" s="624"/>
      <c r="AH1420" s="624"/>
      <c r="AI1420" s="624"/>
      <c r="AJ1420" s="984"/>
      <c r="AK1420" s="985"/>
      <c r="AL1420" s="986"/>
      <c r="AM1420" s="987"/>
      <c r="AN1420" s="988"/>
      <c r="AO1420" s="986"/>
      <c r="AP1420" s="989"/>
      <c r="AQ1420" s="986"/>
      <c r="AR1420" s="990"/>
      <c r="AS1420" s="624"/>
      <c r="AT1420" s="624"/>
      <c r="AU1420" s="624"/>
      <c r="AV1420" s="624"/>
      <c r="AW1420" s="624"/>
      <c r="AX1420" s="624"/>
      <c r="AY1420" s="624"/>
      <c r="AZ1420" s="624"/>
      <c r="BA1420" s="624"/>
      <c r="BB1420" s="624"/>
      <c r="BC1420" s="624"/>
      <c r="BD1420" s="624"/>
      <c r="BE1420" s="624"/>
    </row>
    <row r="1421" ht="16.5" customHeight="1">
      <c r="A1421" s="711"/>
      <c r="B1421" s="711"/>
      <c r="C1421" s="711"/>
      <c r="D1421" s="711"/>
      <c r="E1421" s="711"/>
      <c r="F1421" s="711"/>
      <c r="G1421" s="711"/>
      <c r="H1421" s="711"/>
      <c r="I1421" s="711"/>
      <c r="J1421" s="711"/>
      <c r="K1421" s="741"/>
      <c r="L1421" s="741"/>
      <c r="M1421" s="788"/>
      <c r="N1421" s="741"/>
      <c r="O1421" s="741"/>
      <c r="P1421" s="741"/>
      <c r="Q1421" s="741"/>
      <c r="R1421" s="788"/>
      <c r="S1421" s="819"/>
      <c r="T1421" s="820"/>
      <c r="U1421" s="819"/>
      <c r="V1421" s="820"/>
      <c r="W1421" s="788"/>
      <c r="X1421" s="803"/>
      <c r="Y1421" s="803"/>
      <c r="Z1421" s="803"/>
      <c r="AA1421" s="711"/>
      <c r="AB1421" s="711"/>
      <c r="AC1421" s="711"/>
      <c r="AD1421" s="736"/>
      <c r="AE1421" s="736"/>
      <c r="AF1421" s="624"/>
      <c r="AG1421" s="624"/>
      <c r="AH1421" s="624"/>
      <c r="AI1421" s="624"/>
      <c r="AJ1421" s="984"/>
      <c r="AK1421" s="985"/>
      <c r="AL1421" s="986"/>
      <c r="AM1421" s="987"/>
      <c r="AN1421" s="988"/>
      <c r="AO1421" s="986"/>
      <c r="AP1421" s="989"/>
      <c r="AQ1421" s="986"/>
      <c r="AR1421" s="990"/>
      <c r="AS1421" s="624"/>
      <c r="AT1421" s="624"/>
      <c r="AU1421" s="624"/>
      <c r="AV1421" s="624"/>
      <c r="AW1421" s="624"/>
      <c r="AX1421" s="624"/>
      <c r="AY1421" s="624"/>
      <c r="AZ1421" s="624"/>
      <c r="BA1421" s="624"/>
      <c r="BB1421" s="624"/>
      <c r="BC1421" s="624"/>
      <c r="BD1421" s="624"/>
      <c r="BE1421" s="624"/>
    </row>
    <row r="1422" ht="16.5" customHeight="1">
      <c r="A1422" s="711"/>
      <c r="B1422" s="711"/>
      <c r="C1422" s="711"/>
      <c r="D1422" s="711"/>
      <c r="E1422" s="711"/>
      <c r="F1422" s="711"/>
      <c r="G1422" s="711"/>
      <c r="H1422" s="711"/>
      <c r="I1422" s="711"/>
      <c r="J1422" s="711"/>
      <c r="K1422" s="741"/>
      <c r="L1422" s="741"/>
      <c r="M1422" s="788"/>
      <c r="N1422" s="741"/>
      <c r="O1422" s="741"/>
      <c r="P1422" s="741"/>
      <c r="Q1422" s="741"/>
      <c r="R1422" s="788"/>
      <c r="S1422" s="819"/>
      <c r="T1422" s="820"/>
      <c r="U1422" s="819"/>
      <c r="V1422" s="820"/>
      <c r="W1422" s="788"/>
      <c r="X1422" s="803"/>
      <c r="Y1422" s="803"/>
      <c r="Z1422" s="803"/>
      <c r="AA1422" s="711"/>
      <c r="AB1422" s="711"/>
      <c r="AC1422" s="711"/>
      <c r="AD1422" s="736"/>
      <c r="AE1422" s="736"/>
      <c r="AF1422" s="624"/>
      <c r="AG1422" s="624"/>
      <c r="AH1422" s="624"/>
      <c r="AI1422" s="624"/>
      <c r="AJ1422" s="984"/>
      <c r="AK1422" s="985"/>
      <c r="AL1422" s="986"/>
      <c r="AM1422" s="987"/>
      <c r="AN1422" s="988"/>
      <c r="AO1422" s="986"/>
      <c r="AP1422" s="989"/>
      <c r="AQ1422" s="986"/>
      <c r="AR1422" s="990"/>
      <c r="AS1422" s="624"/>
      <c r="AT1422" s="624"/>
      <c r="AU1422" s="624"/>
      <c r="AV1422" s="624"/>
      <c r="AW1422" s="624"/>
      <c r="AX1422" s="624"/>
      <c r="AY1422" s="624"/>
      <c r="AZ1422" s="624"/>
      <c r="BA1422" s="624"/>
      <c r="BB1422" s="624"/>
      <c r="BC1422" s="624"/>
      <c r="BD1422" s="624"/>
      <c r="BE1422" s="624"/>
    </row>
    <row r="1423" ht="16.5" customHeight="1">
      <c r="A1423" s="711"/>
      <c r="B1423" s="711"/>
      <c r="C1423" s="711"/>
      <c r="D1423" s="711"/>
      <c r="E1423" s="711"/>
      <c r="F1423" s="711"/>
      <c r="G1423" s="711"/>
      <c r="H1423" s="711"/>
      <c r="I1423" s="711"/>
      <c r="J1423" s="711"/>
      <c r="K1423" s="741"/>
      <c r="L1423" s="741"/>
      <c r="M1423" s="788"/>
      <c r="N1423" s="741"/>
      <c r="O1423" s="741"/>
      <c r="P1423" s="741"/>
      <c r="Q1423" s="741"/>
      <c r="R1423" s="788"/>
      <c r="S1423" s="819"/>
      <c r="T1423" s="820"/>
      <c r="U1423" s="819"/>
      <c r="V1423" s="820"/>
      <c r="W1423" s="788"/>
      <c r="X1423" s="803"/>
      <c r="Y1423" s="803"/>
      <c r="Z1423" s="803"/>
      <c r="AA1423" s="711"/>
      <c r="AB1423" s="711"/>
      <c r="AC1423" s="711"/>
      <c r="AD1423" s="736"/>
      <c r="AE1423" s="736"/>
      <c r="AF1423" s="624"/>
      <c r="AG1423" s="624"/>
      <c r="AH1423" s="624"/>
      <c r="AI1423" s="624"/>
      <c r="AJ1423" s="984"/>
      <c r="AK1423" s="985"/>
      <c r="AL1423" s="986"/>
      <c r="AM1423" s="987"/>
      <c r="AN1423" s="988"/>
      <c r="AO1423" s="986"/>
      <c r="AP1423" s="989"/>
      <c r="AQ1423" s="986"/>
      <c r="AR1423" s="990"/>
      <c r="AS1423" s="624"/>
      <c r="AT1423" s="624"/>
      <c r="AU1423" s="624"/>
      <c r="AV1423" s="624"/>
      <c r="AW1423" s="624"/>
      <c r="AX1423" s="624"/>
      <c r="AY1423" s="624"/>
      <c r="AZ1423" s="624"/>
      <c r="BA1423" s="624"/>
      <c r="BB1423" s="624"/>
      <c r="BC1423" s="624"/>
      <c r="BD1423" s="624"/>
      <c r="BE1423" s="624"/>
    </row>
    <row r="1424" ht="16.5" customHeight="1">
      <c r="A1424" s="711"/>
      <c r="B1424" s="711"/>
      <c r="C1424" s="711"/>
      <c r="D1424" s="711"/>
      <c r="E1424" s="711"/>
      <c r="F1424" s="711"/>
      <c r="G1424" s="711"/>
      <c r="H1424" s="711"/>
      <c r="I1424" s="711"/>
      <c r="J1424" s="711"/>
      <c r="K1424" s="741"/>
      <c r="L1424" s="741"/>
      <c r="M1424" s="788"/>
      <c r="N1424" s="741"/>
      <c r="O1424" s="741"/>
      <c r="P1424" s="741"/>
      <c r="Q1424" s="741"/>
      <c r="R1424" s="788"/>
      <c r="S1424" s="819"/>
      <c r="T1424" s="820"/>
      <c r="U1424" s="819"/>
      <c r="V1424" s="820"/>
      <c r="W1424" s="788"/>
      <c r="X1424" s="803"/>
      <c r="Y1424" s="803"/>
      <c r="Z1424" s="803"/>
      <c r="AA1424" s="711"/>
      <c r="AB1424" s="711"/>
      <c r="AC1424" s="711"/>
      <c r="AD1424" s="736"/>
      <c r="AE1424" s="736"/>
      <c r="AF1424" s="624"/>
      <c r="AG1424" s="624"/>
      <c r="AH1424" s="624"/>
      <c r="AI1424" s="624"/>
      <c r="AJ1424" s="984"/>
      <c r="AK1424" s="985"/>
      <c r="AL1424" s="986"/>
      <c r="AM1424" s="987"/>
      <c r="AN1424" s="988"/>
      <c r="AO1424" s="986"/>
      <c r="AP1424" s="989"/>
      <c r="AQ1424" s="986"/>
      <c r="AR1424" s="990"/>
      <c r="AS1424" s="624"/>
      <c r="AT1424" s="624"/>
      <c r="AU1424" s="624"/>
      <c r="AV1424" s="624"/>
      <c r="AW1424" s="624"/>
      <c r="AX1424" s="624"/>
      <c r="AY1424" s="624"/>
      <c r="AZ1424" s="624"/>
      <c r="BA1424" s="624"/>
      <c r="BB1424" s="624"/>
      <c r="BC1424" s="624"/>
      <c r="BD1424" s="624"/>
      <c r="BE1424" s="624"/>
    </row>
    <row r="1425" ht="16.5" customHeight="1">
      <c r="A1425" s="711"/>
      <c r="B1425" s="711"/>
      <c r="C1425" s="711"/>
      <c r="D1425" s="711"/>
      <c r="E1425" s="711"/>
      <c r="F1425" s="711"/>
      <c r="G1425" s="711"/>
      <c r="H1425" s="711"/>
      <c r="I1425" s="711"/>
      <c r="J1425" s="711"/>
      <c r="K1425" s="741"/>
      <c r="L1425" s="741"/>
      <c r="M1425" s="788"/>
      <c r="N1425" s="741"/>
      <c r="O1425" s="741"/>
      <c r="P1425" s="741"/>
      <c r="Q1425" s="741"/>
      <c r="R1425" s="788"/>
      <c r="S1425" s="819"/>
      <c r="T1425" s="820"/>
      <c r="U1425" s="819"/>
      <c r="V1425" s="820"/>
      <c r="W1425" s="788"/>
      <c r="X1425" s="803"/>
      <c r="Y1425" s="803"/>
      <c r="Z1425" s="803"/>
      <c r="AA1425" s="711"/>
      <c r="AB1425" s="711"/>
      <c r="AC1425" s="711"/>
      <c r="AD1425" s="736"/>
      <c r="AE1425" s="736"/>
      <c r="AF1425" s="624"/>
      <c r="AG1425" s="624"/>
      <c r="AH1425" s="624"/>
      <c r="AI1425" s="624"/>
      <c r="AJ1425" s="984"/>
      <c r="AK1425" s="985"/>
      <c r="AL1425" s="986"/>
      <c r="AM1425" s="987"/>
      <c r="AN1425" s="988"/>
      <c r="AO1425" s="986"/>
      <c r="AP1425" s="989"/>
      <c r="AQ1425" s="986"/>
      <c r="AR1425" s="990"/>
      <c r="AS1425" s="624"/>
      <c r="AT1425" s="624"/>
      <c r="AU1425" s="624"/>
      <c r="AV1425" s="624"/>
      <c r="AW1425" s="624"/>
      <c r="AX1425" s="624"/>
      <c r="AY1425" s="624"/>
      <c r="AZ1425" s="624"/>
      <c r="BA1425" s="624"/>
      <c r="BB1425" s="624"/>
      <c r="BC1425" s="624"/>
      <c r="BD1425" s="624"/>
      <c r="BE1425" s="624"/>
    </row>
    <row r="1426" ht="16.5" customHeight="1">
      <c r="A1426" s="711"/>
      <c r="B1426" s="711"/>
      <c r="C1426" s="711"/>
      <c r="D1426" s="711"/>
      <c r="E1426" s="711"/>
      <c r="F1426" s="711"/>
      <c r="G1426" s="711"/>
      <c r="H1426" s="711"/>
      <c r="I1426" s="711"/>
      <c r="J1426" s="711"/>
      <c r="K1426" s="741"/>
      <c r="L1426" s="741"/>
      <c r="M1426" s="788"/>
      <c r="N1426" s="741"/>
      <c r="O1426" s="741"/>
      <c r="P1426" s="741"/>
      <c r="Q1426" s="741"/>
      <c r="R1426" s="788"/>
      <c r="S1426" s="819"/>
      <c r="T1426" s="820"/>
      <c r="U1426" s="819"/>
      <c r="V1426" s="820"/>
      <c r="W1426" s="788"/>
      <c r="X1426" s="803"/>
      <c r="Y1426" s="803"/>
      <c r="Z1426" s="803"/>
      <c r="AA1426" s="711"/>
      <c r="AB1426" s="711"/>
      <c r="AC1426" s="711"/>
      <c r="AD1426" s="736"/>
      <c r="AE1426" s="736"/>
      <c r="AF1426" s="624"/>
      <c r="AG1426" s="624"/>
      <c r="AH1426" s="624"/>
      <c r="AI1426" s="624"/>
      <c r="AJ1426" s="984"/>
      <c r="AK1426" s="985"/>
      <c r="AL1426" s="986"/>
      <c r="AM1426" s="987"/>
      <c r="AN1426" s="988"/>
      <c r="AO1426" s="986"/>
      <c r="AP1426" s="989"/>
      <c r="AQ1426" s="986"/>
      <c r="AR1426" s="990"/>
      <c r="AS1426" s="624"/>
      <c r="AT1426" s="624"/>
      <c r="AU1426" s="624"/>
      <c r="AV1426" s="624"/>
      <c r="AW1426" s="624"/>
      <c r="AX1426" s="624"/>
      <c r="AY1426" s="624"/>
      <c r="AZ1426" s="624"/>
      <c r="BA1426" s="624"/>
      <c r="BB1426" s="624"/>
      <c r="BC1426" s="624"/>
      <c r="BD1426" s="624"/>
      <c r="BE1426" s="624"/>
    </row>
    <row r="1427" ht="16.5" customHeight="1">
      <c r="A1427" s="711"/>
      <c r="B1427" s="711"/>
      <c r="C1427" s="711"/>
      <c r="D1427" s="711"/>
      <c r="E1427" s="711"/>
      <c r="F1427" s="711"/>
      <c r="G1427" s="711"/>
      <c r="H1427" s="711"/>
      <c r="I1427" s="711"/>
      <c r="J1427" s="711"/>
      <c r="K1427" s="741"/>
      <c r="L1427" s="741"/>
      <c r="M1427" s="788"/>
      <c r="N1427" s="741"/>
      <c r="O1427" s="741"/>
      <c r="P1427" s="741"/>
      <c r="Q1427" s="741"/>
      <c r="R1427" s="788"/>
      <c r="S1427" s="819"/>
      <c r="T1427" s="820"/>
      <c r="U1427" s="819"/>
      <c r="V1427" s="820"/>
      <c r="W1427" s="788"/>
      <c r="X1427" s="803"/>
      <c r="Y1427" s="803"/>
      <c r="Z1427" s="803"/>
      <c r="AA1427" s="711"/>
      <c r="AB1427" s="711"/>
      <c r="AC1427" s="711"/>
      <c r="AD1427" s="736"/>
      <c r="AE1427" s="736"/>
      <c r="AF1427" s="624"/>
      <c r="AG1427" s="624"/>
      <c r="AH1427" s="624"/>
      <c r="AI1427" s="624"/>
      <c r="AJ1427" s="984"/>
      <c r="AK1427" s="985"/>
      <c r="AL1427" s="986"/>
      <c r="AM1427" s="987"/>
      <c r="AN1427" s="988"/>
      <c r="AO1427" s="986"/>
      <c r="AP1427" s="989"/>
      <c r="AQ1427" s="986"/>
      <c r="AR1427" s="990"/>
      <c r="AS1427" s="624"/>
      <c r="AT1427" s="624"/>
      <c r="AU1427" s="624"/>
      <c r="AV1427" s="624"/>
      <c r="AW1427" s="624"/>
      <c r="AX1427" s="624"/>
      <c r="AY1427" s="624"/>
      <c r="AZ1427" s="624"/>
      <c r="BA1427" s="624"/>
      <c r="BB1427" s="624"/>
      <c r="BC1427" s="624"/>
      <c r="BD1427" s="624"/>
      <c r="BE1427" s="624"/>
    </row>
    <row r="1428" ht="16.5" customHeight="1">
      <c r="A1428" s="711"/>
      <c r="B1428" s="711"/>
      <c r="C1428" s="711"/>
      <c r="D1428" s="711"/>
      <c r="E1428" s="711"/>
      <c r="F1428" s="711"/>
      <c r="G1428" s="711"/>
      <c r="H1428" s="711"/>
      <c r="I1428" s="711"/>
      <c r="J1428" s="711"/>
      <c r="K1428" s="741"/>
      <c r="L1428" s="741"/>
      <c r="M1428" s="788"/>
      <c r="N1428" s="741"/>
      <c r="O1428" s="741"/>
      <c r="P1428" s="741"/>
      <c r="Q1428" s="741"/>
      <c r="R1428" s="788"/>
      <c r="S1428" s="819"/>
      <c r="T1428" s="820"/>
      <c r="U1428" s="819"/>
      <c r="V1428" s="820"/>
      <c r="W1428" s="788"/>
      <c r="X1428" s="803"/>
      <c r="Y1428" s="803"/>
      <c r="Z1428" s="803"/>
      <c r="AA1428" s="711"/>
      <c r="AB1428" s="711"/>
      <c r="AC1428" s="711"/>
      <c r="AD1428" s="736"/>
      <c r="AE1428" s="736"/>
      <c r="AF1428" s="624"/>
      <c r="AG1428" s="624"/>
      <c r="AH1428" s="624"/>
      <c r="AI1428" s="624"/>
      <c r="AJ1428" s="984"/>
      <c r="AK1428" s="985"/>
      <c r="AL1428" s="986"/>
      <c r="AM1428" s="987"/>
      <c r="AN1428" s="988"/>
      <c r="AO1428" s="986"/>
      <c r="AP1428" s="989"/>
      <c r="AQ1428" s="986"/>
      <c r="AR1428" s="990"/>
      <c r="AS1428" s="624"/>
      <c r="AT1428" s="624"/>
      <c r="AU1428" s="624"/>
      <c r="AV1428" s="624"/>
      <c r="AW1428" s="624"/>
      <c r="AX1428" s="624"/>
      <c r="AY1428" s="624"/>
      <c r="AZ1428" s="624"/>
      <c r="BA1428" s="624"/>
      <c r="BB1428" s="624"/>
      <c r="BC1428" s="624"/>
      <c r="BD1428" s="624"/>
      <c r="BE1428" s="624"/>
    </row>
    <row r="1429" ht="16.5" customHeight="1">
      <c r="A1429" s="711"/>
      <c r="B1429" s="711"/>
      <c r="C1429" s="711"/>
      <c r="D1429" s="711"/>
      <c r="E1429" s="711"/>
      <c r="F1429" s="711"/>
      <c r="G1429" s="711"/>
      <c r="H1429" s="711"/>
      <c r="I1429" s="711"/>
      <c r="J1429" s="711"/>
      <c r="K1429" s="741"/>
      <c r="L1429" s="741"/>
      <c r="M1429" s="788"/>
      <c r="N1429" s="741"/>
      <c r="O1429" s="741"/>
      <c r="P1429" s="741"/>
      <c r="Q1429" s="741"/>
      <c r="R1429" s="788"/>
      <c r="S1429" s="819"/>
      <c r="T1429" s="820"/>
      <c r="U1429" s="819"/>
      <c r="V1429" s="820"/>
      <c r="W1429" s="788"/>
      <c r="X1429" s="803"/>
      <c r="Y1429" s="803"/>
      <c r="Z1429" s="803"/>
      <c r="AA1429" s="711"/>
      <c r="AB1429" s="711"/>
      <c r="AC1429" s="711"/>
      <c r="AD1429" s="736"/>
      <c r="AE1429" s="736"/>
      <c r="AF1429" s="624"/>
      <c r="AG1429" s="624"/>
      <c r="AH1429" s="624"/>
      <c r="AI1429" s="624"/>
      <c r="AJ1429" s="984"/>
      <c r="AK1429" s="985"/>
      <c r="AL1429" s="986"/>
      <c r="AM1429" s="987"/>
      <c r="AN1429" s="988"/>
      <c r="AO1429" s="986"/>
      <c r="AP1429" s="989"/>
      <c r="AQ1429" s="986"/>
      <c r="AR1429" s="990"/>
      <c r="AS1429" s="624"/>
      <c r="AT1429" s="624"/>
      <c r="AU1429" s="624"/>
      <c r="AV1429" s="624"/>
      <c r="AW1429" s="624"/>
      <c r="AX1429" s="624"/>
      <c r="AY1429" s="624"/>
      <c r="AZ1429" s="624"/>
      <c r="BA1429" s="624"/>
      <c r="BB1429" s="624"/>
      <c r="BC1429" s="624"/>
      <c r="BD1429" s="624"/>
      <c r="BE1429" s="624"/>
    </row>
    <row r="1430" ht="16.5" customHeight="1">
      <c r="A1430" s="711"/>
      <c r="B1430" s="711"/>
      <c r="C1430" s="711"/>
      <c r="D1430" s="711"/>
      <c r="E1430" s="711"/>
      <c r="F1430" s="711"/>
      <c r="G1430" s="711"/>
      <c r="H1430" s="711"/>
      <c r="I1430" s="711"/>
      <c r="J1430" s="711"/>
      <c r="K1430" s="741"/>
      <c r="L1430" s="741"/>
      <c r="M1430" s="788"/>
      <c r="N1430" s="741"/>
      <c r="O1430" s="741"/>
      <c r="P1430" s="741"/>
      <c r="Q1430" s="741"/>
      <c r="R1430" s="788"/>
      <c r="S1430" s="819"/>
      <c r="T1430" s="820"/>
      <c r="U1430" s="819"/>
      <c r="V1430" s="820"/>
      <c r="W1430" s="788"/>
      <c r="X1430" s="803"/>
      <c r="Y1430" s="803"/>
      <c r="Z1430" s="803"/>
      <c r="AA1430" s="711"/>
      <c r="AB1430" s="711"/>
      <c r="AC1430" s="711"/>
      <c r="AD1430" s="736"/>
      <c r="AE1430" s="736"/>
      <c r="AF1430" s="624"/>
      <c r="AG1430" s="624"/>
      <c r="AH1430" s="624"/>
      <c r="AI1430" s="624"/>
      <c r="AJ1430" s="984"/>
      <c r="AK1430" s="985"/>
      <c r="AL1430" s="986"/>
      <c r="AM1430" s="987"/>
      <c r="AN1430" s="988"/>
      <c r="AO1430" s="986"/>
      <c r="AP1430" s="989"/>
      <c r="AQ1430" s="986"/>
      <c r="AR1430" s="990"/>
      <c r="AS1430" s="624"/>
      <c r="AT1430" s="624"/>
      <c r="AU1430" s="624"/>
      <c r="AV1430" s="624"/>
      <c r="AW1430" s="624"/>
      <c r="AX1430" s="624"/>
      <c r="AY1430" s="624"/>
      <c r="AZ1430" s="624"/>
      <c r="BA1430" s="624"/>
      <c r="BB1430" s="624"/>
      <c r="BC1430" s="624"/>
      <c r="BD1430" s="624"/>
      <c r="BE1430" s="624"/>
    </row>
    <row r="1431" ht="16.5" customHeight="1">
      <c r="A1431" s="711"/>
      <c r="B1431" s="711"/>
      <c r="C1431" s="711"/>
      <c r="D1431" s="711"/>
      <c r="E1431" s="711"/>
      <c r="F1431" s="711"/>
      <c r="G1431" s="711"/>
      <c r="H1431" s="711"/>
      <c r="I1431" s="711"/>
      <c r="J1431" s="711"/>
      <c r="K1431" s="741"/>
      <c r="L1431" s="741"/>
      <c r="M1431" s="788"/>
      <c r="N1431" s="741"/>
      <c r="O1431" s="741"/>
      <c r="P1431" s="741"/>
      <c r="Q1431" s="741"/>
      <c r="R1431" s="788"/>
      <c r="S1431" s="819"/>
      <c r="T1431" s="820"/>
      <c r="U1431" s="819"/>
      <c r="V1431" s="820"/>
      <c r="W1431" s="788"/>
      <c r="X1431" s="803"/>
      <c r="Y1431" s="803"/>
      <c r="Z1431" s="803"/>
      <c r="AA1431" s="711"/>
      <c r="AB1431" s="711"/>
      <c r="AC1431" s="711"/>
      <c r="AD1431" s="736"/>
      <c r="AE1431" s="736"/>
      <c r="AF1431" s="624"/>
      <c r="AG1431" s="624"/>
      <c r="AH1431" s="624"/>
      <c r="AI1431" s="624"/>
      <c r="AJ1431" s="984"/>
      <c r="AK1431" s="985"/>
      <c r="AL1431" s="986"/>
      <c r="AM1431" s="987"/>
      <c r="AN1431" s="988"/>
      <c r="AO1431" s="986"/>
      <c r="AP1431" s="989"/>
      <c r="AQ1431" s="986"/>
      <c r="AR1431" s="990"/>
      <c r="AS1431" s="624"/>
      <c r="AT1431" s="624"/>
      <c r="AU1431" s="624"/>
      <c r="AV1431" s="624"/>
      <c r="AW1431" s="624"/>
      <c r="AX1431" s="624"/>
      <c r="AY1431" s="624"/>
      <c r="AZ1431" s="624"/>
      <c r="BA1431" s="624"/>
      <c r="BB1431" s="624"/>
      <c r="BC1431" s="624"/>
      <c r="BD1431" s="624"/>
      <c r="BE1431" s="624"/>
    </row>
    <row r="1432" ht="16.5" customHeight="1">
      <c r="A1432" s="711"/>
      <c r="B1432" s="711"/>
      <c r="C1432" s="711"/>
      <c r="D1432" s="711"/>
      <c r="E1432" s="711"/>
      <c r="F1432" s="711"/>
      <c r="G1432" s="711"/>
      <c r="H1432" s="711"/>
      <c r="I1432" s="711"/>
      <c r="J1432" s="711"/>
      <c r="K1432" s="741"/>
      <c r="L1432" s="741"/>
      <c r="M1432" s="788"/>
      <c r="N1432" s="741"/>
      <c r="O1432" s="741"/>
      <c r="P1432" s="741"/>
      <c r="Q1432" s="741"/>
      <c r="R1432" s="788"/>
      <c r="S1432" s="819"/>
      <c r="T1432" s="820"/>
      <c r="U1432" s="819"/>
      <c r="V1432" s="820"/>
      <c r="W1432" s="788"/>
      <c r="X1432" s="803"/>
      <c r="Y1432" s="803"/>
      <c r="Z1432" s="803"/>
      <c r="AA1432" s="711"/>
      <c r="AB1432" s="711"/>
      <c r="AC1432" s="711"/>
      <c r="AD1432" s="736"/>
      <c r="AE1432" s="736"/>
      <c r="AF1432" s="624"/>
      <c r="AG1432" s="624"/>
      <c r="AH1432" s="624"/>
      <c r="AI1432" s="624"/>
      <c r="AJ1432" s="984"/>
      <c r="AK1432" s="985"/>
      <c r="AL1432" s="986"/>
      <c r="AM1432" s="987"/>
      <c r="AN1432" s="988"/>
      <c r="AO1432" s="986"/>
      <c r="AP1432" s="989"/>
      <c r="AQ1432" s="986"/>
      <c r="AR1432" s="990"/>
      <c r="AS1432" s="624"/>
      <c r="AT1432" s="624"/>
      <c r="AU1432" s="624"/>
      <c r="AV1432" s="624"/>
      <c r="AW1432" s="624"/>
      <c r="AX1432" s="624"/>
      <c r="AY1432" s="624"/>
      <c r="AZ1432" s="624"/>
      <c r="BA1432" s="624"/>
      <c r="BB1432" s="624"/>
      <c r="BC1432" s="624"/>
      <c r="BD1432" s="624"/>
      <c r="BE1432" s="624"/>
    </row>
    <row r="1433" ht="16.5" customHeight="1">
      <c r="A1433" s="711"/>
      <c r="B1433" s="711"/>
      <c r="C1433" s="711"/>
      <c r="D1433" s="711"/>
      <c r="E1433" s="711"/>
      <c r="F1433" s="711"/>
      <c r="G1433" s="711"/>
      <c r="H1433" s="711"/>
      <c r="I1433" s="711"/>
      <c r="J1433" s="711"/>
      <c r="K1433" s="741"/>
      <c r="L1433" s="741"/>
      <c r="M1433" s="788"/>
      <c r="N1433" s="741"/>
      <c r="O1433" s="741"/>
      <c r="P1433" s="741"/>
      <c r="Q1433" s="741"/>
      <c r="R1433" s="788"/>
      <c r="S1433" s="819"/>
      <c r="T1433" s="820"/>
      <c r="U1433" s="819"/>
      <c r="V1433" s="820"/>
      <c r="W1433" s="788"/>
      <c r="X1433" s="803"/>
      <c r="Y1433" s="803"/>
      <c r="Z1433" s="803"/>
      <c r="AA1433" s="711"/>
      <c r="AB1433" s="711"/>
      <c r="AC1433" s="711"/>
      <c r="AD1433" s="736"/>
      <c r="AE1433" s="736"/>
      <c r="AF1433" s="624"/>
      <c r="AG1433" s="624"/>
      <c r="AH1433" s="624"/>
      <c r="AI1433" s="624"/>
      <c r="AJ1433" s="984"/>
      <c r="AK1433" s="985"/>
      <c r="AL1433" s="986"/>
      <c r="AM1433" s="987"/>
      <c r="AN1433" s="988"/>
      <c r="AO1433" s="986"/>
      <c r="AP1433" s="989"/>
      <c r="AQ1433" s="986"/>
      <c r="AR1433" s="990"/>
      <c r="AS1433" s="624"/>
      <c r="AT1433" s="624"/>
      <c r="AU1433" s="624"/>
      <c r="AV1433" s="624"/>
      <c r="AW1433" s="624"/>
      <c r="AX1433" s="624"/>
      <c r="AY1433" s="624"/>
      <c r="AZ1433" s="624"/>
      <c r="BA1433" s="624"/>
      <c r="BB1433" s="624"/>
      <c r="BC1433" s="624"/>
      <c r="BD1433" s="624"/>
      <c r="BE1433" s="624"/>
    </row>
    <row r="1434" ht="16.5" customHeight="1">
      <c r="A1434" s="711"/>
      <c r="B1434" s="711"/>
      <c r="C1434" s="711"/>
      <c r="D1434" s="711"/>
      <c r="E1434" s="711"/>
      <c r="F1434" s="711"/>
      <c r="G1434" s="711"/>
      <c r="H1434" s="711"/>
      <c r="I1434" s="711"/>
      <c r="J1434" s="711"/>
      <c r="K1434" s="741"/>
      <c r="L1434" s="741"/>
      <c r="M1434" s="788"/>
      <c r="N1434" s="741"/>
      <c r="O1434" s="741"/>
      <c r="P1434" s="741"/>
      <c r="Q1434" s="741"/>
      <c r="R1434" s="788"/>
      <c r="S1434" s="819"/>
      <c r="T1434" s="820"/>
      <c r="U1434" s="819"/>
      <c r="V1434" s="820"/>
      <c r="W1434" s="788"/>
      <c r="X1434" s="803"/>
      <c r="Y1434" s="803"/>
      <c r="Z1434" s="803"/>
      <c r="AA1434" s="711"/>
      <c r="AB1434" s="711"/>
      <c r="AC1434" s="711"/>
      <c r="AD1434" s="736"/>
      <c r="AE1434" s="736"/>
      <c r="AF1434" s="624"/>
      <c r="AG1434" s="624"/>
      <c r="AH1434" s="624"/>
      <c r="AI1434" s="624"/>
      <c r="AJ1434" s="984"/>
      <c r="AK1434" s="985"/>
      <c r="AL1434" s="986"/>
      <c r="AM1434" s="987"/>
      <c r="AN1434" s="988"/>
      <c r="AO1434" s="986"/>
      <c r="AP1434" s="989"/>
      <c r="AQ1434" s="986"/>
      <c r="AR1434" s="990"/>
      <c r="AS1434" s="624"/>
      <c r="AT1434" s="624"/>
      <c r="AU1434" s="624"/>
      <c r="AV1434" s="624"/>
      <c r="AW1434" s="624"/>
      <c r="AX1434" s="624"/>
      <c r="AY1434" s="624"/>
      <c r="AZ1434" s="624"/>
      <c r="BA1434" s="624"/>
      <c r="BB1434" s="624"/>
      <c r="BC1434" s="624"/>
      <c r="BD1434" s="624"/>
      <c r="BE1434" s="624"/>
    </row>
    <row r="1435" ht="16.5" customHeight="1">
      <c r="A1435" s="711"/>
      <c r="B1435" s="711"/>
      <c r="C1435" s="711"/>
      <c r="D1435" s="711"/>
      <c r="E1435" s="711"/>
      <c r="F1435" s="711"/>
      <c r="G1435" s="711"/>
      <c r="H1435" s="711"/>
      <c r="I1435" s="711"/>
      <c r="J1435" s="711"/>
      <c r="K1435" s="741"/>
      <c r="L1435" s="741"/>
      <c r="M1435" s="788"/>
      <c r="N1435" s="741"/>
      <c r="O1435" s="741"/>
      <c r="P1435" s="741"/>
      <c r="Q1435" s="741"/>
      <c r="R1435" s="788"/>
      <c r="S1435" s="819"/>
      <c r="T1435" s="820"/>
      <c r="U1435" s="819"/>
      <c r="V1435" s="820"/>
      <c r="W1435" s="788"/>
      <c r="X1435" s="803"/>
      <c r="Y1435" s="803"/>
      <c r="Z1435" s="803"/>
      <c r="AA1435" s="711"/>
      <c r="AB1435" s="711"/>
      <c r="AC1435" s="711"/>
      <c r="AD1435" s="736"/>
      <c r="AE1435" s="736"/>
      <c r="AF1435" s="624"/>
      <c r="AG1435" s="624"/>
      <c r="AH1435" s="624"/>
      <c r="AI1435" s="624"/>
      <c r="AJ1435" s="984"/>
      <c r="AK1435" s="985"/>
      <c r="AL1435" s="986"/>
      <c r="AM1435" s="987"/>
      <c r="AN1435" s="988"/>
      <c r="AO1435" s="986"/>
      <c r="AP1435" s="989"/>
      <c r="AQ1435" s="986"/>
      <c r="AR1435" s="990"/>
      <c r="AS1435" s="624"/>
      <c r="AT1435" s="624"/>
      <c r="AU1435" s="624"/>
      <c r="AV1435" s="624"/>
      <c r="AW1435" s="624"/>
      <c r="AX1435" s="624"/>
      <c r="AY1435" s="624"/>
      <c r="AZ1435" s="624"/>
      <c r="BA1435" s="624"/>
      <c r="BB1435" s="624"/>
      <c r="BC1435" s="624"/>
      <c r="BD1435" s="624"/>
      <c r="BE1435" s="624"/>
    </row>
    <row r="1436" ht="16.5" customHeight="1">
      <c r="A1436" s="711"/>
      <c r="B1436" s="711"/>
      <c r="C1436" s="711"/>
      <c r="D1436" s="711"/>
      <c r="E1436" s="711"/>
      <c r="F1436" s="711"/>
      <c r="G1436" s="711"/>
      <c r="H1436" s="711"/>
      <c r="I1436" s="711"/>
      <c r="J1436" s="711"/>
      <c r="K1436" s="741"/>
      <c r="L1436" s="741"/>
      <c r="M1436" s="788"/>
      <c r="N1436" s="741"/>
      <c r="O1436" s="741"/>
      <c r="P1436" s="741"/>
      <c r="Q1436" s="741"/>
      <c r="R1436" s="788"/>
      <c r="S1436" s="819"/>
      <c r="T1436" s="820"/>
      <c r="U1436" s="819"/>
      <c r="V1436" s="820"/>
      <c r="W1436" s="788"/>
      <c r="X1436" s="803"/>
      <c r="Y1436" s="803"/>
      <c r="Z1436" s="803"/>
      <c r="AA1436" s="711"/>
      <c r="AB1436" s="711"/>
      <c r="AC1436" s="711"/>
      <c r="AD1436" s="736"/>
      <c r="AE1436" s="736"/>
      <c r="AF1436" s="624"/>
      <c r="AG1436" s="624"/>
      <c r="AH1436" s="624"/>
      <c r="AI1436" s="624"/>
      <c r="AJ1436" s="984"/>
      <c r="AK1436" s="985"/>
      <c r="AL1436" s="986"/>
      <c r="AM1436" s="987"/>
      <c r="AN1436" s="988"/>
      <c r="AO1436" s="986"/>
      <c r="AP1436" s="989"/>
      <c r="AQ1436" s="986"/>
      <c r="AR1436" s="990"/>
      <c r="AS1436" s="624"/>
      <c r="AT1436" s="624"/>
      <c r="AU1436" s="624"/>
      <c r="AV1436" s="624"/>
      <c r="AW1436" s="624"/>
      <c r="AX1436" s="624"/>
      <c r="AY1436" s="624"/>
      <c r="AZ1436" s="624"/>
      <c r="BA1436" s="624"/>
      <c r="BB1436" s="624"/>
      <c r="BC1436" s="624"/>
      <c r="BD1436" s="624"/>
      <c r="BE1436" s="624"/>
    </row>
    <row r="1437" ht="16.5" customHeight="1">
      <c r="A1437" s="711"/>
      <c r="B1437" s="711"/>
      <c r="C1437" s="711"/>
      <c r="D1437" s="711"/>
      <c r="E1437" s="711"/>
      <c r="F1437" s="711"/>
      <c r="G1437" s="711"/>
      <c r="H1437" s="711"/>
      <c r="I1437" s="711"/>
      <c r="J1437" s="711"/>
      <c r="K1437" s="741"/>
      <c r="L1437" s="741"/>
      <c r="M1437" s="788"/>
      <c r="N1437" s="741"/>
      <c r="O1437" s="741"/>
      <c r="P1437" s="741"/>
      <c r="Q1437" s="741"/>
      <c r="R1437" s="788"/>
      <c r="S1437" s="819"/>
      <c r="T1437" s="820"/>
      <c r="U1437" s="819"/>
      <c r="V1437" s="820"/>
      <c r="W1437" s="788"/>
      <c r="X1437" s="803"/>
      <c r="Y1437" s="803"/>
      <c r="Z1437" s="803"/>
      <c r="AA1437" s="711"/>
      <c r="AB1437" s="711"/>
      <c r="AC1437" s="711"/>
      <c r="AD1437" s="736"/>
      <c r="AE1437" s="736"/>
      <c r="AF1437" s="624"/>
      <c r="AG1437" s="624"/>
      <c r="AH1437" s="624"/>
      <c r="AI1437" s="624"/>
      <c r="AJ1437" s="984"/>
      <c r="AK1437" s="985"/>
      <c r="AL1437" s="986"/>
      <c r="AM1437" s="987"/>
      <c r="AN1437" s="988"/>
      <c r="AO1437" s="986"/>
      <c r="AP1437" s="989"/>
      <c r="AQ1437" s="986"/>
      <c r="AR1437" s="990"/>
      <c r="AS1437" s="624"/>
      <c r="AT1437" s="624"/>
      <c r="AU1437" s="624"/>
      <c r="AV1437" s="624"/>
      <c r="AW1437" s="624"/>
      <c r="AX1437" s="624"/>
      <c r="AY1437" s="624"/>
      <c r="AZ1437" s="624"/>
      <c r="BA1437" s="624"/>
      <c r="BB1437" s="624"/>
      <c r="BC1437" s="624"/>
      <c r="BD1437" s="624"/>
      <c r="BE1437" s="624"/>
    </row>
    <row r="1438" ht="16.5" customHeight="1">
      <c r="A1438" s="711"/>
      <c r="B1438" s="711"/>
      <c r="C1438" s="711"/>
      <c r="D1438" s="711"/>
      <c r="E1438" s="711"/>
      <c r="F1438" s="711"/>
      <c r="G1438" s="711"/>
      <c r="H1438" s="711"/>
      <c r="I1438" s="711"/>
      <c r="J1438" s="711"/>
      <c r="K1438" s="741"/>
      <c r="L1438" s="741"/>
      <c r="M1438" s="788"/>
      <c r="N1438" s="741"/>
      <c r="O1438" s="741"/>
      <c r="P1438" s="741"/>
      <c r="Q1438" s="741"/>
      <c r="R1438" s="788"/>
      <c r="S1438" s="819"/>
      <c r="T1438" s="820"/>
      <c r="U1438" s="819"/>
      <c r="V1438" s="820"/>
      <c r="W1438" s="788"/>
      <c r="X1438" s="803"/>
      <c r="Y1438" s="803"/>
      <c r="Z1438" s="803"/>
      <c r="AA1438" s="711"/>
      <c r="AB1438" s="711"/>
      <c r="AC1438" s="711"/>
      <c r="AD1438" s="736"/>
      <c r="AE1438" s="736"/>
      <c r="AF1438" s="624"/>
      <c r="AG1438" s="624"/>
      <c r="AH1438" s="624"/>
      <c r="AI1438" s="624"/>
      <c r="AJ1438" s="984"/>
      <c r="AK1438" s="985"/>
      <c r="AL1438" s="986"/>
      <c r="AM1438" s="987"/>
      <c r="AN1438" s="988"/>
      <c r="AO1438" s="986"/>
      <c r="AP1438" s="989"/>
      <c r="AQ1438" s="986"/>
      <c r="AR1438" s="990"/>
      <c r="AS1438" s="624"/>
      <c r="AT1438" s="624"/>
      <c r="AU1438" s="624"/>
      <c r="AV1438" s="624"/>
      <c r="AW1438" s="624"/>
      <c r="AX1438" s="624"/>
      <c r="AY1438" s="624"/>
      <c r="AZ1438" s="624"/>
      <c r="BA1438" s="624"/>
      <c r="BB1438" s="624"/>
      <c r="BC1438" s="624"/>
      <c r="BD1438" s="624"/>
      <c r="BE1438" s="624"/>
    </row>
    <row r="1439" ht="16.5" customHeight="1">
      <c r="A1439" s="711"/>
      <c r="B1439" s="711"/>
      <c r="C1439" s="711"/>
      <c r="D1439" s="711"/>
      <c r="E1439" s="711"/>
      <c r="F1439" s="711"/>
      <c r="G1439" s="711"/>
      <c r="H1439" s="711"/>
      <c r="I1439" s="711"/>
      <c r="J1439" s="711"/>
      <c r="K1439" s="741"/>
      <c r="L1439" s="741"/>
      <c r="M1439" s="788"/>
      <c r="N1439" s="741"/>
      <c r="O1439" s="741"/>
      <c r="P1439" s="741"/>
      <c r="Q1439" s="741"/>
      <c r="R1439" s="788"/>
      <c r="S1439" s="819"/>
      <c r="T1439" s="820"/>
      <c r="U1439" s="819"/>
      <c r="V1439" s="820"/>
      <c r="W1439" s="788"/>
      <c r="X1439" s="803"/>
      <c r="Y1439" s="803"/>
      <c r="Z1439" s="803"/>
      <c r="AA1439" s="711"/>
      <c r="AB1439" s="711"/>
      <c r="AC1439" s="711"/>
      <c r="AD1439" s="736"/>
      <c r="AE1439" s="736"/>
      <c r="AF1439" s="624"/>
      <c r="AG1439" s="624"/>
      <c r="AH1439" s="624"/>
      <c r="AI1439" s="624"/>
      <c r="AJ1439" s="984"/>
      <c r="AK1439" s="985"/>
      <c r="AL1439" s="986"/>
      <c r="AM1439" s="987"/>
      <c r="AN1439" s="988"/>
      <c r="AO1439" s="986"/>
      <c r="AP1439" s="989"/>
      <c r="AQ1439" s="986"/>
      <c r="AR1439" s="990"/>
      <c r="AS1439" s="624"/>
      <c r="AT1439" s="624"/>
      <c r="AU1439" s="624"/>
      <c r="AV1439" s="624"/>
      <c r="AW1439" s="624"/>
      <c r="AX1439" s="624"/>
      <c r="AY1439" s="624"/>
      <c r="AZ1439" s="624"/>
      <c r="BA1439" s="624"/>
      <c r="BB1439" s="624"/>
      <c r="BC1439" s="624"/>
      <c r="BD1439" s="624"/>
      <c r="BE1439" s="624"/>
    </row>
    <row r="1440" ht="16.5" customHeight="1">
      <c r="A1440" s="711"/>
      <c r="B1440" s="711"/>
      <c r="C1440" s="711"/>
      <c r="D1440" s="711"/>
      <c r="E1440" s="711"/>
      <c r="F1440" s="711"/>
      <c r="G1440" s="711"/>
      <c r="H1440" s="711"/>
      <c r="I1440" s="711"/>
      <c r="J1440" s="711"/>
      <c r="K1440" s="741"/>
      <c r="L1440" s="741"/>
      <c r="M1440" s="788"/>
      <c r="N1440" s="741"/>
      <c r="O1440" s="741"/>
      <c r="P1440" s="741"/>
      <c r="Q1440" s="741"/>
      <c r="R1440" s="788"/>
      <c r="S1440" s="819"/>
      <c r="T1440" s="820"/>
      <c r="U1440" s="819"/>
      <c r="V1440" s="820"/>
      <c r="W1440" s="788"/>
      <c r="X1440" s="803"/>
      <c r="Y1440" s="803"/>
      <c r="Z1440" s="803"/>
      <c r="AA1440" s="711"/>
      <c r="AB1440" s="711"/>
      <c r="AC1440" s="711"/>
      <c r="AD1440" s="736"/>
      <c r="AE1440" s="736"/>
      <c r="AF1440" s="624"/>
      <c r="AG1440" s="624"/>
      <c r="AH1440" s="624"/>
      <c r="AI1440" s="624"/>
      <c r="AJ1440" s="984"/>
      <c r="AK1440" s="985"/>
      <c r="AL1440" s="986"/>
      <c r="AM1440" s="987"/>
      <c r="AN1440" s="988"/>
      <c r="AO1440" s="986"/>
      <c r="AP1440" s="989"/>
      <c r="AQ1440" s="986"/>
      <c r="AR1440" s="990"/>
      <c r="AS1440" s="624"/>
      <c r="AT1440" s="624"/>
      <c r="AU1440" s="624"/>
      <c r="AV1440" s="624"/>
      <c r="AW1440" s="624"/>
      <c r="AX1440" s="624"/>
      <c r="AY1440" s="624"/>
      <c r="AZ1440" s="624"/>
      <c r="BA1440" s="624"/>
      <c r="BB1440" s="624"/>
      <c r="BC1440" s="624"/>
      <c r="BD1440" s="624"/>
      <c r="BE1440" s="624"/>
    </row>
    <row r="1441" ht="16.5" customHeight="1">
      <c r="A1441" s="711"/>
      <c r="B1441" s="711"/>
      <c r="C1441" s="711"/>
      <c r="D1441" s="711"/>
      <c r="E1441" s="711"/>
      <c r="F1441" s="711"/>
      <c r="G1441" s="711"/>
      <c r="H1441" s="711"/>
      <c r="I1441" s="711"/>
      <c r="J1441" s="711"/>
      <c r="K1441" s="741"/>
      <c r="L1441" s="741"/>
      <c r="M1441" s="788"/>
      <c r="N1441" s="741"/>
      <c r="O1441" s="741"/>
      <c r="P1441" s="741"/>
      <c r="Q1441" s="741"/>
      <c r="R1441" s="788"/>
      <c r="S1441" s="819"/>
      <c r="T1441" s="820"/>
      <c r="U1441" s="819"/>
      <c r="V1441" s="820"/>
      <c r="W1441" s="788"/>
      <c r="X1441" s="803"/>
      <c r="Y1441" s="803"/>
      <c r="Z1441" s="803"/>
      <c r="AA1441" s="711"/>
      <c r="AB1441" s="711"/>
      <c r="AC1441" s="711"/>
      <c r="AD1441" s="736"/>
      <c r="AE1441" s="736"/>
      <c r="AF1441" s="624"/>
      <c r="AG1441" s="624"/>
      <c r="AH1441" s="624"/>
      <c r="AI1441" s="624"/>
      <c r="AJ1441" s="984"/>
      <c r="AK1441" s="985"/>
      <c r="AL1441" s="986"/>
      <c r="AM1441" s="987"/>
      <c r="AN1441" s="988"/>
      <c r="AO1441" s="986"/>
      <c r="AP1441" s="989"/>
      <c r="AQ1441" s="986"/>
      <c r="AR1441" s="990"/>
      <c r="AS1441" s="624"/>
      <c r="AT1441" s="624"/>
      <c r="AU1441" s="624"/>
      <c r="AV1441" s="624"/>
      <c r="AW1441" s="624"/>
      <c r="AX1441" s="624"/>
      <c r="AY1441" s="624"/>
      <c r="AZ1441" s="624"/>
      <c r="BA1441" s="624"/>
      <c r="BB1441" s="624"/>
      <c r="BC1441" s="624"/>
      <c r="BD1441" s="624"/>
      <c r="BE1441" s="624"/>
    </row>
    <row r="1442" ht="16.5" customHeight="1">
      <c r="A1442" s="711"/>
      <c r="B1442" s="711"/>
      <c r="C1442" s="711"/>
      <c r="D1442" s="711"/>
      <c r="E1442" s="711"/>
      <c r="F1442" s="711"/>
      <c r="G1442" s="711"/>
      <c r="H1442" s="711"/>
      <c r="I1442" s="711"/>
      <c r="J1442" s="711"/>
      <c r="K1442" s="741"/>
      <c r="L1442" s="741"/>
      <c r="M1442" s="788"/>
      <c r="N1442" s="741"/>
      <c r="O1442" s="741"/>
      <c r="P1442" s="741"/>
      <c r="Q1442" s="741"/>
      <c r="R1442" s="788"/>
      <c r="S1442" s="819"/>
      <c r="T1442" s="820"/>
      <c r="U1442" s="819"/>
      <c r="V1442" s="820"/>
      <c r="W1442" s="788"/>
      <c r="X1442" s="803"/>
      <c r="Y1442" s="803"/>
      <c r="Z1442" s="803"/>
      <c r="AA1442" s="711"/>
      <c r="AB1442" s="711"/>
      <c r="AC1442" s="711"/>
      <c r="AD1442" s="736"/>
      <c r="AE1442" s="736"/>
      <c r="AF1442" s="624"/>
      <c r="AG1442" s="624"/>
      <c r="AH1442" s="624"/>
      <c r="AI1442" s="624"/>
      <c r="AJ1442" s="984"/>
      <c r="AK1442" s="985"/>
      <c r="AL1442" s="986"/>
      <c r="AM1442" s="987"/>
      <c r="AN1442" s="988"/>
      <c r="AO1442" s="986"/>
      <c r="AP1442" s="989"/>
      <c r="AQ1442" s="986"/>
      <c r="AR1442" s="990"/>
      <c r="AS1442" s="624"/>
      <c r="AT1442" s="624"/>
      <c r="AU1442" s="624"/>
      <c r="AV1442" s="624"/>
      <c r="AW1442" s="624"/>
      <c r="AX1442" s="624"/>
      <c r="AY1442" s="624"/>
      <c r="AZ1442" s="624"/>
      <c r="BA1442" s="624"/>
      <c r="BB1442" s="624"/>
      <c r="BC1442" s="624"/>
      <c r="BD1442" s="624"/>
      <c r="BE1442" s="624"/>
    </row>
    <row r="1443" ht="16.5" customHeight="1">
      <c r="A1443" s="711"/>
      <c r="B1443" s="711"/>
      <c r="C1443" s="711"/>
      <c r="D1443" s="711"/>
      <c r="E1443" s="711"/>
      <c r="F1443" s="711"/>
      <c r="G1443" s="711"/>
      <c r="H1443" s="711"/>
      <c r="I1443" s="711"/>
      <c r="J1443" s="711"/>
      <c r="K1443" s="741"/>
      <c r="L1443" s="741"/>
      <c r="M1443" s="788"/>
      <c r="N1443" s="741"/>
      <c r="O1443" s="741"/>
      <c r="P1443" s="741"/>
      <c r="Q1443" s="741"/>
      <c r="R1443" s="788"/>
      <c r="S1443" s="819"/>
      <c r="T1443" s="820"/>
      <c r="U1443" s="819"/>
      <c r="V1443" s="820"/>
      <c r="W1443" s="788"/>
      <c r="X1443" s="803"/>
      <c r="Y1443" s="803"/>
      <c r="Z1443" s="803"/>
      <c r="AA1443" s="711"/>
      <c r="AB1443" s="711"/>
      <c r="AC1443" s="711"/>
      <c r="AD1443" s="736"/>
      <c r="AE1443" s="736"/>
      <c r="AF1443" s="624"/>
      <c r="AG1443" s="624"/>
      <c r="AH1443" s="624"/>
      <c r="AI1443" s="624"/>
      <c r="AJ1443" s="984"/>
      <c r="AK1443" s="985"/>
      <c r="AL1443" s="986"/>
      <c r="AM1443" s="987"/>
      <c r="AN1443" s="988"/>
      <c r="AO1443" s="986"/>
      <c r="AP1443" s="989"/>
      <c r="AQ1443" s="986"/>
      <c r="AR1443" s="990"/>
      <c r="AS1443" s="624"/>
      <c r="AT1443" s="624"/>
      <c r="AU1443" s="624"/>
      <c r="AV1443" s="624"/>
      <c r="AW1443" s="624"/>
      <c r="AX1443" s="624"/>
      <c r="AY1443" s="624"/>
      <c r="AZ1443" s="624"/>
      <c r="BA1443" s="624"/>
      <c r="BB1443" s="624"/>
      <c r="BC1443" s="624"/>
      <c r="BD1443" s="624"/>
      <c r="BE1443" s="624"/>
    </row>
    <row r="1444" ht="16.5" customHeight="1">
      <c r="A1444" s="711"/>
      <c r="B1444" s="711"/>
      <c r="C1444" s="711"/>
      <c r="D1444" s="711"/>
      <c r="E1444" s="711"/>
      <c r="F1444" s="711"/>
      <c r="G1444" s="711"/>
      <c r="H1444" s="711"/>
      <c r="I1444" s="711"/>
      <c r="J1444" s="711"/>
      <c r="K1444" s="741"/>
      <c r="L1444" s="741"/>
      <c r="M1444" s="788"/>
      <c r="N1444" s="741"/>
      <c r="O1444" s="741"/>
      <c r="P1444" s="741"/>
      <c r="Q1444" s="741"/>
      <c r="R1444" s="788"/>
      <c r="S1444" s="819"/>
      <c r="T1444" s="820"/>
      <c r="U1444" s="819"/>
      <c r="V1444" s="820"/>
      <c r="W1444" s="788"/>
      <c r="X1444" s="803"/>
      <c r="Y1444" s="803"/>
      <c r="Z1444" s="803"/>
      <c r="AA1444" s="711"/>
      <c r="AB1444" s="711"/>
      <c r="AC1444" s="711"/>
      <c r="AD1444" s="736"/>
      <c r="AE1444" s="736"/>
      <c r="AF1444" s="624"/>
      <c r="AG1444" s="624"/>
      <c r="AH1444" s="624"/>
      <c r="AI1444" s="624"/>
      <c r="AJ1444" s="984"/>
      <c r="AK1444" s="985"/>
      <c r="AL1444" s="986"/>
      <c r="AM1444" s="987"/>
      <c r="AN1444" s="988"/>
      <c r="AO1444" s="986"/>
      <c r="AP1444" s="989"/>
      <c r="AQ1444" s="986"/>
      <c r="AR1444" s="990"/>
      <c r="AS1444" s="624"/>
      <c r="AT1444" s="624"/>
      <c r="AU1444" s="624"/>
      <c r="AV1444" s="624"/>
      <c r="AW1444" s="624"/>
      <c r="AX1444" s="624"/>
      <c r="AY1444" s="624"/>
      <c r="AZ1444" s="624"/>
      <c r="BA1444" s="624"/>
      <c r="BB1444" s="624"/>
      <c r="BC1444" s="624"/>
      <c r="BD1444" s="624"/>
      <c r="BE1444" s="624"/>
    </row>
    <row r="1445" ht="16.5" customHeight="1">
      <c r="A1445" s="711"/>
      <c r="B1445" s="711"/>
      <c r="C1445" s="711"/>
      <c r="D1445" s="711"/>
      <c r="E1445" s="711"/>
      <c r="F1445" s="711"/>
      <c r="G1445" s="711"/>
      <c r="H1445" s="711"/>
      <c r="I1445" s="711"/>
      <c r="J1445" s="711"/>
      <c r="K1445" s="741"/>
      <c r="L1445" s="741"/>
      <c r="M1445" s="788"/>
      <c r="N1445" s="741"/>
      <c r="O1445" s="741"/>
      <c r="P1445" s="741"/>
      <c r="Q1445" s="741"/>
      <c r="R1445" s="788"/>
      <c r="S1445" s="819"/>
      <c r="T1445" s="820"/>
      <c r="U1445" s="819"/>
      <c r="V1445" s="820"/>
      <c r="W1445" s="788"/>
      <c r="X1445" s="803"/>
      <c r="Y1445" s="803"/>
      <c r="Z1445" s="803"/>
      <c r="AA1445" s="711"/>
      <c r="AB1445" s="711"/>
      <c r="AC1445" s="711"/>
      <c r="AD1445" s="736"/>
      <c r="AE1445" s="736"/>
      <c r="AF1445" s="624"/>
      <c r="AG1445" s="624"/>
      <c r="AH1445" s="624"/>
      <c r="AI1445" s="624"/>
      <c r="AJ1445" s="984"/>
      <c r="AK1445" s="985"/>
      <c r="AL1445" s="986"/>
      <c r="AM1445" s="987"/>
      <c r="AN1445" s="988"/>
      <c r="AO1445" s="986"/>
      <c r="AP1445" s="989"/>
      <c r="AQ1445" s="986"/>
      <c r="AR1445" s="990"/>
      <c r="AS1445" s="624"/>
      <c r="AT1445" s="624"/>
      <c r="AU1445" s="624"/>
      <c r="AV1445" s="624"/>
      <c r="AW1445" s="624"/>
      <c r="AX1445" s="624"/>
      <c r="AY1445" s="624"/>
      <c r="AZ1445" s="624"/>
      <c r="BA1445" s="624"/>
      <c r="BB1445" s="624"/>
      <c r="BC1445" s="624"/>
      <c r="BD1445" s="624"/>
      <c r="BE1445" s="624"/>
    </row>
    <row r="1446" ht="16.5" customHeight="1">
      <c r="A1446" s="711"/>
      <c r="B1446" s="711"/>
      <c r="C1446" s="711"/>
      <c r="D1446" s="711"/>
      <c r="E1446" s="711"/>
      <c r="F1446" s="711"/>
      <c r="G1446" s="711"/>
      <c r="H1446" s="711"/>
      <c r="I1446" s="711"/>
      <c r="J1446" s="711"/>
      <c r="K1446" s="741"/>
      <c r="L1446" s="741"/>
      <c r="M1446" s="788"/>
      <c r="N1446" s="741"/>
      <c r="O1446" s="741"/>
      <c r="P1446" s="741"/>
      <c r="Q1446" s="741"/>
      <c r="R1446" s="788"/>
      <c r="S1446" s="819"/>
      <c r="T1446" s="820"/>
      <c r="U1446" s="819"/>
      <c r="V1446" s="820"/>
      <c r="W1446" s="788"/>
      <c r="X1446" s="803"/>
      <c r="Y1446" s="803"/>
      <c r="Z1446" s="803"/>
      <c r="AA1446" s="711"/>
      <c r="AB1446" s="711"/>
      <c r="AC1446" s="711"/>
      <c r="AD1446" s="736"/>
      <c r="AE1446" s="736"/>
      <c r="AF1446" s="624"/>
      <c r="AG1446" s="624"/>
      <c r="AH1446" s="624"/>
      <c r="AI1446" s="624"/>
      <c r="AJ1446" s="984"/>
      <c r="AK1446" s="985"/>
      <c r="AL1446" s="986"/>
      <c r="AM1446" s="987"/>
      <c r="AN1446" s="988"/>
      <c r="AO1446" s="986"/>
      <c r="AP1446" s="989"/>
      <c r="AQ1446" s="986"/>
      <c r="AR1446" s="990"/>
      <c r="AS1446" s="624"/>
      <c r="AT1446" s="624"/>
      <c r="AU1446" s="624"/>
      <c r="AV1446" s="624"/>
      <c r="AW1446" s="624"/>
      <c r="AX1446" s="624"/>
      <c r="AY1446" s="624"/>
      <c r="AZ1446" s="624"/>
      <c r="BA1446" s="624"/>
      <c r="BB1446" s="624"/>
      <c r="BC1446" s="624"/>
      <c r="BD1446" s="624"/>
      <c r="BE1446" s="624"/>
    </row>
    <row r="1447" ht="16.5" customHeight="1">
      <c r="A1447" s="711"/>
      <c r="B1447" s="711"/>
      <c r="C1447" s="711"/>
      <c r="D1447" s="711"/>
      <c r="E1447" s="711"/>
      <c r="F1447" s="711"/>
      <c r="G1447" s="711"/>
      <c r="H1447" s="711"/>
      <c r="I1447" s="711"/>
      <c r="J1447" s="711"/>
      <c r="K1447" s="741"/>
      <c r="L1447" s="741"/>
      <c r="M1447" s="788"/>
      <c r="N1447" s="741"/>
      <c r="O1447" s="741"/>
      <c r="P1447" s="741"/>
      <c r="Q1447" s="741"/>
      <c r="R1447" s="788"/>
      <c r="S1447" s="819"/>
      <c r="T1447" s="820"/>
      <c r="U1447" s="819"/>
      <c r="V1447" s="820"/>
      <c r="W1447" s="788"/>
      <c r="X1447" s="803"/>
      <c r="Y1447" s="803"/>
      <c r="Z1447" s="803"/>
      <c r="AA1447" s="711"/>
      <c r="AB1447" s="711"/>
      <c r="AC1447" s="711"/>
      <c r="AD1447" s="736"/>
      <c r="AE1447" s="736"/>
      <c r="AF1447" s="624"/>
      <c r="AG1447" s="624"/>
      <c r="AH1447" s="624"/>
      <c r="AI1447" s="624"/>
      <c r="AJ1447" s="984"/>
      <c r="AK1447" s="985"/>
      <c r="AL1447" s="986"/>
      <c r="AM1447" s="987"/>
      <c r="AN1447" s="988"/>
      <c r="AO1447" s="986"/>
      <c r="AP1447" s="989"/>
      <c r="AQ1447" s="986"/>
      <c r="AR1447" s="990"/>
      <c r="AS1447" s="624"/>
      <c r="AT1447" s="624"/>
      <c r="AU1447" s="624"/>
      <c r="AV1447" s="624"/>
      <c r="AW1447" s="624"/>
      <c r="AX1447" s="624"/>
      <c r="AY1447" s="624"/>
      <c r="AZ1447" s="624"/>
      <c r="BA1447" s="624"/>
      <c r="BB1447" s="624"/>
      <c r="BC1447" s="624"/>
      <c r="BD1447" s="624"/>
      <c r="BE1447" s="624"/>
    </row>
    <row r="1448" ht="16.5" customHeight="1">
      <c r="A1448" s="711"/>
      <c r="B1448" s="711"/>
      <c r="C1448" s="711"/>
      <c r="D1448" s="711"/>
      <c r="E1448" s="711"/>
      <c r="F1448" s="711"/>
      <c r="G1448" s="711"/>
      <c r="H1448" s="711"/>
      <c r="I1448" s="711"/>
      <c r="J1448" s="711"/>
      <c r="K1448" s="741"/>
      <c r="L1448" s="741"/>
      <c r="M1448" s="788"/>
      <c r="N1448" s="741"/>
      <c r="O1448" s="741"/>
      <c r="P1448" s="741"/>
      <c r="Q1448" s="741"/>
      <c r="R1448" s="788"/>
      <c r="S1448" s="819"/>
      <c r="T1448" s="820"/>
      <c r="U1448" s="819"/>
      <c r="V1448" s="820"/>
      <c r="W1448" s="788"/>
      <c r="X1448" s="803"/>
      <c r="Y1448" s="803"/>
      <c r="Z1448" s="803"/>
      <c r="AA1448" s="711"/>
      <c r="AB1448" s="711"/>
      <c r="AC1448" s="711"/>
      <c r="AD1448" s="736"/>
      <c r="AE1448" s="736"/>
      <c r="AF1448" s="624"/>
      <c r="AG1448" s="624"/>
      <c r="AH1448" s="624"/>
      <c r="AI1448" s="624"/>
      <c r="AJ1448" s="984"/>
      <c r="AK1448" s="985"/>
      <c r="AL1448" s="986"/>
      <c r="AM1448" s="987"/>
      <c r="AN1448" s="988"/>
      <c r="AO1448" s="986"/>
      <c r="AP1448" s="989"/>
      <c r="AQ1448" s="986"/>
      <c r="AR1448" s="990"/>
      <c r="AS1448" s="624"/>
      <c r="AT1448" s="624"/>
      <c r="AU1448" s="624"/>
      <c r="AV1448" s="624"/>
      <c r="AW1448" s="624"/>
      <c r="AX1448" s="624"/>
      <c r="AY1448" s="624"/>
      <c r="AZ1448" s="624"/>
      <c r="BA1448" s="624"/>
      <c r="BB1448" s="624"/>
      <c r="BC1448" s="624"/>
      <c r="BD1448" s="624"/>
      <c r="BE1448" s="624"/>
    </row>
    <row r="1449" ht="16.5" customHeight="1">
      <c r="A1449" s="711"/>
      <c r="B1449" s="711"/>
      <c r="C1449" s="711"/>
      <c r="D1449" s="711"/>
      <c r="E1449" s="711"/>
      <c r="F1449" s="711"/>
      <c r="G1449" s="711"/>
      <c r="H1449" s="711"/>
      <c r="I1449" s="711"/>
      <c r="J1449" s="711"/>
      <c r="K1449" s="741"/>
      <c r="L1449" s="741"/>
      <c r="M1449" s="788"/>
      <c r="N1449" s="741"/>
      <c r="O1449" s="741"/>
      <c r="P1449" s="741"/>
      <c r="Q1449" s="741"/>
      <c r="R1449" s="788"/>
      <c r="S1449" s="819"/>
      <c r="T1449" s="820"/>
      <c r="U1449" s="819"/>
      <c r="V1449" s="820"/>
      <c r="W1449" s="788"/>
      <c r="X1449" s="803"/>
      <c r="Y1449" s="803"/>
      <c r="Z1449" s="803"/>
      <c r="AA1449" s="711"/>
      <c r="AB1449" s="711"/>
      <c r="AC1449" s="711"/>
      <c r="AD1449" s="736"/>
      <c r="AE1449" s="736"/>
      <c r="AF1449" s="624"/>
      <c r="AG1449" s="624"/>
      <c r="AH1449" s="624"/>
      <c r="AI1449" s="624"/>
      <c r="AJ1449" s="984"/>
      <c r="AK1449" s="985"/>
      <c r="AL1449" s="986"/>
      <c r="AM1449" s="987"/>
      <c r="AN1449" s="988"/>
      <c r="AO1449" s="986"/>
      <c r="AP1449" s="989"/>
      <c r="AQ1449" s="986"/>
      <c r="AR1449" s="990"/>
      <c r="AS1449" s="624"/>
      <c r="AT1449" s="624"/>
      <c r="AU1449" s="624"/>
      <c r="AV1449" s="624"/>
      <c r="AW1449" s="624"/>
      <c r="AX1449" s="624"/>
      <c r="AY1449" s="624"/>
      <c r="AZ1449" s="624"/>
      <c r="BA1449" s="624"/>
      <c r="BB1449" s="624"/>
      <c r="BC1449" s="624"/>
      <c r="BD1449" s="624"/>
      <c r="BE1449" s="624"/>
    </row>
    <row r="1450" ht="16.5" customHeight="1">
      <c r="A1450" s="711"/>
      <c r="B1450" s="711"/>
      <c r="C1450" s="711"/>
      <c r="D1450" s="711"/>
      <c r="E1450" s="711"/>
      <c r="F1450" s="711"/>
      <c r="G1450" s="711"/>
      <c r="H1450" s="711"/>
      <c r="I1450" s="711"/>
      <c r="J1450" s="711"/>
      <c r="K1450" s="741"/>
      <c r="L1450" s="741"/>
      <c r="M1450" s="788"/>
      <c r="N1450" s="741"/>
      <c r="O1450" s="741"/>
      <c r="P1450" s="741"/>
      <c r="Q1450" s="741"/>
      <c r="R1450" s="788"/>
      <c r="S1450" s="819"/>
      <c r="T1450" s="820"/>
      <c r="U1450" s="819"/>
      <c r="V1450" s="820"/>
      <c r="W1450" s="788"/>
      <c r="X1450" s="803"/>
      <c r="Y1450" s="803"/>
      <c r="Z1450" s="803"/>
      <c r="AA1450" s="711"/>
      <c r="AB1450" s="711"/>
      <c r="AC1450" s="711"/>
      <c r="AD1450" s="736"/>
      <c r="AE1450" s="736"/>
      <c r="AF1450" s="624"/>
      <c r="AG1450" s="624"/>
      <c r="AH1450" s="624"/>
      <c r="AI1450" s="624"/>
      <c r="AJ1450" s="984"/>
      <c r="AK1450" s="985"/>
      <c r="AL1450" s="986"/>
      <c r="AM1450" s="987"/>
      <c r="AN1450" s="988"/>
      <c r="AO1450" s="986"/>
      <c r="AP1450" s="989"/>
      <c r="AQ1450" s="986"/>
      <c r="AR1450" s="990"/>
      <c r="AS1450" s="624"/>
      <c r="AT1450" s="624"/>
      <c r="AU1450" s="624"/>
      <c r="AV1450" s="624"/>
      <c r="AW1450" s="624"/>
      <c r="AX1450" s="624"/>
      <c r="AY1450" s="624"/>
      <c r="AZ1450" s="624"/>
      <c r="BA1450" s="624"/>
      <c r="BB1450" s="624"/>
      <c r="BC1450" s="624"/>
      <c r="BD1450" s="624"/>
      <c r="BE1450" s="624"/>
    </row>
    <row r="1451" ht="16.5" customHeight="1">
      <c r="A1451" s="711"/>
      <c r="B1451" s="711"/>
      <c r="C1451" s="711"/>
      <c r="D1451" s="711"/>
      <c r="E1451" s="711"/>
      <c r="F1451" s="711"/>
      <c r="G1451" s="711"/>
      <c r="H1451" s="711"/>
      <c r="I1451" s="711"/>
      <c r="J1451" s="711"/>
      <c r="K1451" s="741"/>
      <c r="L1451" s="741"/>
      <c r="M1451" s="788"/>
      <c r="N1451" s="741"/>
      <c r="O1451" s="741"/>
      <c r="P1451" s="741"/>
      <c r="Q1451" s="741"/>
      <c r="R1451" s="788"/>
      <c r="S1451" s="819"/>
      <c r="T1451" s="820"/>
      <c r="U1451" s="819"/>
      <c r="V1451" s="820"/>
      <c r="W1451" s="788"/>
      <c r="X1451" s="803"/>
      <c r="Y1451" s="803"/>
      <c r="Z1451" s="803"/>
      <c r="AA1451" s="711"/>
      <c r="AB1451" s="711"/>
      <c r="AC1451" s="711"/>
      <c r="AD1451" s="736"/>
      <c r="AE1451" s="736"/>
      <c r="AF1451" s="624"/>
      <c r="AG1451" s="624"/>
      <c r="AH1451" s="624"/>
      <c r="AI1451" s="624"/>
      <c r="AJ1451" s="984"/>
      <c r="AK1451" s="985"/>
      <c r="AL1451" s="986"/>
      <c r="AM1451" s="987"/>
      <c r="AN1451" s="988"/>
      <c r="AO1451" s="986"/>
      <c r="AP1451" s="989"/>
      <c r="AQ1451" s="986"/>
      <c r="AR1451" s="990"/>
      <c r="AS1451" s="624"/>
      <c r="AT1451" s="624"/>
      <c r="AU1451" s="624"/>
      <c r="AV1451" s="624"/>
      <c r="AW1451" s="624"/>
      <c r="AX1451" s="624"/>
      <c r="AY1451" s="624"/>
      <c r="AZ1451" s="624"/>
      <c r="BA1451" s="624"/>
      <c r="BB1451" s="624"/>
      <c r="BC1451" s="624"/>
      <c r="BD1451" s="624"/>
      <c r="BE1451" s="624"/>
    </row>
    <row r="1452" ht="16.5" customHeight="1">
      <c r="A1452" s="711"/>
      <c r="B1452" s="711"/>
      <c r="C1452" s="711"/>
      <c r="D1452" s="711"/>
      <c r="E1452" s="711"/>
      <c r="F1452" s="711"/>
      <c r="G1452" s="711"/>
      <c r="H1452" s="711"/>
      <c r="I1452" s="711"/>
      <c r="J1452" s="711"/>
      <c r="K1452" s="741"/>
      <c r="L1452" s="741"/>
      <c r="M1452" s="788"/>
      <c r="N1452" s="741"/>
      <c r="O1452" s="741"/>
      <c r="P1452" s="741"/>
      <c r="Q1452" s="741"/>
      <c r="R1452" s="788"/>
      <c r="S1452" s="819"/>
      <c r="T1452" s="820"/>
      <c r="U1452" s="819"/>
      <c r="V1452" s="820"/>
      <c r="W1452" s="788"/>
      <c r="X1452" s="803"/>
      <c r="Y1452" s="803"/>
      <c r="Z1452" s="803"/>
      <c r="AA1452" s="711"/>
      <c r="AB1452" s="711"/>
      <c r="AC1452" s="711"/>
      <c r="AD1452" s="736"/>
      <c r="AE1452" s="736"/>
      <c r="AF1452" s="624"/>
      <c r="AG1452" s="624"/>
      <c r="AH1452" s="624"/>
      <c r="AI1452" s="624"/>
      <c r="AJ1452" s="984"/>
      <c r="AK1452" s="985"/>
      <c r="AL1452" s="986"/>
      <c r="AM1452" s="987"/>
      <c r="AN1452" s="988"/>
      <c r="AO1452" s="986"/>
      <c r="AP1452" s="989"/>
      <c r="AQ1452" s="986"/>
      <c r="AR1452" s="990"/>
      <c r="AS1452" s="624"/>
      <c r="AT1452" s="624"/>
      <c r="AU1452" s="624"/>
      <c r="AV1452" s="624"/>
      <c r="AW1452" s="624"/>
      <c r="AX1452" s="624"/>
      <c r="AY1452" s="624"/>
      <c r="AZ1452" s="624"/>
      <c r="BA1452" s="624"/>
      <c r="BB1452" s="624"/>
      <c r="BC1452" s="624"/>
      <c r="BD1452" s="624"/>
      <c r="BE1452" s="624"/>
    </row>
    <row r="1453" ht="16.5" customHeight="1">
      <c r="A1453" s="711"/>
      <c r="B1453" s="711"/>
      <c r="C1453" s="711"/>
      <c r="D1453" s="711"/>
      <c r="E1453" s="711"/>
      <c r="F1453" s="711"/>
      <c r="G1453" s="711"/>
      <c r="H1453" s="711"/>
      <c r="I1453" s="711"/>
      <c r="J1453" s="711"/>
      <c r="K1453" s="741"/>
      <c r="L1453" s="741"/>
      <c r="M1453" s="788"/>
      <c r="N1453" s="741"/>
      <c r="O1453" s="741"/>
      <c r="P1453" s="741"/>
      <c r="Q1453" s="741"/>
      <c r="R1453" s="788"/>
      <c r="S1453" s="819"/>
      <c r="T1453" s="820"/>
      <c r="U1453" s="819"/>
      <c r="V1453" s="820"/>
      <c r="W1453" s="788"/>
      <c r="X1453" s="803"/>
      <c r="Y1453" s="803"/>
      <c r="Z1453" s="803"/>
      <c r="AA1453" s="711"/>
      <c r="AB1453" s="711"/>
      <c r="AC1453" s="711"/>
      <c r="AD1453" s="736"/>
      <c r="AE1453" s="736"/>
      <c r="AF1453" s="624"/>
      <c r="AG1453" s="624"/>
      <c r="AH1453" s="624"/>
      <c r="AI1453" s="624"/>
      <c r="AJ1453" s="984"/>
      <c r="AK1453" s="985"/>
      <c r="AL1453" s="986"/>
      <c r="AM1453" s="987"/>
      <c r="AN1453" s="988"/>
      <c r="AO1453" s="986"/>
      <c r="AP1453" s="989"/>
      <c r="AQ1453" s="986"/>
      <c r="AR1453" s="990"/>
      <c r="AS1453" s="624"/>
      <c r="AT1453" s="624"/>
      <c r="AU1453" s="624"/>
      <c r="AV1453" s="624"/>
      <c r="AW1453" s="624"/>
      <c r="AX1453" s="624"/>
      <c r="AY1453" s="624"/>
      <c r="AZ1453" s="624"/>
      <c r="BA1453" s="624"/>
      <c r="BB1453" s="624"/>
      <c r="BC1453" s="624"/>
      <c r="BD1453" s="624"/>
      <c r="BE1453" s="624"/>
    </row>
    <row r="1454" ht="16.5" customHeight="1">
      <c r="A1454" s="711"/>
      <c r="B1454" s="711"/>
      <c r="C1454" s="711"/>
      <c r="D1454" s="711"/>
      <c r="E1454" s="711"/>
      <c r="F1454" s="711"/>
      <c r="G1454" s="711"/>
      <c r="H1454" s="711"/>
      <c r="I1454" s="711"/>
      <c r="J1454" s="711"/>
      <c r="K1454" s="741"/>
      <c r="L1454" s="741"/>
      <c r="M1454" s="788"/>
      <c r="N1454" s="741"/>
      <c r="O1454" s="741"/>
      <c r="P1454" s="741"/>
      <c r="Q1454" s="741"/>
      <c r="R1454" s="788"/>
      <c r="S1454" s="819"/>
      <c r="T1454" s="820"/>
      <c r="U1454" s="819"/>
      <c r="V1454" s="820"/>
      <c r="W1454" s="788"/>
      <c r="X1454" s="803"/>
      <c r="Y1454" s="803"/>
      <c r="Z1454" s="803"/>
      <c r="AA1454" s="711"/>
      <c r="AB1454" s="711"/>
      <c r="AC1454" s="711"/>
      <c r="AD1454" s="736"/>
      <c r="AE1454" s="736"/>
      <c r="AF1454" s="624"/>
      <c r="AG1454" s="624"/>
      <c r="AH1454" s="624"/>
      <c r="AI1454" s="624"/>
      <c r="AJ1454" s="984"/>
      <c r="AK1454" s="985"/>
      <c r="AL1454" s="986"/>
      <c r="AM1454" s="987"/>
      <c r="AN1454" s="988"/>
      <c r="AO1454" s="986"/>
      <c r="AP1454" s="989"/>
      <c r="AQ1454" s="986"/>
      <c r="AR1454" s="990"/>
      <c r="AS1454" s="624"/>
      <c r="AT1454" s="624"/>
      <c r="AU1454" s="624"/>
      <c r="AV1454" s="624"/>
      <c r="AW1454" s="624"/>
      <c r="AX1454" s="624"/>
      <c r="AY1454" s="624"/>
      <c r="AZ1454" s="624"/>
      <c r="BA1454" s="624"/>
      <c r="BB1454" s="624"/>
      <c r="BC1454" s="624"/>
      <c r="BD1454" s="624"/>
      <c r="BE1454" s="624"/>
    </row>
    <row r="1455" ht="16.5" customHeight="1">
      <c r="A1455" s="711"/>
      <c r="B1455" s="711"/>
      <c r="C1455" s="711"/>
      <c r="D1455" s="711"/>
      <c r="E1455" s="711"/>
      <c r="F1455" s="711"/>
      <c r="G1455" s="711"/>
      <c r="H1455" s="711"/>
      <c r="I1455" s="711"/>
      <c r="J1455" s="711"/>
      <c r="K1455" s="741"/>
      <c r="L1455" s="741"/>
      <c r="M1455" s="788"/>
      <c r="N1455" s="741"/>
      <c r="O1455" s="741"/>
      <c r="P1455" s="741"/>
      <c r="Q1455" s="741"/>
      <c r="R1455" s="788"/>
      <c r="S1455" s="819"/>
      <c r="T1455" s="820"/>
      <c r="U1455" s="819"/>
      <c r="V1455" s="820"/>
      <c r="W1455" s="788"/>
      <c r="X1455" s="803"/>
      <c r="Y1455" s="803"/>
      <c r="Z1455" s="803"/>
      <c r="AA1455" s="711"/>
      <c r="AB1455" s="711"/>
      <c r="AC1455" s="711"/>
      <c r="AD1455" s="736"/>
      <c r="AE1455" s="736"/>
      <c r="AF1455" s="624"/>
      <c r="AG1455" s="624"/>
      <c r="AH1455" s="624"/>
      <c r="AI1455" s="624"/>
      <c r="AJ1455" s="984"/>
      <c r="AK1455" s="985"/>
      <c r="AL1455" s="986"/>
      <c r="AM1455" s="987"/>
      <c r="AN1455" s="988"/>
      <c r="AO1455" s="986"/>
      <c r="AP1455" s="989"/>
      <c r="AQ1455" s="986"/>
      <c r="AR1455" s="990"/>
      <c r="AS1455" s="624"/>
      <c r="AT1455" s="624"/>
      <c r="AU1455" s="624"/>
      <c r="AV1455" s="624"/>
      <c r="AW1455" s="624"/>
      <c r="AX1455" s="624"/>
      <c r="AY1455" s="624"/>
      <c r="AZ1455" s="624"/>
      <c r="BA1455" s="624"/>
      <c r="BB1455" s="624"/>
      <c r="BC1455" s="624"/>
      <c r="BD1455" s="624"/>
      <c r="BE1455" s="624"/>
    </row>
    <row r="1456" ht="16.5" customHeight="1">
      <c r="A1456" s="711"/>
      <c r="B1456" s="711"/>
      <c r="C1456" s="711"/>
      <c r="D1456" s="711"/>
      <c r="E1456" s="711"/>
      <c r="F1456" s="711"/>
      <c r="G1456" s="711"/>
      <c r="H1456" s="711"/>
      <c r="I1456" s="711"/>
      <c r="J1456" s="711"/>
      <c r="K1456" s="741"/>
      <c r="L1456" s="741"/>
      <c r="M1456" s="788"/>
      <c r="N1456" s="741"/>
      <c r="O1456" s="741"/>
      <c r="P1456" s="741"/>
      <c r="Q1456" s="741"/>
      <c r="R1456" s="788"/>
      <c r="S1456" s="819"/>
      <c r="T1456" s="820"/>
      <c r="U1456" s="819"/>
      <c r="V1456" s="820"/>
      <c r="W1456" s="788"/>
      <c r="X1456" s="803"/>
      <c r="Y1456" s="803"/>
      <c r="Z1456" s="803"/>
      <c r="AA1456" s="711"/>
      <c r="AB1456" s="711"/>
      <c r="AC1456" s="711"/>
      <c r="AD1456" s="736"/>
      <c r="AE1456" s="736"/>
      <c r="AF1456" s="624"/>
      <c r="AG1456" s="624"/>
      <c r="AH1456" s="624"/>
      <c r="AI1456" s="624"/>
      <c r="AJ1456" s="984"/>
      <c r="AK1456" s="985"/>
      <c r="AL1456" s="986"/>
      <c r="AM1456" s="987"/>
      <c r="AN1456" s="988"/>
      <c r="AO1456" s="986"/>
      <c r="AP1456" s="989"/>
      <c r="AQ1456" s="986"/>
      <c r="AR1456" s="990"/>
      <c r="AS1456" s="624"/>
      <c r="AT1456" s="624"/>
      <c r="AU1456" s="624"/>
      <c r="AV1456" s="624"/>
      <c r="AW1456" s="624"/>
      <c r="AX1456" s="624"/>
      <c r="AY1456" s="624"/>
      <c r="AZ1456" s="624"/>
      <c r="BA1456" s="624"/>
      <c r="BB1456" s="624"/>
      <c r="BC1456" s="624"/>
      <c r="BD1456" s="624"/>
      <c r="BE1456" s="624"/>
    </row>
    <row r="1457" ht="16.5" customHeight="1">
      <c r="A1457" s="711"/>
      <c r="B1457" s="711"/>
      <c r="C1457" s="711"/>
      <c r="D1457" s="711"/>
      <c r="E1457" s="711"/>
      <c r="F1457" s="711"/>
      <c r="G1457" s="711"/>
      <c r="H1457" s="711"/>
      <c r="I1457" s="711"/>
      <c r="J1457" s="711"/>
      <c r="K1457" s="741"/>
      <c r="L1457" s="741"/>
      <c r="M1457" s="788"/>
      <c r="N1457" s="741"/>
      <c r="O1457" s="741"/>
      <c r="P1457" s="741"/>
      <c r="Q1457" s="741"/>
      <c r="R1457" s="788"/>
      <c r="S1457" s="819"/>
      <c r="T1457" s="820"/>
      <c r="U1457" s="819"/>
      <c r="V1457" s="820"/>
      <c r="W1457" s="788"/>
      <c r="X1457" s="803"/>
      <c r="Y1457" s="803"/>
      <c r="Z1457" s="803"/>
      <c r="AA1457" s="711"/>
      <c r="AB1457" s="711"/>
      <c r="AC1457" s="711"/>
      <c r="AD1457" s="736"/>
      <c r="AE1457" s="736"/>
      <c r="AF1457" s="624"/>
      <c r="AG1457" s="624"/>
      <c r="AH1457" s="624"/>
      <c r="AI1457" s="624"/>
      <c r="AJ1457" s="984"/>
      <c r="AK1457" s="985"/>
      <c r="AL1457" s="986"/>
      <c r="AM1457" s="987"/>
      <c r="AN1457" s="988"/>
      <c r="AO1457" s="986"/>
      <c r="AP1457" s="989"/>
      <c r="AQ1457" s="986"/>
      <c r="AR1457" s="990"/>
      <c r="AS1457" s="624"/>
      <c r="AT1457" s="624"/>
      <c r="AU1457" s="624"/>
      <c r="AV1457" s="624"/>
      <c r="AW1457" s="624"/>
      <c r="AX1457" s="624"/>
      <c r="AY1457" s="624"/>
      <c r="AZ1457" s="624"/>
      <c r="BA1457" s="624"/>
      <c r="BB1457" s="624"/>
      <c r="BC1457" s="624"/>
      <c r="BD1457" s="624"/>
      <c r="BE1457" s="624"/>
    </row>
    <row r="1458" ht="16.5" customHeight="1">
      <c r="A1458" s="711"/>
      <c r="B1458" s="711"/>
      <c r="C1458" s="711"/>
      <c r="D1458" s="711"/>
      <c r="E1458" s="711"/>
      <c r="F1458" s="711"/>
      <c r="G1458" s="711"/>
      <c r="H1458" s="711"/>
      <c r="I1458" s="711"/>
      <c r="J1458" s="711"/>
      <c r="K1458" s="741"/>
      <c r="L1458" s="741"/>
      <c r="M1458" s="788"/>
      <c r="N1458" s="741"/>
      <c r="O1458" s="741"/>
      <c r="P1458" s="741"/>
      <c r="Q1458" s="741"/>
      <c r="R1458" s="788"/>
      <c r="S1458" s="819"/>
      <c r="T1458" s="820"/>
      <c r="U1458" s="819"/>
      <c r="V1458" s="820"/>
      <c r="W1458" s="788"/>
      <c r="X1458" s="803"/>
      <c r="Y1458" s="803"/>
      <c r="Z1458" s="803"/>
      <c r="AA1458" s="711"/>
      <c r="AB1458" s="711"/>
      <c r="AC1458" s="711"/>
      <c r="AD1458" s="736"/>
      <c r="AE1458" s="736"/>
      <c r="AF1458" s="624"/>
      <c r="AG1458" s="624"/>
      <c r="AH1458" s="624"/>
      <c r="AI1458" s="624"/>
      <c r="AJ1458" s="984"/>
      <c r="AK1458" s="985"/>
      <c r="AL1458" s="986"/>
      <c r="AM1458" s="987"/>
      <c r="AN1458" s="988"/>
      <c r="AO1458" s="986"/>
      <c r="AP1458" s="989"/>
      <c r="AQ1458" s="986"/>
      <c r="AR1458" s="990"/>
      <c r="AS1458" s="624"/>
      <c r="AT1458" s="624"/>
      <c r="AU1458" s="624"/>
      <c r="AV1458" s="624"/>
      <c r="AW1458" s="624"/>
      <c r="AX1458" s="624"/>
      <c r="AY1458" s="624"/>
      <c r="AZ1458" s="624"/>
      <c r="BA1458" s="624"/>
      <c r="BB1458" s="624"/>
      <c r="BC1458" s="624"/>
      <c r="BD1458" s="624"/>
      <c r="BE1458" s="624"/>
    </row>
    <row r="1459" ht="16.5" customHeight="1">
      <c r="A1459" s="711"/>
      <c r="B1459" s="711"/>
      <c r="C1459" s="711"/>
      <c r="D1459" s="711"/>
      <c r="E1459" s="711"/>
      <c r="F1459" s="711"/>
      <c r="G1459" s="711"/>
      <c r="H1459" s="711"/>
      <c r="I1459" s="711"/>
      <c r="J1459" s="711"/>
      <c r="K1459" s="741"/>
      <c r="L1459" s="741"/>
      <c r="M1459" s="788"/>
      <c r="N1459" s="741"/>
      <c r="O1459" s="741"/>
      <c r="P1459" s="741"/>
      <c r="Q1459" s="741"/>
      <c r="R1459" s="788"/>
      <c r="S1459" s="819"/>
      <c r="T1459" s="820"/>
      <c r="U1459" s="819"/>
      <c r="V1459" s="820"/>
      <c r="W1459" s="788"/>
      <c r="X1459" s="803"/>
      <c r="Y1459" s="803"/>
      <c r="Z1459" s="803"/>
      <c r="AA1459" s="711"/>
      <c r="AB1459" s="711"/>
      <c r="AC1459" s="711"/>
      <c r="AD1459" s="736"/>
      <c r="AE1459" s="736"/>
      <c r="AF1459" s="624"/>
      <c r="AG1459" s="624"/>
      <c r="AH1459" s="624"/>
      <c r="AI1459" s="624"/>
      <c r="AJ1459" s="984"/>
      <c r="AK1459" s="985"/>
      <c r="AL1459" s="986"/>
      <c r="AM1459" s="987"/>
      <c r="AN1459" s="988"/>
      <c r="AO1459" s="986"/>
      <c r="AP1459" s="989"/>
      <c r="AQ1459" s="986"/>
      <c r="AR1459" s="990"/>
      <c r="AS1459" s="624"/>
      <c r="AT1459" s="624"/>
      <c r="AU1459" s="624"/>
      <c r="AV1459" s="624"/>
      <c r="AW1459" s="624"/>
      <c r="AX1459" s="624"/>
      <c r="AY1459" s="624"/>
      <c r="AZ1459" s="624"/>
      <c r="BA1459" s="624"/>
      <c r="BB1459" s="624"/>
      <c r="BC1459" s="624"/>
      <c r="BD1459" s="624"/>
      <c r="BE1459" s="624"/>
    </row>
    <row r="1460" ht="16.5" customHeight="1">
      <c r="A1460" s="711"/>
      <c r="B1460" s="711"/>
      <c r="C1460" s="711"/>
      <c r="D1460" s="711"/>
      <c r="E1460" s="711"/>
      <c r="F1460" s="711"/>
      <c r="G1460" s="711"/>
      <c r="H1460" s="711"/>
      <c r="I1460" s="711"/>
      <c r="J1460" s="711"/>
      <c r="K1460" s="741"/>
      <c r="L1460" s="741"/>
      <c r="M1460" s="788"/>
      <c r="N1460" s="741"/>
      <c r="O1460" s="741"/>
      <c r="P1460" s="741"/>
      <c r="Q1460" s="741"/>
      <c r="R1460" s="788"/>
      <c r="S1460" s="819"/>
      <c r="T1460" s="820"/>
      <c r="U1460" s="819"/>
      <c r="V1460" s="820"/>
      <c r="W1460" s="788"/>
      <c r="X1460" s="803"/>
      <c r="Y1460" s="803"/>
      <c r="Z1460" s="803"/>
      <c r="AA1460" s="711"/>
      <c r="AB1460" s="711"/>
      <c r="AC1460" s="711"/>
      <c r="AD1460" s="736"/>
      <c r="AE1460" s="736"/>
      <c r="AF1460" s="624"/>
      <c r="AG1460" s="624"/>
      <c r="AH1460" s="624"/>
      <c r="AI1460" s="624"/>
      <c r="AJ1460" s="984"/>
      <c r="AK1460" s="985"/>
      <c r="AL1460" s="986"/>
      <c r="AM1460" s="987"/>
      <c r="AN1460" s="988"/>
      <c r="AO1460" s="986"/>
      <c r="AP1460" s="989"/>
      <c r="AQ1460" s="986"/>
      <c r="AR1460" s="990"/>
      <c r="AS1460" s="624"/>
      <c r="AT1460" s="624"/>
      <c r="AU1460" s="624"/>
      <c r="AV1460" s="624"/>
      <c r="AW1460" s="624"/>
      <c r="AX1460" s="624"/>
      <c r="AY1460" s="624"/>
      <c r="AZ1460" s="624"/>
      <c r="BA1460" s="624"/>
      <c r="BB1460" s="624"/>
      <c r="BC1460" s="624"/>
      <c r="BD1460" s="624"/>
      <c r="BE1460" s="624"/>
    </row>
    <row r="1461" ht="16.5" customHeight="1">
      <c r="A1461" s="711"/>
      <c r="B1461" s="711"/>
      <c r="C1461" s="711"/>
      <c r="D1461" s="711"/>
      <c r="E1461" s="711"/>
      <c r="F1461" s="711"/>
      <c r="G1461" s="711"/>
      <c r="H1461" s="711"/>
      <c r="I1461" s="711"/>
      <c r="J1461" s="711"/>
      <c r="K1461" s="741"/>
      <c r="L1461" s="741"/>
      <c r="M1461" s="788"/>
      <c r="N1461" s="741"/>
      <c r="O1461" s="741"/>
      <c r="P1461" s="741"/>
      <c r="Q1461" s="741"/>
      <c r="R1461" s="788"/>
      <c r="S1461" s="819"/>
      <c r="T1461" s="820"/>
      <c r="U1461" s="819"/>
      <c r="V1461" s="820"/>
      <c r="W1461" s="788"/>
      <c r="X1461" s="803"/>
      <c r="Y1461" s="803"/>
      <c r="Z1461" s="803"/>
      <c r="AA1461" s="711"/>
      <c r="AB1461" s="711"/>
      <c r="AC1461" s="711"/>
      <c r="AD1461" s="736"/>
      <c r="AE1461" s="736"/>
      <c r="AF1461" s="624"/>
      <c r="AG1461" s="624"/>
      <c r="AH1461" s="624"/>
      <c r="AI1461" s="624"/>
      <c r="AJ1461" s="984"/>
      <c r="AK1461" s="985"/>
      <c r="AL1461" s="986"/>
      <c r="AM1461" s="987"/>
      <c r="AN1461" s="988"/>
      <c r="AO1461" s="986"/>
      <c r="AP1461" s="989"/>
      <c r="AQ1461" s="986"/>
      <c r="AR1461" s="990"/>
      <c r="AS1461" s="624"/>
      <c r="AT1461" s="624"/>
      <c r="AU1461" s="624"/>
      <c r="AV1461" s="624"/>
      <c r="AW1461" s="624"/>
      <c r="AX1461" s="624"/>
      <c r="AY1461" s="624"/>
      <c r="AZ1461" s="624"/>
      <c r="BA1461" s="624"/>
      <c r="BB1461" s="624"/>
      <c r="BC1461" s="624"/>
      <c r="BD1461" s="624"/>
      <c r="BE1461" s="624"/>
    </row>
    <row r="1462" ht="16.5" customHeight="1">
      <c r="A1462" s="711"/>
      <c r="B1462" s="711"/>
      <c r="C1462" s="711"/>
      <c r="D1462" s="711"/>
      <c r="E1462" s="711"/>
      <c r="F1462" s="711"/>
      <c r="G1462" s="711"/>
      <c r="H1462" s="711"/>
      <c r="I1462" s="711"/>
      <c r="J1462" s="711"/>
      <c r="K1462" s="741"/>
      <c r="L1462" s="741"/>
      <c r="M1462" s="788"/>
      <c r="N1462" s="741"/>
      <c r="O1462" s="741"/>
      <c r="P1462" s="741"/>
      <c r="Q1462" s="741"/>
      <c r="R1462" s="788"/>
      <c r="S1462" s="819"/>
      <c r="T1462" s="820"/>
      <c r="U1462" s="819"/>
      <c r="V1462" s="820"/>
      <c r="W1462" s="788"/>
      <c r="X1462" s="803"/>
      <c r="Y1462" s="803"/>
      <c r="Z1462" s="803"/>
      <c r="AA1462" s="711"/>
      <c r="AB1462" s="711"/>
      <c r="AC1462" s="711"/>
      <c r="AD1462" s="736"/>
      <c r="AE1462" s="736"/>
      <c r="AF1462" s="624"/>
      <c r="AG1462" s="624"/>
      <c r="AH1462" s="624"/>
      <c r="AI1462" s="624"/>
      <c r="AJ1462" s="984"/>
      <c r="AK1462" s="985"/>
      <c r="AL1462" s="986"/>
      <c r="AM1462" s="987"/>
      <c r="AN1462" s="988"/>
      <c r="AO1462" s="986"/>
      <c r="AP1462" s="989"/>
      <c r="AQ1462" s="986"/>
      <c r="AR1462" s="990"/>
      <c r="AS1462" s="624"/>
      <c r="AT1462" s="624"/>
      <c r="AU1462" s="624"/>
      <c r="AV1462" s="624"/>
      <c r="AW1462" s="624"/>
      <c r="AX1462" s="624"/>
      <c r="AY1462" s="624"/>
      <c r="AZ1462" s="624"/>
      <c r="BA1462" s="624"/>
      <c r="BB1462" s="624"/>
      <c r="BC1462" s="624"/>
      <c r="BD1462" s="624"/>
      <c r="BE1462" s="624"/>
    </row>
    <row r="1463" ht="16.5" customHeight="1">
      <c r="A1463" s="711"/>
      <c r="B1463" s="711"/>
      <c r="C1463" s="711"/>
      <c r="D1463" s="711"/>
      <c r="E1463" s="711"/>
      <c r="F1463" s="711"/>
      <c r="G1463" s="711"/>
      <c r="H1463" s="711"/>
      <c r="I1463" s="711"/>
      <c r="J1463" s="711"/>
      <c r="K1463" s="741"/>
      <c r="L1463" s="741"/>
      <c r="M1463" s="788"/>
      <c r="N1463" s="741"/>
      <c r="O1463" s="741"/>
      <c r="P1463" s="741"/>
      <c r="Q1463" s="741"/>
      <c r="R1463" s="788"/>
      <c r="S1463" s="819"/>
      <c r="T1463" s="820"/>
      <c r="U1463" s="819"/>
      <c r="V1463" s="820"/>
      <c r="W1463" s="788"/>
      <c r="X1463" s="803"/>
      <c r="Y1463" s="803"/>
      <c r="Z1463" s="803"/>
      <c r="AA1463" s="711"/>
      <c r="AB1463" s="711"/>
      <c r="AC1463" s="711"/>
      <c r="AD1463" s="736"/>
      <c r="AE1463" s="736"/>
      <c r="AF1463" s="624"/>
      <c r="AG1463" s="624"/>
      <c r="AH1463" s="624"/>
      <c r="AI1463" s="624"/>
      <c r="AJ1463" s="984"/>
      <c r="AK1463" s="985"/>
      <c r="AL1463" s="986"/>
      <c r="AM1463" s="987"/>
      <c r="AN1463" s="988"/>
      <c r="AO1463" s="986"/>
      <c r="AP1463" s="989"/>
      <c r="AQ1463" s="986"/>
      <c r="AR1463" s="990"/>
      <c r="AS1463" s="624"/>
      <c r="AT1463" s="624"/>
      <c r="AU1463" s="624"/>
      <c r="AV1463" s="624"/>
      <c r="AW1463" s="624"/>
      <c r="AX1463" s="624"/>
      <c r="AY1463" s="624"/>
      <c r="AZ1463" s="624"/>
      <c r="BA1463" s="624"/>
      <c r="BB1463" s="624"/>
      <c r="BC1463" s="624"/>
      <c r="BD1463" s="624"/>
      <c r="BE1463" s="624"/>
    </row>
    <row r="1464" ht="16.5" customHeight="1">
      <c r="A1464" s="711"/>
      <c r="B1464" s="711"/>
      <c r="C1464" s="711"/>
      <c r="D1464" s="711"/>
      <c r="E1464" s="711"/>
      <c r="F1464" s="711"/>
      <c r="G1464" s="711"/>
      <c r="H1464" s="711"/>
      <c r="I1464" s="711"/>
      <c r="J1464" s="711"/>
      <c r="K1464" s="741"/>
      <c r="L1464" s="741"/>
      <c r="M1464" s="788"/>
      <c r="N1464" s="741"/>
      <c r="O1464" s="741"/>
      <c r="P1464" s="741"/>
      <c r="Q1464" s="741"/>
      <c r="R1464" s="788"/>
      <c r="S1464" s="819"/>
      <c r="T1464" s="820"/>
      <c r="U1464" s="819"/>
      <c r="V1464" s="820"/>
      <c r="W1464" s="788"/>
      <c r="X1464" s="803"/>
      <c r="Y1464" s="803"/>
      <c r="Z1464" s="803"/>
      <c r="AA1464" s="711"/>
      <c r="AB1464" s="711"/>
      <c r="AC1464" s="711"/>
      <c r="AD1464" s="736"/>
      <c r="AE1464" s="736"/>
      <c r="AF1464" s="624"/>
      <c r="AG1464" s="624"/>
      <c r="AH1464" s="624"/>
      <c r="AI1464" s="624"/>
      <c r="AJ1464" s="984"/>
      <c r="AK1464" s="985"/>
      <c r="AL1464" s="986"/>
      <c r="AM1464" s="987"/>
      <c r="AN1464" s="988"/>
      <c r="AO1464" s="986"/>
      <c r="AP1464" s="989"/>
      <c r="AQ1464" s="986"/>
      <c r="AR1464" s="990"/>
      <c r="AS1464" s="624"/>
      <c r="AT1464" s="624"/>
      <c r="AU1464" s="624"/>
      <c r="AV1464" s="624"/>
      <c r="AW1464" s="624"/>
      <c r="AX1464" s="624"/>
      <c r="AY1464" s="624"/>
      <c r="AZ1464" s="624"/>
      <c r="BA1464" s="624"/>
      <c r="BB1464" s="624"/>
      <c r="BC1464" s="624"/>
      <c r="BD1464" s="624"/>
      <c r="BE1464" s="624"/>
    </row>
    <row r="1465" ht="16.5" customHeight="1">
      <c r="A1465" s="711"/>
      <c r="B1465" s="711"/>
      <c r="C1465" s="711"/>
      <c r="D1465" s="711"/>
      <c r="E1465" s="711"/>
      <c r="F1465" s="711"/>
      <c r="G1465" s="711"/>
      <c r="H1465" s="711"/>
      <c r="I1465" s="711"/>
      <c r="J1465" s="711"/>
      <c r="K1465" s="741"/>
      <c r="L1465" s="741"/>
      <c r="M1465" s="788"/>
      <c r="N1465" s="741"/>
      <c r="O1465" s="741"/>
      <c r="P1465" s="741"/>
      <c r="Q1465" s="741"/>
      <c r="R1465" s="788"/>
      <c r="S1465" s="819"/>
      <c r="T1465" s="820"/>
      <c r="U1465" s="819"/>
      <c r="V1465" s="820"/>
      <c r="W1465" s="788"/>
      <c r="X1465" s="803"/>
      <c r="Y1465" s="803"/>
      <c r="Z1465" s="803"/>
      <c r="AA1465" s="711"/>
      <c r="AB1465" s="711"/>
      <c r="AC1465" s="711"/>
      <c r="AD1465" s="736"/>
      <c r="AE1465" s="736"/>
      <c r="AF1465" s="624"/>
      <c r="AG1465" s="624"/>
      <c r="AH1465" s="624"/>
      <c r="AI1465" s="624"/>
      <c r="AJ1465" s="984"/>
      <c r="AK1465" s="985"/>
      <c r="AL1465" s="986"/>
      <c r="AM1465" s="987"/>
      <c r="AN1465" s="988"/>
      <c r="AO1465" s="986"/>
      <c r="AP1465" s="989"/>
      <c r="AQ1465" s="986"/>
      <c r="AR1465" s="990"/>
      <c r="AS1465" s="624"/>
      <c r="AT1465" s="624"/>
      <c r="AU1465" s="624"/>
      <c r="AV1465" s="624"/>
      <c r="AW1465" s="624"/>
      <c r="AX1465" s="624"/>
      <c r="AY1465" s="624"/>
      <c r="AZ1465" s="624"/>
      <c r="BA1465" s="624"/>
      <c r="BB1465" s="624"/>
      <c r="BC1465" s="624"/>
      <c r="BD1465" s="624"/>
      <c r="BE1465" s="624"/>
    </row>
    <row r="1466" ht="16.5" customHeight="1">
      <c r="A1466" s="711"/>
      <c r="B1466" s="711"/>
      <c r="C1466" s="711"/>
      <c r="D1466" s="711"/>
      <c r="E1466" s="711"/>
      <c r="F1466" s="711"/>
      <c r="G1466" s="711"/>
      <c r="H1466" s="711"/>
      <c r="I1466" s="711"/>
      <c r="J1466" s="711"/>
      <c r="K1466" s="741"/>
      <c r="L1466" s="741"/>
      <c r="M1466" s="788"/>
      <c r="N1466" s="741"/>
      <c r="O1466" s="741"/>
      <c r="P1466" s="741"/>
      <c r="Q1466" s="741"/>
      <c r="R1466" s="788"/>
      <c r="S1466" s="819"/>
      <c r="T1466" s="820"/>
      <c r="U1466" s="819"/>
      <c r="V1466" s="820"/>
      <c r="W1466" s="788"/>
      <c r="X1466" s="803"/>
      <c r="Y1466" s="803"/>
      <c r="Z1466" s="803"/>
      <c r="AA1466" s="711"/>
      <c r="AB1466" s="711"/>
      <c r="AC1466" s="711"/>
      <c r="AD1466" s="736"/>
      <c r="AE1466" s="736"/>
      <c r="AF1466" s="624"/>
      <c r="AG1466" s="624"/>
      <c r="AH1466" s="624"/>
      <c r="AI1466" s="624"/>
      <c r="AJ1466" s="984"/>
      <c r="AK1466" s="985"/>
      <c r="AL1466" s="986"/>
      <c r="AM1466" s="987"/>
      <c r="AN1466" s="988"/>
      <c r="AO1466" s="986"/>
      <c r="AP1466" s="989"/>
      <c r="AQ1466" s="986"/>
      <c r="AR1466" s="990"/>
      <c r="AS1466" s="624"/>
      <c r="AT1466" s="624"/>
      <c r="AU1466" s="624"/>
      <c r="AV1466" s="624"/>
      <c r="AW1466" s="624"/>
      <c r="AX1466" s="624"/>
      <c r="AY1466" s="624"/>
      <c r="AZ1466" s="624"/>
      <c r="BA1466" s="624"/>
      <c r="BB1466" s="624"/>
      <c r="BC1466" s="624"/>
      <c r="BD1466" s="624"/>
      <c r="BE1466" s="624"/>
    </row>
    <row r="1467" ht="16.5" customHeight="1">
      <c r="A1467" s="711"/>
      <c r="B1467" s="711"/>
      <c r="C1467" s="711"/>
      <c r="D1467" s="711"/>
      <c r="E1467" s="711"/>
      <c r="F1467" s="711"/>
      <c r="G1467" s="711"/>
      <c r="H1467" s="711"/>
      <c r="I1467" s="711"/>
      <c r="J1467" s="711"/>
      <c r="K1467" s="741"/>
      <c r="L1467" s="741"/>
      <c r="M1467" s="788"/>
      <c r="N1467" s="741"/>
      <c r="O1467" s="741"/>
      <c r="P1467" s="741"/>
      <c r="Q1467" s="741"/>
      <c r="R1467" s="788"/>
      <c r="S1467" s="819"/>
      <c r="T1467" s="820"/>
      <c r="U1467" s="819"/>
      <c r="V1467" s="820"/>
      <c r="W1467" s="788"/>
      <c r="X1467" s="803"/>
      <c r="Y1467" s="803"/>
      <c r="Z1467" s="803"/>
      <c r="AA1467" s="711"/>
      <c r="AB1467" s="711"/>
      <c r="AC1467" s="711"/>
      <c r="AD1467" s="736"/>
      <c r="AE1467" s="736"/>
      <c r="AF1467" s="624"/>
      <c r="AG1467" s="624"/>
      <c r="AH1467" s="624"/>
      <c r="AI1467" s="624"/>
      <c r="AJ1467" s="984"/>
      <c r="AK1467" s="985"/>
      <c r="AL1467" s="986"/>
      <c r="AM1467" s="987"/>
      <c r="AN1467" s="988"/>
      <c r="AO1467" s="986"/>
      <c r="AP1467" s="989"/>
      <c r="AQ1467" s="986"/>
      <c r="AR1467" s="990"/>
      <c r="AS1467" s="624"/>
      <c r="AT1467" s="624"/>
      <c r="AU1467" s="624"/>
      <c r="AV1467" s="624"/>
      <c r="AW1467" s="624"/>
      <c r="AX1467" s="624"/>
      <c r="AY1467" s="624"/>
      <c r="AZ1467" s="624"/>
      <c r="BA1467" s="624"/>
      <c r="BB1467" s="624"/>
      <c r="BC1467" s="624"/>
      <c r="BD1467" s="624"/>
      <c r="BE1467" s="624"/>
    </row>
    <row r="1468" ht="16.5" customHeight="1">
      <c r="A1468" s="711"/>
      <c r="B1468" s="711"/>
      <c r="C1468" s="711"/>
      <c r="D1468" s="711"/>
      <c r="E1468" s="711"/>
      <c r="F1468" s="711"/>
      <c r="G1468" s="711"/>
      <c r="H1468" s="711"/>
      <c r="I1468" s="711"/>
      <c r="J1468" s="711"/>
      <c r="K1468" s="741"/>
      <c r="L1468" s="741"/>
      <c r="M1468" s="788"/>
      <c r="N1468" s="741"/>
      <c r="O1468" s="741"/>
      <c r="P1468" s="741"/>
      <c r="Q1468" s="741"/>
      <c r="R1468" s="788"/>
      <c r="S1468" s="819"/>
      <c r="T1468" s="820"/>
      <c r="U1468" s="819"/>
      <c r="V1468" s="820"/>
      <c r="W1468" s="788"/>
      <c r="X1468" s="803"/>
      <c r="Y1468" s="803"/>
      <c r="Z1468" s="803"/>
      <c r="AA1468" s="711"/>
      <c r="AB1468" s="711"/>
      <c r="AC1468" s="711"/>
      <c r="AD1468" s="736"/>
      <c r="AE1468" s="736"/>
      <c r="AF1468" s="624"/>
      <c r="AG1468" s="624"/>
      <c r="AH1468" s="624"/>
      <c r="AI1468" s="624"/>
      <c r="AJ1468" s="984"/>
      <c r="AK1468" s="985"/>
      <c r="AL1468" s="986"/>
      <c r="AM1468" s="987"/>
      <c r="AN1468" s="988"/>
      <c r="AO1468" s="986"/>
      <c r="AP1468" s="989"/>
      <c r="AQ1468" s="986"/>
      <c r="AR1468" s="990"/>
      <c r="AS1468" s="624"/>
      <c r="AT1468" s="624"/>
      <c r="AU1468" s="624"/>
      <c r="AV1468" s="624"/>
      <c r="AW1468" s="624"/>
      <c r="AX1468" s="624"/>
      <c r="AY1468" s="624"/>
      <c r="AZ1468" s="624"/>
      <c r="BA1468" s="624"/>
      <c r="BB1468" s="624"/>
      <c r="BC1468" s="624"/>
      <c r="BD1468" s="624"/>
      <c r="BE1468" s="624"/>
    </row>
    <row r="1469" ht="16.5" customHeight="1">
      <c r="A1469" s="711"/>
      <c r="B1469" s="711"/>
      <c r="C1469" s="711"/>
      <c r="D1469" s="711"/>
      <c r="E1469" s="711"/>
      <c r="F1469" s="711"/>
      <c r="G1469" s="711"/>
      <c r="H1469" s="711"/>
      <c r="I1469" s="711"/>
      <c r="J1469" s="711"/>
      <c r="K1469" s="741"/>
      <c r="L1469" s="741"/>
      <c r="M1469" s="788"/>
      <c r="N1469" s="741"/>
      <c r="O1469" s="741"/>
      <c r="P1469" s="741"/>
      <c r="Q1469" s="741"/>
      <c r="R1469" s="788"/>
      <c r="S1469" s="819"/>
      <c r="T1469" s="820"/>
      <c r="U1469" s="819"/>
      <c r="V1469" s="820"/>
      <c r="W1469" s="788"/>
      <c r="X1469" s="803"/>
      <c r="Y1469" s="803"/>
      <c r="Z1469" s="803"/>
      <c r="AA1469" s="711"/>
      <c r="AB1469" s="711"/>
      <c r="AC1469" s="711"/>
      <c r="AD1469" s="736"/>
      <c r="AE1469" s="736"/>
      <c r="AF1469" s="624"/>
      <c r="AG1469" s="624"/>
      <c r="AH1469" s="624"/>
      <c r="AI1469" s="624"/>
      <c r="AJ1469" s="984"/>
      <c r="AK1469" s="985"/>
      <c r="AL1469" s="986"/>
      <c r="AM1469" s="987"/>
      <c r="AN1469" s="988"/>
      <c r="AO1469" s="986"/>
      <c r="AP1469" s="989"/>
      <c r="AQ1469" s="986"/>
      <c r="AR1469" s="990"/>
      <c r="AS1469" s="624"/>
      <c r="AT1469" s="624"/>
      <c r="AU1469" s="624"/>
      <c r="AV1469" s="624"/>
      <c r="AW1469" s="624"/>
      <c r="AX1469" s="624"/>
      <c r="AY1469" s="624"/>
      <c r="AZ1469" s="624"/>
      <c r="BA1469" s="624"/>
      <c r="BB1469" s="624"/>
      <c r="BC1469" s="624"/>
      <c r="BD1469" s="624"/>
      <c r="BE1469" s="624"/>
    </row>
    <row r="1470" ht="16.5" customHeight="1">
      <c r="A1470" s="711"/>
      <c r="B1470" s="711"/>
      <c r="C1470" s="711"/>
      <c r="D1470" s="711"/>
      <c r="E1470" s="711"/>
      <c r="F1470" s="711"/>
      <c r="G1470" s="711"/>
      <c r="H1470" s="711"/>
      <c r="I1470" s="711"/>
      <c r="J1470" s="711"/>
      <c r="K1470" s="741"/>
      <c r="L1470" s="741"/>
      <c r="M1470" s="788"/>
      <c r="N1470" s="741"/>
      <c r="O1470" s="741"/>
      <c r="P1470" s="741"/>
      <c r="Q1470" s="741"/>
      <c r="R1470" s="788"/>
      <c r="S1470" s="819"/>
      <c r="T1470" s="820"/>
      <c r="U1470" s="819"/>
      <c r="V1470" s="820"/>
      <c r="W1470" s="788"/>
      <c r="X1470" s="803"/>
      <c r="Y1470" s="803"/>
      <c r="Z1470" s="803"/>
      <c r="AA1470" s="711"/>
      <c r="AB1470" s="711"/>
      <c r="AC1470" s="711"/>
      <c r="AD1470" s="736"/>
      <c r="AE1470" s="736"/>
      <c r="AF1470" s="624"/>
      <c r="AG1470" s="624"/>
      <c r="AH1470" s="624"/>
      <c r="AI1470" s="624"/>
      <c r="AJ1470" s="984"/>
      <c r="AK1470" s="985"/>
      <c r="AL1470" s="986"/>
      <c r="AM1470" s="987"/>
      <c r="AN1470" s="988"/>
      <c r="AO1470" s="986"/>
      <c r="AP1470" s="989"/>
      <c r="AQ1470" s="986"/>
      <c r="AR1470" s="990"/>
      <c r="AS1470" s="624"/>
      <c r="AT1470" s="624"/>
      <c r="AU1470" s="624"/>
      <c r="AV1470" s="624"/>
      <c r="AW1470" s="624"/>
      <c r="AX1470" s="624"/>
      <c r="AY1470" s="624"/>
      <c r="AZ1470" s="624"/>
      <c r="BA1470" s="624"/>
      <c r="BB1470" s="624"/>
      <c r="BC1470" s="624"/>
      <c r="BD1470" s="624"/>
      <c r="BE1470" s="624"/>
    </row>
    <row r="1471" ht="16.5" customHeight="1">
      <c r="A1471" s="711"/>
      <c r="B1471" s="711"/>
      <c r="C1471" s="711"/>
      <c r="D1471" s="711"/>
      <c r="E1471" s="711"/>
      <c r="F1471" s="711"/>
      <c r="G1471" s="711"/>
      <c r="H1471" s="711"/>
      <c r="I1471" s="711"/>
      <c r="J1471" s="711"/>
      <c r="K1471" s="741"/>
      <c r="L1471" s="741"/>
      <c r="M1471" s="788"/>
      <c r="N1471" s="741"/>
      <c r="O1471" s="741"/>
      <c r="P1471" s="741"/>
      <c r="Q1471" s="741"/>
      <c r="R1471" s="788"/>
      <c r="S1471" s="819"/>
      <c r="T1471" s="820"/>
      <c r="U1471" s="819"/>
      <c r="V1471" s="820"/>
      <c r="W1471" s="788"/>
      <c r="X1471" s="803"/>
      <c r="Y1471" s="803"/>
      <c r="Z1471" s="803"/>
      <c r="AA1471" s="711"/>
      <c r="AB1471" s="711"/>
      <c r="AC1471" s="711"/>
      <c r="AD1471" s="736"/>
      <c r="AE1471" s="736"/>
      <c r="AF1471" s="624"/>
      <c r="AG1471" s="624"/>
      <c r="AH1471" s="624"/>
      <c r="AI1471" s="624"/>
      <c r="AJ1471" s="984"/>
      <c r="AK1471" s="985"/>
      <c r="AL1471" s="986"/>
      <c r="AM1471" s="987"/>
      <c r="AN1471" s="988"/>
      <c r="AO1471" s="986"/>
      <c r="AP1471" s="989"/>
      <c r="AQ1471" s="986"/>
      <c r="AR1471" s="990"/>
      <c r="AS1471" s="624"/>
      <c r="AT1471" s="624"/>
      <c r="AU1471" s="624"/>
      <c r="AV1471" s="624"/>
      <c r="AW1471" s="624"/>
      <c r="AX1471" s="624"/>
      <c r="AY1471" s="624"/>
      <c r="AZ1471" s="624"/>
      <c r="BA1471" s="624"/>
      <c r="BB1471" s="624"/>
      <c r="BC1471" s="624"/>
      <c r="BD1471" s="624"/>
      <c r="BE1471" s="624"/>
    </row>
    <row r="1472" ht="16.5" customHeight="1">
      <c r="A1472" s="711"/>
      <c r="B1472" s="711"/>
      <c r="C1472" s="711"/>
      <c r="D1472" s="711"/>
      <c r="E1472" s="711"/>
      <c r="F1472" s="711"/>
      <c r="G1472" s="711"/>
      <c r="H1472" s="711"/>
      <c r="I1472" s="711"/>
      <c r="J1472" s="711"/>
      <c r="K1472" s="741"/>
      <c r="L1472" s="741"/>
      <c r="M1472" s="788"/>
      <c r="N1472" s="741"/>
      <c r="O1472" s="741"/>
      <c r="P1472" s="741"/>
      <c r="Q1472" s="741"/>
      <c r="R1472" s="788"/>
      <c r="S1472" s="819"/>
      <c r="T1472" s="820"/>
      <c r="U1472" s="819"/>
      <c r="V1472" s="820"/>
      <c r="W1472" s="788"/>
      <c r="X1472" s="803"/>
      <c r="Y1472" s="803"/>
      <c r="Z1472" s="803"/>
      <c r="AA1472" s="711"/>
      <c r="AB1472" s="711"/>
      <c r="AC1472" s="711"/>
      <c r="AD1472" s="736"/>
      <c r="AE1472" s="736"/>
      <c r="AF1472" s="624"/>
      <c r="AG1472" s="624"/>
      <c r="AH1472" s="624"/>
      <c r="AI1472" s="624"/>
      <c r="AJ1472" s="984"/>
      <c r="AK1472" s="985"/>
      <c r="AL1472" s="986"/>
      <c r="AM1472" s="987"/>
      <c r="AN1472" s="988"/>
      <c r="AO1472" s="986"/>
      <c r="AP1472" s="989"/>
      <c r="AQ1472" s="986"/>
      <c r="AR1472" s="990"/>
      <c r="AS1472" s="624"/>
      <c r="AT1472" s="624"/>
      <c r="AU1472" s="624"/>
      <c r="AV1472" s="624"/>
      <c r="AW1472" s="624"/>
      <c r="AX1472" s="624"/>
      <c r="AY1472" s="624"/>
      <c r="AZ1472" s="624"/>
      <c r="BA1472" s="624"/>
      <c r="BB1472" s="624"/>
      <c r="BC1472" s="624"/>
      <c r="BD1472" s="624"/>
      <c r="BE1472" s="624"/>
    </row>
    <row r="1473" ht="16.5" customHeight="1">
      <c r="A1473" s="711"/>
      <c r="B1473" s="711"/>
      <c r="C1473" s="711"/>
      <c r="D1473" s="711"/>
      <c r="E1473" s="711"/>
      <c r="F1473" s="711"/>
      <c r="G1473" s="711"/>
      <c r="H1473" s="711"/>
      <c r="I1473" s="711"/>
      <c r="J1473" s="711"/>
      <c r="K1473" s="741"/>
      <c r="L1473" s="741"/>
      <c r="M1473" s="788"/>
      <c r="N1473" s="741"/>
      <c r="O1473" s="741"/>
      <c r="P1473" s="741"/>
      <c r="Q1473" s="741"/>
      <c r="R1473" s="788"/>
      <c r="S1473" s="819"/>
      <c r="T1473" s="820"/>
      <c r="U1473" s="819"/>
      <c r="V1473" s="820"/>
      <c r="W1473" s="788"/>
      <c r="X1473" s="803"/>
      <c r="Y1473" s="803"/>
      <c r="Z1473" s="803"/>
      <c r="AA1473" s="711"/>
      <c r="AB1473" s="711"/>
      <c r="AC1473" s="711"/>
      <c r="AD1473" s="736"/>
      <c r="AE1473" s="736"/>
      <c r="AF1473" s="624"/>
      <c r="AG1473" s="624"/>
      <c r="AH1473" s="624"/>
      <c r="AI1473" s="624"/>
      <c r="AJ1473" s="984"/>
      <c r="AK1473" s="985"/>
      <c r="AL1473" s="986"/>
      <c r="AM1473" s="987"/>
      <c r="AN1473" s="988"/>
      <c r="AO1473" s="986"/>
      <c r="AP1473" s="989"/>
      <c r="AQ1473" s="986"/>
      <c r="AR1473" s="990"/>
      <c r="AS1473" s="624"/>
      <c r="AT1473" s="624"/>
      <c r="AU1473" s="624"/>
      <c r="AV1473" s="624"/>
      <c r="AW1473" s="624"/>
      <c r="AX1473" s="624"/>
      <c r="AY1473" s="624"/>
      <c r="AZ1473" s="624"/>
      <c r="BA1473" s="624"/>
      <c r="BB1473" s="624"/>
      <c r="BC1473" s="624"/>
      <c r="BD1473" s="624"/>
      <c r="BE1473" s="624"/>
    </row>
    <row r="1474" ht="16.5" customHeight="1">
      <c r="A1474" s="711"/>
      <c r="B1474" s="711"/>
      <c r="C1474" s="711"/>
      <c r="D1474" s="711"/>
      <c r="E1474" s="711"/>
      <c r="F1474" s="711"/>
      <c r="G1474" s="711"/>
      <c r="H1474" s="711"/>
      <c r="I1474" s="711"/>
      <c r="J1474" s="711"/>
      <c r="K1474" s="741"/>
      <c r="L1474" s="741"/>
      <c r="M1474" s="788"/>
      <c r="N1474" s="741"/>
      <c r="O1474" s="741"/>
      <c r="P1474" s="741"/>
      <c r="Q1474" s="741"/>
      <c r="R1474" s="788"/>
      <c r="S1474" s="819"/>
      <c r="T1474" s="820"/>
      <c r="U1474" s="819"/>
      <c r="V1474" s="820"/>
      <c r="W1474" s="788"/>
      <c r="X1474" s="803"/>
      <c r="Y1474" s="803"/>
      <c r="Z1474" s="803"/>
      <c r="AA1474" s="711"/>
      <c r="AB1474" s="711"/>
      <c r="AC1474" s="711"/>
      <c r="AD1474" s="736"/>
      <c r="AE1474" s="736"/>
      <c r="AF1474" s="624"/>
      <c r="AG1474" s="624"/>
      <c r="AH1474" s="624"/>
      <c r="AI1474" s="624"/>
      <c r="AJ1474" s="984"/>
      <c r="AK1474" s="985"/>
      <c r="AL1474" s="986"/>
      <c r="AM1474" s="987"/>
      <c r="AN1474" s="988"/>
      <c r="AO1474" s="986"/>
      <c r="AP1474" s="989"/>
      <c r="AQ1474" s="986"/>
      <c r="AR1474" s="990"/>
      <c r="AS1474" s="624"/>
      <c r="AT1474" s="624"/>
      <c r="AU1474" s="624"/>
      <c r="AV1474" s="624"/>
      <c r="AW1474" s="624"/>
      <c r="AX1474" s="624"/>
      <c r="AY1474" s="624"/>
      <c r="AZ1474" s="624"/>
      <c r="BA1474" s="624"/>
      <c r="BB1474" s="624"/>
      <c r="BC1474" s="624"/>
      <c r="BD1474" s="624"/>
      <c r="BE1474" s="624"/>
    </row>
    <row r="1475" ht="16.5" customHeight="1">
      <c r="A1475" s="711"/>
      <c r="B1475" s="711"/>
      <c r="C1475" s="711"/>
      <c r="D1475" s="711"/>
      <c r="E1475" s="711"/>
      <c r="F1475" s="711"/>
      <c r="G1475" s="711"/>
      <c r="H1475" s="711"/>
      <c r="I1475" s="711"/>
      <c r="J1475" s="711"/>
      <c r="K1475" s="741"/>
      <c r="L1475" s="741"/>
      <c r="M1475" s="788"/>
      <c r="N1475" s="741"/>
      <c r="O1475" s="741"/>
      <c r="P1475" s="741"/>
      <c r="Q1475" s="741"/>
      <c r="R1475" s="788"/>
      <c r="S1475" s="819"/>
      <c r="T1475" s="820"/>
      <c r="U1475" s="819"/>
      <c r="V1475" s="820"/>
      <c r="W1475" s="788"/>
      <c r="X1475" s="803"/>
      <c r="Y1475" s="803"/>
      <c r="Z1475" s="803"/>
      <c r="AA1475" s="711"/>
      <c r="AB1475" s="711"/>
      <c r="AC1475" s="711"/>
      <c r="AD1475" s="736"/>
      <c r="AE1475" s="736"/>
      <c r="AF1475" s="624"/>
      <c r="AG1475" s="624"/>
      <c r="AH1475" s="624"/>
      <c r="AI1475" s="624"/>
      <c r="AJ1475" s="984"/>
      <c r="AK1475" s="985"/>
      <c r="AL1475" s="986"/>
      <c r="AM1475" s="987"/>
      <c r="AN1475" s="988"/>
      <c r="AO1475" s="986"/>
      <c r="AP1475" s="989"/>
      <c r="AQ1475" s="986"/>
      <c r="AR1475" s="990"/>
      <c r="AS1475" s="624"/>
      <c r="AT1475" s="624"/>
      <c r="AU1475" s="624"/>
      <c r="AV1475" s="624"/>
      <c r="AW1475" s="624"/>
      <c r="AX1475" s="624"/>
      <c r="AY1475" s="624"/>
      <c r="AZ1475" s="624"/>
      <c r="BA1475" s="624"/>
      <c r="BB1475" s="624"/>
      <c r="BC1475" s="624"/>
      <c r="BD1475" s="624"/>
      <c r="BE1475" s="624"/>
    </row>
    <row r="1476" ht="16.5" customHeight="1">
      <c r="A1476" s="711"/>
      <c r="B1476" s="711"/>
      <c r="C1476" s="711"/>
      <c r="D1476" s="711"/>
      <c r="E1476" s="711"/>
      <c r="F1476" s="711"/>
      <c r="G1476" s="711"/>
      <c r="H1476" s="711"/>
      <c r="I1476" s="711"/>
      <c r="J1476" s="711"/>
      <c r="K1476" s="741"/>
      <c r="L1476" s="741"/>
      <c r="M1476" s="788"/>
      <c r="N1476" s="741"/>
      <c r="O1476" s="741"/>
      <c r="P1476" s="741"/>
      <c r="Q1476" s="741"/>
      <c r="R1476" s="788"/>
      <c r="S1476" s="819"/>
      <c r="T1476" s="820"/>
      <c r="U1476" s="819"/>
      <c r="V1476" s="820"/>
      <c r="W1476" s="788"/>
      <c r="X1476" s="803"/>
      <c r="Y1476" s="803"/>
      <c r="Z1476" s="803"/>
      <c r="AA1476" s="711"/>
      <c r="AB1476" s="711"/>
      <c r="AC1476" s="711"/>
      <c r="AD1476" s="736"/>
      <c r="AE1476" s="736"/>
      <c r="AF1476" s="624"/>
      <c r="AG1476" s="624"/>
      <c r="AH1476" s="624"/>
      <c r="AI1476" s="624"/>
      <c r="AJ1476" s="984"/>
      <c r="AK1476" s="985"/>
      <c r="AL1476" s="986"/>
      <c r="AM1476" s="987"/>
      <c r="AN1476" s="988"/>
      <c r="AO1476" s="986"/>
      <c r="AP1476" s="989"/>
      <c r="AQ1476" s="986"/>
      <c r="AR1476" s="990"/>
      <c r="AS1476" s="624"/>
      <c r="AT1476" s="624"/>
      <c r="AU1476" s="624"/>
      <c r="AV1476" s="624"/>
      <c r="AW1476" s="624"/>
      <c r="AX1476" s="624"/>
      <c r="AY1476" s="624"/>
      <c r="AZ1476" s="624"/>
      <c r="BA1476" s="624"/>
      <c r="BB1476" s="624"/>
      <c r="BC1476" s="624"/>
      <c r="BD1476" s="624"/>
      <c r="BE1476" s="624"/>
    </row>
    <row r="1477" ht="16.5" customHeight="1">
      <c r="A1477" s="711"/>
      <c r="B1477" s="711"/>
      <c r="C1477" s="711"/>
      <c r="D1477" s="711"/>
      <c r="E1477" s="711"/>
      <c r="F1477" s="711"/>
      <c r="G1477" s="711"/>
      <c r="H1477" s="711"/>
      <c r="I1477" s="711"/>
      <c r="J1477" s="711"/>
      <c r="K1477" s="741"/>
      <c r="L1477" s="741"/>
      <c r="M1477" s="788"/>
      <c r="N1477" s="741"/>
      <c r="O1477" s="741"/>
      <c r="P1477" s="741"/>
      <c r="Q1477" s="741"/>
      <c r="R1477" s="788"/>
      <c r="S1477" s="819"/>
      <c r="T1477" s="820"/>
      <c r="U1477" s="819"/>
      <c r="V1477" s="820"/>
      <c r="W1477" s="788"/>
      <c r="X1477" s="803"/>
      <c r="Y1477" s="803"/>
      <c r="Z1477" s="803"/>
      <c r="AA1477" s="711"/>
      <c r="AB1477" s="711"/>
      <c r="AC1477" s="711"/>
      <c r="AD1477" s="736"/>
      <c r="AE1477" s="736"/>
      <c r="AF1477" s="624"/>
      <c r="AG1477" s="624"/>
      <c r="AH1477" s="624"/>
      <c r="AI1477" s="624"/>
      <c r="AJ1477" s="984"/>
      <c r="AK1477" s="985"/>
      <c r="AL1477" s="986"/>
      <c r="AM1477" s="987"/>
      <c r="AN1477" s="988"/>
      <c r="AO1477" s="986"/>
      <c r="AP1477" s="989"/>
      <c r="AQ1477" s="986"/>
      <c r="AR1477" s="990"/>
      <c r="AS1477" s="624"/>
      <c r="AT1477" s="624"/>
      <c r="AU1477" s="624"/>
      <c r="AV1477" s="624"/>
      <c r="AW1477" s="624"/>
      <c r="AX1477" s="624"/>
      <c r="AY1477" s="624"/>
      <c r="AZ1477" s="624"/>
      <c r="BA1477" s="624"/>
      <c r="BB1477" s="624"/>
      <c r="BC1477" s="624"/>
      <c r="BD1477" s="624"/>
      <c r="BE1477" s="624"/>
    </row>
    <row r="1478" ht="16.5" customHeight="1">
      <c r="A1478" s="711"/>
      <c r="B1478" s="711"/>
      <c r="C1478" s="711"/>
      <c r="D1478" s="711"/>
      <c r="E1478" s="711"/>
      <c r="F1478" s="711"/>
      <c r="G1478" s="711"/>
      <c r="H1478" s="711"/>
      <c r="I1478" s="711"/>
      <c r="J1478" s="711"/>
      <c r="K1478" s="741"/>
      <c r="L1478" s="741"/>
      <c r="M1478" s="788"/>
      <c r="N1478" s="741"/>
      <c r="O1478" s="741"/>
      <c r="P1478" s="741"/>
      <c r="Q1478" s="741"/>
      <c r="R1478" s="788"/>
      <c r="S1478" s="819"/>
      <c r="T1478" s="820"/>
      <c r="U1478" s="819"/>
      <c r="V1478" s="820"/>
      <c r="W1478" s="788"/>
      <c r="X1478" s="803"/>
      <c r="Y1478" s="803"/>
      <c r="Z1478" s="803"/>
      <c r="AA1478" s="711"/>
      <c r="AB1478" s="711"/>
      <c r="AC1478" s="711"/>
      <c r="AD1478" s="736"/>
      <c r="AE1478" s="736"/>
      <c r="AF1478" s="624"/>
      <c r="AG1478" s="624"/>
      <c r="AH1478" s="624"/>
      <c r="AI1478" s="624"/>
      <c r="AJ1478" s="984"/>
      <c r="AK1478" s="985"/>
      <c r="AL1478" s="986"/>
      <c r="AM1478" s="987"/>
      <c r="AN1478" s="988"/>
      <c r="AO1478" s="986"/>
      <c r="AP1478" s="989"/>
      <c r="AQ1478" s="986"/>
      <c r="AR1478" s="990"/>
      <c r="AS1478" s="624"/>
      <c r="AT1478" s="624"/>
      <c r="AU1478" s="624"/>
      <c r="AV1478" s="624"/>
      <c r="AW1478" s="624"/>
      <c r="AX1478" s="624"/>
      <c r="AY1478" s="624"/>
      <c r="AZ1478" s="624"/>
      <c r="BA1478" s="624"/>
      <c r="BB1478" s="624"/>
      <c r="BC1478" s="624"/>
      <c r="BD1478" s="624"/>
      <c r="BE1478" s="624"/>
    </row>
    <row r="1479" ht="16.5" customHeight="1">
      <c r="A1479" s="711"/>
      <c r="B1479" s="711"/>
      <c r="C1479" s="711"/>
      <c r="D1479" s="711"/>
      <c r="E1479" s="711"/>
      <c r="F1479" s="711"/>
      <c r="G1479" s="711"/>
      <c r="H1479" s="711"/>
      <c r="I1479" s="711"/>
      <c r="J1479" s="711"/>
      <c r="K1479" s="741"/>
      <c r="L1479" s="741"/>
      <c r="M1479" s="788"/>
      <c r="N1479" s="741"/>
      <c r="O1479" s="741"/>
      <c r="P1479" s="741"/>
      <c r="Q1479" s="741"/>
      <c r="R1479" s="788"/>
      <c r="S1479" s="819"/>
      <c r="T1479" s="820"/>
      <c r="U1479" s="819"/>
      <c r="V1479" s="820"/>
      <c r="W1479" s="788"/>
      <c r="X1479" s="803"/>
      <c r="Y1479" s="803"/>
      <c r="Z1479" s="803"/>
      <c r="AA1479" s="711"/>
      <c r="AB1479" s="711"/>
      <c r="AC1479" s="711"/>
      <c r="AD1479" s="736"/>
      <c r="AE1479" s="736"/>
      <c r="AF1479" s="624"/>
      <c r="AG1479" s="624"/>
      <c r="AH1479" s="624"/>
      <c r="AI1479" s="624"/>
      <c r="AJ1479" s="984"/>
      <c r="AK1479" s="985"/>
      <c r="AL1479" s="986"/>
      <c r="AM1479" s="987"/>
      <c r="AN1479" s="988"/>
      <c r="AO1479" s="986"/>
      <c r="AP1479" s="989"/>
      <c r="AQ1479" s="986"/>
      <c r="AR1479" s="990"/>
      <c r="AS1479" s="624"/>
      <c r="AT1479" s="624"/>
      <c r="AU1479" s="624"/>
      <c r="AV1479" s="624"/>
      <c r="AW1479" s="624"/>
      <c r="AX1479" s="624"/>
      <c r="AY1479" s="624"/>
      <c r="AZ1479" s="624"/>
      <c r="BA1479" s="624"/>
      <c r="BB1479" s="624"/>
      <c r="BC1479" s="624"/>
      <c r="BD1479" s="624"/>
      <c r="BE1479" s="624"/>
    </row>
    <row r="1480" ht="16.5" customHeight="1">
      <c r="A1480" s="711"/>
      <c r="B1480" s="711"/>
      <c r="C1480" s="711"/>
      <c r="D1480" s="711"/>
      <c r="E1480" s="711"/>
      <c r="F1480" s="711"/>
      <c r="G1480" s="711"/>
      <c r="H1480" s="711"/>
      <c r="I1480" s="711"/>
      <c r="J1480" s="711"/>
      <c r="K1480" s="741"/>
      <c r="L1480" s="741"/>
      <c r="M1480" s="788"/>
      <c r="N1480" s="741"/>
      <c r="O1480" s="741"/>
      <c r="P1480" s="741"/>
      <c r="Q1480" s="741"/>
      <c r="R1480" s="788"/>
      <c r="S1480" s="819"/>
      <c r="T1480" s="820"/>
      <c r="U1480" s="819"/>
      <c r="V1480" s="820"/>
      <c r="W1480" s="788"/>
      <c r="X1480" s="803"/>
      <c r="Y1480" s="803"/>
      <c r="Z1480" s="803"/>
      <c r="AA1480" s="711"/>
      <c r="AB1480" s="711"/>
      <c r="AC1480" s="711"/>
      <c r="AD1480" s="736"/>
      <c r="AE1480" s="736"/>
      <c r="AF1480" s="624"/>
      <c r="AG1480" s="624"/>
      <c r="AH1480" s="624"/>
      <c r="AI1480" s="624"/>
      <c r="AJ1480" s="984"/>
      <c r="AK1480" s="985"/>
      <c r="AL1480" s="986"/>
      <c r="AM1480" s="987"/>
      <c r="AN1480" s="988"/>
      <c r="AO1480" s="986"/>
      <c r="AP1480" s="989"/>
      <c r="AQ1480" s="986"/>
      <c r="AR1480" s="990"/>
      <c r="AS1480" s="624"/>
      <c r="AT1480" s="624"/>
      <c r="AU1480" s="624"/>
      <c r="AV1480" s="624"/>
      <c r="AW1480" s="624"/>
      <c r="AX1480" s="624"/>
      <c r="AY1480" s="624"/>
      <c r="AZ1480" s="624"/>
      <c r="BA1480" s="624"/>
      <c r="BB1480" s="624"/>
      <c r="BC1480" s="624"/>
      <c r="BD1480" s="624"/>
      <c r="BE1480" s="624"/>
    </row>
    <row r="1481" ht="16.5" customHeight="1">
      <c r="A1481" s="711"/>
      <c r="B1481" s="711"/>
      <c r="C1481" s="711"/>
      <c r="D1481" s="711"/>
      <c r="E1481" s="711"/>
      <c r="F1481" s="711"/>
      <c r="G1481" s="711"/>
      <c r="H1481" s="711"/>
      <c r="I1481" s="711"/>
      <c r="J1481" s="711"/>
      <c r="K1481" s="741"/>
      <c r="L1481" s="741"/>
      <c r="M1481" s="788"/>
      <c r="N1481" s="741"/>
      <c r="O1481" s="741"/>
      <c r="P1481" s="741"/>
      <c r="Q1481" s="741"/>
      <c r="R1481" s="788"/>
      <c r="S1481" s="819"/>
      <c r="T1481" s="820"/>
      <c r="U1481" s="819"/>
      <c r="V1481" s="820"/>
      <c r="W1481" s="788"/>
      <c r="X1481" s="803"/>
      <c r="Y1481" s="803"/>
      <c r="Z1481" s="803"/>
      <c r="AA1481" s="711"/>
      <c r="AB1481" s="711"/>
      <c r="AC1481" s="711"/>
      <c r="AD1481" s="736"/>
      <c r="AE1481" s="736"/>
      <c r="AF1481" s="624"/>
      <c r="AG1481" s="624"/>
      <c r="AH1481" s="624"/>
      <c r="AI1481" s="624"/>
      <c r="AJ1481" s="984"/>
      <c r="AK1481" s="985"/>
      <c r="AL1481" s="986"/>
      <c r="AM1481" s="987"/>
      <c r="AN1481" s="988"/>
      <c r="AO1481" s="986"/>
      <c r="AP1481" s="989"/>
      <c r="AQ1481" s="986"/>
      <c r="AR1481" s="990"/>
      <c r="AS1481" s="624"/>
      <c r="AT1481" s="624"/>
      <c r="AU1481" s="624"/>
      <c r="AV1481" s="624"/>
      <c r="AW1481" s="624"/>
      <c r="AX1481" s="624"/>
      <c r="AY1481" s="624"/>
      <c r="AZ1481" s="624"/>
      <c r="BA1481" s="624"/>
      <c r="BB1481" s="624"/>
      <c r="BC1481" s="624"/>
      <c r="BD1481" s="624"/>
      <c r="BE1481" s="624"/>
    </row>
    <row r="1482" ht="16.5" customHeight="1">
      <c r="A1482" s="711"/>
      <c r="B1482" s="711"/>
      <c r="C1482" s="711"/>
      <c r="D1482" s="711"/>
      <c r="E1482" s="711"/>
      <c r="F1482" s="711"/>
      <c r="G1482" s="711"/>
      <c r="H1482" s="711"/>
      <c r="I1482" s="711"/>
      <c r="J1482" s="711"/>
      <c r="K1482" s="741"/>
      <c r="L1482" s="741"/>
      <c r="M1482" s="788"/>
      <c r="N1482" s="741"/>
      <c r="O1482" s="741"/>
      <c r="P1482" s="741"/>
      <c r="Q1482" s="741"/>
      <c r="R1482" s="788"/>
      <c r="S1482" s="819"/>
      <c r="T1482" s="820"/>
      <c r="U1482" s="819"/>
      <c r="V1482" s="820"/>
      <c r="W1482" s="788"/>
      <c r="X1482" s="803"/>
      <c r="Y1482" s="803"/>
      <c r="Z1482" s="803"/>
      <c r="AA1482" s="711"/>
      <c r="AB1482" s="711"/>
      <c r="AC1482" s="711"/>
      <c r="AD1482" s="736"/>
      <c r="AE1482" s="736"/>
      <c r="AF1482" s="624"/>
      <c r="AG1482" s="624"/>
      <c r="AH1482" s="624"/>
      <c r="AI1482" s="624"/>
      <c r="AJ1482" s="984"/>
      <c r="AK1482" s="985"/>
      <c r="AL1482" s="986"/>
      <c r="AM1482" s="987"/>
      <c r="AN1482" s="988"/>
      <c r="AO1482" s="986"/>
      <c r="AP1482" s="989"/>
      <c r="AQ1482" s="986"/>
      <c r="AR1482" s="990"/>
      <c r="AS1482" s="624"/>
      <c r="AT1482" s="624"/>
      <c r="AU1482" s="624"/>
      <c r="AV1482" s="624"/>
      <c r="AW1482" s="624"/>
      <c r="AX1482" s="624"/>
      <c r="AY1482" s="624"/>
      <c r="AZ1482" s="624"/>
      <c r="BA1482" s="624"/>
      <c r="BB1482" s="624"/>
      <c r="BC1482" s="624"/>
      <c r="BD1482" s="624"/>
      <c r="BE1482" s="624"/>
    </row>
    <row r="1483" ht="16.5" customHeight="1">
      <c r="A1483" s="711"/>
      <c r="B1483" s="711"/>
      <c r="C1483" s="711"/>
      <c r="D1483" s="711"/>
      <c r="E1483" s="711"/>
      <c r="F1483" s="711"/>
      <c r="G1483" s="711"/>
      <c r="H1483" s="711"/>
      <c r="I1483" s="711"/>
      <c r="J1483" s="711"/>
      <c r="K1483" s="741"/>
      <c r="L1483" s="741"/>
      <c r="M1483" s="788"/>
      <c r="N1483" s="741"/>
      <c r="O1483" s="741"/>
      <c r="P1483" s="741"/>
      <c r="Q1483" s="741"/>
      <c r="R1483" s="788"/>
      <c r="S1483" s="819"/>
      <c r="T1483" s="820"/>
      <c r="U1483" s="819"/>
      <c r="V1483" s="820"/>
      <c r="W1483" s="788"/>
      <c r="X1483" s="803"/>
      <c r="Y1483" s="803"/>
      <c r="Z1483" s="803"/>
      <c r="AA1483" s="711"/>
      <c r="AB1483" s="711"/>
      <c r="AC1483" s="711"/>
      <c r="AD1483" s="736"/>
      <c r="AE1483" s="736"/>
      <c r="AF1483" s="624"/>
      <c r="AG1483" s="624"/>
      <c r="AH1483" s="624"/>
      <c r="AI1483" s="624"/>
      <c r="AJ1483" s="984"/>
      <c r="AK1483" s="985"/>
      <c r="AL1483" s="986"/>
      <c r="AM1483" s="987"/>
      <c r="AN1483" s="988"/>
      <c r="AO1483" s="986"/>
      <c r="AP1483" s="989"/>
      <c r="AQ1483" s="986"/>
      <c r="AR1483" s="990"/>
      <c r="AS1483" s="624"/>
      <c r="AT1483" s="624"/>
      <c r="AU1483" s="624"/>
      <c r="AV1483" s="624"/>
      <c r="AW1483" s="624"/>
      <c r="AX1483" s="624"/>
      <c r="AY1483" s="624"/>
      <c r="AZ1483" s="624"/>
      <c r="BA1483" s="624"/>
      <c r="BB1483" s="624"/>
      <c r="BC1483" s="624"/>
      <c r="BD1483" s="624"/>
      <c r="BE1483" s="624"/>
    </row>
    <row r="1484" ht="16.5" customHeight="1">
      <c r="A1484" s="711"/>
      <c r="B1484" s="711"/>
      <c r="C1484" s="711"/>
      <c r="D1484" s="711"/>
      <c r="E1484" s="711"/>
      <c r="F1484" s="711"/>
      <c r="G1484" s="711"/>
      <c r="H1484" s="711"/>
      <c r="I1484" s="711"/>
      <c r="J1484" s="711"/>
      <c r="K1484" s="741"/>
      <c r="L1484" s="741"/>
      <c r="M1484" s="788"/>
      <c r="N1484" s="741"/>
      <c r="O1484" s="741"/>
      <c r="P1484" s="741"/>
      <c r="Q1484" s="741"/>
      <c r="R1484" s="788"/>
      <c r="S1484" s="819"/>
      <c r="T1484" s="820"/>
      <c r="U1484" s="819"/>
      <c r="V1484" s="820"/>
      <c r="W1484" s="788"/>
      <c r="X1484" s="803"/>
      <c r="Y1484" s="803"/>
      <c r="Z1484" s="803"/>
      <c r="AA1484" s="711"/>
      <c r="AB1484" s="711"/>
      <c r="AC1484" s="711"/>
      <c r="AD1484" s="736"/>
      <c r="AE1484" s="736"/>
      <c r="AF1484" s="624"/>
      <c r="AG1484" s="624"/>
      <c r="AH1484" s="624"/>
      <c r="AI1484" s="624"/>
      <c r="AJ1484" s="984"/>
      <c r="AK1484" s="985"/>
      <c r="AL1484" s="986"/>
      <c r="AM1484" s="987"/>
      <c r="AN1484" s="988"/>
      <c r="AO1484" s="986"/>
      <c r="AP1484" s="989"/>
      <c r="AQ1484" s="986"/>
      <c r="AR1484" s="990"/>
      <c r="AS1484" s="624"/>
      <c r="AT1484" s="624"/>
      <c r="AU1484" s="624"/>
      <c r="AV1484" s="624"/>
      <c r="AW1484" s="624"/>
      <c r="AX1484" s="624"/>
      <c r="AY1484" s="624"/>
      <c r="AZ1484" s="624"/>
      <c r="BA1484" s="624"/>
      <c r="BB1484" s="624"/>
      <c r="BC1484" s="624"/>
      <c r="BD1484" s="624"/>
      <c r="BE1484" s="624"/>
    </row>
    <row r="1485" ht="16.5" customHeight="1">
      <c r="A1485" s="711"/>
      <c r="B1485" s="711"/>
      <c r="C1485" s="711"/>
      <c r="D1485" s="711"/>
      <c r="E1485" s="711"/>
      <c r="F1485" s="711"/>
      <c r="G1485" s="711"/>
      <c r="H1485" s="711"/>
      <c r="I1485" s="711"/>
      <c r="J1485" s="711"/>
      <c r="K1485" s="741"/>
      <c r="L1485" s="741"/>
      <c r="M1485" s="788"/>
      <c r="N1485" s="741"/>
      <c r="O1485" s="741"/>
      <c r="P1485" s="741"/>
      <c r="Q1485" s="741"/>
      <c r="R1485" s="788"/>
      <c r="S1485" s="819"/>
      <c r="T1485" s="820"/>
      <c r="U1485" s="819"/>
      <c r="V1485" s="820"/>
      <c r="W1485" s="788"/>
      <c r="X1485" s="803"/>
      <c r="Y1485" s="803"/>
      <c r="Z1485" s="803"/>
      <c r="AA1485" s="711"/>
      <c r="AB1485" s="711"/>
      <c r="AC1485" s="711"/>
      <c r="AD1485" s="736"/>
      <c r="AE1485" s="736"/>
      <c r="AF1485" s="624"/>
      <c r="AG1485" s="624"/>
      <c r="AH1485" s="624"/>
      <c r="AI1485" s="624"/>
      <c r="AJ1485" s="984"/>
      <c r="AK1485" s="985"/>
      <c r="AL1485" s="986"/>
      <c r="AM1485" s="987"/>
      <c r="AN1485" s="988"/>
      <c r="AO1485" s="986"/>
      <c r="AP1485" s="989"/>
      <c r="AQ1485" s="986"/>
      <c r="AR1485" s="990"/>
      <c r="AS1485" s="624"/>
      <c r="AT1485" s="624"/>
      <c r="AU1485" s="624"/>
      <c r="AV1485" s="624"/>
      <c r="AW1485" s="624"/>
      <c r="AX1485" s="624"/>
      <c r="AY1485" s="624"/>
      <c r="AZ1485" s="624"/>
      <c r="BA1485" s="624"/>
      <c r="BB1485" s="624"/>
      <c r="BC1485" s="624"/>
      <c r="BD1485" s="624"/>
      <c r="BE1485" s="624"/>
    </row>
    <row r="1486" ht="16.5" customHeight="1">
      <c r="A1486" s="711"/>
      <c r="B1486" s="711"/>
      <c r="C1486" s="711"/>
      <c r="D1486" s="711"/>
      <c r="E1486" s="711"/>
      <c r="F1486" s="711"/>
      <c r="G1486" s="711"/>
      <c r="H1486" s="711"/>
      <c r="I1486" s="711"/>
      <c r="J1486" s="711"/>
      <c r="K1486" s="741"/>
      <c r="L1486" s="741"/>
      <c r="M1486" s="788"/>
      <c r="N1486" s="741"/>
      <c r="O1486" s="741"/>
      <c r="P1486" s="741"/>
      <c r="Q1486" s="741"/>
      <c r="R1486" s="788"/>
      <c r="S1486" s="819"/>
      <c r="T1486" s="820"/>
      <c r="U1486" s="819"/>
      <c r="V1486" s="820"/>
      <c r="W1486" s="788"/>
      <c r="X1486" s="803"/>
      <c r="Y1486" s="803"/>
      <c r="Z1486" s="803"/>
      <c r="AA1486" s="711"/>
      <c r="AB1486" s="711"/>
      <c r="AC1486" s="711"/>
      <c r="AD1486" s="736"/>
      <c r="AE1486" s="736"/>
      <c r="AF1486" s="624"/>
      <c r="AG1486" s="624"/>
      <c r="AH1486" s="624"/>
      <c r="AI1486" s="624"/>
      <c r="AJ1486" s="984"/>
      <c r="AK1486" s="985"/>
      <c r="AL1486" s="986"/>
      <c r="AM1486" s="987"/>
      <c r="AN1486" s="988"/>
      <c r="AO1486" s="986"/>
      <c r="AP1486" s="989"/>
      <c r="AQ1486" s="986"/>
      <c r="AR1486" s="990"/>
      <c r="AS1486" s="624"/>
      <c r="AT1486" s="624"/>
      <c r="AU1486" s="624"/>
      <c r="AV1486" s="624"/>
      <c r="AW1486" s="624"/>
      <c r="AX1486" s="624"/>
      <c r="AY1486" s="624"/>
      <c r="AZ1486" s="624"/>
      <c r="BA1486" s="624"/>
      <c r="BB1486" s="624"/>
      <c r="BC1486" s="624"/>
      <c r="BD1486" s="624"/>
      <c r="BE1486" s="624"/>
    </row>
    <row r="1487" ht="16.5" customHeight="1">
      <c r="A1487" s="711"/>
      <c r="B1487" s="711"/>
      <c r="C1487" s="711"/>
      <c r="D1487" s="711"/>
      <c r="E1487" s="711"/>
      <c r="F1487" s="711"/>
      <c r="G1487" s="711"/>
      <c r="H1487" s="711"/>
      <c r="I1487" s="711"/>
      <c r="J1487" s="711"/>
      <c r="K1487" s="741"/>
      <c r="L1487" s="741"/>
      <c r="M1487" s="788"/>
      <c r="N1487" s="741"/>
      <c r="O1487" s="741"/>
      <c r="P1487" s="741"/>
      <c r="Q1487" s="741"/>
      <c r="R1487" s="788"/>
      <c r="S1487" s="819"/>
      <c r="T1487" s="820"/>
      <c r="U1487" s="819"/>
      <c r="V1487" s="820"/>
      <c r="W1487" s="788"/>
      <c r="X1487" s="803"/>
      <c r="Y1487" s="803"/>
      <c r="Z1487" s="803"/>
      <c r="AA1487" s="711"/>
      <c r="AB1487" s="711"/>
      <c r="AC1487" s="711"/>
      <c r="AD1487" s="736"/>
      <c r="AE1487" s="736"/>
      <c r="AF1487" s="624"/>
      <c r="AG1487" s="624"/>
      <c r="AH1487" s="624"/>
      <c r="AI1487" s="624"/>
      <c r="AJ1487" s="984"/>
      <c r="AK1487" s="985"/>
      <c r="AL1487" s="986"/>
      <c r="AM1487" s="987"/>
      <c r="AN1487" s="988"/>
      <c r="AO1487" s="986"/>
      <c r="AP1487" s="989"/>
      <c r="AQ1487" s="986"/>
      <c r="AR1487" s="990"/>
      <c r="AS1487" s="624"/>
      <c r="AT1487" s="624"/>
      <c r="AU1487" s="624"/>
      <c r="AV1487" s="624"/>
      <c r="AW1487" s="624"/>
      <c r="AX1487" s="624"/>
      <c r="AY1487" s="624"/>
      <c r="AZ1487" s="624"/>
      <c r="BA1487" s="624"/>
      <c r="BB1487" s="624"/>
      <c r="BC1487" s="624"/>
      <c r="BD1487" s="624"/>
      <c r="BE1487" s="624"/>
    </row>
    <row r="1488" ht="16.5" customHeight="1">
      <c r="A1488" s="711"/>
      <c r="B1488" s="711"/>
      <c r="C1488" s="711"/>
      <c r="D1488" s="711"/>
      <c r="E1488" s="711"/>
      <c r="F1488" s="711"/>
      <c r="G1488" s="711"/>
      <c r="H1488" s="711"/>
      <c r="I1488" s="711"/>
      <c r="J1488" s="711"/>
      <c r="K1488" s="741"/>
      <c r="L1488" s="741"/>
      <c r="M1488" s="788"/>
      <c r="N1488" s="741"/>
      <c r="O1488" s="741"/>
      <c r="P1488" s="741"/>
      <c r="Q1488" s="741"/>
      <c r="R1488" s="788"/>
      <c r="S1488" s="819"/>
      <c r="T1488" s="820"/>
      <c r="U1488" s="819"/>
      <c r="V1488" s="820"/>
      <c r="W1488" s="788"/>
      <c r="X1488" s="803"/>
      <c r="Y1488" s="803"/>
      <c r="Z1488" s="803"/>
      <c r="AA1488" s="711"/>
      <c r="AB1488" s="711"/>
      <c r="AC1488" s="711"/>
      <c r="AD1488" s="736"/>
      <c r="AE1488" s="736"/>
      <c r="AF1488" s="624"/>
      <c r="AG1488" s="624"/>
      <c r="AH1488" s="624"/>
      <c r="AI1488" s="624"/>
      <c r="AJ1488" s="984"/>
      <c r="AK1488" s="985"/>
      <c r="AL1488" s="986"/>
      <c r="AM1488" s="987"/>
      <c r="AN1488" s="988"/>
      <c r="AO1488" s="986"/>
      <c r="AP1488" s="989"/>
      <c r="AQ1488" s="986"/>
      <c r="AR1488" s="990"/>
      <c r="AS1488" s="624"/>
      <c r="AT1488" s="624"/>
      <c r="AU1488" s="624"/>
      <c r="AV1488" s="624"/>
      <c r="AW1488" s="624"/>
      <c r="AX1488" s="624"/>
      <c r="AY1488" s="624"/>
      <c r="AZ1488" s="624"/>
      <c r="BA1488" s="624"/>
      <c r="BB1488" s="624"/>
      <c r="BC1488" s="624"/>
      <c r="BD1488" s="624"/>
      <c r="BE1488" s="624"/>
    </row>
    <row r="1489" ht="16.5" customHeight="1">
      <c r="A1489" s="711"/>
      <c r="B1489" s="711"/>
      <c r="C1489" s="711"/>
      <c r="D1489" s="711"/>
      <c r="E1489" s="711"/>
      <c r="F1489" s="711"/>
      <c r="G1489" s="711"/>
      <c r="H1489" s="711"/>
      <c r="I1489" s="711"/>
      <c r="J1489" s="711"/>
      <c r="K1489" s="741"/>
      <c r="L1489" s="741"/>
      <c r="M1489" s="788"/>
      <c r="N1489" s="741"/>
      <c r="O1489" s="741"/>
      <c r="P1489" s="741"/>
      <c r="Q1489" s="741"/>
      <c r="R1489" s="788"/>
      <c r="S1489" s="819"/>
      <c r="T1489" s="820"/>
      <c r="U1489" s="819"/>
      <c r="V1489" s="820"/>
      <c r="W1489" s="788"/>
      <c r="X1489" s="803"/>
      <c r="Y1489" s="803"/>
      <c r="Z1489" s="803"/>
      <c r="AA1489" s="711"/>
      <c r="AB1489" s="711"/>
      <c r="AC1489" s="711"/>
      <c r="AD1489" s="736"/>
      <c r="AE1489" s="736"/>
      <c r="AF1489" s="624"/>
      <c r="AG1489" s="624"/>
      <c r="AH1489" s="624"/>
      <c r="AI1489" s="624"/>
      <c r="AJ1489" s="984"/>
      <c r="AK1489" s="985"/>
      <c r="AL1489" s="986"/>
      <c r="AM1489" s="987"/>
      <c r="AN1489" s="988"/>
      <c r="AO1489" s="986"/>
      <c r="AP1489" s="989"/>
      <c r="AQ1489" s="986"/>
      <c r="AR1489" s="990"/>
      <c r="AS1489" s="624"/>
      <c r="AT1489" s="624"/>
      <c r="AU1489" s="624"/>
      <c r="AV1489" s="624"/>
      <c r="AW1489" s="624"/>
      <c r="AX1489" s="624"/>
      <c r="AY1489" s="624"/>
      <c r="AZ1489" s="624"/>
      <c r="BA1489" s="624"/>
      <c r="BB1489" s="624"/>
      <c r="BC1489" s="624"/>
      <c r="BD1489" s="624"/>
      <c r="BE1489" s="624"/>
    </row>
    <row r="1490" ht="16.5" customHeight="1">
      <c r="A1490" s="711"/>
      <c r="B1490" s="711"/>
      <c r="C1490" s="711"/>
      <c r="D1490" s="711"/>
      <c r="E1490" s="711"/>
      <c r="F1490" s="711"/>
      <c r="G1490" s="711"/>
      <c r="H1490" s="711"/>
      <c r="I1490" s="711"/>
      <c r="J1490" s="711"/>
      <c r="K1490" s="741"/>
      <c r="L1490" s="741"/>
      <c r="M1490" s="788"/>
      <c r="N1490" s="741"/>
      <c r="O1490" s="741"/>
      <c r="P1490" s="741"/>
      <c r="Q1490" s="741"/>
      <c r="R1490" s="788"/>
      <c r="S1490" s="819"/>
      <c r="T1490" s="820"/>
      <c r="U1490" s="819"/>
      <c r="V1490" s="820"/>
      <c r="W1490" s="788"/>
      <c r="X1490" s="803"/>
      <c r="Y1490" s="803"/>
      <c r="Z1490" s="803"/>
      <c r="AA1490" s="711"/>
      <c r="AB1490" s="711"/>
      <c r="AC1490" s="711"/>
      <c r="AD1490" s="736"/>
      <c r="AE1490" s="736"/>
      <c r="AF1490" s="624"/>
      <c r="AG1490" s="624"/>
      <c r="AH1490" s="624"/>
      <c r="AI1490" s="624"/>
      <c r="AJ1490" s="984"/>
      <c r="AK1490" s="985"/>
      <c r="AL1490" s="986"/>
      <c r="AM1490" s="987"/>
      <c r="AN1490" s="988"/>
      <c r="AO1490" s="986"/>
      <c r="AP1490" s="989"/>
      <c r="AQ1490" s="986"/>
      <c r="AR1490" s="990"/>
      <c r="AS1490" s="624"/>
      <c r="AT1490" s="624"/>
      <c r="AU1490" s="624"/>
      <c r="AV1490" s="624"/>
      <c r="AW1490" s="624"/>
      <c r="AX1490" s="624"/>
      <c r="AY1490" s="624"/>
      <c r="AZ1490" s="624"/>
      <c r="BA1490" s="624"/>
      <c r="BB1490" s="624"/>
      <c r="BC1490" s="624"/>
      <c r="BD1490" s="624"/>
      <c r="BE1490" s="624"/>
    </row>
    <row r="1491" ht="16.5" customHeight="1">
      <c r="A1491" s="711"/>
      <c r="B1491" s="711"/>
      <c r="C1491" s="711"/>
      <c r="D1491" s="711"/>
      <c r="E1491" s="711"/>
      <c r="F1491" s="711"/>
      <c r="G1491" s="711"/>
      <c r="H1491" s="711"/>
      <c r="I1491" s="711"/>
      <c r="J1491" s="711"/>
      <c r="K1491" s="741"/>
      <c r="L1491" s="741"/>
      <c r="M1491" s="788"/>
      <c r="N1491" s="741"/>
      <c r="O1491" s="741"/>
      <c r="P1491" s="741"/>
      <c r="Q1491" s="741"/>
      <c r="R1491" s="788"/>
      <c r="S1491" s="819"/>
      <c r="T1491" s="820"/>
      <c r="U1491" s="819"/>
      <c r="V1491" s="820"/>
      <c r="W1491" s="788"/>
      <c r="X1491" s="803"/>
      <c r="Y1491" s="803"/>
      <c r="Z1491" s="803"/>
      <c r="AA1491" s="711"/>
      <c r="AB1491" s="711"/>
      <c r="AC1491" s="711"/>
      <c r="AD1491" s="736"/>
      <c r="AE1491" s="736"/>
      <c r="AF1491" s="624"/>
      <c r="AG1491" s="624"/>
      <c r="AH1491" s="624"/>
      <c r="AI1491" s="624"/>
      <c r="AJ1491" s="984"/>
      <c r="AK1491" s="985"/>
      <c r="AL1491" s="986"/>
      <c r="AM1491" s="987"/>
      <c r="AN1491" s="988"/>
      <c r="AO1491" s="986"/>
      <c r="AP1491" s="989"/>
      <c r="AQ1491" s="986"/>
      <c r="AR1491" s="990"/>
      <c r="AS1491" s="624"/>
      <c r="AT1491" s="624"/>
      <c r="AU1491" s="624"/>
      <c r="AV1491" s="624"/>
      <c r="AW1491" s="624"/>
      <c r="AX1491" s="624"/>
      <c r="AY1491" s="624"/>
      <c r="AZ1491" s="624"/>
      <c r="BA1491" s="624"/>
      <c r="BB1491" s="624"/>
      <c r="BC1491" s="624"/>
      <c r="BD1491" s="624"/>
      <c r="BE1491" s="624"/>
    </row>
    <row r="1492" ht="16.5" customHeight="1">
      <c r="A1492" s="711"/>
      <c r="B1492" s="711"/>
      <c r="C1492" s="711"/>
      <c r="D1492" s="711"/>
      <c r="E1492" s="711"/>
      <c r="F1492" s="711"/>
      <c r="G1492" s="711"/>
      <c r="H1492" s="711"/>
      <c r="I1492" s="711"/>
      <c r="J1492" s="711"/>
      <c r="K1492" s="741"/>
      <c r="L1492" s="741"/>
      <c r="M1492" s="788"/>
      <c r="N1492" s="741"/>
      <c r="O1492" s="741"/>
      <c r="P1492" s="741"/>
      <c r="Q1492" s="741"/>
      <c r="R1492" s="788"/>
      <c r="S1492" s="819"/>
      <c r="T1492" s="820"/>
      <c r="U1492" s="819"/>
      <c r="V1492" s="820"/>
      <c r="W1492" s="788"/>
      <c r="X1492" s="803"/>
      <c r="Y1492" s="803"/>
      <c r="Z1492" s="803"/>
      <c r="AA1492" s="711"/>
      <c r="AB1492" s="711"/>
      <c r="AC1492" s="711"/>
      <c r="AD1492" s="736"/>
      <c r="AE1492" s="736"/>
      <c r="AF1492" s="624"/>
      <c r="AG1492" s="624"/>
      <c r="AH1492" s="624"/>
      <c r="AI1492" s="624"/>
      <c r="AJ1492" s="984"/>
      <c r="AK1492" s="985"/>
      <c r="AL1492" s="986"/>
      <c r="AM1492" s="987"/>
      <c r="AN1492" s="988"/>
      <c r="AO1492" s="986"/>
      <c r="AP1492" s="989"/>
      <c r="AQ1492" s="986"/>
      <c r="AR1492" s="990"/>
      <c r="AS1492" s="624"/>
      <c r="AT1492" s="624"/>
      <c r="AU1492" s="624"/>
      <c r="AV1492" s="624"/>
      <c r="AW1492" s="624"/>
      <c r="AX1492" s="624"/>
      <c r="AY1492" s="624"/>
      <c r="AZ1492" s="624"/>
      <c r="BA1492" s="624"/>
      <c r="BB1492" s="624"/>
      <c r="BC1492" s="624"/>
      <c r="BD1492" s="624"/>
      <c r="BE1492" s="624"/>
    </row>
    <row r="1493" ht="16.5" customHeight="1">
      <c r="A1493" s="711"/>
      <c r="B1493" s="711"/>
      <c r="C1493" s="711"/>
      <c r="D1493" s="711"/>
      <c r="E1493" s="711"/>
      <c r="F1493" s="711"/>
      <c r="G1493" s="711"/>
      <c r="H1493" s="711"/>
      <c r="I1493" s="711"/>
      <c r="J1493" s="711"/>
      <c r="K1493" s="741"/>
      <c r="L1493" s="741"/>
      <c r="M1493" s="788"/>
      <c r="N1493" s="741"/>
      <c r="O1493" s="741"/>
      <c r="P1493" s="741"/>
      <c r="Q1493" s="741"/>
      <c r="R1493" s="788"/>
      <c r="S1493" s="819"/>
      <c r="T1493" s="820"/>
      <c r="U1493" s="819"/>
      <c r="V1493" s="820"/>
      <c r="W1493" s="788"/>
      <c r="X1493" s="803"/>
      <c r="Y1493" s="803"/>
      <c r="Z1493" s="803"/>
      <c r="AA1493" s="711"/>
      <c r="AB1493" s="711"/>
      <c r="AC1493" s="711"/>
      <c r="AD1493" s="736"/>
      <c r="AE1493" s="736"/>
      <c r="AF1493" s="624"/>
      <c r="AG1493" s="624"/>
      <c r="AH1493" s="624"/>
      <c r="AI1493" s="624"/>
      <c r="AJ1493" s="984"/>
      <c r="AK1493" s="985"/>
      <c r="AL1493" s="986"/>
      <c r="AM1493" s="987"/>
      <c r="AN1493" s="988"/>
      <c r="AO1493" s="986"/>
      <c r="AP1493" s="989"/>
      <c r="AQ1493" s="986"/>
      <c r="AR1493" s="990"/>
      <c r="AS1493" s="624"/>
      <c r="AT1493" s="624"/>
      <c r="AU1493" s="624"/>
      <c r="AV1493" s="624"/>
      <c r="AW1493" s="624"/>
      <c r="AX1493" s="624"/>
      <c r="AY1493" s="624"/>
      <c r="AZ1493" s="624"/>
      <c r="BA1493" s="624"/>
      <c r="BB1493" s="624"/>
      <c r="BC1493" s="624"/>
      <c r="BD1493" s="624"/>
      <c r="BE1493" s="624"/>
    </row>
    <row r="1494" ht="16.5" customHeight="1">
      <c r="A1494" s="711"/>
      <c r="B1494" s="711"/>
      <c r="C1494" s="711"/>
      <c r="D1494" s="711"/>
      <c r="E1494" s="711"/>
      <c r="F1494" s="711"/>
      <c r="G1494" s="711"/>
      <c r="H1494" s="711"/>
      <c r="I1494" s="711"/>
      <c r="J1494" s="711"/>
      <c r="K1494" s="741"/>
      <c r="L1494" s="741"/>
      <c r="M1494" s="788"/>
      <c r="N1494" s="741"/>
      <c r="O1494" s="741"/>
      <c r="P1494" s="741"/>
      <c r="Q1494" s="741"/>
      <c r="R1494" s="788"/>
      <c r="S1494" s="819"/>
      <c r="T1494" s="820"/>
      <c r="U1494" s="819"/>
      <c r="V1494" s="820"/>
      <c r="W1494" s="788"/>
      <c r="X1494" s="803"/>
      <c r="Y1494" s="803"/>
      <c r="Z1494" s="803"/>
      <c r="AA1494" s="711"/>
      <c r="AB1494" s="711"/>
      <c r="AC1494" s="711"/>
      <c r="AD1494" s="736"/>
      <c r="AE1494" s="736"/>
      <c r="AF1494" s="624"/>
      <c r="AG1494" s="624"/>
      <c r="AH1494" s="624"/>
      <c r="AI1494" s="624"/>
      <c r="AJ1494" s="984"/>
      <c r="AK1494" s="985"/>
      <c r="AL1494" s="986"/>
      <c r="AM1494" s="987"/>
      <c r="AN1494" s="988"/>
      <c r="AO1494" s="986"/>
      <c r="AP1494" s="989"/>
      <c r="AQ1494" s="986"/>
      <c r="AR1494" s="990"/>
      <c r="AS1494" s="624"/>
      <c r="AT1494" s="624"/>
      <c r="AU1494" s="624"/>
      <c r="AV1494" s="624"/>
      <c r="AW1494" s="624"/>
      <c r="AX1494" s="624"/>
      <c r="AY1494" s="624"/>
      <c r="AZ1494" s="624"/>
      <c r="BA1494" s="624"/>
      <c r="BB1494" s="624"/>
      <c r="BC1494" s="624"/>
      <c r="BD1494" s="624"/>
      <c r="BE1494" s="624"/>
    </row>
    <row r="1495" ht="16.5" customHeight="1">
      <c r="A1495" s="711"/>
      <c r="B1495" s="711"/>
      <c r="C1495" s="711"/>
      <c r="D1495" s="711"/>
      <c r="E1495" s="711"/>
      <c r="F1495" s="711"/>
      <c r="G1495" s="711"/>
      <c r="H1495" s="711"/>
      <c r="I1495" s="711"/>
      <c r="J1495" s="711"/>
      <c r="K1495" s="741"/>
      <c r="L1495" s="741"/>
      <c r="M1495" s="788"/>
      <c r="N1495" s="741"/>
      <c r="O1495" s="741"/>
      <c r="P1495" s="741"/>
      <c r="Q1495" s="741"/>
      <c r="R1495" s="788"/>
      <c r="S1495" s="819"/>
      <c r="T1495" s="820"/>
      <c r="U1495" s="819"/>
      <c r="V1495" s="820"/>
      <c r="W1495" s="788"/>
      <c r="X1495" s="803"/>
      <c r="Y1495" s="803"/>
      <c r="Z1495" s="803"/>
      <c r="AA1495" s="711"/>
      <c r="AB1495" s="711"/>
      <c r="AC1495" s="711"/>
      <c r="AD1495" s="736"/>
      <c r="AE1495" s="736"/>
      <c r="AF1495" s="624"/>
      <c r="AG1495" s="624"/>
      <c r="AH1495" s="624"/>
      <c r="AI1495" s="624"/>
      <c r="AJ1495" s="984"/>
      <c r="AK1495" s="985"/>
      <c r="AL1495" s="986"/>
      <c r="AM1495" s="987"/>
      <c r="AN1495" s="988"/>
      <c r="AO1495" s="986"/>
      <c r="AP1495" s="989"/>
      <c r="AQ1495" s="986"/>
      <c r="AR1495" s="990"/>
      <c r="AS1495" s="624"/>
      <c r="AT1495" s="624"/>
      <c r="AU1495" s="624"/>
      <c r="AV1495" s="624"/>
      <c r="AW1495" s="624"/>
      <c r="AX1495" s="624"/>
      <c r="AY1495" s="624"/>
      <c r="AZ1495" s="624"/>
      <c r="BA1495" s="624"/>
      <c r="BB1495" s="624"/>
      <c r="BC1495" s="624"/>
      <c r="BD1495" s="624"/>
      <c r="BE1495" s="624"/>
    </row>
    <row r="1496" ht="16.5" customHeight="1">
      <c r="A1496" s="711"/>
      <c r="B1496" s="711"/>
      <c r="C1496" s="711"/>
      <c r="D1496" s="711"/>
      <c r="E1496" s="711"/>
      <c r="F1496" s="711"/>
      <c r="G1496" s="711"/>
      <c r="H1496" s="711"/>
      <c r="I1496" s="711"/>
      <c r="J1496" s="711"/>
      <c r="K1496" s="741"/>
      <c r="L1496" s="741"/>
      <c r="M1496" s="788"/>
      <c r="N1496" s="741"/>
      <c r="O1496" s="741"/>
      <c r="P1496" s="741"/>
      <c r="Q1496" s="741"/>
      <c r="R1496" s="788"/>
      <c r="S1496" s="819"/>
      <c r="T1496" s="820"/>
      <c r="U1496" s="819"/>
      <c r="V1496" s="820"/>
      <c r="W1496" s="788"/>
      <c r="X1496" s="803"/>
      <c r="Y1496" s="803"/>
      <c r="Z1496" s="803"/>
      <c r="AA1496" s="711"/>
      <c r="AB1496" s="711"/>
      <c r="AC1496" s="711"/>
      <c r="AD1496" s="736"/>
      <c r="AE1496" s="736"/>
      <c r="AF1496" s="624"/>
      <c r="AG1496" s="624"/>
      <c r="AH1496" s="624"/>
      <c r="AI1496" s="624"/>
      <c r="AJ1496" s="984"/>
      <c r="AK1496" s="985"/>
      <c r="AL1496" s="986"/>
      <c r="AM1496" s="987"/>
      <c r="AN1496" s="988"/>
      <c r="AO1496" s="986"/>
      <c r="AP1496" s="989"/>
      <c r="AQ1496" s="986"/>
      <c r="AR1496" s="990"/>
      <c r="AS1496" s="624"/>
      <c r="AT1496" s="624"/>
      <c r="AU1496" s="624"/>
      <c r="AV1496" s="624"/>
      <c r="AW1496" s="624"/>
      <c r="AX1496" s="624"/>
      <c r="AY1496" s="624"/>
      <c r="AZ1496" s="624"/>
      <c r="BA1496" s="624"/>
      <c r="BB1496" s="624"/>
      <c r="BC1496" s="624"/>
      <c r="BD1496" s="624"/>
      <c r="BE1496" s="624"/>
    </row>
    <row r="1497" ht="16.5" customHeight="1">
      <c r="A1497" s="711"/>
      <c r="B1497" s="711"/>
      <c r="C1497" s="711"/>
      <c r="D1497" s="711"/>
      <c r="E1497" s="711"/>
      <c r="F1497" s="711"/>
      <c r="G1497" s="711"/>
      <c r="H1497" s="711"/>
      <c r="I1497" s="711"/>
      <c r="J1497" s="711"/>
      <c r="K1497" s="741"/>
      <c r="L1497" s="741"/>
      <c r="M1497" s="788"/>
      <c r="N1497" s="741"/>
      <c r="O1497" s="741"/>
      <c r="P1497" s="741"/>
      <c r="Q1497" s="741"/>
      <c r="R1497" s="788"/>
      <c r="S1497" s="819"/>
      <c r="T1497" s="820"/>
      <c r="U1497" s="819"/>
      <c r="V1497" s="820"/>
      <c r="W1497" s="788"/>
      <c r="X1497" s="803"/>
      <c r="Y1497" s="803"/>
      <c r="Z1497" s="803"/>
      <c r="AA1497" s="711"/>
      <c r="AB1497" s="711"/>
      <c r="AC1497" s="711"/>
      <c r="AD1497" s="736"/>
      <c r="AE1497" s="736"/>
      <c r="AF1497" s="624"/>
      <c r="AG1497" s="624"/>
      <c r="AH1497" s="624"/>
      <c r="AI1497" s="624"/>
      <c r="AJ1497" s="984"/>
      <c r="AK1497" s="985"/>
      <c r="AL1497" s="986"/>
      <c r="AM1497" s="987"/>
      <c r="AN1497" s="988"/>
      <c r="AO1497" s="986"/>
      <c r="AP1497" s="989"/>
      <c r="AQ1497" s="986"/>
      <c r="AR1497" s="990"/>
      <c r="AS1497" s="624"/>
      <c r="AT1497" s="624"/>
      <c r="AU1497" s="624"/>
      <c r="AV1497" s="624"/>
      <c r="AW1497" s="624"/>
      <c r="AX1497" s="624"/>
      <c r="AY1497" s="624"/>
      <c r="AZ1497" s="624"/>
      <c r="BA1497" s="624"/>
      <c r="BB1497" s="624"/>
      <c r="BC1497" s="624"/>
      <c r="BD1497" s="624"/>
      <c r="BE1497" s="624"/>
    </row>
    <row r="1498" ht="16.5" customHeight="1">
      <c r="A1498" s="711"/>
      <c r="B1498" s="711"/>
      <c r="C1498" s="711"/>
      <c r="D1498" s="711"/>
      <c r="E1498" s="711"/>
      <c r="F1498" s="711"/>
      <c r="G1498" s="711"/>
      <c r="H1498" s="711"/>
      <c r="I1498" s="711"/>
      <c r="J1498" s="711"/>
      <c r="K1498" s="741"/>
      <c r="L1498" s="741"/>
      <c r="M1498" s="788"/>
      <c r="N1498" s="741"/>
      <c r="O1498" s="741"/>
      <c r="P1498" s="741"/>
      <c r="Q1498" s="741"/>
      <c r="R1498" s="788"/>
      <c r="S1498" s="819"/>
      <c r="T1498" s="820"/>
      <c r="U1498" s="819"/>
      <c r="V1498" s="820"/>
      <c r="W1498" s="788"/>
      <c r="X1498" s="803"/>
      <c r="Y1498" s="803"/>
      <c r="Z1498" s="803"/>
      <c r="AA1498" s="711"/>
      <c r="AB1498" s="711"/>
      <c r="AC1498" s="711"/>
      <c r="AD1498" s="736"/>
      <c r="AE1498" s="736"/>
      <c r="AF1498" s="624"/>
      <c r="AG1498" s="624"/>
      <c r="AH1498" s="624"/>
      <c r="AI1498" s="624"/>
      <c r="AJ1498" s="984"/>
      <c r="AK1498" s="985"/>
      <c r="AL1498" s="986"/>
      <c r="AM1498" s="987"/>
      <c r="AN1498" s="988"/>
      <c r="AO1498" s="986"/>
      <c r="AP1498" s="989"/>
      <c r="AQ1498" s="986"/>
      <c r="AR1498" s="990"/>
      <c r="AS1498" s="624"/>
      <c r="AT1498" s="624"/>
      <c r="AU1498" s="624"/>
      <c r="AV1498" s="624"/>
      <c r="AW1498" s="624"/>
      <c r="AX1498" s="624"/>
      <c r="AY1498" s="624"/>
      <c r="AZ1498" s="624"/>
      <c r="BA1498" s="624"/>
      <c r="BB1498" s="624"/>
      <c r="BC1498" s="624"/>
      <c r="BD1498" s="624"/>
      <c r="BE1498" s="624"/>
    </row>
    <row r="1499" ht="16.5" customHeight="1">
      <c r="A1499" s="711"/>
      <c r="B1499" s="711"/>
      <c r="C1499" s="711"/>
      <c r="D1499" s="711"/>
      <c r="E1499" s="711"/>
      <c r="F1499" s="711"/>
      <c r="G1499" s="711"/>
      <c r="H1499" s="711"/>
      <c r="I1499" s="711"/>
      <c r="J1499" s="711"/>
      <c r="K1499" s="741"/>
      <c r="L1499" s="741"/>
      <c r="M1499" s="788"/>
      <c r="N1499" s="741"/>
      <c r="O1499" s="741"/>
      <c r="P1499" s="741"/>
      <c r="Q1499" s="741"/>
      <c r="R1499" s="788"/>
      <c r="S1499" s="819"/>
      <c r="T1499" s="820"/>
      <c r="U1499" s="819"/>
      <c r="V1499" s="820"/>
      <c r="W1499" s="788"/>
      <c r="X1499" s="803"/>
      <c r="Y1499" s="803"/>
      <c r="Z1499" s="803"/>
      <c r="AA1499" s="711"/>
      <c r="AB1499" s="711"/>
      <c r="AC1499" s="711"/>
      <c r="AD1499" s="736"/>
      <c r="AE1499" s="736"/>
      <c r="AF1499" s="624"/>
      <c r="AG1499" s="624"/>
      <c r="AH1499" s="624"/>
      <c r="AI1499" s="624"/>
      <c r="AJ1499" s="984"/>
      <c r="AK1499" s="985"/>
      <c r="AL1499" s="986"/>
      <c r="AM1499" s="987"/>
      <c r="AN1499" s="988"/>
      <c r="AO1499" s="986"/>
      <c r="AP1499" s="989"/>
      <c r="AQ1499" s="986"/>
      <c r="AR1499" s="990"/>
      <c r="AS1499" s="624"/>
      <c r="AT1499" s="624"/>
      <c r="AU1499" s="624"/>
      <c r="AV1499" s="624"/>
      <c r="AW1499" s="624"/>
      <c r="AX1499" s="624"/>
      <c r="AY1499" s="624"/>
      <c r="AZ1499" s="624"/>
      <c r="BA1499" s="624"/>
      <c r="BB1499" s="624"/>
      <c r="BC1499" s="624"/>
      <c r="BD1499" s="624"/>
      <c r="BE1499" s="624"/>
    </row>
    <row r="1500" ht="16.5" customHeight="1">
      <c r="A1500" s="711"/>
      <c r="B1500" s="711"/>
      <c r="C1500" s="711"/>
      <c r="D1500" s="711"/>
      <c r="E1500" s="711"/>
      <c r="F1500" s="711"/>
      <c r="G1500" s="711"/>
      <c r="H1500" s="711"/>
      <c r="I1500" s="711"/>
      <c r="J1500" s="711"/>
      <c r="K1500" s="741"/>
      <c r="L1500" s="741"/>
      <c r="M1500" s="788"/>
      <c r="N1500" s="741"/>
      <c r="O1500" s="741"/>
      <c r="P1500" s="741"/>
      <c r="Q1500" s="741"/>
      <c r="R1500" s="788"/>
      <c r="S1500" s="819"/>
      <c r="T1500" s="820"/>
      <c r="U1500" s="819"/>
      <c r="V1500" s="820"/>
      <c r="W1500" s="788"/>
      <c r="X1500" s="803"/>
      <c r="Y1500" s="803"/>
      <c r="Z1500" s="803"/>
      <c r="AA1500" s="711"/>
      <c r="AB1500" s="711"/>
      <c r="AC1500" s="711"/>
      <c r="AD1500" s="736"/>
      <c r="AE1500" s="736"/>
      <c r="AF1500" s="624"/>
      <c r="AG1500" s="624"/>
      <c r="AH1500" s="624"/>
      <c r="AI1500" s="624"/>
      <c r="AJ1500" s="984"/>
      <c r="AK1500" s="985"/>
      <c r="AL1500" s="986"/>
      <c r="AM1500" s="987"/>
      <c r="AN1500" s="988"/>
      <c r="AO1500" s="986"/>
      <c r="AP1500" s="989"/>
      <c r="AQ1500" s="986"/>
      <c r="AR1500" s="990"/>
      <c r="AS1500" s="624"/>
      <c r="AT1500" s="624"/>
      <c r="AU1500" s="624"/>
      <c r="AV1500" s="624"/>
      <c r="AW1500" s="624"/>
      <c r="AX1500" s="624"/>
      <c r="AY1500" s="624"/>
      <c r="AZ1500" s="624"/>
      <c r="BA1500" s="624"/>
      <c r="BB1500" s="624"/>
      <c r="BC1500" s="624"/>
      <c r="BD1500" s="624"/>
      <c r="BE1500" s="624"/>
    </row>
    <row r="1501" ht="16.5" customHeight="1">
      <c r="A1501" s="711"/>
      <c r="B1501" s="711"/>
      <c r="C1501" s="711"/>
      <c r="D1501" s="711"/>
      <c r="E1501" s="711"/>
      <c r="F1501" s="711"/>
      <c r="G1501" s="711"/>
      <c r="H1501" s="711"/>
      <c r="I1501" s="711"/>
      <c r="J1501" s="711"/>
      <c r="K1501" s="741"/>
      <c r="L1501" s="741"/>
      <c r="M1501" s="788"/>
      <c r="N1501" s="741"/>
      <c r="O1501" s="741"/>
      <c r="P1501" s="741"/>
      <c r="Q1501" s="741"/>
      <c r="R1501" s="788"/>
      <c r="S1501" s="819"/>
      <c r="T1501" s="820"/>
      <c r="U1501" s="819"/>
      <c r="V1501" s="820"/>
      <c r="W1501" s="788"/>
      <c r="X1501" s="803"/>
      <c r="Y1501" s="803"/>
      <c r="Z1501" s="803"/>
      <c r="AA1501" s="711"/>
      <c r="AB1501" s="711"/>
      <c r="AC1501" s="711"/>
      <c r="AD1501" s="736"/>
      <c r="AE1501" s="736"/>
      <c r="AF1501" s="624"/>
      <c r="AG1501" s="624"/>
      <c r="AH1501" s="624"/>
      <c r="AI1501" s="624"/>
      <c r="AJ1501" s="984"/>
      <c r="AK1501" s="985"/>
      <c r="AL1501" s="986"/>
      <c r="AM1501" s="987"/>
      <c r="AN1501" s="988"/>
      <c r="AO1501" s="986"/>
      <c r="AP1501" s="989"/>
      <c r="AQ1501" s="986"/>
      <c r="AR1501" s="990"/>
      <c r="AS1501" s="624"/>
      <c r="AT1501" s="624"/>
      <c r="AU1501" s="624"/>
      <c r="AV1501" s="624"/>
      <c r="AW1501" s="624"/>
      <c r="AX1501" s="624"/>
      <c r="AY1501" s="624"/>
      <c r="AZ1501" s="624"/>
      <c r="BA1501" s="624"/>
      <c r="BB1501" s="624"/>
      <c r="BC1501" s="624"/>
      <c r="BD1501" s="624"/>
      <c r="BE1501" s="624"/>
    </row>
  </sheetData>
  <mergeCells count="52">
    <mergeCell ref="AC1:AD4"/>
    <mergeCell ref="AE1:AE4"/>
    <mergeCell ref="AA1:AA4"/>
    <mergeCell ref="AB1:AB4"/>
    <mergeCell ref="AX2:BB2"/>
    <mergeCell ref="AX3:BB5"/>
    <mergeCell ref="A3:B3"/>
    <mergeCell ref="S1:V1"/>
    <mergeCell ref="AF1:AI1"/>
    <mergeCell ref="AZ28:AZ29"/>
    <mergeCell ref="AX23:BB25"/>
    <mergeCell ref="BA26:BA27"/>
    <mergeCell ref="BB28:BB29"/>
    <mergeCell ref="AX22:BB22"/>
    <mergeCell ref="BA28:BA29"/>
    <mergeCell ref="BB26:BB27"/>
    <mergeCell ref="AY28:AY29"/>
    <mergeCell ref="AX43:BB45"/>
    <mergeCell ref="AX42:BB42"/>
    <mergeCell ref="BB46:BB47"/>
    <mergeCell ref="BA46:BA47"/>
    <mergeCell ref="AY48:AY49"/>
    <mergeCell ref="AZ48:AZ49"/>
    <mergeCell ref="AZ26:AZ27"/>
    <mergeCell ref="AY26:AY27"/>
    <mergeCell ref="D28:K28"/>
    <mergeCell ref="D29:D30"/>
    <mergeCell ref="E29:E30"/>
    <mergeCell ref="F29:K29"/>
    <mergeCell ref="U3:V3"/>
    <mergeCell ref="S3:T3"/>
    <mergeCell ref="S4:T4"/>
    <mergeCell ref="U5:V5"/>
    <mergeCell ref="S5:T5"/>
    <mergeCell ref="U4:V4"/>
    <mergeCell ref="D6:J26"/>
    <mergeCell ref="Z1:Z4"/>
    <mergeCell ref="Y1:Y3"/>
    <mergeCell ref="X4:Y4"/>
    <mergeCell ref="X1:X3"/>
    <mergeCell ref="AY46:AY47"/>
    <mergeCell ref="AZ46:AZ47"/>
    <mergeCell ref="AY6:AY7"/>
    <mergeCell ref="AY8:AY9"/>
    <mergeCell ref="AZ6:AZ7"/>
    <mergeCell ref="AZ8:AZ9"/>
    <mergeCell ref="BA48:BA49"/>
    <mergeCell ref="BB48:BB49"/>
    <mergeCell ref="BB8:BB9"/>
    <mergeCell ref="BA8:BA9"/>
    <mergeCell ref="BB6:BB7"/>
    <mergeCell ref="BA6:BA7"/>
  </mergeCells>
  <conditionalFormatting sqref="S5">
    <cfRule type="expression" dxfId="1" priority="1">
      <formula>$AY1="Data changed"</formula>
    </cfRule>
  </conditionalFormatting>
  <conditionalFormatting sqref="AU11 AU31 AU51">
    <cfRule type="beginsWith" dxfId="8" priority="2" operator="beginsWith" text="Yes">
      <formula>LEFT((AU11),LEN("Yes"))=("Yes")</formula>
    </cfRule>
  </conditionalFormatting>
  <conditionalFormatting sqref="AU11 AU31 AU51">
    <cfRule type="beginsWith" dxfId="0" priority="3" operator="beginsWith" text="No">
      <formula>LEFT((AU11),LEN("No"))=("No")</formula>
    </cfRule>
  </conditionalFormatting>
  <dataValidations>
    <dataValidation type="list" allowBlank="1" showErrorMessage="1" sqref="S5">
      <formula1>Administrative!$L$4:$L$73</formula1>
    </dataValidation>
    <dataValidation type="list" allowBlank="1" showErrorMessage="1" sqref="F31:F45">
      <formula1>Administrative!$M$1:$Q$1</formula1>
    </dataValidation>
  </dataValidations>
  <drawing r:id="rId1"/>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1" width="14.71"/>
    <col customWidth="1" min="2" max="13" width="13.14"/>
  </cols>
  <sheetData>
    <row r="1">
      <c r="A1" s="832" t="s">
        <v>956</v>
      </c>
      <c r="B1" s="832" t="s">
        <v>957</v>
      </c>
      <c r="C1" s="833" t="s">
        <v>2332</v>
      </c>
      <c r="D1" s="28"/>
      <c r="E1" s="28"/>
      <c r="F1" s="28"/>
      <c r="G1" s="28"/>
      <c r="H1" s="28"/>
      <c r="I1" s="28"/>
      <c r="J1" s="24"/>
      <c r="K1" s="326"/>
      <c r="L1" s="336"/>
      <c r="M1" s="336"/>
    </row>
    <row r="2">
      <c r="A2" s="834">
        <v>42158.0</v>
      </c>
      <c r="B2" s="835" t="s">
        <v>973</v>
      </c>
      <c r="C2" s="836" t="s">
        <v>2334</v>
      </c>
      <c r="D2" s="28"/>
      <c r="E2" s="28"/>
      <c r="F2" s="28"/>
      <c r="G2" s="28"/>
      <c r="H2" s="28"/>
      <c r="I2" s="28"/>
      <c r="J2" s="24"/>
      <c r="K2" s="326"/>
      <c r="L2" s="336"/>
      <c r="M2" s="336"/>
    </row>
    <row r="3">
      <c r="A3" s="319"/>
      <c r="B3" s="319"/>
      <c r="C3" s="837" t="s">
        <v>2336</v>
      </c>
      <c r="D3" s="28"/>
      <c r="E3" s="28"/>
      <c r="F3" s="28"/>
      <c r="G3" s="28"/>
      <c r="H3" s="28"/>
      <c r="I3" s="28"/>
      <c r="J3" s="24"/>
      <c r="K3" s="326"/>
      <c r="L3" s="336"/>
      <c r="M3" s="336"/>
    </row>
    <row r="4">
      <c r="A4" s="834">
        <v>42158.0</v>
      </c>
      <c r="B4" s="835" t="s">
        <v>973</v>
      </c>
      <c r="C4" s="836" t="s">
        <v>2338</v>
      </c>
      <c r="D4" s="28"/>
      <c r="E4" s="28"/>
      <c r="F4" s="28"/>
      <c r="G4" s="28"/>
      <c r="H4" s="28"/>
      <c r="I4" s="28"/>
      <c r="J4" s="24"/>
      <c r="K4" s="326"/>
      <c r="L4" s="336"/>
      <c r="M4" s="336"/>
    </row>
    <row r="5">
      <c r="A5" s="319"/>
      <c r="B5" s="319"/>
      <c r="C5" s="837" t="s">
        <v>2339</v>
      </c>
      <c r="D5" s="28"/>
      <c r="E5" s="28"/>
      <c r="F5" s="28"/>
      <c r="G5" s="28"/>
      <c r="H5" s="28"/>
      <c r="I5" s="28"/>
      <c r="J5" s="24"/>
      <c r="K5" s="326"/>
      <c r="L5" s="336"/>
      <c r="M5" s="336"/>
    </row>
    <row r="6">
      <c r="A6" s="834"/>
      <c r="B6" s="835"/>
      <c r="C6" s="836"/>
      <c r="D6" s="28"/>
      <c r="E6" s="28"/>
      <c r="F6" s="28"/>
      <c r="G6" s="28"/>
      <c r="H6" s="28"/>
      <c r="I6" s="28"/>
      <c r="J6" s="24"/>
      <c r="K6" s="326"/>
      <c r="L6" s="336"/>
      <c r="M6" s="336"/>
    </row>
    <row r="7">
      <c r="A7" s="319"/>
      <c r="B7" s="319"/>
      <c r="C7" s="836"/>
      <c r="D7" s="28"/>
      <c r="E7" s="28"/>
      <c r="F7" s="28"/>
      <c r="G7" s="28"/>
      <c r="H7" s="28"/>
      <c r="I7" s="28"/>
      <c r="J7" s="24"/>
      <c r="K7" s="326"/>
      <c r="L7" s="336"/>
      <c r="M7" s="336"/>
    </row>
    <row r="8">
      <c r="A8" s="834"/>
      <c r="B8" s="835"/>
      <c r="C8" s="836"/>
      <c r="D8" s="28"/>
      <c r="E8" s="28"/>
      <c r="F8" s="28"/>
      <c r="G8" s="28"/>
      <c r="H8" s="28"/>
      <c r="I8" s="28"/>
      <c r="J8" s="24"/>
      <c r="K8" s="326"/>
      <c r="L8" s="336"/>
      <c r="M8" s="336"/>
    </row>
    <row r="9">
      <c r="A9" s="319"/>
      <c r="B9" s="319"/>
      <c r="C9" s="836"/>
      <c r="D9" s="28"/>
      <c r="E9" s="28"/>
      <c r="F9" s="28"/>
      <c r="G9" s="28"/>
      <c r="H9" s="28"/>
      <c r="I9" s="28"/>
      <c r="J9" s="24"/>
      <c r="K9" s="326"/>
      <c r="L9" s="336"/>
      <c r="M9" s="336"/>
    </row>
    <row r="10">
      <c r="A10" s="834"/>
      <c r="B10" s="835"/>
      <c r="C10" s="836"/>
      <c r="D10" s="28"/>
      <c r="E10" s="28"/>
      <c r="F10" s="28"/>
      <c r="G10" s="28"/>
      <c r="H10" s="28"/>
      <c r="I10" s="28"/>
      <c r="J10" s="24"/>
      <c r="K10" s="326"/>
      <c r="L10" s="336"/>
      <c r="M10" s="336"/>
    </row>
    <row r="11">
      <c r="A11" s="319"/>
      <c r="B11" s="319"/>
      <c r="C11" s="836"/>
      <c r="D11" s="28"/>
      <c r="E11" s="28"/>
      <c r="F11" s="28"/>
      <c r="G11" s="28"/>
      <c r="H11" s="28"/>
      <c r="I11" s="28"/>
      <c r="J11" s="24"/>
      <c r="K11" s="326"/>
      <c r="L11" s="336"/>
      <c r="M11" s="336"/>
    </row>
    <row r="12">
      <c r="A12" s="838"/>
      <c r="B12" s="838"/>
      <c r="C12" s="839"/>
      <c r="D12" s="839"/>
      <c r="E12" s="839"/>
      <c r="F12" s="839"/>
      <c r="G12" s="839"/>
      <c r="H12" s="839"/>
      <c r="I12" s="839"/>
      <c r="J12" s="839"/>
      <c r="K12" s="326"/>
      <c r="L12" s="336"/>
      <c r="M12" s="336"/>
    </row>
    <row r="13">
      <c r="A13" s="838"/>
      <c r="B13" s="838"/>
      <c r="C13" s="839"/>
      <c r="D13" s="839"/>
      <c r="E13" s="839"/>
      <c r="F13" s="839"/>
      <c r="G13" s="839"/>
      <c r="H13" s="839"/>
      <c r="I13" s="839"/>
      <c r="J13" s="839"/>
      <c r="K13" s="326"/>
      <c r="L13" s="336"/>
      <c r="M13" s="336"/>
    </row>
    <row r="14">
      <c r="A14" s="838"/>
      <c r="B14" s="838"/>
      <c r="C14" s="839"/>
      <c r="D14" s="326"/>
      <c r="E14" s="326"/>
      <c r="F14" s="326"/>
      <c r="G14" s="326"/>
      <c r="H14" s="326"/>
      <c r="I14" s="326"/>
      <c r="J14" s="326"/>
      <c r="K14" s="326"/>
      <c r="L14" s="336"/>
      <c r="M14" s="336"/>
    </row>
    <row r="15">
      <c r="A15" s="832" t="s">
        <v>956</v>
      </c>
      <c r="B15" s="832" t="s">
        <v>957</v>
      </c>
      <c r="C15" s="833" t="s">
        <v>2344</v>
      </c>
      <c r="D15" s="28"/>
      <c r="E15" s="28"/>
      <c r="F15" s="28"/>
      <c r="G15" s="28"/>
      <c r="H15" s="28"/>
      <c r="I15" s="28"/>
      <c r="J15" s="24"/>
      <c r="K15" s="326"/>
      <c r="L15" s="336"/>
      <c r="M15" s="336"/>
    </row>
    <row r="16">
      <c r="A16" s="841"/>
      <c r="B16" s="841" t="s">
        <v>2346</v>
      </c>
      <c r="C16" s="335" t="s">
        <v>2347</v>
      </c>
      <c r="D16" s="28"/>
      <c r="E16" s="28"/>
      <c r="F16" s="28"/>
      <c r="G16" s="28"/>
      <c r="H16" s="28"/>
      <c r="I16" s="28"/>
      <c r="J16" s="24"/>
      <c r="K16" s="336"/>
      <c r="L16" s="336"/>
      <c r="M16" s="336"/>
    </row>
    <row r="17">
      <c r="A17" s="842">
        <v>42117.0</v>
      </c>
      <c r="B17" s="332" t="s">
        <v>973</v>
      </c>
      <c r="C17" s="843" t="s">
        <v>2349</v>
      </c>
      <c r="D17" s="28"/>
      <c r="E17" s="28"/>
      <c r="F17" s="28"/>
      <c r="G17" s="28"/>
      <c r="H17" s="28"/>
      <c r="I17" s="28"/>
      <c r="J17" s="24"/>
      <c r="K17" s="325"/>
    </row>
    <row r="18">
      <c r="A18" s="842">
        <v>42117.0</v>
      </c>
      <c r="B18" s="332" t="s">
        <v>973</v>
      </c>
      <c r="C18" s="843" t="s">
        <v>2351</v>
      </c>
      <c r="D18" s="28"/>
      <c r="E18" s="28"/>
      <c r="F18" s="28"/>
      <c r="G18" s="28"/>
      <c r="H18" s="28"/>
      <c r="I18" s="28"/>
      <c r="J18" s="24"/>
      <c r="K18" s="325"/>
    </row>
    <row r="19">
      <c r="A19" s="842">
        <v>42118.0</v>
      </c>
      <c r="B19" s="332" t="s">
        <v>973</v>
      </c>
      <c r="C19" s="843" t="s">
        <v>2353</v>
      </c>
      <c r="D19" s="28"/>
      <c r="E19" s="28"/>
      <c r="F19" s="28"/>
      <c r="G19" s="28"/>
      <c r="H19" s="28"/>
      <c r="I19" s="28"/>
      <c r="J19" s="24"/>
      <c r="K19" s="325"/>
    </row>
    <row r="20">
      <c r="A20" s="842">
        <v>42118.0</v>
      </c>
      <c r="B20" s="332" t="s">
        <v>973</v>
      </c>
      <c r="C20" s="843" t="s">
        <v>2354</v>
      </c>
      <c r="D20" s="28"/>
      <c r="E20" s="28"/>
      <c r="F20" s="28"/>
      <c r="G20" s="28"/>
      <c r="H20" s="28"/>
      <c r="I20" s="28"/>
      <c r="J20" s="24"/>
      <c r="K20" s="325"/>
    </row>
    <row r="21">
      <c r="A21" s="842">
        <v>42122.0</v>
      </c>
      <c r="B21" s="332" t="s">
        <v>973</v>
      </c>
      <c r="C21" s="843" t="s">
        <v>2355</v>
      </c>
      <c r="D21" s="28"/>
      <c r="E21" s="28"/>
      <c r="F21" s="28"/>
      <c r="G21" s="28"/>
      <c r="H21" s="28"/>
      <c r="I21" s="28"/>
      <c r="J21" s="24"/>
      <c r="K21" s="325"/>
    </row>
    <row r="22">
      <c r="A22" s="842">
        <v>42129.0</v>
      </c>
      <c r="B22" s="332" t="s">
        <v>973</v>
      </c>
      <c r="C22" s="843" t="s">
        <v>2357</v>
      </c>
      <c r="D22" s="28"/>
      <c r="E22" s="28"/>
      <c r="F22" s="28"/>
      <c r="G22" s="28"/>
      <c r="H22" s="28"/>
      <c r="I22" s="28"/>
      <c r="J22" s="24"/>
      <c r="K22" s="325"/>
    </row>
    <row r="23">
      <c r="A23" s="842">
        <v>42136.0</v>
      </c>
      <c r="B23" s="332" t="s">
        <v>973</v>
      </c>
      <c r="C23" s="843" t="s">
        <v>2358</v>
      </c>
      <c r="D23" s="28"/>
      <c r="E23" s="28"/>
      <c r="F23" s="28"/>
      <c r="G23" s="28"/>
      <c r="H23" s="28"/>
      <c r="I23" s="28"/>
      <c r="J23" s="24"/>
      <c r="K23" s="325"/>
    </row>
    <row r="24" ht="52.5" customHeight="1">
      <c r="A24" s="842">
        <v>42149.0</v>
      </c>
      <c r="B24" s="332" t="s">
        <v>973</v>
      </c>
      <c r="C24" s="844" t="s">
        <v>2359</v>
      </c>
      <c r="D24" s="28"/>
      <c r="E24" s="28"/>
      <c r="F24" s="28"/>
      <c r="G24" s="28"/>
      <c r="H24" s="28"/>
      <c r="I24" s="28"/>
      <c r="J24" s="24"/>
      <c r="K24" s="325"/>
    </row>
    <row r="25" ht="52.5" customHeight="1">
      <c r="A25" s="842">
        <v>42157.0</v>
      </c>
      <c r="B25" s="332" t="s">
        <v>973</v>
      </c>
      <c r="C25" s="329" t="s">
        <v>2361</v>
      </c>
      <c r="D25" s="28"/>
      <c r="E25" s="28"/>
      <c r="F25" s="28"/>
      <c r="G25" s="28"/>
      <c r="H25" s="28"/>
      <c r="I25" s="28"/>
      <c r="J25" s="24"/>
      <c r="K25" s="325"/>
    </row>
    <row r="26" ht="23.25" customHeight="1">
      <c r="A26" s="842"/>
      <c r="B26" s="332"/>
      <c r="C26" s="329"/>
      <c r="D26" s="28"/>
      <c r="E26" s="28"/>
      <c r="F26" s="28"/>
      <c r="G26" s="28"/>
      <c r="H26" s="28"/>
      <c r="I26" s="28"/>
      <c r="J26" s="24"/>
      <c r="K26" s="325"/>
    </row>
    <row r="27" ht="23.25" customHeight="1">
      <c r="A27" s="842"/>
      <c r="B27" s="332"/>
      <c r="C27" s="329"/>
      <c r="D27" s="28"/>
      <c r="E27" s="28"/>
      <c r="F27" s="28"/>
      <c r="G27" s="28"/>
      <c r="H27" s="28"/>
      <c r="I27" s="28"/>
      <c r="J27" s="24"/>
      <c r="K27" s="325"/>
    </row>
    <row r="28" ht="23.25" customHeight="1">
      <c r="A28" s="842"/>
      <c r="B28" s="332"/>
      <c r="C28" s="329"/>
      <c r="D28" s="28"/>
      <c r="E28" s="28"/>
      <c r="F28" s="28"/>
      <c r="G28" s="28"/>
      <c r="H28" s="28"/>
      <c r="I28" s="28"/>
      <c r="J28" s="24"/>
      <c r="K28" s="325"/>
    </row>
    <row r="29" ht="23.25" customHeight="1">
      <c r="A29" s="842"/>
      <c r="B29" s="332"/>
      <c r="C29" s="329"/>
      <c r="D29" s="28"/>
      <c r="E29" s="28"/>
      <c r="F29" s="28"/>
      <c r="G29" s="28"/>
      <c r="H29" s="28"/>
      <c r="I29" s="28"/>
      <c r="J29" s="24"/>
      <c r="K29" s="325"/>
    </row>
    <row r="30" ht="23.25" customHeight="1">
      <c r="A30" s="842"/>
      <c r="B30" s="332"/>
      <c r="C30" s="329"/>
      <c r="D30" s="28"/>
      <c r="E30" s="28"/>
      <c r="F30" s="28"/>
      <c r="G30" s="28"/>
      <c r="H30" s="28"/>
      <c r="I30" s="28"/>
      <c r="J30" s="24"/>
      <c r="K30" s="325"/>
    </row>
    <row r="31" ht="23.25" customHeight="1">
      <c r="A31" s="317"/>
      <c r="B31" s="845"/>
      <c r="C31" s="325"/>
      <c r="D31" s="325"/>
      <c r="E31" s="325"/>
      <c r="F31" s="325"/>
      <c r="G31" s="325"/>
      <c r="H31" s="325"/>
      <c r="I31" s="325"/>
      <c r="J31" s="325"/>
      <c r="K31" s="325"/>
    </row>
    <row r="32" ht="23.25" customHeight="1">
      <c r="A32" s="317"/>
      <c r="B32" s="845"/>
      <c r="C32" s="325"/>
      <c r="D32" s="325"/>
      <c r="E32" s="325"/>
      <c r="F32" s="325"/>
      <c r="G32" s="325"/>
      <c r="H32" s="325"/>
      <c r="I32" s="325"/>
      <c r="J32" s="325"/>
      <c r="K32" s="325"/>
    </row>
    <row r="33">
      <c r="A33" s="846" t="s">
        <v>956</v>
      </c>
      <c r="B33" s="846" t="s">
        <v>957</v>
      </c>
      <c r="C33" s="847" t="s">
        <v>2368</v>
      </c>
      <c r="D33" s="848"/>
      <c r="E33" s="848"/>
      <c r="F33" s="848"/>
      <c r="G33" s="848"/>
      <c r="H33" s="848"/>
      <c r="I33" s="848"/>
      <c r="J33" s="848"/>
      <c r="K33" s="325"/>
    </row>
    <row r="34">
      <c r="A34" s="317">
        <v>42119.0</v>
      </c>
      <c r="B34" s="845" t="s">
        <v>973</v>
      </c>
      <c r="C34" s="325" t="s">
        <v>2369</v>
      </c>
      <c r="K34" s="325"/>
    </row>
    <row r="35">
      <c r="A35" s="317">
        <v>42118.0</v>
      </c>
      <c r="B35" s="845" t="s">
        <v>973</v>
      </c>
      <c r="C35" s="325" t="s">
        <v>2371</v>
      </c>
      <c r="K35" s="325"/>
    </row>
    <row r="36" ht="33.75" customHeight="1">
      <c r="A36" s="317">
        <v>42122.0</v>
      </c>
      <c r="B36" s="845" t="s">
        <v>973</v>
      </c>
      <c r="C36" s="849" t="s">
        <v>2372</v>
      </c>
      <c r="K36" s="849"/>
    </row>
    <row r="37">
      <c r="B37" s="850"/>
      <c r="C37" s="851" t="s">
        <v>2373</v>
      </c>
      <c r="D37" s="852" t="s">
        <v>2375</v>
      </c>
      <c r="E37" s="852" t="s">
        <v>2376</v>
      </c>
      <c r="F37" s="852" t="s">
        <v>2377</v>
      </c>
      <c r="G37" s="852" t="s">
        <v>2378</v>
      </c>
      <c r="H37" s="852" t="s">
        <v>2379</v>
      </c>
      <c r="J37" s="853"/>
      <c r="K37" s="853"/>
      <c r="L37" s="853"/>
      <c r="M37" s="853"/>
    </row>
    <row r="38">
      <c r="B38" s="850"/>
      <c r="C38" s="854" t="s">
        <v>10</v>
      </c>
      <c r="D38" s="854" t="s">
        <v>10</v>
      </c>
      <c r="E38" s="854" t="s">
        <v>10</v>
      </c>
      <c r="F38" s="855" t="s">
        <v>12</v>
      </c>
      <c r="G38" s="855" t="s">
        <v>12</v>
      </c>
      <c r="H38" s="855" t="s">
        <v>12</v>
      </c>
      <c r="J38" s="853"/>
      <c r="K38" s="853"/>
      <c r="L38" s="853"/>
      <c r="M38" s="853"/>
    </row>
    <row r="39" ht="72.0" customHeight="1">
      <c r="B39" s="850"/>
      <c r="C39" s="856" t="s">
        <v>2381</v>
      </c>
      <c r="D39" s="857" t="s">
        <v>2383</v>
      </c>
      <c r="E39" s="857" t="s">
        <v>2383</v>
      </c>
      <c r="F39" s="858" t="s">
        <v>2384</v>
      </c>
      <c r="G39" s="856" t="s">
        <v>2385</v>
      </c>
      <c r="H39" s="858" t="s">
        <v>2384</v>
      </c>
      <c r="J39" s="853"/>
      <c r="K39" s="853"/>
      <c r="L39" s="853"/>
      <c r="M39" s="853"/>
    </row>
    <row r="40">
      <c r="A40" s="850"/>
      <c r="B40" s="850"/>
      <c r="C40" s="859"/>
      <c r="D40" s="850"/>
      <c r="E40" s="850"/>
      <c r="F40" s="850"/>
      <c r="G40" s="850"/>
      <c r="H40" s="850"/>
      <c r="J40" s="853"/>
      <c r="K40" s="853"/>
      <c r="L40" s="853"/>
      <c r="M40" s="853"/>
    </row>
    <row r="41">
      <c r="A41" s="317">
        <v>42120.0</v>
      </c>
      <c r="B41" s="845" t="s">
        <v>973</v>
      </c>
      <c r="C41" s="860" t="s">
        <v>2386</v>
      </c>
      <c r="J41" s="853"/>
      <c r="K41" s="853"/>
    </row>
    <row r="42">
      <c r="C42" s="861" t="s">
        <v>2387</v>
      </c>
      <c r="D42" s="24"/>
      <c r="E42" s="862" t="s">
        <v>2389</v>
      </c>
      <c r="F42" s="24"/>
      <c r="G42" s="863" t="s">
        <v>2390</v>
      </c>
      <c r="J42" s="853"/>
      <c r="K42" s="853"/>
    </row>
    <row r="43">
      <c r="C43" s="864" t="s">
        <v>2391</v>
      </c>
      <c r="D43" s="864" t="s">
        <v>2393</v>
      </c>
      <c r="E43" s="865" t="s">
        <v>2391</v>
      </c>
      <c r="F43" s="865" t="s">
        <v>2393</v>
      </c>
      <c r="G43" s="319"/>
      <c r="J43" s="853"/>
      <c r="K43" s="853"/>
    </row>
    <row r="44">
      <c r="C44" s="767" t="s">
        <v>2394</v>
      </c>
      <c r="D44" s="767">
        <v>365.0</v>
      </c>
      <c r="E44" s="767" t="s">
        <v>2394</v>
      </c>
      <c r="F44" s="767">
        <v>365.0</v>
      </c>
      <c r="G44" s="866" t="s">
        <v>2395</v>
      </c>
      <c r="J44" s="853"/>
      <c r="K44" s="853"/>
    </row>
    <row r="45">
      <c r="C45" s="767"/>
      <c r="D45" s="867" t="s">
        <v>2396</v>
      </c>
      <c r="E45" s="767" t="s">
        <v>2398</v>
      </c>
      <c r="F45" s="767">
        <v>104.0</v>
      </c>
      <c r="G45" s="866" t="s">
        <v>2399</v>
      </c>
    </row>
    <row r="46">
      <c r="C46" s="767" t="s">
        <v>2400</v>
      </c>
      <c r="D46" s="767">
        <v>52.0</v>
      </c>
      <c r="E46" s="767" t="s">
        <v>2400</v>
      </c>
      <c r="F46" s="767">
        <v>52.0</v>
      </c>
      <c r="G46" s="866" t="s">
        <v>2401</v>
      </c>
    </row>
    <row r="47">
      <c r="C47" s="298"/>
      <c r="D47" s="867" t="s">
        <v>2396</v>
      </c>
      <c r="E47" s="767" t="s">
        <v>2402</v>
      </c>
      <c r="F47" s="767">
        <v>24.0</v>
      </c>
      <c r="G47" s="866" t="s">
        <v>2403</v>
      </c>
    </row>
    <row r="48">
      <c r="C48" s="767" t="s">
        <v>2404</v>
      </c>
      <c r="D48" s="767">
        <v>12.0</v>
      </c>
      <c r="E48" s="767" t="s">
        <v>2404</v>
      </c>
      <c r="F48" s="767">
        <v>12.0</v>
      </c>
      <c r="G48" s="866" t="s">
        <v>2405</v>
      </c>
    </row>
    <row r="49">
      <c r="C49" s="767" t="s">
        <v>2406</v>
      </c>
      <c r="D49" s="767">
        <v>6.0</v>
      </c>
      <c r="E49" s="767" t="s">
        <v>2407</v>
      </c>
      <c r="F49" s="767">
        <v>6.0</v>
      </c>
      <c r="G49" s="868" t="s">
        <v>2408</v>
      </c>
    </row>
    <row r="50">
      <c r="C50" s="298"/>
      <c r="D50" s="867" t="s">
        <v>2396</v>
      </c>
      <c r="E50" s="767" t="s">
        <v>2409</v>
      </c>
      <c r="F50" s="767">
        <v>2.0</v>
      </c>
      <c r="G50" s="868" t="s">
        <v>2410</v>
      </c>
    </row>
    <row r="51">
      <c r="C51" s="767" t="s">
        <v>2411</v>
      </c>
      <c r="D51" s="767">
        <v>0.0</v>
      </c>
      <c r="E51" s="767" t="s">
        <v>2411</v>
      </c>
      <c r="F51" s="767">
        <v>0.0</v>
      </c>
      <c r="G51" s="866">
        <v>0.0</v>
      </c>
    </row>
    <row r="52">
      <c r="A52" s="317">
        <v>42122.0</v>
      </c>
      <c r="B52" s="845" t="s">
        <v>973</v>
      </c>
      <c r="C52" s="325" t="s">
        <v>2412</v>
      </c>
      <c r="K52" s="325"/>
    </row>
    <row r="53">
      <c r="A53" s="317">
        <v>42122.0</v>
      </c>
      <c r="B53" s="845" t="s">
        <v>973</v>
      </c>
      <c r="C53" s="860" t="s">
        <v>2413</v>
      </c>
    </row>
    <row r="54">
      <c r="A54" s="317">
        <v>42122.0</v>
      </c>
      <c r="B54" s="845" t="s">
        <v>973</v>
      </c>
      <c r="C54" s="325" t="s">
        <v>2415</v>
      </c>
      <c r="K54" s="325"/>
    </row>
    <row r="55">
      <c r="A55" s="317">
        <v>42124.0</v>
      </c>
      <c r="B55" s="845" t="s">
        <v>973</v>
      </c>
      <c r="C55" s="325" t="s">
        <v>2416</v>
      </c>
    </row>
    <row r="56">
      <c r="A56" s="317">
        <v>42124.0</v>
      </c>
      <c r="B56" s="845" t="s">
        <v>973</v>
      </c>
      <c r="C56" s="325" t="s">
        <v>2417</v>
      </c>
    </row>
    <row r="57">
      <c r="A57" s="317">
        <v>42124.0</v>
      </c>
      <c r="B57" s="845" t="s">
        <v>973</v>
      </c>
      <c r="C57" s="325" t="s">
        <v>2418</v>
      </c>
      <c r="D57" s="325"/>
      <c r="E57" s="325"/>
      <c r="F57" s="325" t="s">
        <v>2419</v>
      </c>
      <c r="G57" s="325"/>
      <c r="H57" s="325"/>
      <c r="I57" s="325"/>
      <c r="J57" s="325"/>
    </row>
    <row r="58">
      <c r="C58" s="851" t="s">
        <v>2420</v>
      </c>
      <c r="D58" s="851" t="s">
        <v>2421</v>
      </c>
      <c r="E58" s="325"/>
      <c r="F58" s="851" t="s">
        <v>2420</v>
      </c>
      <c r="G58" s="851" t="s">
        <v>2421</v>
      </c>
      <c r="H58" s="325"/>
      <c r="I58" s="325"/>
      <c r="J58" s="325"/>
    </row>
    <row r="59">
      <c r="C59" s="869" t="s">
        <v>2422</v>
      </c>
      <c r="D59" s="869" t="s">
        <v>2422</v>
      </c>
      <c r="E59" s="325"/>
      <c r="F59" s="854" t="s">
        <v>10</v>
      </c>
      <c r="G59" s="855" t="s">
        <v>12</v>
      </c>
      <c r="H59" s="325"/>
      <c r="I59" s="325"/>
      <c r="J59" s="325"/>
    </row>
    <row r="60">
      <c r="C60" s="325"/>
      <c r="D60" s="325"/>
      <c r="E60" s="325"/>
      <c r="F60" s="325"/>
      <c r="G60" s="325"/>
      <c r="H60" s="325"/>
      <c r="I60" s="325"/>
      <c r="J60" s="325"/>
    </row>
    <row r="61">
      <c r="C61" s="325" t="s">
        <v>2423</v>
      </c>
    </row>
    <row r="62">
      <c r="A62" s="317">
        <v>42124.0</v>
      </c>
      <c r="B62" s="845" t="s">
        <v>973</v>
      </c>
      <c r="C62" s="325" t="s">
        <v>2424</v>
      </c>
    </row>
    <row r="63">
      <c r="C63" s="852" t="s">
        <v>37</v>
      </c>
      <c r="D63" s="325"/>
      <c r="E63" s="325"/>
      <c r="F63" s="325"/>
      <c r="G63" s="325"/>
      <c r="H63" s="325"/>
      <c r="I63" s="325"/>
      <c r="J63" s="325"/>
    </row>
    <row r="64">
      <c r="C64" s="870" t="s">
        <v>12</v>
      </c>
      <c r="D64" s="325"/>
      <c r="E64" s="325"/>
      <c r="F64" s="325"/>
      <c r="G64" s="325"/>
      <c r="H64" s="325"/>
      <c r="I64" s="325"/>
      <c r="J64" s="325"/>
    </row>
    <row r="65">
      <c r="C65" s="871">
        <v>0.7</v>
      </c>
      <c r="D65" s="325"/>
      <c r="E65" s="325"/>
      <c r="F65" s="325"/>
      <c r="G65" s="325"/>
      <c r="H65" s="325"/>
      <c r="I65" s="325"/>
      <c r="J65" s="325"/>
    </row>
    <row r="66">
      <c r="C66" s="871">
        <v>0.9</v>
      </c>
      <c r="D66" s="325"/>
      <c r="E66" s="325"/>
      <c r="F66" s="325"/>
      <c r="G66" s="325"/>
      <c r="H66" s="325"/>
      <c r="I66" s="325"/>
      <c r="J66" s="325"/>
    </row>
    <row r="67">
      <c r="C67" s="871">
        <v>0.9</v>
      </c>
      <c r="D67" s="325"/>
      <c r="E67" s="325"/>
      <c r="F67" s="325"/>
      <c r="G67" s="325"/>
      <c r="H67" s="325"/>
      <c r="I67" s="325"/>
      <c r="J67" s="325"/>
    </row>
    <row r="68">
      <c r="C68" s="871"/>
      <c r="D68" s="325"/>
      <c r="E68" s="325"/>
      <c r="F68" s="325"/>
      <c r="G68" s="325"/>
      <c r="H68" s="325"/>
      <c r="I68" s="325"/>
      <c r="J68" s="325"/>
    </row>
    <row r="69">
      <c r="A69" s="317">
        <v>42124.0</v>
      </c>
      <c r="B69" s="845" t="s">
        <v>973</v>
      </c>
      <c r="C69" s="325" t="s">
        <v>2426</v>
      </c>
    </row>
    <row r="70">
      <c r="A70" s="317">
        <v>42128.0</v>
      </c>
      <c r="B70" s="845" t="s">
        <v>973</v>
      </c>
      <c r="C70" s="325" t="s">
        <v>2427</v>
      </c>
    </row>
    <row r="71">
      <c r="A71" s="317">
        <v>42128.0</v>
      </c>
      <c r="B71" s="845" t="s">
        <v>973</v>
      </c>
      <c r="C71" s="325" t="s">
        <v>2429</v>
      </c>
    </row>
    <row r="72">
      <c r="A72" s="317">
        <v>42128.0</v>
      </c>
      <c r="B72" s="845" t="s">
        <v>973</v>
      </c>
      <c r="C72" s="325" t="s">
        <v>2430</v>
      </c>
    </row>
    <row r="73">
      <c r="A73" s="317">
        <v>42129.0</v>
      </c>
      <c r="B73" s="845" t="s">
        <v>973</v>
      </c>
      <c r="C73" s="325" t="s">
        <v>2431</v>
      </c>
    </row>
    <row r="74">
      <c r="A74" s="317">
        <v>42131.0</v>
      </c>
      <c r="B74" s="845" t="s">
        <v>973</v>
      </c>
      <c r="C74" s="325" t="s">
        <v>2432</v>
      </c>
    </row>
    <row r="75">
      <c r="A75" s="317">
        <v>42133.0</v>
      </c>
      <c r="B75" s="845" t="s">
        <v>973</v>
      </c>
      <c r="C75" s="325" t="s">
        <v>2433</v>
      </c>
    </row>
    <row r="76">
      <c r="A76" s="317">
        <v>42133.0</v>
      </c>
      <c r="B76" s="845" t="s">
        <v>973</v>
      </c>
      <c r="C76" s="325" t="s">
        <v>2434</v>
      </c>
    </row>
    <row r="77">
      <c r="A77" s="317">
        <v>42136.0</v>
      </c>
      <c r="B77" s="845" t="s">
        <v>973</v>
      </c>
      <c r="C77" s="325" t="s">
        <v>2435</v>
      </c>
    </row>
    <row r="78">
      <c r="A78" s="317">
        <v>42142.0</v>
      </c>
      <c r="B78" s="845" t="s">
        <v>973</v>
      </c>
      <c r="C78" s="325" t="s">
        <v>2436</v>
      </c>
    </row>
    <row r="79">
      <c r="A79" s="317">
        <v>42143.0</v>
      </c>
      <c r="B79" s="845" t="s">
        <v>973</v>
      </c>
      <c r="C79" s="325" t="s">
        <v>2438</v>
      </c>
    </row>
    <row r="80">
      <c r="A80" s="317">
        <v>42156.0</v>
      </c>
      <c r="B80" s="845" t="s">
        <v>973</v>
      </c>
      <c r="C80" s="325" t="s">
        <v>2439</v>
      </c>
    </row>
    <row r="81">
      <c r="A81" s="850"/>
      <c r="B81" s="850"/>
      <c r="C81" s="859"/>
    </row>
    <row r="82">
      <c r="A82" s="850"/>
      <c r="B82" s="850"/>
      <c r="C82" s="859"/>
    </row>
    <row r="83">
      <c r="A83" s="850"/>
      <c r="B83" s="850"/>
      <c r="C83" s="859"/>
    </row>
    <row r="84">
      <c r="A84" s="850"/>
      <c r="B84" s="850"/>
      <c r="C84" s="859"/>
    </row>
    <row r="85">
      <c r="A85" s="850"/>
      <c r="B85" s="850"/>
      <c r="C85" s="859"/>
    </row>
    <row r="86">
      <c r="A86" s="850"/>
      <c r="B86" s="850"/>
      <c r="C86" s="859"/>
    </row>
    <row r="87">
      <c r="A87" s="850"/>
      <c r="B87" s="850"/>
      <c r="C87" s="859"/>
    </row>
    <row r="88">
      <c r="A88" s="850"/>
      <c r="B88" s="850"/>
      <c r="C88" s="859"/>
    </row>
    <row r="89">
      <c r="A89" s="850"/>
      <c r="B89" s="850"/>
      <c r="C89" s="859"/>
    </row>
    <row r="90">
      <c r="A90" s="850"/>
      <c r="B90" s="850"/>
      <c r="C90" s="859"/>
    </row>
    <row r="91" ht="40.5" customHeight="1">
      <c r="A91" s="872" t="s">
        <v>2440</v>
      </c>
      <c r="B91" s="873"/>
      <c r="C91" s="874"/>
      <c r="D91" s="875"/>
      <c r="E91" s="875"/>
      <c r="F91" s="875"/>
      <c r="G91" s="875"/>
      <c r="H91" s="875"/>
      <c r="I91" s="875"/>
      <c r="J91" s="875"/>
      <c r="K91" s="875"/>
      <c r="L91" s="875"/>
    </row>
    <row r="92">
      <c r="A92" s="850"/>
      <c r="B92" s="850"/>
      <c r="C92" s="859"/>
    </row>
    <row r="93">
      <c r="A93" s="850"/>
      <c r="B93" s="850"/>
      <c r="C93" s="859"/>
      <c r="E93" s="338"/>
      <c r="G93" s="338" t="s">
        <v>2442</v>
      </c>
    </row>
    <row r="94">
      <c r="A94" s="850"/>
      <c r="B94" s="332" t="s">
        <v>2443</v>
      </c>
      <c r="C94" s="841" t="s">
        <v>2444</v>
      </c>
      <c r="D94" s="332" t="s">
        <v>2445</v>
      </c>
      <c r="E94" s="876" t="str">
        <f>$G$94</f>
        <v>John</v>
      </c>
      <c r="G94" s="877" t="s">
        <v>699</v>
      </c>
    </row>
    <row r="95">
      <c r="A95" s="850"/>
      <c r="B95" s="332" t="s">
        <v>699</v>
      </c>
      <c r="C95" s="841">
        <v>5000.0</v>
      </c>
      <c r="D95" s="878">
        <v>0.995</v>
      </c>
      <c r="E95" s="879">
        <f t="shared" ref="E95:E97" si="1">if($G$94=B95,D95,-1)</f>
        <v>0.995</v>
      </c>
    </row>
    <row r="96">
      <c r="A96" s="850"/>
      <c r="B96" s="332" t="s">
        <v>2448</v>
      </c>
      <c r="C96" s="841">
        <v>7500.0</v>
      </c>
      <c r="D96" s="878">
        <v>0.992</v>
      </c>
      <c r="E96" s="879">
        <f t="shared" si="1"/>
        <v>-1</v>
      </c>
    </row>
    <row r="97">
      <c r="A97" s="850"/>
      <c r="B97" s="332" t="s">
        <v>454</v>
      </c>
      <c r="C97" s="841">
        <v>13500.0</v>
      </c>
      <c r="D97" s="878">
        <v>0.988</v>
      </c>
      <c r="E97" s="879">
        <f t="shared" si="1"/>
        <v>-1</v>
      </c>
    </row>
    <row r="98">
      <c r="A98" s="850"/>
      <c r="B98" s="880" t="s">
        <v>2449</v>
      </c>
    </row>
    <row r="99">
      <c r="A99" s="850"/>
      <c r="B99" s="850"/>
      <c r="C99" s="859"/>
    </row>
    <row r="100">
      <c r="A100" s="850"/>
      <c r="B100" s="850"/>
      <c r="C100" s="859"/>
    </row>
    <row r="101">
      <c r="A101" s="850"/>
      <c r="B101" s="850"/>
      <c r="C101" s="859"/>
    </row>
    <row r="102">
      <c r="A102" s="850"/>
      <c r="B102" s="850"/>
      <c r="C102" s="859"/>
    </row>
    <row r="103">
      <c r="A103" s="850"/>
      <c r="B103" s="850"/>
      <c r="C103" s="859"/>
    </row>
    <row r="104">
      <c r="A104" s="850"/>
      <c r="B104" s="850"/>
      <c r="C104" s="859"/>
    </row>
    <row r="105">
      <c r="A105" s="850"/>
      <c r="B105" s="850"/>
      <c r="C105" s="859"/>
    </row>
    <row r="106">
      <c r="A106" s="850"/>
      <c r="B106" s="850"/>
      <c r="C106" s="859"/>
    </row>
    <row r="107">
      <c r="A107" s="873"/>
      <c r="B107" s="873"/>
      <c r="C107" s="874"/>
      <c r="D107" s="875"/>
      <c r="E107" s="875"/>
      <c r="F107" s="875"/>
      <c r="G107" s="875"/>
      <c r="H107" s="875"/>
      <c r="I107" s="875"/>
      <c r="J107" s="875"/>
      <c r="K107" s="875"/>
      <c r="L107" s="875"/>
    </row>
    <row r="108">
      <c r="A108" s="845"/>
      <c r="B108" s="850"/>
      <c r="D108" s="881"/>
    </row>
    <row r="109">
      <c r="A109" s="328" t="s">
        <v>2450</v>
      </c>
      <c r="B109" s="328" t="s">
        <v>2451</v>
      </c>
      <c r="C109" s="881"/>
      <c r="F109" s="882" t="s">
        <v>2452</v>
      </c>
      <c r="G109" s="24"/>
    </row>
    <row r="110">
      <c r="A110" s="328">
        <v>1.0</v>
      </c>
      <c r="B110" s="328">
        <v>7.0</v>
      </c>
      <c r="C110" s="859"/>
      <c r="F110" s="328" t="s">
        <v>2450</v>
      </c>
      <c r="G110" s="883" t="s">
        <v>2451</v>
      </c>
    </row>
    <row r="111">
      <c r="A111" s="328">
        <v>2.0</v>
      </c>
      <c r="B111" s="884">
        <v>24.0</v>
      </c>
      <c r="F111" s="328">
        <v>1.0</v>
      </c>
      <c r="G111" s="885">
        <f t="shared" ref="G111:G118" si="2">$A$118*F111^3+$B$118*F111^2+$C$118*F111+$D$118</f>
        <v>7</v>
      </c>
    </row>
    <row r="112">
      <c r="A112" s="328">
        <v>3.0</v>
      </c>
      <c r="B112" s="884">
        <v>71.0</v>
      </c>
      <c r="F112" s="328">
        <v>2.0</v>
      </c>
      <c r="G112" s="885">
        <f t="shared" si="2"/>
        <v>24</v>
      </c>
    </row>
    <row r="113">
      <c r="A113" s="328">
        <v>4.0</v>
      </c>
      <c r="B113" s="884">
        <v>160.0</v>
      </c>
      <c r="F113" s="328">
        <v>3.0</v>
      </c>
      <c r="G113" s="885">
        <f t="shared" si="2"/>
        <v>71</v>
      </c>
    </row>
    <row r="114">
      <c r="A114" s="850"/>
      <c r="B114" s="859"/>
      <c r="F114" s="328">
        <v>4.0</v>
      </c>
      <c r="G114" s="885">
        <f t="shared" si="2"/>
        <v>160</v>
      </c>
    </row>
    <row r="115">
      <c r="A115" s="850"/>
      <c r="B115" s="859"/>
      <c r="F115" s="328">
        <v>5.0</v>
      </c>
      <c r="G115" s="885">
        <f t="shared" si="2"/>
        <v>303</v>
      </c>
    </row>
    <row r="116">
      <c r="A116" s="886" t="s">
        <v>2455</v>
      </c>
      <c r="B116" s="859"/>
      <c r="F116" s="328">
        <v>6.0</v>
      </c>
      <c r="G116" s="885">
        <f t="shared" si="2"/>
        <v>512</v>
      </c>
    </row>
    <row r="117">
      <c r="A117" s="338" t="s">
        <v>2456</v>
      </c>
      <c r="B117" s="859"/>
      <c r="F117" s="328">
        <v>7.0</v>
      </c>
      <c r="G117" s="885">
        <f t="shared" si="2"/>
        <v>799</v>
      </c>
    </row>
    <row r="118">
      <c r="A118" s="887">
        <f t="array" ref="A118:D118">LINEST(B110:B113,A110:A113^{1,2,3})</f>
        <v>2</v>
      </c>
      <c r="B118" s="888">
        <v>3.0000000000000653</v>
      </c>
      <c r="C118" s="889">
        <v>-6.0000000000001465</v>
      </c>
      <c r="D118" s="889">
        <v>8.000000000000089</v>
      </c>
      <c r="F118" s="328">
        <v>8.0</v>
      </c>
      <c r="G118" s="885">
        <f t="shared" si="2"/>
        <v>1176</v>
      </c>
    </row>
    <row r="119">
      <c r="A119" s="850"/>
      <c r="B119" s="850"/>
      <c r="C119" s="859"/>
    </row>
    <row r="120">
      <c r="A120" s="873"/>
      <c r="B120" s="873"/>
      <c r="C120" s="874"/>
      <c r="D120" s="875"/>
      <c r="E120" s="875"/>
      <c r="F120" s="875"/>
      <c r="G120" s="875"/>
      <c r="H120" s="875"/>
      <c r="I120" s="875"/>
      <c r="J120" s="875"/>
      <c r="K120" s="875"/>
      <c r="L120" s="875"/>
    </row>
    <row r="121">
      <c r="A121" s="845"/>
      <c r="B121" s="850"/>
      <c r="D121" s="881"/>
    </row>
    <row r="122">
      <c r="A122" s="328" t="s">
        <v>2450</v>
      </c>
      <c r="B122" s="328" t="s">
        <v>2451</v>
      </c>
      <c r="C122" s="881"/>
      <c r="F122" s="882" t="s">
        <v>2461</v>
      </c>
      <c r="G122" s="24"/>
    </row>
    <row r="123">
      <c r="A123" s="328">
        <v>1.0</v>
      </c>
      <c r="B123" s="328">
        <v>7.0</v>
      </c>
      <c r="C123" s="859"/>
      <c r="F123" s="328" t="s">
        <v>2450</v>
      </c>
      <c r="G123" s="883" t="s">
        <v>2451</v>
      </c>
    </row>
    <row r="124">
      <c r="A124" s="328">
        <v>2.0</v>
      </c>
      <c r="B124" s="884">
        <v>24.0</v>
      </c>
      <c r="F124" s="328">
        <v>1.0</v>
      </c>
      <c r="G124" s="885">
        <f t="shared" ref="G124:G131" si="3"> $A$131*F124^2+ $B$131*F124+ $C$131</f>
        <v>7.6</v>
      </c>
    </row>
    <row r="125">
      <c r="A125" s="328">
        <v>3.0</v>
      </c>
      <c r="B125" s="884">
        <v>71.0</v>
      </c>
      <c r="F125" s="328">
        <v>2.0</v>
      </c>
      <c r="G125" s="885">
        <f t="shared" si="3"/>
        <v>22.2</v>
      </c>
    </row>
    <row r="126">
      <c r="A126" s="328">
        <v>4.0</v>
      </c>
      <c r="B126" s="884">
        <v>160.0</v>
      </c>
      <c r="F126" s="328">
        <v>3.0</v>
      </c>
      <c r="G126" s="885">
        <f t="shared" si="3"/>
        <v>72.8</v>
      </c>
    </row>
    <row r="127">
      <c r="A127" s="850"/>
      <c r="B127" s="859"/>
      <c r="F127" s="328">
        <v>4.0</v>
      </c>
      <c r="G127" s="885">
        <f t="shared" si="3"/>
        <v>159.4</v>
      </c>
    </row>
    <row r="128">
      <c r="A128" s="850"/>
      <c r="B128" s="859"/>
      <c r="F128" s="328">
        <v>5.0</v>
      </c>
      <c r="G128" s="885">
        <f t="shared" si="3"/>
        <v>282</v>
      </c>
    </row>
    <row r="129">
      <c r="A129" s="886" t="s">
        <v>2455</v>
      </c>
      <c r="B129" s="859"/>
      <c r="F129" s="328">
        <v>6.0</v>
      </c>
      <c r="G129" s="885">
        <f t="shared" si="3"/>
        <v>440.6</v>
      </c>
    </row>
    <row r="130">
      <c r="A130" s="338" t="s">
        <v>2463</v>
      </c>
      <c r="B130" s="859"/>
      <c r="F130" s="328">
        <v>7.0</v>
      </c>
      <c r="G130" s="885">
        <f t="shared" si="3"/>
        <v>635.2</v>
      </c>
    </row>
    <row r="131">
      <c r="A131" s="887">
        <f t="array" ref="A131:C131">LINEST(B123:B126,A123:A126^{1,2})</f>
        <v>18</v>
      </c>
      <c r="B131" s="888">
        <v>-39.40000000000006</v>
      </c>
      <c r="C131" s="889">
        <v>29.000000000000043</v>
      </c>
      <c r="F131" s="328">
        <v>8.0</v>
      </c>
      <c r="G131" s="885">
        <f t="shared" si="3"/>
        <v>865.8</v>
      </c>
    </row>
    <row r="132">
      <c r="A132" s="850"/>
      <c r="B132" s="859"/>
    </row>
    <row r="134">
      <c r="A134" s="873"/>
      <c r="B134" s="873"/>
      <c r="C134" s="874"/>
      <c r="D134" s="875"/>
      <c r="E134" s="875"/>
      <c r="F134" s="875"/>
      <c r="G134" s="875"/>
      <c r="H134" s="875"/>
      <c r="I134" s="875"/>
      <c r="J134" s="875"/>
      <c r="K134" s="875"/>
      <c r="L134" s="875"/>
    </row>
    <row r="135">
      <c r="A135" s="845" t="s">
        <v>2465</v>
      </c>
      <c r="B135" s="850"/>
      <c r="C135" s="859"/>
    </row>
    <row r="136">
      <c r="A136" s="890" t="s">
        <v>2466</v>
      </c>
      <c r="B136" s="28"/>
      <c r="C136" s="28"/>
      <c r="D136" s="24"/>
      <c r="F136" s="891" t="s">
        <v>2468</v>
      </c>
      <c r="G136" s="24"/>
      <c r="I136" s="892"/>
      <c r="J136" s="892"/>
      <c r="K136" s="327"/>
      <c r="L136" s="327"/>
    </row>
    <row r="137">
      <c r="A137" s="893" t="s">
        <v>2469</v>
      </c>
      <c r="B137" s="894" t="s">
        <v>2471</v>
      </c>
      <c r="C137" s="894" t="s">
        <v>15</v>
      </c>
      <c r="D137" s="894" t="s">
        <v>2472</v>
      </c>
      <c r="E137" s="892"/>
      <c r="F137" s="893" t="s">
        <v>2469</v>
      </c>
      <c r="G137" s="894" t="s">
        <v>2472</v>
      </c>
      <c r="H137" s="892"/>
      <c r="I137" s="892"/>
      <c r="J137" s="892"/>
      <c r="K137" s="327"/>
      <c r="L137" s="327"/>
    </row>
    <row r="138">
      <c r="A138" s="895" t="s">
        <v>699</v>
      </c>
      <c r="B138" s="896" t="s">
        <v>2473</v>
      </c>
      <c r="C138" s="896" t="s">
        <v>2474</v>
      </c>
      <c r="D138" s="896">
        <v>21.0</v>
      </c>
      <c r="E138" s="892"/>
      <c r="F138" s="897" t="str">
        <f t="array" ref="F138:G146">{A138:A141,D138:D141;A145:A149,D145:D149}</f>
        <v>John</v>
      </c>
      <c r="G138" s="897">
        <v>21.0</v>
      </c>
      <c r="H138" s="892"/>
      <c r="I138" s="892"/>
      <c r="J138" s="892"/>
      <c r="K138" s="327"/>
      <c r="L138" s="327"/>
    </row>
    <row r="139">
      <c r="A139" s="895" t="s">
        <v>2448</v>
      </c>
      <c r="B139" s="896" t="s">
        <v>2477</v>
      </c>
      <c r="C139" s="896" t="s">
        <v>2478</v>
      </c>
      <c r="D139" s="896">
        <v>19.0</v>
      </c>
      <c r="E139" s="892"/>
      <c r="F139" s="897" t="s">
        <v>2448</v>
      </c>
      <c r="G139" s="897">
        <v>19.0</v>
      </c>
      <c r="H139" s="892"/>
      <c r="I139" s="892"/>
      <c r="J139" s="892"/>
      <c r="K139" s="327"/>
      <c r="L139" s="327"/>
    </row>
    <row r="140">
      <c r="A140" s="895" t="s">
        <v>2479</v>
      </c>
      <c r="B140" s="896" t="s">
        <v>2480</v>
      </c>
      <c r="C140" s="896" t="s">
        <v>2481</v>
      </c>
      <c r="D140" s="895"/>
      <c r="E140" s="892"/>
      <c r="F140" s="897" t="s">
        <v>2479</v>
      </c>
      <c r="G140" s="897"/>
      <c r="H140" s="892"/>
      <c r="I140" s="892"/>
      <c r="J140" s="892"/>
      <c r="K140" s="327"/>
      <c r="L140" s="327"/>
    </row>
    <row r="141">
      <c r="A141" s="895" t="s">
        <v>2482</v>
      </c>
      <c r="B141" s="896" t="s">
        <v>2483</v>
      </c>
      <c r="C141" s="896" t="s">
        <v>2484</v>
      </c>
      <c r="D141" s="896">
        <v>18.0</v>
      </c>
      <c r="E141" s="892"/>
      <c r="F141" s="897" t="s">
        <v>2482</v>
      </c>
      <c r="G141" s="897">
        <v>18.0</v>
      </c>
      <c r="H141" s="892"/>
      <c r="I141" s="892"/>
      <c r="J141" s="892"/>
      <c r="K141" s="327"/>
      <c r="L141" s="327"/>
    </row>
    <row r="142">
      <c r="A142" s="892"/>
      <c r="B142" s="892"/>
      <c r="C142" s="327"/>
      <c r="D142" s="892"/>
      <c r="E142" s="892"/>
      <c r="F142" s="897" t="s">
        <v>2485</v>
      </c>
      <c r="G142" s="897">
        <v>17.0</v>
      </c>
      <c r="H142" s="892"/>
      <c r="I142" s="892"/>
      <c r="J142" s="892"/>
      <c r="K142" s="327"/>
      <c r="L142" s="327"/>
    </row>
    <row r="143">
      <c r="A143" s="890" t="s">
        <v>2486</v>
      </c>
      <c r="B143" s="28"/>
      <c r="C143" s="28"/>
      <c r="D143" s="24"/>
      <c r="E143" s="892"/>
      <c r="F143" s="897" t="s">
        <v>2487</v>
      </c>
      <c r="G143" s="897">
        <v>21.0</v>
      </c>
      <c r="H143" s="892"/>
      <c r="I143" s="892"/>
      <c r="J143" s="892"/>
      <c r="K143" s="327"/>
      <c r="L143" s="327"/>
    </row>
    <row r="144">
      <c r="A144" s="898" t="s">
        <v>2469</v>
      </c>
      <c r="B144" s="899" t="s">
        <v>2471</v>
      </c>
      <c r="C144" s="899" t="s">
        <v>15</v>
      </c>
      <c r="D144" s="899" t="s">
        <v>2472</v>
      </c>
      <c r="E144" s="892"/>
      <c r="F144" s="897" t="s">
        <v>2488</v>
      </c>
      <c r="G144" s="897">
        <v>24.0</v>
      </c>
      <c r="H144" s="892"/>
      <c r="I144" s="892"/>
      <c r="J144" s="892"/>
      <c r="K144" s="327"/>
      <c r="L144" s="327"/>
    </row>
    <row r="145">
      <c r="A145" s="900" t="s">
        <v>2485</v>
      </c>
      <c r="B145" s="901" t="s">
        <v>2483</v>
      </c>
      <c r="C145" s="901" t="s">
        <v>2484</v>
      </c>
      <c r="D145" s="901">
        <v>17.0</v>
      </c>
      <c r="E145" s="892"/>
      <c r="F145" s="897" t="s">
        <v>699</v>
      </c>
      <c r="G145" s="897"/>
      <c r="H145" s="892"/>
      <c r="I145" s="892"/>
      <c r="J145" s="892"/>
      <c r="K145" s="327"/>
      <c r="L145" s="327"/>
    </row>
    <row r="146">
      <c r="A146" s="900" t="s">
        <v>2487</v>
      </c>
      <c r="B146" s="901" t="s">
        <v>2477</v>
      </c>
      <c r="C146" s="901" t="s">
        <v>2481</v>
      </c>
      <c r="D146" s="901">
        <v>21.0</v>
      </c>
      <c r="E146" s="892"/>
      <c r="F146" s="897" t="s">
        <v>2490</v>
      </c>
      <c r="G146" s="897">
        <v>23.0</v>
      </c>
      <c r="H146" s="892"/>
      <c r="I146" s="892"/>
      <c r="J146" s="892"/>
      <c r="K146" s="327"/>
      <c r="L146" s="327"/>
    </row>
    <row r="147">
      <c r="A147" s="900" t="s">
        <v>2488</v>
      </c>
      <c r="B147" s="901" t="s">
        <v>2491</v>
      </c>
      <c r="C147" s="901" t="s">
        <v>2474</v>
      </c>
      <c r="D147" s="901">
        <v>24.0</v>
      </c>
      <c r="E147" s="892"/>
      <c r="F147" s="897"/>
      <c r="G147" s="897"/>
      <c r="H147" s="892"/>
      <c r="I147" s="892"/>
      <c r="J147" s="892"/>
      <c r="K147" s="327"/>
      <c r="L147" s="327"/>
    </row>
    <row r="148">
      <c r="A148" s="900" t="s">
        <v>699</v>
      </c>
      <c r="B148" s="901" t="s">
        <v>2473</v>
      </c>
      <c r="C148" s="901" t="s">
        <v>2484</v>
      </c>
      <c r="D148" s="902"/>
      <c r="E148" s="892"/>
      <c r="F148" s="897"/>
      <c r="G148" s="897"/>
      <c r="H148" s="892"/>
      <c r="I148" s="892"/>
      <c r="J148" s="892"/>
      <c r="K148" s="327"/>
      <c r="L148" s="327"/>
    </row>
    <row r="149">
      <c r="A149" s="900" t="s">
        <v>2490</v>
      </c>
      <c r="B149" s="901" t="s">
        <v>2477</v>
      </c>
      <c r="C149" s="901" t="s">
        <v>2474</v>
      </c>
      <c r="D149" s="901">
        <v>23.0</v>
      </c>
      <c r="E149" s="892"/>
      <c r="F149" s="897"/>
      <c r="G149" s="897"/>
      <c r="H149" s="892"/>
      <c r="I149" s="892"/>
      <c r="J149" s="892"/>
      <c r="K149" s="327"/>
      <c r="L149" s="327"/>
    </row>
    <row r="150">
      <c r="A150" s="892"/>
      <c r="B150" s="327"/>
      <c r="C150" s="327"/>
      <c r="D150" s="327"/>
      <c r="E150" s="892"/>
      <c r="F150" s="892"/>
      <c r="G150" s="892"/>
      <c r="H150" s="892"/>
      <c r="I150" s="892"/>
      <c r="J150" s="327"/>
      <c r="K150" s="327"/>
      <c r="L150" s="327"/>
    </row>
    <row r="151">
      <c r="A151" s="892"/>
      <c r="B151" s="327"/>
      <c r="C151" s="327"/>
      <c r="D151" s="327"/>
      <c r="E151" s="892"/>
      <c r="F151" s="892"/>
      <c r="G151" s="892"/>
      <c r="H151" s="892"/>
      <c r="I151" s="892"/>
      <c r="J151" s="327"/>
      <c r="K151" s="327"/>
      <c r="L151" s="327"/>
    </row>
    <row r="152">
      <c r="A152" s="850"/>
      <c r="B152" s="850"/>
      <c r="C152" s="859"/>
      <c r="I152" s="327"/>
      <c r="J152" s="327"/>
      <c r="K152" s="327"/>
      <c r="L152" s="327"/>
    </row>
    <row r="153">
      <c r="A153" s="873"/>
      <c r="B153" s="873"/>
      <c r="C153" s="874"/>
      <c r="D153" s="875"/>
      <c r="E153" s="875"/>
      <c r="F153" s="875"/>
      <c r="G153" s="875"/>
      <c r="H153" s="875"/>
      <c r="I153" s="875"/>
      <c r="J153" s="875"/>
      <c r="K153" s="875"/>
      <c r="L153" s="875"/>
    </row>
    <row r="154">
      <c r="A154" s="426" t="s">
        <v>2492</v>
      </c>
      <c r="D154" s="903"/>
      <c r="G154" s="904">
        <v>3.0</v>
      </c>
    </row>
    <row r="155">
      <c r="C155" s="905" t="s">
        <v>2494</v>
      </c>
      <c r="D155" s="906" t="s">
        <v>2495</v>
      </c>
      <c r="E155" s="907">
        <f>sum(G154:G158)</f>
        <v>35</v>
      </c>
      <c r="G155" s="904">
        <v>5.0</v>
      </c>
    </row>
    <row r="156">
      <c r="G156" s="328">
        <v>7.0</v>
      </c>
    </row>
    <row r="157">
      <c r="C157" s="877" t="s">
        <v>2496</v>
      </c>
      <c r="D157" s="908" t="s">
        <v>2497</v>
      </c>
      <c r="E157" s="889">
        <f>sum(indirect("G153:G"&amp;E158))</f>
        <v>35</v>
      </c>
      <c r="G157" s="328">
        <v>9.0</v>
      </c>
    </row>
    <row r="158">
      <c r="C158" s="909"/>
      <c r="D158" s="866" t="s">
        <v>2499</v>
      </c>
      <c r="E158" s="328">
        <v>159.0</v>
      </c>
      <c r="G158" s="328">
        <v>11.0</v>
      </c>
    </row>
    <row r="159">
      <c r="A159" s="873"/>
      <c r="B159" s="873"/>
      <c r="C159" s="874"/>
      <c r="D159" s="875"/>
      <c r="E159" s="875"/>
      <c r="F159" s="875"/>
      <c r="G159" s="875"/>
      <c r="H159" s="875"/>
      <c r="I159" s="875"/>
      <c r="J159" s="875"/>
      <c r="K159" s="875"/>
      <c r="L159" s="875"/>
    </row>
    <row r="160">
      <c r="A160" s="850"/>
      <c r="B160" s="351"/>
    </row>
    <row r="161">
      <c r="A161" s="910">
        <v>5.0</v>
      </c>
      <c r="B161" s="911"/>
      <c r="C161" s="912" t="s">
        <v>2500</v>
      </c>
      <c r="D161" s="912">
        <f>sum(A161:A164)</f>
        <v>34</v>
      </c>
    </row>
    <row r="162">
      <c r="A162" s="913">
        <v>9.0</v>
      </c>
      <c r="B162" s="741"/>
      <c r="C162" s="914"/>
      <c r="D162" s="915"/>
    </row>
    <row r="163">
      <c r="A163" s="913">
        <v>9.0</v>
      </c>
      <c r="B163" s="911"/>
      <c r="C163" s="916" t="s">
        <v>2502</v>
      </c>
      <c r="D163" s="917"/>
    </row>
    <row r="164">
      <c r="A164" s="913">
        <v>11.0</v>
      </c>
      <c r="B164" s="911"/>
      <c r="C164" s="918" t="s">
        <v>2503</v>
      </c>
      <c r="D164" s="919">
        <f>sum(indirect(C163))</f>
        <v>34</v>
      </c>
    </row>
    <row r="165">
      <c r="A165" s="850"/>
      <c r="B165" s="850"/>
      <c r="C165" s="859"/>
    </row>
    <row r="166">
      <c r="A166" s="873"/>
      <c r="B166" s="873"/>
      <c r="C166" s="874"/>
      <c r="D166" s="875"/>
      <c r="E166" s="875"/>
      <c r="F166" s="875"/>
      <c r="G166" s="875"/>
      <c r="H166" s="875"/>
      <c r="I166" s="875"/>
      <c r="J166" s="875"/>
      <c r="K166" s="875"/>
      <c r="L166" s="875"/>
    </row>
    <row r="167">
      <c r="A167" s="850"/>
      <c r="B167" s="850"/>
      <c r="C167" s="859"/>
    </row>
    <row r="168">
      <c r="A168" s="850"/>
      <c r="B168" s="920" t="s">
        <v>2505</v>
      </c>
      <c r="C168" s="920" t="s">
        <v>2506</v>
      </c>
      <c r="D168" s="711"/>
      <c r="E168" s="603" t="s">
        <v>2507</v>
      </c>
      <c r="F168" s="711"/>
    </row>
    <row r="169">
      <c r="A169" s="850"/>
      <c r="B169" s="920">
        <v>4.0</v>
      </c>
      <c r="C169" s="920">
        <v>15.0</v>
      </c>
      <c r="D169" s="711"/>
    </row>
    <row r="170">
      <c r="A170" s="850"/>
      <c r="B170" s="921">
        <v>3.0</v>
      </c>
      <c r="C170" s="921">
        <v>14.0</v>
      </c>
      <c r="D170" s="711"/>
      <c r="E170" s="922" t="s">
        <v>2508</v>
      </c>
      <c r="F170" s="923"/>
    </row>
    <row r="171">
      <c r="A171" s="850"/>
      <c r="B171" s="920">
        <v>1.0</v>
      </c>
      <c r="C171" s="920">
        <v>13.0</v>
      </c>
      <c r="D171" s="711"/>
      <c r="E171" s="922" t="s">
        <v>2509</v>
      </c>
      <c r="F171" s="924">
        <f>sum(C170,C173,C178)</f>
        <v>55</v>
      </c>
    </row>
    <row r="172">
      <c r="A172" s="850"/>
      <c r="B172" s="920">
        <v>5.0</v>
      </c>
      <c r="C172" s="920">
        <v>14.0</v>
      </c>
      <c r="D172" s="711"/>
      <c r="E172" s="925" t="s">
        <v>2511</v>
      </c>
      <c r="F172" s="924">
        <f>AVERAGE(C170,C173,C178)</f>
        <v>18.33333333</v>
      </c>
    </row>
    <row r="173">
      <c r="A173" s="850"/>
      <c r="B173" s="921">
        <v>3.0</v>
      </c>
      <c r="C173" s="921">
        <v>15.0</v>
      </c>
      <c r="D173" s="711"/>
      <c r="E173" s="711"/>
      <c r="F173" s="711"/>
    </row>
    <row r="174">
      <c r="A174" s="850"/>
      <c r="B174" s="920">
        <v>1.0</v>
      </c>
      <c r="C174" s="920">
        <v>26.0</v>
      </c>
      <c r="D174" s="711"/>
      <c r="E174" s="520" t="s">
        <v>2512</v>
      </c>
      <c r="F174" s="926">
        <v>3.0</v>
      </c>
    </row>
    <row r="175">
      <c r="A175" s="850"/>
      <c r="B175" s="920">
        <v>2.0</v>
      </c>
      <c r="C175" s="920">
        <v>37.0</v>
      </c>
      <c r="D175" s="711"/>
    </row>
    <row r="176">
      <c r="A176" s="850"/>
      <c r="B176" s="920">
        <v>4.0</v>
      </c>
      <c r="C176" s="920">
        <v>21.0</v>
      </c>
      <c r="D176" s="711"/>
    </row>
    <row r="177">
      <c r="A177" s="850"/>
      <c r="B177" s="920">
        <v>5.0</v>
      </c>
      <c r="C177" s="920">
        <v>15.0</v>
      </c>
      <c r="D177" s="711"/>
      <c r="E177" s="927" t="s">
        <v>2509</v>
      </c>
      <c r="F177" s="928">
        <f>SUMIF(B169:B178,F174,C169:C178)</f>
        <v>55</v>
      </c>
    </row>
    <row r="178">
      <c r="A178" s="850"/>
      <c r="B178" s="921">
        <v>3.0</v>
      </c>
      <c r="C178" s="921">
        <v>26.0</v>
      </c>
      <c r="D178" s="711"/>
      <c r="E178" s="929" t="s">
        <v>2511</v>
      </c>
      <c r="F178" s="928">
        <f>AVERAGEIF(B169:B178,F174,C169:C178)</f>
        <v>18.33333333</v>
      </c>
    </row>
    <row r="179">
      <c r="A179" s="850"/>
      <c r="B179" s="850"/>
      <c r="C179" s="859"/>
    </row>
    <row r="180">
      <c r="A180" s="873"/>
      <c r="B180" s="873"/>
      <c r="C180" s="874"/>
      <c r="D180" s="875"/>
      <c r="E180" s="875"/>
      <c r="F180" s="875"/>
      <c r="G180" s="875"/>
      <c r="H180" s="875"/>
      <c r="I180" s="875"/>
      <c r="J180" s="875"/>
      <c r="K180" s="875"/>
      <c r="L180" s="875"/>
    </row>
    <row r="181">
      <c r="A181" s="339" t="s">
        <v>2514</v>
      </c>
      <c r="B181" s="930" t="str">
        <f t="shared" ref="B181:B182" si="4">TIMESTAMP(A181)</f>
        <v>#NAME?</v>
      </c>
      <c r="C181" s="931">
        <f t="shared" ref="C181:C182" si="5">NOW()
</f>
        <v>43072.78176</v>
      </c>
      <c r="D181" s="932" t="str">
        <f t="shared" ref="D181:D182" si="6">C181-B181</f>
        <v>#NAME?</v>
      </c>
    </row>
    <row r="182">
      <c r="A182" s="339" t="s">
        <v>2517</v>
      </c>
      <c r="B182" s="930" t="str">
        <f t="shared" si="4"/>
        <v>#NAME?</v>
      </c>
      <c r="C182" s="931">
        <f t="shared" si="5"/>
        <v>43072.78176</v>
      </c>
      <c r="D182" s="932" t="str">
        <f t="shared" si="6"/>
        <v>#NAME?</v>
      </c>
    </row>
    <row r="183">
      <c r="A183" s="850"/>
      <c r="B183" s="850"/>
      <c r="C183" s="859"/>
    </row>
    <row r="184">
      <c r="A184" s="873"/>
      <c r="B184" s="873"/>
      <c r="C184" s="874"/>
      <c r="D184" s="875"/>
      <c r="E184" s="875"/>
      <c r="F184" s="875"/>
      <c r="G184" s="875"/>
      <c r="H184" s="875"/>
      <c r="I184" s="875"/>
      <c r="J184" s="875"/>
      <c r="K184" s="875"/>
      <c r="L184" s="875"/>
    </row>
    <row r="185">
      <c r="A185" s="289" t="s">
        <v>2518</v>
      </c>
      <c r="B185" s="482"/>
      <c r="C185" s="482"/>
    </row>
    <row r="186">
      <c r="A186" s="933">
        <v>0.52</v>
      </c>
      <c r="B186" s="934">
        <v>0.48</v>
      </c>
      <c r="C186" s="935" t="str">
        <f>IFERROR(__xludf.DUMMYFUNCTION("SPARKLINE( A186:B186,{""charttype"",""bar"";""max"",1;""color1"",""#17e657"";""color2"",""#FF0000""})"),"")</f>
        <v/>
      </c>
    </row>
    <row r="187">
      <c r="A187" s="933">
        <v>0.1</v>
      </c>
      <c r="B187" s="934">
        <v>0.9</v>
      </c>
      <c r="C187" s="935" t="str">
        <f>IFERROR(__xludf.DUMMYFUNCTION("SPARKLINE( A187:B187,{""charttype"",""bar"";""max"",1;""color1"",""#17e657"";""color2"",""#FF0000""})"),"")</f>
        <v/>
      </c>
    </row>
    <row r="188">
      <c r="A188" s="933">
        <v>0.0</v>
      </c>
      <c r="B188" s="934">
        <v>1.0</v>
      </c>
      <c r="C188" s="935" t="str">
        <f>IFERROR(__xludf.DUMMYFUNCTION("SPARKLINE( A188:B188,{""charttype"",""bar"";""max"",1;""color1"",""#17e657"";""color2"",""#FF0000""})"),"")</f>
        <v/>
      </c>
    </row>
    <row r="189">
      <c r="A189" s="873"/>
      <c r="B189" s="873"/>
      <c r="C189" s="874"/>
      <c r="D189" s="875"/>
      <c r="E189" s="875"/>
      <c r="F189" s="875"/>
      <c r="G189" s="875"/>
      <c r="H189" s="875"/>
      <c r="I189" s="875"/>
      <c r="J189" s="875"/>
      <c r="K189" s="875"/>
      <c r="L189" s="875"/>
    </row>
    <row r="190">
      <c r="A190" s="850"/>
      <c r="B190" s="850"/>
      <c r="C190" s="859"/>
    </row>
    <row r="191">
      <c r="A191" s="850"/>
      <c r="B191" s="850"/>
      <c r="C191" s="859"/>
    </row>
    <row r="192">
      <c r="A192" s="850"/>
      <c r="B192" s="850"/>
      <c r="C192" s="859"/>
    </row>
    <row r="193">
      <c r="A193" s="850"/>
      <c r="B193" s="850"/>
      <c r="C193" s="859"/>
    </row>
    <row r="194">
      <c r="A194" s="850"/>
      <c r="B194" s="850"/>
      <c r="C194" s="859"/>
    </row>
    <row r="195">
      <c r="A195" s="850"/>
      <c r="B195" s="850"/>
      <c r="C195" s="859"/>
    </row>
    <row r="196">
      <c r="A196" s="850"/>
      <c r="B196" s="850"/>
      <c r="C196" s="859"/>
    </row>
    <row r="197">
      <c r="A197" s="850"/>
      <c r="B197" s="850"/>
      <c r="C197" s="859"/>
    </row>
    <row r="198">
      <c r="A198" s="850"/>
      <c r="B198" s="850"/>
      <c r="C198" s="859"/>
    </row>
    <row r="199">
      <c r="A199" s="850"/>
      <c r="B199" s="850"/>
      <c r="C199" s="859"/>
    </row>
    <row r="200">
      <c r="A200" s="850"/>
      <c r="B200" s="850"/>
      <c r="C200" s="859"/>
    </row>
  </sheetData>
  <mergeCells count="80">
    <mergeCell ref="F109:G109"/>
    <mergeCell ref="B108:C108"/>
    <mergeCell ref="B98:E98"/>
    <mergeCell ref="B121:C121"/>
    <mergeCell ref="A143:D143"/>
    <mergeCell ref="A154:B158"/>
    <mergeCell ref="C79:J79"/>
    <mergeCell ref="C80:J80"/>
    <mergeCell ref="C76:J76"/>
    <mergeCell ref="C77:J77"/>
    <mergeCell ref="C75:J75"/>
    <mergeCell ref="C78:J78"/>
    <mergeCell ref="F122:G122"/>
    <mergeCell ref="E174:E175"/>
    <mergeCell ref="F174:F175"/>
    <mergeCell ref="B62:B68"/>
    <mergeCell ref="A62:A68"/>
    <mergeCell ref="A57:A61"/>
    <mergeCell ref="C70:J70"/>
    <mergeCell ref="C71:J71"/>
    <mergeCell ref="C74:J74"/>
    <mergeCell ref="C73:J73"/>
    <mergeCell ref="C72:J72"/>
    <mergeCell ref="C69:J69"/>
    <mergeCell ref="C61:J61"/>
    <mergeCell ref="C62:J62"/>
    <mergeCell ref="B57:B61"/>
    <mergeCell ref="C18:J18"/>
    <mergeCell ref="B10:B11"/>
    <mergeCell ref="C11:J11"/>
    <mergeCell ref="A10:A11"/>
    <mergeCell ref="C17:J17"/>
    <mergeCell ref="C15:J15"/>
    <mergeCell ref="C16:J16"/>
    <mergeCell ref="C25:J25"/>
    <mergeCell ref="C22:J22"/>
    <mergeCell ref="C20:J20"/>
    <mergeCell ref="C21:J21"/>
    <mergeCell ref="C19:J19"/>
    <mergeCell ref="C23:J23"/>
    <mergeCell ref="C24:J24"/>
    <mergeCell ref="C26:J26"/>
    <mergeCell ref="C27:J27"/>
    <mergeCell ref="C28:J28"/>
    <mergeCell ref="C30:J30"/>
    <mergeCell ref="C36:J36"/>
    <mergeCell ref="C35:J35"/>
    <mergeCell ref="C34:J34"/>
    <mergeCell ref="G42:G43"/>
    <mergeCell ref="C41:F41"/>
    <mergeCell ref="E42:F42"/>
    <mergeCell ref="C29:J29"/>
    <mergeCell ref="A8:A9"/>
    <mergeCell ref="A6:A7"/>
    <mergeCell ref="A4:A5"/>
    <mergeCell ref="A2:A3"/>
    <mergeCell ref="C3:J3"/>
    <mergeCell ref="C2:J2"/>
    <mergeCell ref="C1:J1"/>
    <mergeCell ref="B2:B3"/>
    <mergeCell ref="C4:J4"/>
    <mergeCell ref="C5:J5"/>
    <mergeCell ref="C10:J10"/>
    <mergeCell ref="C8:J8"/>
    <mergeCell ref="C7:J7"/>
    <mergeCell ref="B8:B9"/>
    <mergeCell ref="B6:B7"/>
    <mergeCell ref="C9:J9"/>
    <mergeCell ref="B4:B5"/>
    <mergeCell ref="C6:J6"/>
    <mergeCell ref="A136:D136"/>
    <mergeCell ref="F136:G136"/>
    <mergeCell ref="C52:J52"/>
    <mergeCell ref="C53:J53"/>
    <mergeCell ref="C55:J55"/>
    <mergeCell ref="C56:J56"/>
    <mergeCell ref="C54:J54"/>
    <mergeCell ref="C42:D42"/>
    <mergeCell ref="B41:B51"/>
    <mergeCell ref="A41:A51"/>
  </mergeCells>
  <dataValidations>
    <dataValidation type="list" allowBlank="1" showErrorMessage="1" sqref="G94">
      <formula1>'Editor Comments'!$B$95:$B$97</formula1>
    </dataValidation>
    <dataValidation type="list" allowBlank="1" showErrorMessage="1" sqref="C65:C68">
      <formula1>"50%,60%,70%,80%,90%,100%"</formula1>
    </dataValidation>
  </dataValidations>
  <hyperlinks>
    <hyperlink r:id="rId1" ref="C3"/>
    <hyperlink r:id="rId2" ref="C5"/>
  </hyperlinks>
  <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cols>
    <col customWidth="1" min="1" max="9" width="20.14"/>
    <col customWidth="1" min="10" max="10" width="23.14"/>
    <col customWidth="1" min="11" max="15" width="20.14"/>
  </cols>
  <sheetData>
    <row r="1">
      <c r="A1" s="936" t="str">
        <f>('Asia Pacific &amp; Europe (excl UK)'!$B$3)</f>
        <v>Username (can be anything inoffensive)</v>
      </c>
      <c r="B1" s="936" t="str">
        <f>('Asia Pacific &amp; Europe (excl UK)'!$C$3)</f>
        <v>Location</v>
      </c>
      <c r="C1" s="937" t="str">
        <f>('Asia Pacific &amp; Europe (excl UK)'!$E$3)</f>
        <v>Date of range reading
(double click empty cell)</v>
      </c>
      <c r="D1" s="938" t="str">
        <f>('Asia Pacific &amp; Europe (excl UK)'!$F$3)</f>
        <v>Model</v>
      </c>
      <c r="E1" s="939" t="str">
        <f>('Asia Pacific &amp; Europe (excl UK)'!$L$3)</f>
        <v>Did you have a battery replacement?</v>
      </c>
      <c r="F1" s="939" t="str">
        <f>('Asia Pacific &amp; Europe (excl UK)'!$V$3)</f>
        <v>Frequency of supercharging</v>
      </c>
      <c r="G1" s="939" t="str">
        <f>('Asia Pacific &amp; Europe (excl UK)'!$W$3)</f>
        <v>Frequency of 100% charge</v>
      </c>
      <c r="H1" s="939" t="str">
        <f>('Asia Pacific &amp; Europe (excl UK)'!$X$3)</f>
        <v>Frequency of almost empty (8km or less)</v>
      </c>
      <c r="I1" s="939" t="str">
        <f>('Asia Pacific &amp; Europe (excl UK)'!$Y$3)</f>
        <v>Daily charge level</v>
      </c>
      <c r="J1" s="940" t="str">
        <f>('Asia Pacific &amp; Europe (excl UK)'!$AQ$3)</f>
        <v>wh/km</v>
      </c>
      <c r="K1" s="941" t="str">
        <f>('Asia Pacific &amp; Europe (excl UK)'!$AT$3)</f>
        <v>Your capacity minus chart trendline at this mileage</v>
      </c>
      <c r="L1" s="942" t="s">
        <v>2531</v>
      </c>
      <c r="M1" s="480"/>
      <c r="N1" s="480"/>
      <c r="O1" s="480"/>
    </row>
    <row r="2">
      <c r="A2" s="550" t="str">
        <f t="array" ref="A2:K1276">sort({
'Asia Pacific &amp; Europe (excl UK)'!B4:B1527,
'Asia Pacific &amp; Europe (excl UK)'!C4:C1527,
'Asia Pacific &amp; Europe (excl UK)'!E4:E1527,
'Asia Pacific &amp; Europe (excl UK)'!F4:F1527,
'Asia Pacific &amp; Europe (excl UK)'!L4:L1527,
'Asia Pacific &amp; Europe (excl UK)'!V4:V1527,
'Asia Pacific &amp; Europe (excl UK)'!W4:W1527,
'Asia Pacific &amp; Europe (excl UK)'!X4:X1527,
'Asia Pacific &amp; Europe (excl UK)'!Y4:Y1527,
'Asia Pacific &amp; Europe (excl UK)'!AQ4:AQ1527,
'Asia Pacific &amp; Europe (excl UK)'!AT4:AT1527;
Canada!B4:B1527,
Canada!C4:C1527,
Canada!E4:E1527,
Canada!F4:F1527,
Canada!L4:L1527,
Canada!V4:V1527,
Canada!W4:W1527,
Canada!X4:X1527,
Canada!Y4:Y1527,
Canada!AQ4:AQ1527,
Canada!AT4:AT1527;
UK!B4:B1527,
UK!C4:C1527,
UK!E4:E1527,
UK!F4:F1527,
UK!L4:L1527,
UK!V4:V1527,
UK!W4:W1527,
UK!X4:X1527,
UK!Y4:Y1527,
UK!AQ4:AQ1527,
UK!AT4:AT1527;
USA!B4:B1527,
USA!C4:C1527,
USA!E4:E1527,
USA!F4:F1527,
USA!L4:L1527,
USA!V4:V1527,
USA!W4:W1527,
USA!X4:X1527,
USA!Y4:Y1527,
USA!AQ4:AQ1527,
USA!AT4:AT1527
},3,False)</f>
        <v>jvds</v>
      </c>
      <c r="B2" s="943" t="s">
        <v>60</v>
      </c>
      <c r="C2" s="944">
        <v>43072.0</v>
      </c>
      <c r="D2" s="945" t="s">
        <v>118</v>
      </c>
      <c r="E2" s="946" t="s">
        <v>63</v>
      </c>
      <c r="F2" s="945" t="s">
        <v>64</v>
      </c>
      <c r="G2" s="945" t="s">
        <v>64</v>
      </c>
      <c r="H2" s="945" t="s">
        <v>66</v>
      </c>
      <c r="I2" s="947">
        <v>0.9</v>
      </c>
      <c r="J2" s="948">
        <v>218.0</v>
      </c>
      <c r="K2" s="949">
        <v>0.014073973987012933</v>
      </c>
      <c r="L2" s="950" t="str">
        <f t="shared" ref="L2:L1000" si="1">IF(OR(ISBLANK(A2),COUNTIF(A$2:A2,A2)&gt;1),,"yes")</f>
        <v>yes</v>
      </c>
      <c r="M2" s="736"/>
      <c r="N2" s="736"/>
      <c r="O2" s="736"/>
    </row>
    <row r="3">
      <c r="A3" s="951" t="s">
        <v>1841</v>
      </c>
      <c r="B3" s="952" t="s">
        <v>60</v>
      </c>
      <c r="C3" s="953">
        <v>43071.0</v>
      </c>
      <c r="D3" s="954" t="s">
        <v>86</v>
      </c>
      <c r="E3" s="948" t="s">
        <v>63</v>
      </c>
      <c r="F3" s="954" t="s">
        <v>65</v>
      </c>
      <c r="G3" s="954" t="s">
        <v>67</v>
      </c>
      <c r="H3" s="954" t="s">
        <v>69</v>
      </c>
      <c r="I3" s="955">
        <v>0.9</v>
      </c>
      <c r="J3" s="948">
        <v>240.0</v>
      </c>
      <c r="K3" s="949">
        <v>0.02797240099356213</v>
      </c>
      <c r="L3" s="950" t="str">
        <f t="shared" si="1"/>
        <v>yes</v>
      </c>
      <c r="M3" s="736"/>
      <c r="N3" s="736"/>
      <c r="O3" s="736"/>
    </row>
    <row r="4">
      <c r="A4" s="951" t="s">
        <v>1275</v>
      </c>
      <c r="B4" s="952" t="s">
        <v>60</v>
      </c>
      <c r="C4" s="953">
        <v>43070.0</v>
      </c>
      <c r="D4" s="954" t="s">
        <v>683</v>
      </c>
      <c r="E4" s="948" t="s">
        <v>63</v>
      </c>
      <c r="F4" s="954"/>
      <c r="G4" s="954"/>
      <c r="H4" s="954"/>
      <c r="I4" s="955"/>
      <c r="J4" s="948"/>
      <c r="K4" s="949">
        <v>-0.04059718746520402</v>
      </c>
      <c r="L4" s="950" t="str">
        <f t="shared" si="1"/>
        <v>yes</v>
      </c>
      <c r="M4" s="736"/>
      <c r="N4" s="736"/>
      <c r="O4" s="736"/>
    </row>
    <row r="5">
      <c r="A5" s="951" t="s">
        <v>1127</v>
      </c>
      <c r="B5" s="952" t="s">
        <v>60</v>
      </c>
      <c r="C5" s="953">
        <v>43070.0</v>
      </c>
      <c r="D5" s="954" t="s">
        <v>86</v>
      </c>
      <c r="E5" s="948" t="s">
        <v>63</v>
      </c>
      <c r="F5" s="954" t="s">
        <v>67</v>
      </c>
      <c r="G5" s="954" t="s">
        <v>65</v>
      </c>
      <c r="H5" s="954" t="s">
        <v>69</v>
      </c>
      <c r="I5" s="955">
        <v>0.9</v>
      </c>
      <c r="J5" s="948">
        <v>215.0</v>
      </c>
      <c r="K5" s="949">
        <v>0.02218638319297772</v>
      </c>
      <c r="L5" s="950" t="str">
        <f t="shared" si="1"/>
        <v>yes</v>
      </c>
      <c r="M5" s="736"/>
      <c r="N5" s="736"/>
      <c r="O5" s="736"/>
    </row>
    <row r="6">
      <c r="A6" s="951" t="s">
        <v>1628</v>
      </c>
      <c r="B6" s="952" t="s">
        <v>60</v>
      </c>
      <c r="C6" s="953">
        <v>43066.0</v>
      </c>
      <c r="D6" s="954" t="s">
        <v>305</v>
      </c>
      <c r="E6" s="948" t="s">
        <v>63</v>
      </c>
      <c r="F6" s="954" t="s">
        <v>65</v>
      </c>
      <c r="G6" s="954" t="s">
        <v>64</v>
      </c>
      <c r="H6" s="954" t="s">
        <v>69</v>
      </c>
      <c r="I6" s="955">
        <v>0.7</v>
      </c>
      <c r="J6" s="948">
        <v>213.0</v>
      </c>
      <c r="K6" s="949">
        <v>0.0098652432636821</v>
      </c>
      <c r="L6" s="950" t="str">
        <f t="shared" si="1"/>
        <v>yes</v>
      </c>
      <c r="M6" s="736"/>
      <c r="N6" s="736"/>
      <c r="O6" s="736"/>
    </row>
    <row r="7">
      <c r="A7" s="951" t="s">
        <v>1885</v>
      </c>
      <c r="B7" s="952" t="s">
        <v>60</v>
      </c>
      <c r="C7" s="953">
        <v>43065.0</v>
      </c>
      <c r="D7" s="954" t="s">
        <v>305</v>
      </c>
      <c r="E7" s="948" t="s">
        <v>63</v>
      </c>
      <c r="F7" s="954" t="s">
        <v>80</v>
      </c>
      <c r="G7" s="954" t="s">
        <v>64</v>
      </c>
      <c r="H7" s="954" t="s">
        <v>66</v>
      </c>
      <c r="I7" s="955">
        <v>0.9</v>
      </c>
      <c r="J7" s="948">
        <v>198.0</v>
      </c>
      <c r="K7" s="949">
        <v>0.012188027254741662</v>
      </c>
      <c r="L7" s="950" t="str">
        <f t="shared" si="1"/>
        <v>yes</v>
      </c>
      <c r="M7" s="736"/>
      <c r="N7" s="736"/>
      <c r="O7" s="736"/>
    </row>
    <row r="8">
      <c r="A8" s="951" t="s">
        <v>1757</v>
      </c>
      <c r="B8" s="952" t="s">
        <v>60</v>
      </c>
      <c r="C8" s="953">
        <v>43061.0</v>
      </c>
      <c r="D8" s="954" t="s">
        <v>118</v>
      </c>
      <c r="E8" s="948" t="s">
        <v>63</v>
      </c>
      <c r="F8" s="954" t="s">
        <v>127</v>
      </c>
      <c r="G8" s="954" t="s">
        <v>66</v>
      </c>
      <c r="H8" s="954" t="s">
        <v>68</v>
      </c>
      <c r="I8" s="955">
        <v>0.9</v>
      </c>
      <c r="J8" s="948">
        <v>205.0</v>
      </c>
      <c r="K8" s="949">
        <v>-0.011205901683129182</v>
      </c>
      <c r="L8" s="950" t="str">
        <f t="shared" si="1"/>
        <v>yes</v>
      </c>
      <c r="M8" s="736"/>
      <c r="N8" s="736"/>
      <c r="O8" s="736"/>
    </row>
    <row r="9">
      <c r="A9" s="951" t="s">
        <v>1849</v>
      </c>
      <c r="B9" s="952" t="s">
        <v>60</v>
      </c>
      <c r="C9" s="953">
        <v>43059.0</v>
      </c>
      <c r="D9" s="954" t="s">
        <v>675</v>
      </c>
      <c r="E9" s="948" t="s">
        <v>63</v>
      </c>
      <c r="F9" s="954"/>
      <c r="G9" s="954"/>
      <c r="H9" s="954"/>
      <c r="I9" s="955"/>
      <c r="J9" s="948"/>
      <c r="K9" s="949">
        <v>0.008671001633848041</v>
      </c>
      <c r="L9" s="950" t="str">
        <f t="shared" si="1"/>
        <v>yes</v>
      </c>
      <c r="M9" s="736"/>
      <c r="N9" s="736"/>
      <c r="O9" s="736"/>
    </row>
    <row r="10">
      <c r="A10" s="951" t="s">
        <v>1792</v>
      </c>
      <c r="B10" s="952" t="s">
        <v>60</v>
      </c>
      <c r="C10" s="953">
        <v>43058.0</v>
      </c>
      <c r="D10" s="954" t="s">
        <v>305</v>
      </c>
      <c r="E10" s="948" t="s">
        <v>63</v>
      </c>
      <c r="F10" s="954" t="s">
        <v>69</v>
      </c>
      <c r="G10" s="954" t="s">
        <v>65</v>
      </c>
      <c r="H10" s="954" t="s">
        <v>66</v>
      </c>
      <c r="I10" s="955">
        <v>0.8</v>
      </c>
      <c r="J10" s="948"/>
      <c r="K10" s="949">
        <v>0.01560758638047588</v>
      </c>
      <c r="L10" s="950" t="str">
        <f t="shared" si="1"/>
        <v>yes</v>
      </c>
      <c r="M10" s="736"/>
      <c r="N10" s="736"/>
      <c r="O10" s="736"/>
    </row>
    <row r="11">
      <c r="A11" s="951" t="s">
        <v>1719</v>
      </c>
      <c r="B11" s="952" t="s">
        <v>60</v>
      </c>
      <c r="C11" s="953">
        <v>43058.0</v>
      </c>
      <c r="D11" s="954" t="s">
        <v>118</v>
      </c>
      <c r="E11" s="948" t="s">
        <v>63</v>
      </c>
      <c r="F11" s="954" t="s">
        <v>67</v>
      </c>
      <c r="G11" s="954" t="s">
        <v>67</v>
      </c>
      <c r="H11" s="954" t="s">
        <v>69</v>
      </c>
      <c r="I11" s="955">
        <v>0.8</v>
      </c>
      <c r="J11" s="948"/>
      <c r="K11" s="949">
        <v>0.019910760880840095</v>
      </c>
      <c r="L11" s="950" t="str">
        <f t="shared" si="1"/>
        <v>yes</v>
      </c>
      <c r="M11" s="736"/>
      <c r="N11" s="736"/>
      <c r="O11" s="736"/>
    </row>
    <row r="12">
      <c r="A12" s="951" t="s">
        <v>92</v>
      </c>
      <c r="B12" s="952" t="s">
        <v>55</v>
      </c>
      <c r="C12" s="953">
        <v>43057.0</v>
      </c>
      <c r="D12" s="954" t="s">
        <v>319</v>
      </c>
      <c r="E12" s="948" t="s">
        <v>195</v>
      </c>
      <c r="F12" s="954" t="s">
        <v>64</v>
      </c>
      <c r="G12" s="954" t="s">
        <v>69</v>
      </c>
      <c r="H12" s="954" t="s">
        <v>66</v>
      </c>
      <c r="I12" s="955">
        <v>0.9</v>
      </c>
      <c r="J12" s="948">
        <v>204.0</v>
      </c>
      <c r="K12" s="949">
        <v>0.00240274620892611</v>
      </c>
      <c r="L12" s="950" t="str">
        <f t="shared" si="1"/>
        <v>yes</v>
      </c>
      <c r="M12" s="736"/>
      <c r="N12" s="736"/>
      <c r="O12" s="736"/>
    </row>
    <row r="13">
      <c r="A13" s="951" t="s">
        <v>1872</v>
      </c>
      <c r="B13" s="952" t="s">
        <v>60</v>
      </c>
      <c r="C13" s="953">
        <v>43056.0</v>
      </c>
      <c r="D13" s="954" t="s">
        <v>629</v>
      </c>
      <c r="E13" s="948" t="s">
        <v>63</v>
      </c>
      <c r="F13" s="954" t="s">
        <v>67</v>
      </c>
      <c r="G13" s="954" t="s">
        <v>69</v>
      </c>
      <c r="H13" s="954" t="s">
        <v>69</v>
      </c>
      <c r="I13" s="955"/>
      <c r="J13" s="948">
        <v>206.0</v>
      </c>
      <c r="K13" s="949">
        <v>-0.011086081715463991</v>
      </c>
      <c r="L13" s="950" t="str">
        <f t="shared" si="1"/>
        <v>yes</v>
      </c>
      <c r="M13" s="736"/>
      <c r="N13" s="736"/>
      <c r="O13" s="736"/>
    </row>
    <row r="14">
      <c r="A14" s="951" t="s">
        <v>126</v>
      </c>
      <c r="B14" s="952" t="s">
        <v>60</v>
      </c>
      <c r="C14" s="953">
        <v>43048.0</v>
      </c>
      <c r="D14" s="954" t="s">
        <v>79</v>
      </c>
      <c r="E14" s="948" t="s">
        <v>63</v>
      </c>
      <c r="F14" s="954" t="s">
        <v>65</v>
      </c>
      <c r="G14" s="954" t="s">
        <v>127</v>
      </c>
      <c r="H14" s="954" t="s">
        <v>69</v>
      </c>
      <c r="I14" s="955">
        <v>1.0</v>
      </c>
      <c r="J14" s="948">
        <v>212.0</v>
      </c>
      <c r="K14" s="949">
        <v>-0.016016762643360938</v>
      </c>
      <c r="L14" s="950" t="str">
        <f t="shared" si="1"/>
        <v>yes</v>
      </c>
      <c r="M14" s="736"/>
      <c r="N14" s="736"/>
      <c r="O14" s="736"/>
    </row>
    <row r="15">
      <c r="A15" s="951" t="s">
        <v>1760</v>
      </c>
      <c r="B15" s="952" t="s">
        <v>60</v>
      </c>
      <c r="C15" s="953">
        <v>43045.0</v>
      </c>
      <c r="D15" s="954" t="s">
        <v>305</v>
      </c>
      <c r="E15" s="948" t="s">
        <v>63</v>
      </c>
      <c r="F15" s="954" t="s">
        <v>80</v>
      </c>
      <c r="G15" s="954" t="s">
        <v>69</v>
      </c>
      <c r="H15" s="954" t="s">
        <v>67</v>
      </c>
      <c r="I15" s="955">
        <v>0.5</v>
      </c>
      <c r="J15" s="948">
        <v>213.0</v>
      </c>
      <c r="K15" s="949">
        <v>-0.016228868028358323</v>
      </c>
      <c r="L15" s="950" t="str">
        <f t="shared" si="1"/>
        <v>yes</v>
      </c>
      <c r="M15" s="736"/>
      <c r="N15" s="736"/>
      <c r="O15" s="736"/>
    </row>
    <row r="16">
      <c r="A16" s="951" t="s">
        <v>161</v>
      </c>
      <c r="B16" s="952" t="s">
        <v>56</v>
      </c>
      <c r="C16" s="953">
        <v>43042.0</v>
      </c>
      <c r="D16" s="954" t="s">
        <v>59</v>
      </c>
      <c r="E16" s="948" t="s">
        <v>63</v>
      </c>
      <c r="F16" s="954" t="s">
        <v>69</v>
      </c>
      <c r="G16" s="954" t="s">
        <v>69</v>
      </c>
      <c r="H16" s="954" t="s">
        <v>69</v>
      </c>
      <c r="I16" s="955">
        <v>0.9</v>
      </c>
      <c r="J16" s="948">
        <v>185.0</v>
      </c>
      <c r="K16" s="949">
        <v>-0.008656752920947919</v>
      </c>
      <c r="L16" s="950" t="str">
        <f t="shared" si="1"/>
        <v>yes</v>
      </c>
      <c r="M16" s="736"/>
      <c r="N16" s="736"/>
      <c r="O16" s="736"/>
    </row>
    <row r="17">
      <c r="A17" s="951" t="s">
        <v>1275</v>
      </c>
      <c r="B17" s="952" t="s">
        <v>60</v>
      </c>
      <c r="C17" s="953">
        <v>43040.0</v>
      </c>
      <c r="D17" s="954" t="s">
        <v>683</v>
      </c>
      <c r="E17" s="948" t="s">
        <v>63</v>
      </c>
      <c r="F17" s="954" t="s">
        <v>64</v>
      </c>
      <c r="G17" s="954" t="s">
        <v>65</v>
      </c>
      <c r="H17" s="954" t="s">
        <v>65</v>
      </c>
      <c r="I17" s="955">
        <v>0.8</v>
      </c>
      <c r="J17" s="948">
        <v>289.0</v>
      </c>
      <c r="K17" s="949">
        <v>-0.03678467953615061</v>
      </c>
      <c r="L17" s="950" t="str">
        <f t="shared" si="1"/>
        <v/>
      </c>
      <c r="M17" s="736"/>
      <c r="N17" s="736"/>
      <c r="O17" s="736"/>
    </row>
    <row r="18">
      <c r="A18" s="951" t="s">
        <v>853</v>
      </c>
      <c r="B18" s="952" t="s">
        <v>56</v>
      </c>
      <c r="C18" s="953">
        <v>43040.0</v>
      </c>
      <c r="D18" s="954" t="s">
        <v>675</v>
      </c>
      <c r="E18" s="948" t="s">
        <v>63</v>
      </c>
      <c r="F18" s="954" t="s">
        <v>69</v>
      </c>
      <c r="G18" s="954" t="s">
        <v>69</v>
      </c>
      <c r="H18" s="954" t="s">
        <v>68</v>
      </c>
      <c r="I18" s="955">
        <v>0.7</v>
      </c>
      <c r="J18" s="948">
        <v>170.0</v>
      </c>
      <c r="K18" s="949">
        <v>0.00434590468367313</v>
      </c>
      <c r="L18" s="950" t="str">
        <f t="shared" si="1"/>
        <v>yes</v>
      </c>
      <c r="M18" s="736"/>
      <c r="N18" s="736"/>
      <c r="O18" s="736"/>
    </row>
    <row r="19">
      <c r="A19" s="951" t="s">
        <v>849</v>
      </c>
      <c r="B19" s="952" t="s">
        <v>850</v>
      </c>
      <c r="C19" s="953">
        <v>43038.0</v>
      </c>
      <c r="D19" s="954" t="s">
        <v>675</v>
      </c>
      <c r="E19" s="948" t="s">
        <v>63</v>
      </c>
      <c r="F19" s="954"/>
      <c r="G19" s="954"/>
      <c r="H19" s="954"/>
      <c r="I19" s="955"/>
      <c r="J19" s="948"/>
      <c r="K19" s="949">
        <v>0.012075130181089633</v>
      </c>
      <c r="L19" s="950" t="str">
        <f t="shared" si="1"/>
        <v>yes</v>
      </c>
      <c r="M19" s="736"/>
      <c r="N19" s="736"/>
      <c r="O19" s="736"/>
    </row>
    <row r="20">
      <c r="A20" s="951" t="s">
        <v>304</v>
      </c>
      <c r="B20" s="952" t="s">
        <v>55</v>
      </c>
      <c r="C20" s="953">
        <v>43037.0</v>
      </c>
      <c r="D20" s="954" t="s">
        <v>305</v>
      </c>
      <c r="E20" s="948" t="s">
        <v>63</v>
      </c>
      <c r="F20" s="954" t="s">
        <v>65</v>
      </c>
      <c r="G20" s="954" t="s">
        <v>64</v>
      </c>
      <c r="H20" s="954" t="s">
        <v>68</v>
      </c>
      <c r="I20" s="955">
        <v>0.6</v>
      </c>
      <c r="J20" s="948">
        <v>197.0</v>
      </c>
      <c r="K20" s="949">
        <v>0.010171465186911699</v>
      </c>
      <c r="L20" s="950" t="str">
        <f t="shared" si="1"/>
        <v>yes</v>
      </c>
      <c r="M20" s="736"/>
      <c r="N20" s="736"/>
      <c r="O20" s="736"/>
    </row>
    <row r="21">
      <c r="A21" s="951" t="s">
        <v>1454</v>
      </c>
      <c r="B21" s="952" t="s">
        <v>60</v>
      </c>
      <c r="C21" s="953">
        <v>43036.0</v>
      </c>
      <c r="D21" s="954" t="s">
        <v>118</v>
      </c>
      <c r="E21" s="948" t="s">
        <v>63</v>
      </c>
      <c r="F21" s="954" t="s">
        <v>64</v>
      </c>
      <c r="G21" s="954" t="s">
        <v>64</v>
      </c>
      <c r="H21" s="954" t="s">
        <v>66</v>
      </c>
      <c r="I21" s="955">
        <v>0.9</v>
      </c>
      <c r="J21" s="948">
        <v>218.0</v>
      </c>
      <c r="K21" s="949">
        <v>0.007820236583259588</v>
      </c>
      <c r="L21" s="950" t="str">
        <f t="shared" si="1"/>
        <v/>
      </c>
      <c r="M21" s="736"/>
      <c r="N21" s="736"/>
      <c r="O21" s="736"/>
    </row>
    <row r="22">
      <c r="A22" s="951" t="s">
        <v>1845</v>
      </c>
      <c r="B22" s="952" t="s">
        <v>60</v>
      </c>
      <c r="C22" s="953">
        <v>43035.0</v>
      </c>
      <c r="D22" s="954" t="s">
        <v>921</v>
      </c>
      <c r="E22" s="948" t="s">
        <v>63</v>
      </c>
      <c r="F22" s="954" t="s">
        <v>65</v>
      </c>
      <c r="G22" s="954" t="s">
        <v>65</v>
      </c>
      <c r="H22" s="954" t="s">
        <v>69</v>
      </c>
      <c r="I22" s="955">
        <v>0.9</v>
      </c>
      <c r="J22" s="948">
        <v>260.0</v>
      </c>
      <c r="K22" s="949">
        <v>0.0033724526257328247</v>
      </c>
      <c r="L22" s="950" t="str">
        <f t="shared" si="1"/>
        <v>yes</v>
      </c>
      <c r="M22" s="736"/>
      <c r="N22" s="736"/>
      <c r="O22" s="736"/>
    </row>
    <row r="23">
      <c r="A23" s="951" t="s">
        <v>623</v>
      </c>
      <c r="B23" s="952" t="s">
        <v>60</v>
      </c>
      <c r="C23" s="953">
        <v>43031.0</v>
      </c>
      <c r="D23" s="954" t="s">
        <v>59</v>
      </c>
      <c r="E23" s="948" t="s">
        <v>63</v>
      </c>
      <c r="F23" s="954" t="s">
        <v>65</v>
      </c>
      <c r="G23" s="954" t="s">
        <v>69</v>
      </c>
      <c r="H23" s="954" t="s">
        <v>66</v>
      </c>
      <c r="I23" s="955">
        <v>0.9</v>
      </c>
      <c r="J23" s="948">
        <v>180.0</v>
      </c>
      <c r="K23" s="949">
        <v>0.006214046182511868</v>
      </c>
      <c r="L23" s="950" t="str">
        <f t="shared" si="1"/>
        <v>yes</v>
      </c>
      <c r="M23" s="736"/>
      <c r="N23" s="736"/>
      <c r="O23" s="736"/>
    </row>
    <row r="24">
      <c r="A24" s="951" t="s">
        <v>1784</v>
      </c>
      <c r="B24" s="952" t="s">
        <v>60</v>
      </c>
      <c r="C24" s="953">
        <v>43026.0</v>
      </c>
      <c r="D24" s="954" t="s">
        <v>59</v>
      </c>
      <c r="E24" s="948" t="s">
        <v>63</v>
      </c>
      <c r="F24" s="954"/>
      <c r="G24" s="954"/>
      <c r="H24" s="954"/>
      <c r="I24" s="955"/>
      <c r="J24" s="948">
        <v>204.0</v>
      </c>
      <c r="K24" s="949">
        <v>0.013594858095633988</v>
      </c>
      <c r="L24" s="950" t="str">
        <f t="shared" si="1"/>
        <v>yes</v>
      </c>
      <c r="M24" s="736"/>
      <c r="N24" s="736"/>
      <c r="O24" s="736"/>
    </row>
    <row r="25">
      <c r="A25" s="951" t="s">
        <v>1493</v>
      </c>
      <c r="B25" s="952" t="s">
        <v>60</v>
      </c>
      <c r="C25" s="953">
        <v>43026.0</v>
      </c>
      <c r="D25" s="954" t="s">
        <v>59</v>
      </c>
      <c r="E25" s="948" t="s">
        <v>63</v>
      </c>
      <c r="F25" s="954" t="s">
        <v>65</v>
      </c>
      <c r="G25" s="954" t="s">
        <v>69</v>
      </c>
      <c r="H25" s="954" t="s">
        <v>68</v>
      </c>
      <c r="I25" s="955">
        <v>0.9</v>
      </c>
      <c r="J25" s="948">
        <v>206.0</v>
      </c>
      <c r="K25" s="949">
        <v>-0.0018079007125264557</v>
      </c>
      <c r="L25" s="950" t="str">
        <f t="shared" si="1"/>
        <v>yes</v>
      </c>
      <c r="M25" s="736"/>
      <c r="N25" s="736"/>
      <c r="O25" s="736"/>
    </row>
    <row r="26">
      <c r="A26" s="951" t="s">
        <v>1808</v>
      </c>
      <c r="B26" s="952" t="s">
        <v>60</v>
      </c>
      <c r="C26" s="953">
        <v>43024.0</v>
      </c>
      <c r="D26" s="954" t="s">
        <v>86</v>
      </c>
      <c r="E26" s="948" t="s">
        <v>63</v>
      </c>
      <c r="F26" s="954" t="s">
        <v>65</v>
      </c>
      <c r="G26" s="954" t="s">
        <v>64</v>
      </c>
      <c r="H26" s="954" t="s">
        <v>69</v>
      </c>
      <c r="I26" s="955">
        <v>0.8</v>
      </c>
      <c r="J26" s="948">
        <v>222.0</v>
      </c>
      <c r="K26" s="949">
        <v>0.02646886054225661</v>
      </c>
      <c r="L26" s="950" t="str">
        <f t="shared" si="1"/>
        <v>yes</v>
      </c>
      <c r="M26" s="736"/>
      <c r="N26" s="736"/>
      <c r="O26" s="736"/>
    </row>
    <row r="27">
      <c r="A27" s="951" t="s">
        <v>1764</v>
      </c>
      <c r="B27" s="952" t="s">
        <v>60</v>
      </c>
      <c r="C27" s="953">
        <v>43024.0</v>
      </c>
      <c r="D27" s="954" t="s">
        <v>59</v>
      </c>
      <c r="E27" s="948" t="s">
        <v>63</v>
      </c>
      <c r="F27" s="954" t="s">
        <v>65</v>
      </c>
      <c r="G27" s="954" t="s">
        <v>69</v>
      </c>
      <c r="H27" s="954" t="s">
        <v>65</v>
      </c>
      <c r="I27" s="955">
        <v>0.6</v>
      </c>
      <c r="J27" s="948">
        <v>223.0</v>
      </c>
      <c r="K27" s="949">
        <v>0.003366921333354145</v>
      </c>
      <c r="L27" s="950" t="str">
        <f t="shared" si="1"/>
        <v>yes</v>
      </c>
      <c r="M27" s="736"/>
      <c r="N27" s="736"/>
      <c r="O27" s="736"/>
    </row>
    <row r="28">
      <c r="A28" s="951" t="s">
        <v>1128</v>
      </c>
      <c r="B28" s="952" t="s">
        <v>60</v>
      </c>
      <c r="C28" s="953">
        <v>43023.0</v>
      </c>
      <c r="D28" s="954" t="s">
        <v>59</v>
      </c>
      <c r="E28" s="948" t="s">
        <v>63</v>
      </c>
      <c r="F28" s="954" t="s">
        <v>67</v>
      </c>
      <c r="G28" s="954" t="s">
        <v>64</v>
      </c>
      <c r="H28" s="954" t="s">
        <v>69</v>
      </c>
      <c r="I28" s="955">
        <v>0.8</v>
      </c>
      <c r="J28" s="948">
        <v>185.0</v>
      </c>
      <c r="K28" s="949">
        <v>0.009700457925391537</v>
      </c>
      <c r="L28" s="950" t="str">
        <f t="shared" si="1"/>
        <v>yes</v>
      </c>
      <c r="M28" s="736"/>
      <c r="N28" s="736"/>
      <c r="O28" s="736"/>
    </row>
    <row r="29">
      <c r="A29" s="951" t="s">
        <v>1884</v>
      </c>
      <c r="B29" s="952" t="s">
        <v>60</v>
      </c>
      <c r="C29" s="953">
        <v>43022.0</v>
      </c>
      <c r="D29" s="954" t="s">
        <v>629</v>
      </c>
      <c r="E29" s="948" t="s">
        <v>63</v>
      </c>
      <c r="F29" s="954" t="s">
        <v>64</v>
      </c>
      <c r="G29" s="954" t="s">
        <v>64</v>
      </c>
      <c r="H29" s="954" t="s">
        <v>68</v>
      </c>
      <c r="I29" s="955">
        <v>0.8</v>
      </c>
      <c r="J29" s="948">
        <v>189.0</v>
      </c>
      <c r="K29" s="949">
        <v>-0.0023610989321071196</v>
      </c>
      <c r="L29" s="950" t="str">
        <f t="shared" si="1"/>
        <v>yes</v>
      </c>
      <c r="M29" s="736"/>
      <c r="N29" s="736"/>
      <c r="O29" s="736"/>
    </row>
    <row r="30">
      <c r="A30" s="951" t="s">
        <v>1885</v>
      </c>
      <c r="B30" s="952" t="s">
        <v>60</v>
      </c>
      <c r="C30" s="953">
        <v>43022.0</v>
      </c>
      <c r="D30" s="954" t="s">
        <v>305</v>
      </c>
      <c r="E30" s="948" t="s">
        <v>63</v>
      </c>
      <c r="F30" s="954" t="s">
        <v>80</v>
      </c>
      <c r="G30" s="954" t="s">
        <v>65</v>
      </c>
      <c r="H30" s="954" t="s">
        <v>66</v>
      </c>
      <c r="I30" s="955">
        <v>0.9</v>
      </c>
      <c r="J30" s="948">
        <v>191.0</v>
      </c>
      <c r="K30" s="949">
        <v>0.0015120496159785057</v>
      </c>
      <c r="L30" s="950" t="str">
        <f t="shared" si="1"/>
        <v/>
      </c>
      <c r="M30" s="736"/>
      <c r="N30" s="736"/>
      <c r="O30" s="736"/>
    </row>
    <row r="31">
      <c r="A31" s="951" t="s">
        <v>1880</v>
      </c>
      <c r="B31" s="952" t="s">
        <v>60</v>
      </c>
      <c r="C31" s="953">
        <v>43021.0</v>
      </c>
      <c r="D31" s="954" t="s">
        <v>316</v>
      </c>
      <c r="E31" s="948" t="s">
        <v>63</v>
      </c>
      <c r="F31" s="954" t="s">
        <v>65</v>
      </c>
      <c r="G31" s="954" t="s">
        <v>69</v>
      </c>
      <c r="H31" s="954" t="s">
        <v>69</v>
      </c>
      <c r="I31" s="955">
        <v>0.8</v>
      </c>
      <c r="J31" s="948">
        <v>220.0</v>
      </c>
      <c r="K31" s="949">
        <v>0.051232246113147806</v>
      </c>
      <c r="L31" s="950" t="str">
        <f t="shared" si="1"/>
        <v>yes</v>
      </c>
      <c r="M31" s="736"/>
      <c r="N31" s="736"/>
      <c r="O31" s="736"/>
    </row>
    <row r="32">
      <c r="A32" s="951" t="s">
        <v>1762</v>
      </c>
      <c r="B32" s="952" t="s">
        <v>60</v>
      </c>
      <c r="C32" s="953">
        <v>43021.0</v>
      </c>
      <c r="D32" s="954" t="s">
        <v>59</v>
      </c>
      <c r="E32" s="948" t="s">
        <v>63</v>
      </c>
      <c r="F32" s="954" t="s">
        <v>65</v>
      </c>
      <c r="G32" s="954" t="s">
        <v>64</v>
      </c>
      <c r="H32" s="954" t="s">
        <v>68</v>
      </c>
      <c r="I32" s="955">
        <v>0.7</v>
      </c>
      <c r="J32" s="948">
        <v>218.0</v>
      </c>
      <c r="K32" s="949">
        <v>0.014474473553083622</v>
      </c>
      <c r="L32" s="950" t="str">
        <f t="shared" si="1"/>
        <v>yes</v>
      </c>
      <c r="M32" s="736"/>
      <c r="N32" s="736"/>
      <c r="O32" s="736"/>
    </row>
    <row r="33">
      <c r="A33" s="951" t="s">
        <v>1845</v>
      </c>
      <c r="B33" s="952" t="s">
        <v>60</v>
      </c>
      <c r="C33" s="953">
        <v>43018.0</v>
      </c>
      <c r="D33" s="954" t="s">
        <v>921</v>
      </c>
      <c r="E33" s="948" t="s">
        <v>63</v>
      </c>
      <c r="F33" s="954" t="s">
        <v>65</v>
      </c>
      <c r="G33" s="954" t="s">
        <v>64</v>
      </c>
      <c r="H33" s="954" t="s">
        <v>64</v>
      </c>
      <c r="I33" s="955">
        <v>0.9</v>
      </c>
      <c r="J33" s="948">
        <v>267.0</v>
      </c>
      <c r="K33" s="949">
        <v>0.008975200495612401</v>
      </c>
      <c r="L33" s="950" t="str">
        <f t="shared" si="1"/>
        <v/>
      </c>
      <c r="M33" s="736"/>
      <c r="N33" s="736"/>
      <c r="O33" s="736"/>
    </row>
    <row r="34">
      <c r="A34" s="951" t="s">
        <v>829</v>
      </c>
      <c r="B34" s="952" t="s">
        <v>56</v>
      </c>
      <c r="C34" s="953">
        <v>43018.0</v>
      </c>
      <c r="D34" s="954" t="s">
        <v>629</v>
      </c>
      <c r="E34" s="948" t="s">
        <v>63</v>
      </c>
      <c r="F34" s="954" t="s">
        <v>65</v>
      </c>
      <c r="G34" s="954" t="s">
        <v>69</v>
      </c>
      <c r="H34" s="954" t="s">
        <v>69</v>
      </c>
      <c r="I34" s="955">
        <v>0.8</v>
      </c>
      <c r="J34" s="948">
        <v>165.0</v>
      </c>
      <c r="K34" s="949">
        <v>-0.008945362639867005</v>
      </c>
      <c r="L34" s="950" t="str">
        <f t="shared" si="1"/>
        <v>yes</v>
      </c>
      <c r="M34" s="736"/>
      <c r="N34" s="736"/>
      <c r="O34" s="736"/>
    </row>
    <row r="35">
      <c r="A35" s="951" t="s">
        <v>519</v>
      </c>
      <c r="B35" s="952" t="s">
        <v>56</v>
      </c>
      <c r="C35" s="953">
        <v>43018.0</v>
      </c>
      <c r="D35" s="954" t="s">
        <v>305</v>
      </c>
      <c r="E35" s="948" t="s">
        <v>63</v>
      </c>
      <c r="F35" s="954" t="s">
        <v>65</v>
      </c>
      <c r="G35" s="954" t="s">
        <v>69</v>
      </c>
      <c r="H35" s="954" t="s">
        <v>68</v>
      </c>
      <c r="I35" s="955">
        <v>0.8</v>
      </c>
      <c r="J35" s="948">
        <v>173.0</v>
      </c>
      <c r="K35" s="949">
        <v>0.010864029697888133</v>
      </c>
      <c r="L35" s="950" t="str">
        <f t="shared" si="1"/>
        <v>yes</v>
      </c>
      <c r="M35" s="736"/>
      <c r="N35" s="736"/>
      <c r="O35" s="736"/>
    </row>
    <row r="36">
      <c r="A36" s="951" t="s">
        <v>845</v>
      </c>
      <c r="B36" s="952" t="s">
        <v>56</v>
      </c>
      <c r="C36" s="953">
        <v>43016.0</v>
      </c>
      <c r="D36" s="954" t="s">
        <v>305</v>
      </c>
      <c r="E36" s="948" t="s">
        <v>63</v>
      </c>
      <c r="F36" s="954" t="s">
        <v>80</v>
      </c>
      <c r="G36" s="954" t="s">
        <v>65</v>
      </c>
      <c r="H36" s="954" t="s">
        <v>64</v>
      </c>
      <c r="I36" s="955">
        <v>0.9</v>
      </c>
      <c r="J36" s="948">
        <v>228.0</v>
      </c>
      <c r="K36" s="949">
        <v>-0.02787636725725018</v>
      </c>
      <c r="L36" s="950" t="str">
        <f t="shared" si="1"/>
        <v>yes</v>
      </c>
      <c r="M36" s="736"/>
      <c r="N36" s="736"/>
      <c r="O36" s="736"/>
    </row>
    <row r="37">
      <c r="A37" s="951" t="s">
        <v>1885</v>
      </c>
      <c r="B37" s="952" t="s">
        <v>60</v>
      </c>
      <c r="C37" s="953">
        <v>43015.0</v>
      </c>
      <c r="D37" s="954" t="s">
        <v>305</v>
      </c>
      <c r="E37" s="948" t="s">
        <v>63</v>
      </c>
      <c r="F37" s="954" t="s">
        <v>80</v>
      </c>
      <c r="G37" s="954" t="s">
        <v>69</v>
      </c>
      <c r="H37" s="954" t="s">
        <v>66</v>
      </c>
      <c r="I37" s="955">
        <v>0.9</v>
      </c>
      <c r="J37" s="948">
        <v>197.0</v>
      </c>
      <c r="K37" s="949">
        <v>0.004913248399662451</v>
      </c>
      <c r="L37" s="950" t="str">
        <f t="shared" si="1"/>
        <v/>
      </c>
      <c r="M37" s="736"/>
      <c r="N37" s="736"/>
      <c r="O37" s="736"/>
    </row>
    <row r="38">
      <c r="A38" s="951" t="s">
        <v>1759</v>
      </c>
      <c r="B38" s="952" t="s">
        <v>60</v>
      </c>
      <c r="C38" s="953">
        <v>43015.0</v>
      </c>
      <c r="D38" s="954" t="s">
        <v>305</v>
      </c>
      <c r="E38" s="948" t="s">
        <v>63</v>
      </c>
      <c r="F38" s="954" t="s">
        <v>65</v>
      </c>
      <c r="G38" s="954" t="s">
        <v>66</v>
      </c>
      <c r="H38" s="954" t="s">
        <v>66</v>
      </c>
      <c r="I38" s="955">
        <v>0.8</v>
      </c>
      <c r="J38" s="948">
        <v>214.0</v>
      </c>
      <c r="K38" s="949">
        <v>0.02151817345724316</v>
      </c>
      <c r="L38" s="950" t="str">
        <f t="shared" si="1"/>
        <v>yes</v>
      </c>
      <c r="M38" s="736"/>
      <c r="N38" s="736"/>
      <c r="O38" s="736"/>
    </row>
    <row r="39">
      <c r="A39" s="951" t="s">
        <v>1755</v>
      </c>
      <c r="B39" s="952" t="s">
        <v>60</v>
      </c>
      <c r="C39" s="953">
        <v>43014.0</v>
      </c>
      <c r="D39" s="954" t="s">
        <v>939</v>
      </c>
      <c r="E39" s="948" t="s">
        <v>63</v>
      </c>
      <c r="F39" s="954" t="s">
        <v>64</v>
      </c>
      <c r="G39" s="954" t="s">
        <v>64</v>
      </c>
      <c r="H39" s="954" t="s">
        <v>69</v>
      </c>
      <c r="I39" s="955">
        <v>0.8</v>
      </c>
      <c r="J39" s="948">
        <v>268.0</v>
      </c>
      <c r="K39" s="949">
        <v>0.028720008456057267</v>
      </c>
      <c r="L39" s="950" t="str">
        <f t="shared" si="1"/>
        <v>yes</v>
      </c>
      <c r="M39" s="736"/>
      <c r="N39" s="736"/>
      <c r="O39" s="736"/>
    </row>
    <row r="40">
      <c r="A40" s="951" t="s">
        <v>1637</v>
      </c>
      <c r="B40" s="952" t="s">
        <v>60</v>
      </c>
      <c r="C40" s="953">
        <v>43014.0</v>
      </c>
      <c r="D40" s="954" t="s">
        <v>118</v>
      </c>
      <c r="E40" s="948" t="s">
        <v>63</v>
      </c>
      <c r="F40" s="954" t="s">
        <v>80</v>
      </c>
      <c r="G40" s="954" t="s">
        <v>69</v>
      </c>
      <c r="H40" s="954" t="s">
        <v>69</v>
      </c>
      <c r="I40" s="955">
        <v>0.8</v>
      </c>
      <c r="J40" s="948">
        <v>204.0</v>
      </c>
      <c r="K40" s="949">
        <v>0.019822983919886017</v>
      </c>
      <c r="L40" s="950" t="str">
        <f t="shared" si="1"/>
        <v>yes</v>
      </c>
      <c r="M40" s="736"/>
      <c r="N40" s="736"/>
      <c r="O40" s="736"/>
    </row>
    <row r="41">
      <c r="A41" s="951" t="s">
        <v>1810</v>
      </c>
      <c r="B41" s="952" t="s">
        <v>60</v>
      </c>
      <c r="C41" s="953">
        <v>43013.0</v>
      </c>
      <c r="D41" s="954" t="s">
        <v>86</v>
      </c>
      <c r="E41" s="948" t="s">
        <v>63</v>
      </c>
      <c r="F41" s="954" t="s">
        <v>67</v>
      </c>
      <c r="G41" s="954" t="s">
        <v>68</v>
      </c>
      <c r="H41" s="954" t="s">
        <v>68</v>
      </c>
      <c r="I41" s="955">
        <v>0.7</v>
      </c>
      <c r="J41" s="948">
        <v>206.2</v>
      </c>
      <c r="K41" s="949">
        <v>0.05025705068053965</v>
      </c>
      <c r="L41" s="950" t="str">
        <f t="shared" si="1"/>
        <v>yes</v>
      </c>
      <c r="M41" s="736"/>
      <c r="N41" s="736"/>
      <c r="O41" s="736"/>
    </row>
    <row r="42">
      <c r="A42" s="951" t="s">
        <v>231</v>
      </c>
      <c r="B42" s="952" t="s">
        <v>60</v>
      </c>
      <c r="C42" s="953">
        <v>43013.0</v>
      </c>
      <c r="D42" s="954" t="s">
        <v>939</v>
      </c>
      <c r="E42" s="948" t="s">
        <v>63</v>
      </c>
      <c r="F42" s="954" t="s">
        <v>127</v>
      </c>
      <c r="G42" s="954" t="s">
        <v>66</v>
      </c>
      <c r="H42" s="954" t="s">
        <v>68</v>
      </c>
      <c r="I42" s="955">
        <v>0.9</v>
      </c>
      <c r="J42" s="948">
        <v>247.0</v>
      </c>
      <c r="K42" s="949">
        <v>0.0038922527685020247</v>
      </c>
      <c r="L42" s="950" t="str">
        <f t="shared" si="1"/>
        <v>yes</v>
      </c>
      <c r="M42" s="736"/>
      <c r="N42" s="736"/>
      <c r="O42" s="736"/>
    </row>
    <row r="43">
      <c r="A43" s="951" t="s">
        <v>1647</v>
      </c>
      <c r="B43" s="952" t="s">
        <v>60</v>
      </c>
      <c r="C43" s="953">
        <v>43013.0</v>
      </c>
      <c r="D43" s="954" t="s">
        <v>79</v>
      </c>
      <c r="E43" s="948" t="s">
        <v>63</v>
      </c>
      <c r="F43" s="954" t="s">
        <v>80</v>
      </c>
      <c r="G43" s="954" t="s">
        <v>64</v>
      </c>
      <c r="H43" s="954" t="s">
        <v>69</v>
      </c>
      <c r="I43" s="955">
        <v>0.9</v>
      </c>
      <c r="J43" s="948">
        <v>223.0</v>
      </c>
      <c r="K43" s="949">
        <v>-0.009033818398448967</v>
      </c>
      <c r="L43" s="950" t="str">
        <f t="shared" si="1"/>
        <v>yes</v>
      </c>
      <c r="M43" s="736"/>
      <c r="N43" s="736"/>
      <c r="O43" s="736"/>
    </row>
    <row r="44">
      <c r="A44" s="951" t="s">
        <v>705</v>
      </c>
      <c r="B44" s="952" t="s">
        <v>638</v>
      </c>
      <c r="C44" s="953">
        <v>43012.0</v>
      </c>
      <c r="D44" s="954" t="s">
        <v>59</v>
      </c>
      <c r="E44" s="948" t="s">
        <v>63</v>
      </c>
      <c r="F44" s="954" t="s">
        <v>64</v>
      </c>
      <c r="G44" s="954" t="s">
        <v>64</v>
      </c>
      <c r="H44" s="954" t="s">
        <v>66</v>
      </c>
      <c r="I44" s="955">
        <v>0.8</v>
      </c>
      <c r="J44" s="948">
        <v>221.0</v>
      </c>
      <c r="K44" s="949">
        <v>0.02584816563240777</v>
      </c>
      <c r="L44" s="950" t="str">
        <f t="shared" si="1"/>
        <v>yes</v>
      </c>
      <c r="M44" s="736"/>
      <c r="N44" s="736"/>
      <c r="O44" s="736"/>
    </row>
    <row r="45">
      <c r="A45" s="951" t="s">
        <v>761</v>
      </c>
      <c r="B45" s="952" t="s">
        <v>60</v>
      </c>
      <c r="C45" s="953">
        <v>43008.0</v>
      </c>
      <c r="D45" s="954" t="s">
        <v>90</v>
      </c>
      <c r="E45" s="948" t="s">
        <v>63</v>
      </c>
      <c r="F45" s="954" t="s">
        <v>65</v>
      </c>
      <c r="G45" s="954" t="s">
        <v>64</v>
      </c>
      <c r="H45" s="954" t="s">
        <v>66</v>
      </c>
      <c r="I45" s="955">
        <v>0.7</v>
      </c>
      <c r="J45" s="948">
        <v>232.0</v>
      </c>
      <c r="K45" s="949">
        <v>-5.596002059433669E-4</v>
      </c>
      <c r="L45" s="950" t="str">
        <f t="shared" si="1"/>
        <v>yes</v>
      </c>
      <c r="M45" s="736"/>
      <c r="N45" s="736"/>
      <c r="O45" s="736"/>
    </row>
    <row r="46">
      <c r="A46" s="951" t="s">
        <v>772</v>
      </c>
      <c r="B46" s="952" t="s">
        <v>56</v>
      </c>
      <c r="C46" s="953">
        <v>43007.0</v>
      </c>
      <c r="D46" s="954" t="s">
        <v>675</v>
      </c>
      <c r="E46" s="948" t="s">
        <v>63</v>
      </c>
      <c r="F46" s="954" t="s">
        <v>80</v>
      </c>
      <c r="G46" s="954" t="s">
        <v>64</v>
      </c>
      <c r="H46" s="954" t="s">
        <v>64</v>
      </c>
      <c r="I46" s="955">
        <v>0.9</v>
      </c>
      <c r="J46" s="948">
        <v>227.0</v>
      </c>
      <c r="K46" s="949">
        <v>-0.03522502197294097</v>
      </c>
      <c r="L46" s="950" t="str">
        <f t="shared" si="1"/>
        <v>yes</v>
      </c>
      <c r="M46" s="736"/>
      <c r="N46" s="736"/>
      <c r="O46" s="736"/>
    </row>
    <row r="47">
      <c r="A47" s="951" t="s">
        <v>1673</v>
      </c>
      <c r="B47" s="952" t="s">
        <v>60</v>
      </c>
      <c r="C47" s="953">
        <v>43006.0</v>
      </c>
      <c r="D47" s="954" t="s">
        <v>629</v>
      </c>
      <c r="E47" s="948" t="s">
        <v>63</v>
      </c>
      <c r="F47" s="954" t="s">
        <v>69</v>
      </c>
      <c r="G47" s="954" t="s">
        <v>69</v>
      </c>
      <c r="H47" s="954" t="s">
        <v>66</v>
      </c>
      <c r="I47" s="955">
        <v>0.9</v>
      </c>
      <c r="J47" s="948"/>
      <c r="K47" s="949">
        <v>0.016599461703487806</v>
      </c>
      <c r="L47" s="950" t="str">
        <f t="shared" si="1"/>
        <v>yes</v>
      </c>
      <c r="M47" s="736"/>
      <c r="N47" s="736"/>
      <c r="O47" s="736"/>
    </row>
    <row r="48">
      <c r="A48" s="951" t="s">
        <v>1716</v>
      </c>
      <c r="B48" s="952" t="s">
        <v>60</v>
      </c>
      <c r="C48" s="953">
        <v>43005.0</v>
      </c>
      <c r="D48" s="954" t="s">
        <v>59</v>
      </c>
      <c r="E48" s="948" t="s">
        <v>63</v>
      </c>
      <c r="F48" s="954" t="s">
        <v>65</v>
      </c>
      <c r="G48" s="954" t="s">
        <v>65</v>
      </c>
      <c r="H48" s="954" t="s">
        <v>68</v>
      </c>
      <c r="I48" s="955">
        <v>0.7</v>
      </c>
      <c r="J48" s="948">
        <v>223.0</v>
      </c>
      <c r="K48" s="949">
        <v>0.018401695455415812</v>
      </c>
      <c r="L48" s="950" t="str">
        <f t="shared" si="1"/>
        <v>yes</v>
      </c>
      <c r="M48" s="736"/>
      <c r="N48" s="736"/>
      <c r="O48" s="736"/>
    </row>
    <row r="49">
      <c r="A49" s="951" t="s">
        <v>1727</v>
      </c>
      <c r="B49" s="952" t="s">
        <v>60</v>
      </c>
      <c r="C49" s="953">
        <v>43004.0</v>
      </c>
      <c r="D49" s="954" t="s">
        <v>305</v>
      </c>
      <c r="E49" s="948" t="s">
        <v>63</v>
      </c>
      <c r="F49" s="954" t="s">
        <v>65</v>
      </c>
      <c r="G49" s="954" t="s">
        <v>64</v>
      </c>
      <c r="H49" s="954" t="s">
        <v>69</v>
      </c>
      <c r="I49" s="955">
        <v>0.8</v>
      </c>
      <c r="J49" s="948">
        <v>204.0</v>
      </c>
      <c r="K49" s="949">
        <v>-0.016456660029206094</v>
      </c>
      <c r="L49" s="950" t="str">
        <f t="shared" si="1"/>
        <v>yes</v>
      </c>
      <c r="M49" s="736"/>
      <c r="N49" s="736"/>
      <c r="O49" s="736"/>
    </row>
    <row r="50">
      <c r="A50" s="951" t="s">
        <v>1755</v>
      </c>
      <c r="B50" s="952" t="s">
        <v>60</v>
      </c>
      <c r="C50" s="953">
        <v>43003.0</v>
      </c>
      <c r="D50" s="954" t="s">
        <v>939</v>
      </c>
      <c r="E50" s="948" t="s">
        <v>63</v>
      </c>
      <c r="F50" s="954" t="s">
        <v>64</v>
      </c>
      <c r="G50" s="954" t="s">
        <v>64</v>
      </c>
      <c r="H50" s="954" t="s">
        <v>69</v>
      </c>
      <c r="I50" s="955">
        <v>0.8</v>
      </c>
      <c r="J50" s="948">
        <v>267.0</v>
      </c>
      <c r="K50" s="949">
        <v>0.01395157573750605</v>
      </c>
      <c r="L50" s="950" t="str">
        <f t="shared" si="1"/>
        <v/>
      </c>
      <c r="M50" s="736"/>
      <c r="N50" s="736"/>
      <c r="O50" s="736"/>
    </row>
    <row r="51">
      <c r="A51" s="951" t="s">
        <v>1848</v>
      </c>
      <c r="B51" s="952" t="s">
        <v>60</v>
      </c>
      <c r="C51" s="953">
        <v>43002.0</v>
      </c>
      <c r="D51" s="954" t="s">
        <v>305</v>
      </c>
      <c r="E51" s="948" t="s">
        <v>63</v>
      </c>
      <c r="F51" s="954" t="s">
        <v>80</v>
      </c>
      <c r="G51" s="954" t="s">
        <v>65</v>
      </c>
      <c r="H51" s="954" t="s">
        <v>64</v>
      </c>
      <c r="I51" s="955">
        <v>0.8</v>
      </c>
      <c r="J51" s="948">
        <v>204.0</v>
      </c>
      <c r="K51" s="949">
        <v>0.018960711718281065</v>
      </c>
      <c r="L51" s="950" t="str">
        <f t="shared" si="1"/>
        <v>yes</v>
      </c>
      <c r="M51" s="736"/>
      <c r="N51" s="736"/>
      <c r="O51" s="736"/>
    </row>
    <row r="52">
      <c r="A52" s="951" t="s">
        <v>1615</v>
      </c>
      <c r="B52" s="952" t="s">
        <v>60</v>
      </c>
      <c r="C52" s="953">
        <v>43002.0</v>
      </c>
      <c r="D52" s="954" t="s">
        <v>629</v>
      </c>
      <c r="E52" s="948" t="s">
        <v>63</v>
      </c>
      <c r="F52" s="954"/>
      <c r="G52" s="954"/>
      <c r="H52" s="954"/>
      <c r="I52" s="955"/>
      <c r="J52" s="948">
        <v>185.0</v>
      </c>
      <c r="K52" s="949">
        <v>-0.0015116349443161647</v>
      </c>
      <c r="L52" s="950" t="str">
        <f t="shared" si="1"/>
        <v>yes</v>
      </c>
      <c r="M52" s="736"/>
      <c r="N52" s="736"/>
      <c r="O52" s="736"/>
    </row>
    <row r="53">
      <c r="A53" s="951" t="s">
        <v>1726</v>
      </c>
      <c r="B53" s="952" t="s">
        <v>60</v>
      </c>
      <c r="C53" s="953">
        <v>43000.0</v>
      </c>
      <c r="D53" s="954" t="s">
        <v>305</v>
      </c>
      <c r="E53" s="948" t="s">
        <v>63</v>
      </c>
      <c r="F53" s="954" t="s">
        <v>64</v>
      </c>
      <c r="G53" s="954" t="s">
        <v>64</v>
      </c>
      <c r="H53" s="954" t="s">
        <v>69</v>
      </c>
      <c r="I53" s="955">
        <v>0.8</v>
      </c>
      <c r="J53" s="948">
        <v>233.0</v>
      </c>
      <c r="K53" s="949">
        <v>-0.006866764916568235</v>
      </c>
      <c r="L53" s="950" t="str">
        <f t="shared" si="1"/>
        <v>yes</v>
      </c>
      <c r="M53" s="736"/>
      <c r="N53" s="736"/>
      <c r="O53" s="736"/>
    </row>
    <row r="54">
      <c r="A54" s="951" t="s">
        <v>361</v>
      </c>
      <c r="B54" s="952" t="s">
        <v>60</v>
      </c>
      <c r="C54" s="953">
        <v>42998.0</v>
      </c>
      <c r="D54" s="954" t="s">
        <v>59</v>
      </c>
      <c r="E54" s="948" t="s">
        <v>63</v>
      </c>
      <c r="F54" s="954" t="s">
        <v>69</v>
      </c>
      <c r="G54" s="954" t="s">
        <v>66</v>
      </c>
      <c r="H54" s="954" t="s">
        <v>66</v>
      </c>
      <c r="I54" s="955">
        <v>0.8</v>
      </c>
      <c r="J54" s="948">
        <v>222.0</v>
      </c>
      <c r="K54" s="949">
        <v>0.017802733951248206</v>
      </c>
      <c r="L54" s="950" t="str">
        <f t="shared" si="1"/>
        <v>yes</v>
      </c>
      <c r="M54" s="736"/>
      <c r="N54" s="736"/>
      <c r="O54" s="736"/>
    </row>
    <row r="55">
      <c r="A55" s="951" t="s">
        <v>328</v>
      </c>
      <c r="B55" s="952" t="s">
        <v>60</v>
      </c>
      <c r="C55" s="953">
        <v>42997.0</v>
      </c>
      <c r="D55" s="954" t="s">
        <v>59</v>
      </c>
      <c r="E55" s="948" t="s">
        <v>63</v>
      </c>
      <c r="F55" s="954" t="s">
        <v>64</v>
      </c>
      <c r="G55" s="954" t="s">
        <v>64</v>
      </c>
      <c r="H55" s="954" t="s">
        <v>66</v>
      </c>
      <c r="I55" s="955">
        <v>0.8</v>
      </c>
      <c r="J55" s="948">
        <v>209.0</v>
      </c>
      <c r="K55" s="949">
        <v>-0.015440000600368431</v>
      </c>
      <c r="L55" s="950" t="str">
        <f t="shared" si="1"/>
        <v>yes</v>
      </c>
      <c r="M55" s="736"/>
      <c r="N55" s="736"/>
      <c r="O55" s="736"/>
    </row>
    <row r="56">
      <c r="A56" s="951" t="s">
        <v>623</v>
      </c>
      <c r="B56" s="952" t="s">
        <v>60</v>
      </c>
      <c r="C56" s="953">
        <v>42997.0</v>
      </c>
      <c r="D56" s="954" t="s">
        <v>59</v>
      </c>
      <c r="E56" s="948" t="s">
        <v>63</v>
      </c>
      <c r="F56" s="954" t="s">
        <v>67</v>
      </c>
      <c r="G56" s="954" t="s">
        <v>69</v>
      </c>
      <c r="H56" s="954" t="s">
        <v>66</v>
      </c>
      <c r="I56" s="955">
        <v>0.9</v>
      </c>
      <c r="J56" s="948">
        <v>182.0</v>
      </c>
      <c r="K56" s="949">
        <v>0.007770530753647642</v>
      </c>
      <c r="L56" s="950" t="str">
        <f t="shared" si="1"/>
        <v/>
      </c>
      <c r="M56" s="736"/>
      <c r="N56" s="736"/>
      <c r="O56" s="736"/>
    </row>
    <row r="57">
      <c r="A57" s="951" t="s">
        <v>304</v>
      </c>
      <c r="B57" s="952" t="s">
        <v>55</v>
      </c>
      <c r="C57" s="953">
        <v>42994.0</v>
      </c>
      <c r="D57" s="954" t="s">
        <v>305</v>
      </c>
      <c r="E57" s="948" t="s">
        <v>63</v>
      </c>
      <c r="F57" s="954" t="s">
        <v>65</v>
      </c>
      <c r="G57" s="954" t="s">
        <v>64</v>
      </c>
      <c r="H57" s="954" t="s">
        <v>68</v>
      </c>
      <c r="I57" s="955">
        <v>0.6</v>
      </c>
      <c r="J57" s="948">
        <v>195.0</v>
      </c>
      <c r="K57" s="949">
        <v>0.01138095227199254</v>
      </c>
      <c r="L57" s="950" t="str">
        <f t="shared" si="1"/>
        <v/>
      </c>
      <c r="M57" s="736"/>
      <c r="N57" s="736"/>
      <c r="O57" s="736"/>
    </row>
    <row r="58">
      <c r="A58" s="951" t="s">
        <v>1866</v>
      </c>
      <c r="B58" s="952" t="s">
        <v>60</v>
      </c>
      <c r="C58" s="953">
        <v>42993.0</v>
      </c>
      <c r="D58" s="954" t="s">
        <v>305</v>
      </c>
      <c r="E58" s="948" t="s">
        <v>63</v>
      </c>
      <c r="F58" s="954" t="s">
        <v>64</v>
      </c>
      <c r="G58" s="954" t="s">
        <v>66</v>
      </c>
      <c r="H58" s="954" t="s">
        <v>68</v>
      </c>
      <c r="I58" s="955">
        <v>0.9</v>
      </c>
      <c r="J58" s="948">
        <v>193.0</v>
      </c>
      <c r="K58" s="949">
        <v>0.019936143313937338</v>
      </c>
      <c r="L58" s="950" t="str">
        <f t="shared" si="1"/>
        <v>yes</v>
      </c>
      <c r="M58" s="736"/>
      <c r="N58" s="736"/>
      <c r="O58" s="736"/>
    </row>
    <row r="59">
      <c r="A59" s="951" t="s">
        <v>161</v>
      </c>
      <c r="B59" s="952" t="s">
        <v>56</v>
      </c>
      <c r="C59" s="953">
        <v>42992.0</v>
      </c>
      <c r="D59" s="954" t="s">
        <v>59</v>
      </c>
      <c r="E59" s="948" t="s">
        <v>63</v>
      </c>
      <c r="F59" s="954" t="s">
        <v>69</v>
      </c>
      <c r="G59" s="954" t="s">
        <v>69</v>
      </c>
      <c r="H59" s="954" t="s">
        <v>69</v>
      </c>
      <c r="I59" s="955">
        <v>0.9</v>
      </c>
      <c r="J59" s="948">
        <v>185.0</v>
      </c>
      <c r="K59" s="949">
        <v>-0.005207943530638359</v>
      </c>
      <c r="L59" s="950" t="str">
        <f t="shared" si="1"/>
        <v/>
      </c>
      <c r="M59" s="736"/>
      <c r="N59" s="736"/>
      <c r="O59" s="736"/>
    </row>
    <row r="60">
      <c r="A60" s="951" t="s">
        <v>1884</v>
      </c>
      <c r="B60" s="952" t="s">
        <v>60</v>
      </c>
      <c r="C60" s="953">
        <v>42990.0</v>
      </c>
      <c r="D60" s="954" t="s">
        <v>629</v>
      </c>
      <c r="E60" s="948" t="s">
        <v>63</v>
      </c>
      <c r="F60" s="954" t="s">
        <v>64</v>
      </c>
      <c r="G60" s="954" t="s">
        <v>64</v>
      </c>
      <c r="H60" s="954" t="s">
        <v>68</v>
      </c>
      <c r="I60" s="955">
        <v>0.8</v>
      </c>
      <c r="J60" s="948">
        <v>190.0</v>
      </c>
      <c r="K60" s="949">
        <v>-0.004327609601479709</v>
      </c>
      <c r="L60" s="950" t="str">
        <f t="shared" si="1"/>
        <v/>
      </c>
      <c r="M60" s="736"/>
      <c r="N60" s="736"/>
      <c r="O60" s="736"/>
    </row>
    <row r="61">
      <c r="A61" s="951" t="s">
        <v>1630</v>
      </c>
      <c r="B61" s="952" t="s">
        <v>60</v>
      </c>
      <c r="C61" s="953">
        <v>42989.0</v>
      </c>
      <c r="D61" s="954" t="s">
        <v>939</v>
      </c>
      <c r="E61" s="948" t="s">
        <v>63</v>
      </c>
      <c r="F61" s="954" t="s">
        <v>64</v>
      </c>
      <c r="G61" s="954"/>
      <c r="H61" s="954"/>
      <c r="I61" s="955"/>
      <c r="J61" s="948">
        <v>215.0</v>
      </c>
      <c r="K61" s="949">
        <v>0.005930579124274971</v>
      </c>
      <c r="L61" s="950" t="str">
        <f t="shared" si="1"/>
        <v>yes</v>
      </c>
      <c r="M61" s="736"/>
      <c r="N61" s="736"/>
      <c r="O61" s="736"/>
    </row>
    <row r="62">
      <c r="A62" s="951" t="s">
        <v>1844</v>
      </c>
      <c r="B62" s="952" t="s">
        <v>60</v>
      </c>
      <c r="C62" s="953">
        <v>42988.0</v>
      </c>
      <c r="D62" s="954" t="s">
        <v>305</v>
      </c>
      <c r="E62" s="948" t="s">
        <v>63</v>
      </c>
      <c r="F62" s="954" t="s">
        <v>67</v>
      </c>
      <c r="G62" s="954" t="s">
        <v>69</v>
      </c>
      <c r="H62" s="954" t="s">
        <v>69</v>
      </c>
      <c r="I62" s="955">
        <v>0.8</v>
      </c>
      <c r="J62" s="948">
        <v>214.0</v>
      </c>
      <c r="K62" s="949">
        <v>0.01232516263116279</v>
      </c>
      <c r="L62" s="950" t="str">
        <f t="shared" si="1"/>
        <v>yes</v>
      </c>
      <c r="M62" s="736"/>
      <c r="N62" s="736"/>
      <c r="O62" s="736"/>
    </row>
    <row r="63">
      <c r="A63" s="951" t="s">
        <v>819</v>
      </c>
      <c r="B63" s="952" t="s">
        <v>56</v>
      </c>
      <c r="C63" s="953">
        <v>42988.0</v>
      </c>
      <c r="D63" s="954" t="s">
        <v>79</v>
      </c>
      <c r="E63" s="948" t="s">
        <v>63</v>
      </c>
      <c r="F63" s="954" t="s">
        <v>65</v>
      </c>
      <c r="G63" s="954" t="s">
        <v>64</v>
      </c>
      <c r="H63" s="954" t="s">
        <v>68</v>
      </c>
      <c r="I63" s="955">
        <v>0.9</v>
      </c>
      <c r="J63" s="948">
        <v>250.0</v>
      </c>
      <c r="K63" s="949">
        <v>-0.017095219157191588</v>
      </c>
      <c r="L63" s="950" t="str">
        <f t="shared" si="1"/>
        <v>yes</v>
      </c>
      <c r="M63" s="736"/>
      <c r="N63" s="736"/>
      <c r="O63" s="736"/>
    </row>
    <row r="64">
      <c r="A64" s="951" t="s">
        <v>1615</v>
      </c>
      <c r="B64" s="952" t="s">
        <v>60</v>
      </c>
      <c r="C64" s="953">
        <v>42987.0</v>
      </c>
      <c r="D64" s="954" t="s">
        <v>629</v>
      </c>
      <c r="E64" s="948" t="s">
        <v>63</v>
      </c>
      <c r="F64" s="954"/>
      <c r="G64" s="954"/>
      <c r="H64" s="954"/>
      <c r="I64" s="955"/>
      <c r="J64" s="948">
        <v>186.0</v>
      </c>
      <c r="K64" s="949">
        <v>1.0907283717964678E-4</v>
      </c>
      <c r="L64" s="950" t="str">
        <f t="shared" si="1"/>
        <v/>
      </c>
      <c r="M64" s="736"/>
      <c r="N64" s="736"/>
      <c r="O64" s="736"/>
    </row>
    <row r="65">
      <c r="A65" s="951" t="s">
        <v>1795</v>
      </c>
      <c r="B65" s="952" t="s">
        <v>60</v>
      </c>
      <c r="C65" s="958">
        <v>42987.0</v>
      </c>
      <c r="D65" s="954" t="s">
        <v>59</v>
      </c>
      <c r="E65" s="948" t="s">
        <v>63</v>
      </c>
      <c r="F65" s="954" t="s">
        <v>67</v>
      </c>
      <c r="G65" s="954" t="s">
        <v>64</v>
      </c>
      <c r="H65" s="954" t="s">
        <v>69</v>
      </c>
      <c r="I65" s="955">
        <v>0.9</v>
      </c>
      <c r="J65" s="948">
        <v>214.0</v>
      </c>
      <c r="K65" s="949">
        <v>0.009714836274555716</v>
      </c>
      <c r="L65" s="950" t="str">
        <f t="shared" si="1"/>
        <v>yes</v>
      </c>
      <c r="M65" s="736"/>
      <c r="N65" s="736"/>
      <c r="O65" s="736"/>
    </row>
    <row r="66">
      <c r="A66" s="951" t="s">
        <v>1719</v>
      </c>
      <c r="B66" s="952" t="s">
        <v>60</v>
      </c>
      <c r="C66" s="953">
        <v>42986.0</v>
      </c>
      <c r="D66" s="954" t="s">
        <v>118</v>
      </c>
      <c r="E66" s="948" t="s">
        <v>63</v>
      </c>
      <c r="F66" s="954" t="s">
        <v>65</v>
      </c>
      <c r="G66" s="954" t="s">
        <v>64</v>
      </c>
      <c r="H66" s="954" t="s">
        <v>68</v>
      </c>
      <c r="I66" s="955">
        <v>0.8</v>
      </c>
      <c r="J66" s="948">
        <v>178.0</v>
      </c>
      <c r="K66" s="949">
        <v>0.015405559251113421</v>
      </c>
      <c r="L66" s="950" t="str">
        <f t="shared" si="1"/>
        <v/>
      </c>
      <c r="M66" s="736"/>
      <c r="N66" s="736"/>
      <c r="O66" s="736"/>
    </row>
    <row r="67">
      <c r="A67" s="951" t="s">
        <v>1454</v>
      </c>
      <c r="B67" s="952" t="s">
        <v>60</v>
      </c>
      <c r="C67" s="953">
        <v>42986.0</v>
      </c>
      <c r="D67" s="954" t="s">
        <v>118</v>
      </c>
      <c r="E67" s="948" t="s">
        <v>63</v>
      </c>
      <c r="F67" s="954" t="s">
        <v>64</v>
      </c>
      <c r="G67" s="954" t="s">
        <v>64</v>
      </c>
      <c r="H67" s="954" t="s">
        <v>66</v>
      </c>
      <c r="I67" s="955">
        <v>0.9</v>
      </c>
      <c r="J67" s="948">
        <v>189.0</v>
      </c>
      <c r="K67" s="949">
        <v>0.006681774460739698</v>
      </c>
      <c r="L67" s="950" t="str">
        <f t="shared" si="1"/>
        <v/>
      </c>
      <c r="M67" s="736"/>
      <c r="N67" s="736"/>
      <c r="O67" s="736"/>
    </row>
    <row r="68">
      <c r="A68" s="951" t="s">
        <v>587</v>
      </c>
      <c r="B68" s="952" t="s">
        <v>56</v>
      </c>
      <c r="C68" s="953">
        <v>42986.0</v>
      </c>
      <c r="D68" s="954" t="s">
        <v>59</v>
      </c>
      <c r="E68" s="948" t="s">
        <v>63</v>
      </c>
      <c r="F68" s="954" t="s">
        <v>64</v>
      </c>
      <c r="G68" s="954" t="s">
        <v>64</v>
      </c>
      <c r="H68" s="954" t="s">
        <v>68</v>
      </c>
      <c r="I68" s="955">
        <v>0.6</v>
      </c>
      <c r="J68" s="948">
        <v>196.0</v>
      </c>
      <c r="K68" s="949">
        <v>0.013009088216142994</v>
      </c>
      <c r="L68" s="950" t="str">
        <f t="shared" si="1"/>
        <v>yes</v>
      </c>
      <c r="M68" s="736"/>
      <c r="N68" s="736"/>
      <c r="O68" s="736"/>
    </row>
    <row r="69">
      <c r="A69" s="951" t="s">
        <v>1896</v>
      </c>
      <c r="B69" s="952" t="s">
        <v>60</v>
      </c>
      <c r="C69" s="953">
        <v>42984.0</v>
      </c>
      <c r="D69" s="954" t="s">
        <v>59</v>
      </c>
      <c r="E69" s="948" t="s">
        <v>63</v>
      </c>
      <c r="F69" s="954" t="s">
        <v>67</v>
      </c>
      <c r="G69" s="954" t="s">
        <v>66</v>
      </c>
      <c r="H69" s="954" t="s">
        <v>66</v>
      </c>
      <c r="I69" s="955">
        <v>0.6</v>
      </c>
      <c r="J69" s="948">
        <v>204.0</v>
      </c>
      <c r="K69" s="949">
        <v>0.03375641700383525</v>
      </c>
      <c r="L69" s="950" t="str">
        <f t="shared" si="1"/>
        <v>yes</v>
      </c>
      <c r="M69" s="736"/>
      <c r="N69" s="736"/>
      <c r="O69" s="736"/>
    </row>
    <row r="70">
      <c r="A70" s="951" t="s">
        <v>299</v>
      </c>
      <c r="B70" s="952" t="s">
        <v>55</v>
      </c>
      <c r="C70" s="953">
        <v>42984.0</v>
      </c>
      <c r="D70" s="954" t="s">
        <v>109</v>
      </c>
      <c r="E70" s="948" t="s">
        <v>63</v>
      </c>
      <c r="F70" s="954" t="s">
        <v>64</v>
      </c>
      <c r="G70" s="954" t="s">
        <v>64</v>
      </c>
      <c r="H70" s="954" t="s">
        <v>69</v>
      </c>
      <c r="I70" s="955">
        <v>0.9</v>
      </c>
      <c r="J70" s="948">
        <v>220.0</v>
      </c>
      <c r="K70" s="949">
        <v>-0.05353183302599829</v>
      </c>
      <c r="L70" s="950" t="str">
        <f t="shared" si="1"/>
        <v>yes</v>
      </c>
      <c r="M70" s="736"/>
      <c r="N70" s="736"/>
      <c r="O70" s="736"/>
    </row>
    <row r="71">
      <c r="A71" s="951" t="s">
        <v>1751</v>
      </c>
      <c r="B71" s="952" t="s">
        <v>60</v>
      </c>
      <c r="C71" s="953">
        <v>42983.0</v>
      </c>
      <c r="D71" s="954" t="s">
        <v>305</v>
      </c>
      <c r="E71" s="948" t="s">
        <v>63</v>
      </c>
      <c r="F71" s="954" t="s">
        <v>69</v>
      </c>
      <c r="G71" s="954" t="s">
        <v>64</v>
      </c>
      <c r="H71" s="954" t="s">
        <v>69</v>
      </c>
      <c r="I71" s="955">
        <v>0.8</v>
      </c>
      <c r="J71" s="948">
        <v>191.0</v>
      </c>
      <c r="K71" s="949">
        <v>0.03409767486906934</v>
      </c>
      <c r="L71" s="950" t="str">
        <f t="shared" si="1"/>
        <v>yes</v>
      </c>
      <c r="M71" s="736"/>
      <c r="N71" s="736"/>
      <c r="O71" s="736"/>
    </row>
    <row r="72">
      <c r="A72" s="951" t="s">
        <v>1689</v>
      </c>
      <c r="B72" s="952" t="s">
        <v>60</v>
      </c>
      <c r="C72" s="953">
        <v>42983.0</v>
      </c>
      <c r="D72" s="954" t="s">
        <v>59</v>
      </c>
      <c r="E72" s="948" t="s">
        <v>63</v>
      </c>
      <c r="F72" s="954"/>
      <c r="G72" s="954"/>
      <c r="H72" s="954"/>
      <c r="I72" s="955"/>
      <c r="J72" s="948">
        <v>218.0</v>
      </c>
      <c r="K72" s="949">
        <v>0.022202170375695718</v>
      </c>
      <c r="L72" s="950" t="str">
        <f t="shared" si="1"/>
        <v>yes</v>
      </c>
      <c r="M72" s="736"/>
      <c r="N72" s="736"/>
      <c r="O72" s="736"/>
    </row>
    <row r="73">
      <c r="A73" s="951" t="s">
        <v>1737</v>
      </c>
      <c r="B73" s="952" t="s">
        <v>60</v>
      </c>
      <c r="C73" s="953">
        <v>42982.0</v>
      </c>
      <c r="D73" s="954" t="s">
        <v>59</v>
      </c>
      <c r="E73" s="948" t="s">
        <v>63</v>
      </c>
      <c r="F73" s="954" t="s">
        <v>69</v>
      </c>
      <c r="G73" s="954" t="s">
        <v>67</v>
      </c>
      <c r="H73" s="954" t="s">
        <v>69</v>
      </c>
      <c r="I73" s="955">
        <v>0.9</v>
      </c>
      <c r="J73" s="948">
        <v>244.0</v>
      </c>
      <c r="K73" s="949">
        <v>0.016136662607480257</v>
      </c>
      <c r="L73" s="950" t="str">
        <f t="shared" si="1"/>
        <v>yes</v>
      </c>
      <c r="M73" s="736"/>
      <c r="N73" s="736"/>
      <c r="O73" s="736"/>
    </row>
    <row r="74">
      <c r="A74" s="951" t="s">
        <v>640</v>
      </c>
      <c r="B74" s="952" t="s">
        <v>60</v>
      </c>
      <c r="C74" s="953">
        <v>42982.0</v>
      </c>
      <c r="D74" s="954" t="s">
        <v>59</v>
      </c>
      <c r="E74" s="948" t="s">
        <v>63</v>
      </c>
      <c r="F74" s="954"/>
      <c r="G74" s="954"/>
      <c r="H74" s="954"/>
      <c r="I74" s="955"/>
      <c r="J74" s="948">
        <v>215.0</v>
      </c>
      <c r="K74" s="949">
        <v>0.010334259468329776</v>
      </c>
      <c r="L74" s="950" t="str">
        <f t="shared" si="1"/>
        <v>yes</v>
      </c>
      <c r="M74" s="736"/>
      <c r="N74" s="736"/>
      <c r="O74" s="736"/>
    </row>
    <row r="75">
      <c r="A75" s="951" t="s">
        <v>78</v>
      </c>
      <c r="B75" s="952" t="s">
        <v>56</v>
      </c>
      <c r="C75" s="953">
        <v>42981.0</v>
      </c>
      <c r="D75" s="954" t="s">
        <v>79</v>
      </c>
      <c r="E75" s="948" t="s">
        <v>63</v>
      </c>
      <c r="F75" s="954" t="s">
        <v>67</v>
      </c>
      <c r="G75" s="954" t="s">
        <v>69</v>
      </c>
      <c r="H75" s="954" t="s">
        <v>66</v>
      </c>
      <c r="I75" s="955">
        <v>0.9</v>
      </c>
      <c r="J75" s="948">
        <v>191.0</v>
      </c>
      <c r="K75" s="949">
        <v>-0.015013524996449146</v>
      </c>
      <c r="L75" s="950" t="str">
        <f t="shared" si="1"/>
        <v>yes</v>
      </c>
      <c r="M75" s="736"/>
      <c r="N75" s="736"/>
      <c r="O75" s="736"/>
    </row>
    <row r="76">
      <c r="A76" s="951" t="s">
        <v>246</v>
      </c>
      <c r="B76" s="952" t="s">
        <v>60</v>
      </c>
      <c r="C76" s="953">
        <v>42980.0</v>
      </c>
      <c r="D76" s="954" t="s">
        <v>59</v>
      </c>
      <c r="E76" s="948" t="s">
        <v>63</v>
      </c>
      <c r="F76" s="954" t="s">
        <v>65</v>
      </c>
      <c r="G76" s="954" t="s">
        <v>65</v>
      </c>
      <c r="H76" s="954" t="s">
        <v>69</v>
      </c>
      <c r="I76" s="955">
        <v>0.9</v>
      </c>
      <c r="J76" s="948">
        <v>219.0</v>
      </c>
      <c r="K76" s="949">
        <v>0.015397296172011576</v>
      </c>
      <c r="L76" s="950" t="str">
        <f t="shared" si="1"/>
        <v>yes</v>
      </c>
      <c r="M76" s="736"/>
      <c r="N76" s="736"/>
      <c r="O76" s="736"/>
    </row>
    <row r="77">
      <c r="A77" s="951" t="s">
        <v>1757</v>
      </c>
      <c r="B77" s="952" t="s">
        <v>60</v>
      </c>
      <c r="C77" s="953">
        <v>42979.0</v>
      </c>
      <c r="D77" s="954" t="s">
        <v>118</v>
      </c>
      <c r="E77" s="948" t="s">
        <v>63</v>
      </c>
      <c r="F77" s="954" t="s">
        <v>127</v>
      </c>
      <c r="G77" s="954" t="s">
        <v>69</v>
      </c>
      <c r="H77" s="954" t="s">
        <v>68</v>
      </c>
      <c r="I77" s="955">
        <v>0.9</v>
      </c>
      <c r="J77" s="948">
        <v>202.0</v>
      </c>
      <c r="K77" s="949">
        <v>-2.2443181257270073E-4</v>
      </c>
      <c r="L77" s="950" t="str">
        <f t="shared" si="1"/>
        <v/>
      </c>
      <c r="M77" s="736"/>
      <c r="N77" s="736"/>
      <c r="O77" s="736"/>
    </row>
    <row r="78">
      <c r="A78" s="951" t="s">
        <v>1761</v>
      </c>
      <c r="B78" s="952" t="s">
        <v>60</v>
      </c>
      <c r="C78" s="953">
        <v>42978.0</v>
      </c>
      <c r="D78" s="954" t="s">
        <v>675</v>
      </c>
      <c r="E78" s="948" t="s">
        <v>63</v>
      </c>
      <c r="F78" s="954" t="s">
        <v>67</v>
      </c>
      <c r="G78" s="954" t="s">
        <v>69</v>
      </c>
      <c r="H78" s="954" t="s">
        <v>69</v>
      </c>
      <c r="I78" s="955">
        <v>0.9</v>
      </c>
      <c r="J78" s="948">
        <v>179.0</v>
      </c>
      <c r="K78" s="949">
        <v>-0.006650895830978887</v>
      </c>
      <c r="L78" s="950" t="str">
        <f t="shared" si="1"/>
        <v>yes</v>
      </c>
      <c r="M78" s="736"/>
      <c r="N78" s="736"/>
      <c r="O78" s="736"/>
    </row>
    <row r="79">
      <c r="A79" s="951" t="s">
        <v>1719</v>
      </c>
      <c r="B79" s="952" t="s">
        <v>60</v>
      </c>
      <c r="C79" s="953">
        <v>42978.0</v>
      </c>
      <c r="D79" s="954" t="s">
        <v>118</v>
      </c>
      <c r="E79" s="948" t="s">
        <v>63</v>
      </c>
      <c r="F79" s="954" t="s">
        <v>64</v>
      </c>
      <c r="G79" s="954" t="s">
        <v>64</v>
      </c>
      <c r="H79" s="954" t="s">
        <v>68</v>
      </c>
      <c r="I79" s="955">
        <v>0.8</v>
      </c>
      <c r="J79" s="948">
        <v>178.0</v>
      </c>
      <c r="K79" s="949">
        <v>0.028882843665971714</v>
      </c>
      <c r="L79" s="950" t="str">
        <f t="shared" si="1"/>
        <v/>
      </c>
      <c r="M79" s="736"/>
      <c r="N79" s="736"/>
      <c r="O79" s="736"/>
    </row>
    <row r="80">
      <c r="A80" s="951" t="s">
        <v>1628</v>
      </c>
      <c r="B80" s="952" t="s">
        <v>60</v>
      </c>
      <c r="C80" s="953">
        <v>42976.0</v>
      </c>
      <c r="D80" s="954" t="s">
        <v>305</v>
      </c>
      <c r="E80" s="948" t="s">
        <v>63</v>
      </c>
      <c r="F80" s="954" t="s">
        <v>65</v>
      </c>
      <c r="G80" s="954" t="s">
        <v>64</v>
      </c>
      <c r="H80" s="954" t="s">
        <v>66</v>
      </c>
      <c r="I80" s="955">
        <v>0.9</v>
      </c>
      <c r="J80" s="948">
        <v>215.0</v>
      </c>
      <c r="K80" s="949">
        <v>0.002248516101510112</v>
      </c>
      <c r="L80" s="950" t="str">
        <f t="shared" si="1"/>
        <v/>
      </c>
      <c r="M80" s="736"/>
      <c r="N80" s="736"/>
      <c r="O80" s="736"/>
    </row>
    <row r="81">
      <c r="A81" s="951" t="s">
        <v>126</v>
      </c>
      <c r="B81" s="952" t="s">
        <v>60</v>
      </c>
      <c r="C81" s="953">
        <v>42975.0</v>
      </c>
      <c r="D81" s="954" t="s">
        <v>79</v>
      </c>
      <c r="E81" s="948" t="s">
        <v>63</v>
      </c>
      <c r="F81" s="954" t="s">
        <v>65</v>
      </c>
      <c r="G81" s="954" t="s">
        <v>127</v>
      </c>
      <c r="H81" s="954" t="s">
        <v>69</v>
      </c>
      <c r="I81" s="955">
        <v>1.0</v>
      </c>
      <c r="J81" s="948">
        <v>212.0</v>
      </c>
      <c r="K81" s="949">
        <v>0.0031108301630994317</v>
      </c>
      <c r="L81" s="950" t="str">
        <f t="shared" si="1"/>
        <v/>
      </c>
      <c r="M81" s="736"/>
      <c r="N81" s="736"/>
      <c r="O81" s="736"/>
    </row>
    <row r="82">
      <c r="A82" s="951" t="s">
        <v>1712</v>
      </c>
      <c r="B82" s="952" t="s">
        <v>60</v>
      </c>
      <c r="C82" s="953">
        <v>42975.0</v>
      </c>
      <c r="D82" s="954" t="s">
        <v>79</v>
      </c>
      <c r="E82" s="948" t="s">
        <v>63</v>
      </c>
      <c r="F82" s="954" t="s">
        <v>67</v>
      </c>
      <c r="G82" s="954" t="s">
        <v>69</v>
      </c>
      <c r="H82" s="954" t="s">
        <v>69</v>
      </c>
      <c r="I82" s="955"/>
      <c r="J82" s="948">
        <v>218.0</v>
      </c>
      <c r="K82" s="949">
        <v>0.012367599309696331</v>
      </c>
      <c r="L82" s="950" t="str">
        <f t="shared" si="1"/>
        <v>yes</v>
      </c>
      <c r="M82" s="736"/>
      <c r="N82" s="736"/>
      <c r="O82" s="736"/>
    </row>
    <row r="83">
      <c r="A83" s="951" t="s">
        <v>1714</v>
      </c>
      <c r="B83" s="952" t="s">
        <v>60</v>
      </c>
      <c r="C83" s="953">
        <v>42974.0</v>
      </c>
      <c r="D83" s="954" t="s">
        <v>57</v>
      </c>
      <c r="E83" s="948" t="s">
        <v>63</v>
      </c>
      <c r="F83" s="954" t="s">
        <v>67</v>
      </c>
      <c r="G83" s="954" t="s">
        <v>69</v>
      </c>
      <c r="H83" s="954" t="s">
        <v>69</v>
      </c>
      <c r="I83" s="955"/>
      <c r="J83" s="948">
        <v>218.0</v>
      </c>
      <c r="K83" s="949">
        <v>0.010703117694246256</v>
      </c>
      <c r="L83" s="950" t="str">
        <f t="shared" si="1"/>
        <v>yes</v>
      </c>
      <c r="M83" s="736"/>
      <c r="N83" s="736"/>
      <c r="O83" s="736"/>
    </row>
    <row r="84">
      <c r="A84" s="951" t="s">
        <v>761</v>
      </c>
      <c r="B84" s="952" t="s">
        <v>60</v>
      </c>
      <c r="C84" s="953">
        <v>42974.0</v>
      </c>
      <c r="D84" s="954" t="s">
        <v>90</v>
      </c>
      <c r="E84" s="948" t="s">
        <v>63</v>
      </c>
      <c r="F84" s="954" t="s">
        <v>65</v>
      </c>
      <c r="G84" s="954" t="s">
        <v>64</v>
      </c>
      <c r="H84" s="954" t="s">
        <v>66</v>
      </c>
      <c r="I84" s="955">
        <v>0.7</v>
      </c>
      <c r="J84" s="948">
        <v>232.0</v>
      </c>
      <c r="K84" s="949">
        <v>-0.00339543232255457</v>
      </c>
      <c r="L84" s="950" t="str">
        <f t="shared" si="1"/>
        <v/>
      </c>
      <c r="M84" s="736"/>
      <c r="N84" s="736"/>
      <c r="O84" s="736"/>
    </row>
    <row r="85">
      <c r="A85" s="951" t="s">
        <v>1789</v>
      </c>
      <c r="B85" s="952" t="s">
        <v>60</v>
      </c>
      <c r="C85" s="953">
        <v>42974.0</v>
      </c>
      <c r="D85" s="954" t="s">
        <v>305</v>
      </c>
      <c r="E85" s="948" t="s">
        <v>63</v>
      </c>
      <c r="F85" s="954" t="s">
        <v>65</v>
      </c>
      <c r="G85" s="954" t="s">
        <v>69</v>
      </c>
      <c r="H85" s="954" t="s">
        <v>68</v>
      </c>
      <c r="I85" s="955">
        <v>0.8</v>
      </c>
      <c r="J85" s="948">
        <v>184.0</v>
      </c>
      <c r="K85" s="949">
        <v>0.029232116040949663</v>
      </c>
      <c r="L85" s="950" t="str">
        <f t="shared" si="1"/>
        <v>yes</v>
      </c>
      <c r="M85" s="736"/>
      <c r="N85" s="736"/>
      <c r="O85" s="736"/>
    </row>
    <row r="86">
      <c r="A86" s="951" t="s">
        <v>541</v>
      </c>
      <c r="B86" s="952" t="s">
        <v>60</v>
      </c>
      <c r="C86" s="953">
        <v>42972.0</v>
      </c>
      <c r="D86" s="954" t="s">
        <v>57</v>
      </c>
      <c r="E86" s="948" t="s">
        <v>63</v>
      </c>
      <c r="F86" s="954" t="s">
        <v>67</v>
      </c>
      <c r="G86" s="954" t="s">
        <v>67</v>
      </c>
      <c r="H86" s="954" t="s">
        <v>69</v>
      </c>
      <c r="I86" s="955">
        <v>0.9</v>
      </c>
      <c r="J86" s="948">
        <v>225.0</v>
      </c>
      <c r="K86" s="949">
        <v>-0.019897095482876326</v>
      </c>
      <c r="L86" s="950" t="str">
        <f t="shared" si="1"/>
        <v>yes</v>
      </c>
      <c r="M86" s="736"/>
      <c r="N86" s="736"/>
      <c r="O86" s="736"/>
    </row>
    <row r="87">
      <c r="A87" s="951" t="s">
        <v>541</v>
      </c>
      <c r="B87" s="952" t="s">
        <v>60</v>
      </c>
      <c r="C87" s="953">
        <v>42972.0</v>
      </c>
      <c r="D87" s="954" t="s">
        <v>57</v>
      </c>
      <c r="E87" s="948" t="s">
        <v>63</v>
      </c>
      <c r="F87" s="954" t="s">
        <v>67</v>
      </c>
      <c r="G87" s="954" t="s">
        <v>67</v>
      </c>
      <c r="H87" s="954" t="s">
        <v>69</v>
      </c>
      <c r="I87" s="955">
        <v>0.9</v>
      </c>
      <c r="J87" s="948">
        <v>225.0</v>
      </c>
      <c r="K87" s="949">
        <v>-0.03480155556850406</v>
      </c>
      <c r="L87" s="950" t="str">
        <f t="shared" si="1"/>
        <v/>
      </c>
      <c r="M87" s="736"/>
      <c r="N87" s="736"/>
      <c r="O87" s="736"/>
    </row>
    <row r="88">
      <c r="A88" s="951" t="s">
        <v>1800</v>
      </c>
      <c r="B88" s="952" t="s">
        <v>60</v>
      </c>
      <c r="C88" s="953">
        <v>42972.0</v>
      </c>
      <c r="D88" s="954" t="s">
        <v>86</v>
      </c>
      <c r="E88" s="948" t="s">
        <v>63</v>
      </c>
      <c r="F88" s="954" t="s">
        <v>69</v>
      </c>
      <c r="G88" s="954" t="s">
        <v>66</v>
      </c>
      <c r="H88" s="954" t="s">
        <v>68</v>
      </c>
      <c r="I88" s="955">
        <v>0.7</v>
      </c>
      <c r="J88" s="948">
        <v>205.0</v>
      </c>
      <c r="K88" s="949">
        <v>0.02764982280450179</v>
      </c>
      <c r="L88" s="950" t="str">
        <f t="shared" si="1"/>
        <v>yes</v>
      </c>
      <c r="M88" s="736"/>
      <c r="N88" s="736"/>
      <c r="O88" s="736"/>
    </row>
    <row r="89">
      <c r="A89" s="951" t="s">
        <v>798</v>
      </c>
      <c r="B89" s="952" t="s">
        <v>56</v>
      </c>
      <c r="C89" s="953">
        <v>42972.0</v>
      </c>
      <c r="D89" s="954" t="s">
        <v>59</v>
      </c>
      <c r="E89" s="948" t="s">
        <v>63</v>
      </c>
      <c r="F89" s="954" t="s">
        <v>65</v>
      </c>
      <c r="G89" s="954" t="s">
        <v>66</v>
      </c>
      <c r="H89" s="954" t="s">
        <v>68</v>
      </c>
      <c r="I89" s="955">
        <v>0.9</v>
      </c>
      <c r="J89" s="948">
        <v>194.0</v>
      </c>
      <c r="K89" s="949">
        <v>0.027331439222370135</v>
      </c>
      <c r="L89" s="950" t="str">
        <f t="shared" si="1"/>
        <v>yes</v>
      </c>
      <c r="M89" s="736"/>
      <c r="N89" s="736"/>
      <c r="O89" s="736"/>
    </row>
    <row r="90">
      <c r="A90" s="951" t="s">
        <v>1801</v>
      </c>
      <c r="B90" s="952" t="s">
        <v>60</v>
      </c>
      <c r="C90" s="953">
        <v>42971.0</v>
      </c>
      <c r="D90" s="954" t="s">
        <v>79</v>
      </c>
      <c r="E90" s="948" t="s">
        <v>63</v>
      </c>
      <c r="F90" s="954" t="s">
        <v>69</v>
      </c>
      <c r="G90" s="954" t="s">
        <v>69</v>
      </c>
      <c r="H90" s="954" t="s">
        <v>68</v>
      </c>
      <c r="I90" s="955">
        <v>0.8</v>
      </c>
      <c r="J90" s="948">
        <v>207.0</v>
      </c>
      <c r="K90" s="949">
        <v>0.07044904306640676</v>
      </c>
      <c r="L90" s="950" t="str">
        <f t="shared" si="1"/>
        <v>yes</v>
      </c>
      <c r="M90" s="736"/>
      <c r="N90" s="736"/>
      <c r="O90" s="736"/>
    </row>
    <row r="91">
      <c r="A91" s="951" t="s">
        <v>792</v>
      </c>
      <c r="B91" s="952" t="s">
        <v>56</v>
      </c>
      <c r="C91" s="953">
        <v>42971.0</v>
      </c>
      <c r="D91" s="954" t="s">
        <v>79</v>
      </c>
      <c r="E91" s="948" t="s">
        <v>63</v>
      </c>
      <c r="F91" s="954" t="s">
        <v>65</v>
      </c>
      <c r="G91" s="954" t="s">
        <v>68</v>
      </c>
      <c r="H91" s="954" t="s">
        <v>68</v>
      </c>
      <c r="I91" s="955">
        <v>0.9</v>
      </c>
      <c r="J91" s="948">
        <v>204.0</v>
      </c>
      <c r="K91" s="949">
        <v>0.003154557869202268</v>
      </c>
      <c r="L91" s="950" t="str">
        <f t="shared" si="1"/>
        <v>yes</v>
      </c>
      <c r="M91" s="736"/>
      <c r="N91" s="736"/>
      <c r="O91" s="736"/>
    </row>
    <row r="92">
      <c r="A92" s="951" t="s">
        <v>839</v>
      </c>
      <c r="B92" s="952" t="s">
        <v>56</v>
      </c>
      <c r="C92" s="953">
        <v>42971.0</v>
      </c>
      <c r="D92" s="954" t="s">
        <v>305</v>
      </c>
      <c r="E92" s="948" t="s">
        <v>63</v>
      </c>
      <c r="F92" s="954" t="s">
        <v>69</v>
      </c>
      <c r="G92" s="954" t="s">
        <v>69</v>
      </c>
      <c r="H92" s="954" t="s">
        <v>68</v>
      </c>
      <c r="I92" s="955">
        <v>0.9</v>
      </c>
      <c r="J92" s="948">
        <v>163.0</v>
      </c>
      <c r="K92" s="949">
        <v>-0.0014344701202529953</v>
      </c>
      <c r="L92" s="950" t="str">
        <f t="shared" si="1"/>
        <v>yes</v>
      </c>
      <c r="M92" s="736"/>
      <c r="N92" s="736"/>
      <c r="O92" s="736"/>
    </row>
    <row r="93">
      <c r="A93" s="951" t="s">
        <v>58</v>
      </c>
      <c r="B93" s="952" t="s">
        <v>60</v>
      </c>
      <c r="C93" s="953">
        <v>42970.0</v>
      </c>
      <c r="D93" s="954" t="s">
        <v>59</v>
      </c>
      <c r="E93" s="948" t="s">
        <v>63</v>
      </c>
      <c r="F93" s="954" t="s">
        <v>65</v>
      </c>
      <c r="G93" s="954" t="s">
        <v>67</v>
      </c>
      <c r="H93" s="954" t="s">
        <v>66</v>
      </c>
      <c r="I93" s="955">
        <v>0.8</v>
      </c>
      <c r="J93" s="948">
        <v>217.0</v>
      </c>
      <c r="K93" s="949">
        <v>0.00564994650428241</v>
      </c>
      <c r="L93" s="950" t="str">
        <f t="shared" si="1"/>
        <v>yes</v>
      </c>
      <c r="M93" s="736"/>
      <c r="N93" s="736"/>
      <c r="O93" s="736"/>
    </row>
    <row r="94">
      <c r="A94" s="951" t="s">
        <v>292</v>
      </c>
      <c r="B94" s="952" t="s">
        <v>55</v>
      </c>
      <c r="C94" s="953">
        <v>42970.0</v>
      </c>
      <c r="D94" s="954" t="s">
        <v>79</v>
      </c>
      <c r="E94" s="948" t="s">
        <v>63</v>
      </c>
      <c r="F94" s="954" t="s">
        <v>65</v>
      </c>
      <c r="G94" s="954" t="s">
        <v>66</v>
      </c>
      <c r="H94" s="954" t="s">
        <v>68</v>
      </c>
      <c r="I94" s="955">
        <v>0.6</v>
      </c>
      <c r="J94" s="948">
        <v>176.0</v>
      </c>
      <c r="K94" s="949">
        <v>0.01222500436751861</v>
      </c>
      <c r="L94" s="950" t="str">
        <f t="shared" si="1"/>
        <v>yes</v>
      </c>
      <c r="M94" s="736"/>
      <c r="N94" s="736"/>
      <c r="O94" s="736"/>
    </row>
    <row r="95">
      <c r="A95" s="951" t="s">
        <v>1787</v>
      </c>
      <c r="B95" s="952" t="s">
        <v>60</v>
      </c>
      <c r="C95" s="953">
        <v>42969.0</v>
      </c>
      <c r="D95" s="954" t="s">
        <v>79</v>
      </c>
      <c r="E95" s="948" t="s">
        <v>63</v>
      </c>
      <c r="F95" s="954" t="s">
        <v>69</v>
      </c>
      <c r="G95" s="954" t="s">
        <v>69</v>
      </c>
      <c r="H95" s="954" t="s">
        <v>66</v>
      </c>
      <c r="I95" s="955">
        <v>0.8</v>
      </c>
      <c r="J95" s="948">
        <v>205.0</v>
      </c>
      <c r="K95" s="949">
        <v>-1.1200020564705593E-4</v>
      </c>
      <c r="L95" s="950" t="str">
        <f t="shared" si="1"/>
        <v>yes</v>
      </c>
      <c r="M95" s="736"/>
      <c r="N95" s="736"/>
      <c r="O95" s="736"/>
    </row>
    <row r="96">
      <c r="A96" s="951" t="s">
        <v>423</v>
      </c>
      <c r="B96" s="952" t="s">
        <v>56</v>
      </c>
      <c r="C96" s="953">
        <v>42969.0</v>
      </c>
      <c r="D96" s="954" t="s">
        <v>79</v>
      </c>
      <c r="E96" s="948" t="s">
        <v>195</v>
      </c>
      <c r="F96" s="954" t="s">
        <v>65</v>
      </c>
      <c r="G96" s="954" t="s">
        <v>69</v>
      </c>
      <c r="H96" s="954" t="s">
        <v>69</v>
      </c>
      <c r="I96" s="955">
        <v>0.8</v>
      </c>
      <c r="J96" s="948">
        <v>226.0</v>
      </c>
      <c r="K96" s="949">
        <v>-0.00803850888991986</v>
      </c>
      <c r="L96" s="950" t="str">
        <f t="shared" si="1"/>
        <v>yes</v>
      </c>
      <c r="M96" s="736"/>
      <c r="N96" s="736"/>
      <c r="O96" s="736"/>
    </row>
    <row r="97">
      <c r="A97" s="951" t="s">
        <v>231</v>
      </c>
      <c r="B97" s="952" t="s">
        <v>60</v>
      </c>
      <c r="C97" s="953">
        <v>42968.0</v>
      </c>
      <c r="D97" s="954" t="s">
        <v>59</v>
      </c>
      <c r="E97" s="948" t="s">
        <v>195</v>
      </c>
      <c r="F97" s="954" t="s">
        <v>65</v>
      </c>
      <c r="G97" s="954" t="s">
        <v>69</v>
      </c>
      <c r="H97" s="954" t="s">
        <v>69</v>
      </c>
      <c r="I97" s="955">
        <v>0.9</v>
      </c>
      <c r="J97" s="948">
        <v>201.0</v>
      </c>
      <c r="K97" s="949">
        <v>-0.013200229071612446</v>
      </c>
      <c r="L97" s="950" t="str">
        <f t="shared" si="1"/>
        <v/>
      </c>
      <c r="M97" s="736"/>
      <c r="N97" s="736"/>
      <c r="O97" s="736"/>
    </row>
    <row r="98">
      <c r="A98" s="951" t="s">
        <v>1797</v>
      </c>
      <c r="B98" s="952" t="s">
        <v>60</v>
      </c>
      <c r="C98" s="953">
        <v>42968.0</v>
      </c>
      <c r="D98" s="954" t="s">
        <v>870</v>
      </c>
      <c r="E98" s="948" t="s">
        <v>63</v>
      </c>
      <c r="F98" s="954" t="s">
        <v>65</v>
      </c>
      <c r="G98" s="954" t="s">
        <v>69</v>
      </c>
      <c r="H98" s="954" t="s">
        <v>69</v>
      </c>
      <c r="I98" s="955">
        <v>0.9</v>
      </c>
      <c r="J98" s="948">
        <v>227.0</v>
      </c>
      <c r="K98" s="949">
        <v>0.03758147738399498</v>
      </c>
      <c r="L98" s="950" t="str">
        <f t="shared" si="1"/>
        <v>yes</v>
      </c>
      <c r="M98" s="736"/>
      <c r="N98" s="736"/>
      <c r="O98" s="736"/>
    </row>
    <row r="99">
      <c r="A99" s="951" t="s">
        <v>1839</v>
      </c>
      <c r="B99" s="952" t="s">
        <v>60</v>
      </c>
      <c r="C99" s="958">
        <v>42968.0</v>
      </c>
      <c r="D99" s="954" t="s">
        <v>305</v>
      </c>
      <c r="E99" s="948" t="s">
        <v>63</v>
      </c>
      <c r="F99" s="954" t="s">
        <v>80</v>
      </c>
      <c r="G99" s="954" t="s">
        <v>69</v>
      </c>
      <c r="H99" s="954" t="s">
        <v>65</v>
      </c>
      <c r="I99" s="955">
        <v>0.6</v>
      </c>
      <c r="J99" s="948">
        <v>216.0</v>
      </c>
      <c r="K99" s="949">
        <v>-0.005616594515045814</v>
      </c>
      <c r="L99" s="950" t="str">
        <f t="shared" si="1"/>
        <v>yes</v>
      </c>
      <c r="M99" s="736"/>
      <c r="N99" s="736"/>
      <c r="O99" s="736"/>
    </row>
    <row r="100">
      <c r="A100" s="951" t="s">
        <v>143</v>
      </c>
      <c r="B100" s="952" t="s">
        <v>56</v>
      </c>
      <c r="C100" s="953">
        <v>42968.0</v>
      </c>
      <c r="D100" s="954" t="s">
        <v>59</v>
      </c>
      <c r="E100" s="948" t="s">
        <v>63</v>
      </c>
      <c r="F100" s="954" t="s">
        <v>80</v>
      </c>
      <c r="G100" s="954" t="s">
        <v>65</v>
      </c>
      <c r="H100" s="954" t="s">
        <v>67</v>
      </c>
      <c r="I100" s="955">
        <v>0.8</v>
      </c>
      <c r="J100" s="948">
        <v>203.0</v>
      </c>
      <c r="K100" s="949">
        <v>0.0014823820917228003</v>
      </c>
      <c r="L100" s="950" t="str">
        <f t="shared" si="1"/>
        <v>yes</v>
      </c>
      <c r="M100" s="736"/>
      <c r="N100" s="736"/>
      <c r="O100" s="736"/>
    </row>
    <row r="101">
      <c r="A101" s="951" t="s">
        <v>114</v>
      </c>
      <c r="B101" s="952" t="s">
        <v>60</v>
      </c>
      <c r="C101" s="953">
        <v>42967.0</v>
      </c>
      <c r="D101" s="954" t="s">
        <v>79</v>
      </c>
      <c r="E101" s="948" t="s">
        <v>63</v>
      </c>
      <c r="F101" s="954" t="s">
        <v>67</v>
      </c>
      <c r="G101" s="954" t="s">
        <v>65</v>
      </c>
      <c r="H101" s="954" t="s">
        <v>67</v>
      </c>
      <c r="I101" s="955">
        <v>0.9</v>
      </c>
      <c r="J101" s="948">
        <v>205.0</v>
      </c>
      <c r="K101" s="949">
        <v>0.02338299609845862</v>
      </c>
      <c r="L101" s="950" t="str">
        <f t="shared" si="1"/>
        <v>yes</v>
      </c>
      <c r="M101" s="736"/>
      <c r="N101" s="736"/>
      <c r="O101" s="736"/>
    </row>
    <row r="102">
      <c r="A102" s="951" t="s">
        <v>548</v>
      </c>
      <c r="B102" s="952" t="s">
        <v>60</v>
      </c>
      <c r="C102" s="953">
        <v>42965.0</v>
      </c>
      <c r="D102" s="954" t="s">
        <v>79</v>
      </c>
      <c r="E102" s="948" t="s">
        <v>63</v>
      </c>
      <c r="F102" s="954" t="s">
        <v>65</v>
      </c>
      <c r="G102" s="954" t="s">
        <v>64</v>
      </c>
      <c r="H102" s="954" t="s">
        <v>69</v>
      </c>
      <c r="I102" s="955">
        <v>0.9</v>
      </c>
      <c r="J102" s="948">
        <v>221.0</v>
      </c>
      <c r="K102" s="949">
        <v>-0.004155869351221031</v>
      </c>
      <c r="L102" s="950" t="str">
        <f t="shared" si="1"/>
        <v>yes</v>
      </c>
      <c r="M102" s="736"/>
      <c r="N102" s="736"/>
      <c r="O102" s="736"/>
    </row>
    <row r="103">
      <c r="A103" s="951" t="s">
        <v>699</v>
      </c>
      <c r="B103" s="952" t="s">
        <v>638</v>
      </c>
      <c r="C103" s="953">
        <v>42965.0</v>
      </c>
      <c r="D103" s="954" t="s">
        <v>675</v>
      </c>
      <c r="E103" s="948" t="s">
        <v>63</v>
      </c>
      <c r="F103" s="954"/>
      <c r="G103" s="954"/>
      <c r="H103" s="954"/>
      <c r="I103" s="955"/>
      <c r="J103" s="948">
        <v>190.0</v>
      </c>
      <c r="K103" s="949">
        <v>-6.471767366184045E-4</v>
      </c>
      <c r="L103" s="950" t="str">
        <f t="shared" si="1"/>
        <v>yes</v>
      </c>
      <c r="M103" s="736"/>
      <c r="N103" s="736"/>
      <c r="O103" s="736"/>
    </row>
    <row r="104">
      <c r="A104" s="951" t="s">
        <v>1779</v>
      </c>
      <c r="B104" s="952" t="s">
        <v>60</v>
      </c>
      <c r="C104" s="953">
        <v>42964.0</v>
      </c>
      <c r="D104" s="954" t="s">
        <v>675</v>
      </c>
      <c r="E104" s="948" t="s">
        <v>63</v>
      </c>
      <c r="F104" s="954" t="s">
        <v>69</v>
      </c>
      <c r="G104" s="954" t="s">
        <v>69</v>
      </c>
      <c r="H104" s="954" t="s">
        <v>68</v>
      </c>
      <c r="I104" s="955">
        <v>0.9</v>
      </c>
      <c r="J104" s="948">
        <v>215.0</v>
      </c>
      <c r="K104" s="949">
        <v>-0.0032995147970855676</v>
      </c>
      <c r="L104" s="950" t="str">
        <f t="shared" si="1"/>
        <v>yes</v>
      </c>
      <c r="M104" s="736"/>
      <c r="N104" s="736"/>
      <c r="O104" s="736"/>
    </row>
    <row r="105">
      <c r="A105" s="951" t="s">
        <v>1664</v>
      </c>
      <c r="B105" s="952" t="s">
        <v>60</v>
      </c>
      <c r="C105" s="953">
        <v>42963.0</v>
      </c>
      <c r="D105" s="954" t="s">
        <v>305</v>
      </c>
      <c r="E105" s="948" t="s">
        <v>63</v>
      </c>
      <c r="F105" s="954" t="s">
        <v>65</v>
      </c>
      <c r="G105" s="954" t="s">
        <v>69</v>
      </c>
      <c r="H105" s="954" t="s">
        <v>68</v>
      </c>
      <c r="I105" s="955">
        <v>0.9</v>
      </c>
      <c r="J105" s="948">
        <v>218.0</v>
      </c>
      <c r="K105" s="949">
        <v>0.012766287613048877</v>
      </c>
      <c r="L105" s="950" t="str">
        <f t="shared" si="1"/>
        <v>yes</v>
      </c>
      <c r="M105" s="736"/>
      <c r="N105" s="736"/>
      <c r="O105" s="736"/>
    </row>
    <row r="106">
      <c r="A106" s="951" t="s">
        <v>1013</v>
      </c>
      <c r="B106" s="952" t="s">
        <v>60</v>
      </c>
      <c r="C106" s="953">
        <v>42963.0</v>
      </c>
      <c r="D106" s="954" t="s">
        <v>59</v>
      </c>
      <c r="E106" s="948" t="s">
        <v>63</v>
      </c>
      <c r="F106" s="954" t="s">
        <v>65</v>
      </c>
      <c r="G106" s="954" t="s">
        <v>64</v>
      </c>
      <c r="H106" s="954" t="s">
        <v>69</v>
      </c>
      <c r="I106" s="955">
        <v>0.9</v>
      </c>
      <c r="J106" s="948">
        <v>217.0</v>
      </c>
      <c r="K106" s="949">
        <v>-0.008064287591032615</v>
      </c>
      <c r="L106" s="950" t="str">
        <f t="shared" si="1"/>
        <v>yes</v>
      </c>
      <c r="M106" s="736"/>
      <c r="N106" s="736"/>
      <c r="O106" s="736"/>
    </row>
    <row r="107">
      <c r="A107" s="951" t="s">
        <v>1898</v>
      </c>
      <c r="B107" s="952" t="s">
        <v>60</v>
      </c>
      <c r="C107" s="953">
        <v>42962.0</v>
      </c>
      <c r="D107" s="954" t="s">
        <v>921</v>
      </c>
      <c r="E107" s="948" t="s">
        <v>63</v>
      </c>
      <c r="F107" s="954" t="s">
        <v>67</v>
      </c>
      <c r="G107" s="954" t="s">
        <v>64</v>
      </c>
      <c r="H107" s="954" t="s">
        <v>68</v>
      </c>
      <c r="I107" s="955">
        <v>0.8</v>
      </c>
      <c r="J107" s="948"/>
      <c r="K107" s="949">
        <v>0.007908777406462564</v>
      </c>
      <c r="L107" s="950" t="str">
        <f t="shared" si="1"/>
        <v>yes</v>
      </c>
      <c r="M107" s="736"/>
      <c r="N107" s="736"/>
      <c r="O107" s="736"/>
    </row>
    <row r="108">
      <c r="A108" s="951" t="s">
        <v>777</v>
      </c>
      <c r="B108" s="952" t="s">
        <v>56</v>
      </c>
      <c r="C108" s="953">
        <v>42962.0</v>
      </c>
      <c r="D108" s="954" t="s">
        <v>629</v>
      </c>
      <c r="E108" s="948" t="s">
        <v>63</v>
      </c>
      <c r="F108" s="954" t="s">
        <v>64</v>
      </c>
      <c r="G108" s="954" t="s">
        <v>68</v>
      </c>
      <c r="H108" s="954" t="s">
        <v>68</v>
      </c>
      <c r="I108" s="955">
        <v>0.9</v>
      </c>
      <c r="J108" s="948">
        <v>196.0</v>
      </c>
      <c r="K108" s="949">
        <v>-0.0011732042577837776</v>
      </c>
      <c r="L108" s="950" t="str">
        <f t="shared" si="1"/>
        <v>yes</v>
      </c>
      <c r="M108" s="736"/>
      <c r="N108" s="736"/>
      <c r="O108" s="736"/>
    </row>
    <row r="109">
      <c r="A109" s="951" t="s">
        <v>1648</v>
      </c>
      <c r="B109" s="952" t="s">
        <v>60</v>
      </c>
      <c r="C109" s="953">
        <v>42960.0</v>
      </c>
      <c r="D109" s="954" t="s">
        <v>118</v>
      </c>
      <c r="E109" s="948" t="s">
        <v>63</v>
      </c>
      <c r="F109" s="954" t="s">
        <v>127</v>
      </c>
      <c r="G109" s="954" t="s">
        <v>69</v>
      </c>
      <c r="H109" s="954" t="s">
        <v>66</v>
      </c>
      <c r="I109" s="955"/>
      <c r="J109" s="948">
        <v>188.0</v>
      </c>
      <c r="K109" s="949">
        <v>0.02822712588777032</v>
      </c>
      <c r="L109" s="950" t="str">
        <f t="shared" si="1"/>
        <v>yes</v>
      </c>
      <c r="M109" s="736"/>
      <c r="N109" s="736"/>
      <c r="O109" s="736"/>
    </row>
    <row r="110">
      <c r="A110" s="951" t="s">
        <v>1336</v>
      </c>
      <c r="B110" s="952" t="s">
        <v>60</v>
      </c>
      <c r="C110" s="953">
        <v>42960.0</v>
      </c>
      <c r="D110" s="954" t="s">
        <v>675</v>
      </c>
      <c r="E110" s="948" t="s">
        <v>63</v>
      </c>
      <c r="F110" s="954" t="s">
        <v>67</v>
      </c>
      <c r="G110" s="954" t="s">
        <v>64</v>
      </c>
      <c r="H110" s="954" t="s">
        <v>66</v>
      </c>
      <c r="I110" s="955">
        <v>0.8</v>
      </c>
      <c r="J110" s="948">
        <v>183.0</v>
      </c>
      <c r="K110" s="949">
        <v>0.011189186453243294</v>
      </c>
      <c r="L110" s="950" t="str">
        <f t="shared" si="1"/>
        <v>yes</v>
      </c>
      <c r="M110" s="736"/>
      <c r="N110" s="736"/>
      <c r="O110" s="736"/>
    </row>
    <row r="111">
      <c r="A111" s="951" t="s">
        <v>1762</v>
      </c>
      <c r="B111" s="952" t="s">
        <v>60</v>
      </c>
      <c r="C111" s="953">
        <v>42959.0</v>
      </c>
      <c r="D111" s="954" t="s">
        <v>59</v>
      </c>
      <c r="E111" s="948" t="s">
        <v>63</v>
      </c>
      <c r="F111" s="954" t="s">
        <v>67</v>
      </c>
      <c r="G111" s="954" t="s">
        <v>69</v>
      </c>
      <c r="H111" s="954" t="s">
        <v>68</v>
      </c>
      <c r="I111" s="955">
        <v>0.7</v>
      </c>
      <c r="J111" s="948">
        <v>218.0</v>
      </c>
      <c r="K111" s="949">
        <v>0.016175253717868765</v>
      </c>
      <c r="L111" s="950" t="str">
        <f t="shared" si="1"/>
        <v/>
      </c>
      <c r="M111" s="736"/>
      <c r="N111" s="736"/>
      <c r="O111" s="736"/>
    </row>
    <row r="112">
      <c r="A112" s="951" t="s">
        <v>1734</v>
      </c>
      <c r="B112" s="952" t="s">
        <v>60</v>
      </c>
      <c r="C112" s="953">
        <v>42958.0</v>
      </c>
      <c r="D112" s="954" t="s">
        <v>59</v>
      </c>
      <c r="E112" s="948" t="s">
        <v>63</v>
      </c>
      <c r="F112" s="954"/>
      <c r="G112" s="954"/>
      <c r="H112" s="954"/>
      <c r="I112" s="955"/>
      <c r="J112" s="948"/>
      <c r="K112" s="949">
        <v>0.014566760967057113</v>
      </c>
      <c r="L112" s="950" t="str">
        <f t="shared" si="1"/>
        <v>yes</v>
      </c>
      <c r="M112" s="736"/>
      <c r="N112" s="736"/>
      <c r="O112" s="736"/>
    </row>
    <row r="113">
      <c r="A113" s="951" t="s">
        <v>1887</v>
      </c>
      <c r="B113" s="952" t="s">
        <v>60</v>
      </c>
      <c r="C113" s="953">
        <v>42958.0</v>
      </c>
      <c r="D113" s="954" t="s">
        <v>305</v>
      </c>
      <c r="E113" s="948" t="s">
        <v>63</v>
      </c>
      <c r="F113" s="954" t="s">
        <v>67</v>
      </c>
      <c r="G113" s="954" t="s">
        <v>69</v>
      </c>
      <c r="H113" s="954" t="s">
        <v>69</v>
      </c>
      <c r="I113" s="955">
        <v>0.9</v>
      </c>
      <c r="J113" s="948">
        <v>210.0</v>
      </c>
      <c r="K113" s="949">
        <v>0.035749491411357526</v>
      </c>
      <c r="L113" s="950" t="str">
        <f t="shared" si="1"/>
        <v>yes</v>
      </c>
      <c r="M113" s="736"/>
      <c r="N113" s="736"/>
      <c r="O113" s="736"/>
    </row>
    <row r="114">
      <c r="A114" s="951" t="s">
        <v>1714</v>
      </c>
      <c r="B114" s="952" t="s">
        <v>60</v>
      </c>
      <c r="C114" s="953">
        <v>42958.0</v>
      </c>
      <c r="D114" s="954" t="s">
        <v>57</v>
      </c>
      <c r="E114" s="948" t="s">
        <v>63</v>
      </c>
      <c r="F114" s="954" t="s">
        <v>67</v>
      </c>
      <c r="G114" s="954" t="s">
        <v>69</v>
      </c>
      <c r="H114" s="954" t="s">
        <v>69</v>
      </c>
      <c r="I114" s="955"/>
      <c r="J114" s="948">
        <v>218.0</v>
      </c>
      <c r="K114" s="949">
        <v>0.007933849392740777</v>
      </c>
      <c r="L114" s="950" t="str">
        <f t="shared" si="1"/>
        <v/>
      </c>
      <c r="M114" s="736"/>
      <c r="N114" s="736"/>
      <c r="O114" s="736"/>
    </row>
    <row r="115">
      <c r="A115" s="951" t="s">
        <v>161</v>
      </c>
      <c r="B115" s="952" t="s">
        <v>56</v>
      </c>
      <c r="C115" s="953">
        <v>42958.0</v>
      </c>
      <c r="D115" s="954" t="s">
        <v>59</v>
      </c>
      <c r="E115" s="948" t="s">
        <v>63</v>
      </c>
      <c r="F115" s="954" t="s">
        <v>69</v>
      </c>
      <c r="G115" s="954" t="s">
        <v>69</v>
      </c>
      <c r="H115" s="954" t="s">
        <v>69</v>
      </c>
      <c r="I115" s="955">
        <v>0.9</v>
      </c>
      <c r="J115" s="948">
        <v>185.0</v>
      </c>
      <c r="K115" s="949">
        <v>-0.005351670881357462</v>
      </c>
      <c r="L115" s="950" t="str">
        <f t="shared" si="1"/>
        <v/>
      </c>
      <c r="M115" s="736"/>
      <c r="N115" s="736"/>
      <c r="O115" s="736"/>
    </row>
    <row r="116">
      <c r="A116" s="951" t="s">
        <v>1807</v>
      </c>
      <c r="B116" s="952" t="s">
        <v>60</v>
      </c>
      <c r="C116" s="953">
        <v>42957.0</v>
      </c>
      <c r="D116" s="954" t="s">
        <v>86</v>
      </c>
      <c r="E116" s="948" t="s">
        <v>63</v>
      </c>
      <c r="F116" s="954" t="s">
        <v>65</v>
      </c>
      <c r="G116" s="954" t="s">
        <v>69</v>
      </c>
      <c r="H116" s="954" t="s">
        <v>69</v>
      </c>
      <c r="I116" s="955">
        <v>0.9</v>
      </c>
      <c r="J116" s="948">
        <v>230.0</v>
      </c>
      <c r="K116" s="949">
        <v>0.01825119730992608</v>
      </c>
      <c r="L116" s="950" t="str">
        <f t="shared" si="1"/>
        <v>yes</v>
      </c>
      <c r="M116" s="736"/>
      <c r="N116" s="736"/>
      <c r="O116" s="736"/>
    </row>
    <row r="117">
      <c r="A117" s="951" t="s">
        <v>1656</v>
      </c>
      <c r="B117" s="952" t="s">
        <v>60</v>
      </c>
      <c r="C117" s="953">
        <v>42957.0</v>
      </c>
      <c r="D117" s="954" t="s">
        <v>305</v>
      </c>
      <c r="E117" s="948" t="s">
        <v>63</v>
      </c>
      <c r="F117" s="954" t="s">
        <v>69</v>
      </c>
      <c r="G117" s="954" t="s">
        <v>69</v>
      </c>
      <c r="H117" s="954" t="s">
        <v>68</v>
      </c>
      <c r="I117" s="955">
        <v>0.9</v>
      </c>
      <c r="J117" s="948">
        <v>198.0</v>
      </c>
      <c r="K117" s="949">
        <v>0.03662276238148543</v>
      </c>
      <c r="L117" s="950" t="str">
        <f t="shared" si="1"/>
        <v>yes</v>
      </c>
      <c r="M117" s="736"/>
      <c r="N117" s="736"/>
      <c r="O117" s="736"/>
    </row>
    <row r="118">
      <c r="A118" s="951" t="s">
        <v>1645</v>
      </c>
      <c r="B118" s="952" t="s">
        <v>60</v>
      </c>
      <c r="C118" s="967">
        <v>42957.0</v>
      </c>
      <c r="D118" s="954" t="s">
        <v>90</v>
      </c>
      <c r="E118" s="948" t="s">
        <v>63</v>
      </c>
      <c r="F118" s="954"/>
      <c r="G118" s="954" t="s">
        <v>69</v>
      </c>
      <c r="H118" s="954" t="s">
        <v>68</v>
      </c>
      <c r="I118" s="955">
        <v>0.9</v>
      </c>
      <c r="J118" s="948">
        <v>188.0</v>
      </c>
      <c r="K118" s="949">
        <v>0.0036582224910451933</v>
      </c>
      <c r="L118" s="950" t="str">
        <f t="shared" si="1"/>
        <v>yes</v>
      </c>
      <c r="M118" s="736"/>
      <c r="N118" s="736"/>
      <c r="O118" s="736"/>
    </row>
    <row r="119">
      <c r="A119" s="951" t="s">
        <v>809</v>
      </c>
      <c r="B119" s="952" t="s">
        <v>56</v>
      </c>
      <c r="C119" s="953">
        <v>42956.0</v>
      </c>
      <c r="D119" s="954" t="s">
        <v>59</v>
      </c>
      <c r="E119" s="948" t="s">
        <v>63</v>
      </c>
      <c r="F119" s="954" t="s">
        <v>65</v>
      </c>
      <c r="G119" s="954" t="s">
        <v>69</v>
      </c>
      <c r="H119" s="954" t="s">
        <v>66</v>
      </c>
      <c r="I119" s="955">
        <v>0.8</v>
      </c>
      <c r="J119" s="948">
        <v>196.0</v>
      </c>
      <c r="K119" s="949">
        <v>0.013362716357837479</v>
      </c>
      <c r="L119" s="950" t="str">
        <f t="shared" si="1"/>
        <v>yes</v>
      </c>
      <c r="M119" s="736"/>
      <c r="N119" s="736"/>
      <c r="O119" s="736"/>
    </row>
    <row r="120">
      <c r="A120" s="951" t="s">
        <v>761</v>
      </c>
      <c r="B120" s="952" t="s">
        <v>60</v>
      </c>
      <c r="C120" s="953">
        <v>42955.0</v>
      </c>
      <c r="D120" s="954" t="s">
        <v>90</v>
      </c>
      <c r="E120" s="948" t="s">
        <v>63</v>
      </c>
      <c r="F120" s="954" t="s">
        <v>65</v>
      </c>
      <c r="G120" s="954" t="s">
        <v>64</v>
      </c>
      <c r="H120" s="954" t="s">
        <v>66</v>
      </c>
      <c r="I120" s="955">
        <v>0.7</v>
      </c>
      <c r="J120" s="948">
        <v>232.0</v>
      </c>
      <c r="K120" s="949">
        <v>-0.003831800836115007</v>
      </c>
      <c r="L120" s="950" t="str">
        <f t="shared" si="1"/>
        <v/>
      </c>
      <c r="M120" s="736"/>
      <c r="N120" s="736"/>
      <c r="O120" s="736"/>
    </row>
    <row r="121">
      <c r="A121" s="951" t="s">
        <v>1716</v>
      </c>
      <c r="B121" s="952" t="s">
        <v>60</v>
      </c>
      <c r="C121" s="953">
        <v>42955.0</v>
      </c>
      <c r="D121" s="954" t="s">
        <v>59</v>
      </c>
      <c r="E121" s="948" t="s">
        <v>63</v>
      </c>
      <c r="F121" s="954" t="s">
        <v>65</v>
      </c>
      <c r="G121" s="954" t="s">
        <v>64</v>
      </c>
      <c r="H121" s="954" t="s">
        <v>68</v>
      </c>
      <c r="I121" s="955">
        <v>0.7</v>
      </c>
      <c r="J121" s="948">
        <v>233.0</v>
      </c>
      <c r="K121" s="949">
        <v>0.01455582689589896</v>
      </c>
      <c r="L121" s="950" t="str">
        <f t="shared" si="1"/>
        <v/>
      </c>
      <c r="M121" s="736"/>
      <c r="N121" s="736"/>
      <c r="O121" s="736"/>
    </row>
    <row r="122">
      <c r="A122" s="951" t="s">
        <v>138</v>
      </c>
      <c r="B122" s="952" t="s">
        <v>55</v>
      </c>
      <c r="C122" s="953">
        <v>42952.0</v>
      </c>
      <c r="D122" s="954" t="s">
        <v>86</v>
      </c>
      <c r="E122" s="948" t="s">
        <v>63</v>
      </c>
      <c r="F122" s="954" t="s">
        <v>69</v>
      </c>
      <c r="G122" s="954" t="s">
        <v>69</v>
      </c>
      <c r="H122" s="954" t="s">
        <v>68</v>
      </c>
      <c r="I122" s="955">
        <v>0.9</v>
      </c>
      <c r="J122" s="948">
        <v>206.0</v>
      </c>
      <c r="K122" s="949">
        <v>0.03913896674872708</v>
      </c>
      <c r="L122" s="950" t="str">
        <f t="shared" si="1"/>
        <v>yes</v>
      </c>
      <c r="M122" s="736"/>
      <c r="N122" s="736"/>
      <c r="O122" s="736"/>
    </row>
    <row r="123">
      <c r="A123" s="951" t="s">
        <v>761</v>
      </c>
      <c r="B123" s="952" t="s">
        <v>60</v>
      </c>
      <c r="C123" s="953">
        <v>42951.0</v>
      </c>
      <c r="D123" s="954" t="s">
        <v>90</v>
      </c>
      <c r="E123" s="948" t="s">
        <v>63</v>
      </c>
      <c r="F123" s="954" t="s">
        <v>65</v>
      </c>
      <c r="G123" s="954" t="s">
        <v>64</v>
      </c>
      <c r="H123" s="954" t="s">
        <v>66</v>
      </c>
      <c r="I123" s="955">
        <v>0.7</v>
      </c>
      <c r="J123" s="948">
        <v>232.0</v>
      </c>
      <c r="K123" s="949">
        <v>-0.0013657658942382023</v>
      </c>
      <c r="L123" s="950" t="str">
        <f t="shared" si="1"/>
        <v/>
      </c>
      <c r="M123" s="736"/>
      <c r="N123" s="736"/>
      <c r="O123" s="736"/>
    </row>
    <row r="124">
      <c r="A124" s="951" t="s">
        <v>1640</v>
      </c>
      <c r="B124" s="952" t="s">
        <v>60</v>
      </c>
      <c r="C124" s="953">
        <v>42951.0</v>
      </c>
      <c r="D124" s="954" t="s">
        <v>870</v>
      </c>
      <c r="E124" s="948" t="s">
        <v>63</v>
      </c>
      <c r="F124" s="954" t="s">
        <v>64</v>
      </c>
      <c r="G124" s="954" t="s">
        <v>69</v>
      </c>
      <c r="H124" s="954" t="s">
        <v>68</v>
      </c>
      <c r="I124" s="955">
        <v>0.8</v>
      </c>
      <c r="J124" s="948">
        <v>210.0</v>
      </c>
      <c r="K124" s="949">
        <v>0.04726886054225654</v>
      </c>
      <c r="L124" s="950" t="str">
        <f t="shared" si="1"/>
        <v>yes</v>
      </c>
      <c r="M124" s="736"/>
      <c r="N124" s="736"/>
      <c r="O124" s="736"/>
    </row>
    <row r="125">
      <c r="A125" s="951" t="s">
        <v>1757</v>
      </c>
      <c r="B125" s="952" t="s">
        <v>60</v>
      </c>
      <c r="C125" s="953">
        <v>42950.0</v>
      </c>
      <c r="D125" s="954" t="s">
        <v>118</v>
      </c>
      <c r="E125" s="948" t="s">
        <v>63</v>
      </c>
      <c r="F125" s="954" t="s">
        <v>127</v>
      </c>
      <c r="G125" s="954" t="s">
        <v>69</v>
      </c>
      <c r="H125" s="954" t="s">
        <v>68</v>
      </c>
      <c r="I125" s="955">
        <v>0.9</v>
      </c>
      <c r="J125" s="948">
        <v>205.0</v>
      </c>
      <c r="K125" s="949">
        <v>-0.010076620955132842</v>
      </c>
      <c r="L125" s="950" t="str">
        <f t="shared" si="1"/>
        <v/>
      </c>
      <c r="M125" s="736"/>
      <c r="N125" s="736"/>
      <c r="O125" s="736"/>
    </row>
    <row r="126">
      <c r="A126" s="951" t="s">
        <v>1695</v>
      </c>
      <c r="B126" s="952" t="s">
        <v>60</v>
      </c>
      <c r="C126" s="953">
        <v>42950.0</v>
      </c>
      <c r="D126" s="954" t="s">
        <v>57</v>
      </c>
      <c r="E126" s="948" t="s">
        <v>63</v>
      </c>
      <c r="F126" s="954" t="s">
        <v>66</v>
      </c>
      <c r="G126" s="954" t="s">
        <v>66</v>
      </c>
      <c r="H126" s="954" t="s">
        <v>66</v>
      </c>
      <c r="I126" s="955">
        <v>0.7</v>
      </c>
      <c r="J126" s="948">
        <v>227.0</v>
      </c>
      <c r="K126" s="949">
        <v>0.013390367182188112</v>
      </c>
      <c r="L126" s="950" t="str">
        <f t="shared" si="1"/>
        <v>yes</v>
      </c>
      <c r="M126" s="736"/>
      <c r="N126" s="736"/>
      <c r="O126" s="736"/>
    </row>
    <row r="127">
      <c r="A127" s="951" t="s">
        <v>1663</v>
      </c>
      <c r="B127" s="952" t="s">
        <v>60</v>
      </c>
      <c r="C127" s="953">
        <v>42948.0</v>
      </c>
      <c r="D127" s="954" t="s">
        <v>59</v>
      </c>
      <c r="E127" s="948" t="s">
        <v>63</v>
      </c>
      <c r="F127" s="954" t="s">
        <v>67</v>
      </c>
      <c r="G127" s="954" t="s">
        <v>64</v>
      </c>
      <c r="H127" s="954" t="s">
        <v>65</v>
      </c>
      <c r="I127" s="955">
        <v>0.9</v>
      </c>
      <c r="J127" s="948">
        <v>227.0</v>
      </c>
      <c r="K127" s="949">
        <v>-0.010294542353420977</v>
      </c>
      <c r="L127" s="950" t="str">
        <f t="shared" si="1"/>
        <v>yes</v>
      </c>
      <c r="M127" s="736"/>
      <c r="N127" s="736"/>
      <c r="O127" s="736"/>
    </row>
    <row r="128">
      <c r="A128" s="951" t="s">
        <v>1722</v>
      </c>
      <c r="B128" s="952" t="s">
        <v>60</v>
      </c>
      <c r="C128" s="953">
        <v>42948.0</v>
      </c>
      <c r="D128" s="954" t="s">
        <v>305</v>
      </c>
      <c r="E128" s="948" t="s">
        <v>63</v>
      </c>
      <c r="F128" s="954" t="s">
        <v>65</v>
      </c>
      <c r="G128" s="954" t="s">
        <v>69</v>
      </c>
      <c r="H128" s="954" t="s">
        <v>68</v>
      </c>
      <c r="I128" s="955">
        <v>0.8</v>
      </c>
      <c r="J128" s="948">
        <v>190.0</v>
      </c>
      <c r="K128" s="949">
        <v>0.02100952266726941</v>
      </c>
      <c r="L128" s="950" t="str">
        <f t="shared" si="1"/>
        <v>yes</v>
      </c>
      <c r="M128" s="736"/>
      <c r="N128" s="736"/>
      <c r="O128" s="736"/>
    </row>
    <row r="129">
      <c r="A129" s="951" t="s">
        <v>772</v>
      </c>
      <c r="B129" s="952" t="s">
        <v>56</v>
      </c>
      <c r="C129" s="953">
        <v>42947.0</v>
      </c>
      <c r="D129" s="954" t="s">
        <v>675</v>
      </c>
      <c r="E129" s="948" t="s">
        <v>63</v>
      </c>
      <c r="F129" s="954" t="s">
        <v>80</v>
      </c>
      <c r="G129" s="954" t="s">
        <v>65</v>
      </c>
      <c r="H129" s="954" t="s">
        <v>69</v>
      </c>
      <c r="I129" s="955">
        <v>0.9</v>
      </c>
      <c r="J129" s="948">
        <v>227.0</v>
      </c>
      <c r="K129" s="949">
        <v>-0.02013194473862001</v>
      </c>
      <c r="L129" s="950" t="str">
        <f t="shared" si="1"/>
        <v/>
      </c>
      <c r="M129" s="736"/>
      <c r="N129" s="736"/>
      <c r="O129" s="736"/>
    </row>
    <row r="130">
      <c r="A130" s="951" t="s">
        <v>769</v>
      </c>
      <c r="B130" s="952" t="s">
        <v>56</v>
      </c>
      <c r="C130" s="953">
        <v>42946.0</v>
      </c>
      <c r="D130" s="954" t="s">
        <v>90</v>
      </c>
      <c r="E130" s="948" t="s">
        <v>63</v>
      </c>
      <c r="F130" s="954" t="s">
        <v>65</v>
      </c>
      <c r="G130" s="954" t="s">
        <v>64</v>
      </c>
      <c r="H130" s="954" t="s">
        <v>66</v>
      </c>
      <c r="I130" s="955">
        <v>0.8</v>
      </c>
      <c r="J130" s="948">
        <v>188.0</v>
      </c>
      <c r="K130" s="949">
        <v>0.028529679010574127</v>
      </c>
      <c r="L130" s="950" t="str">
        <f t="shared" si="1"/>
        <v>yes</v>
      </c>
      <c r="M130" s="736"/>
      <c r="N130" s="736"/>
      <c r="O130" s="736"/>
    </row>
    <row r="131">
      <c r="A131" s="951" t="s">
        <v>1833</v>
      </c>
      <c r="B131" s="952" t="s">
        <v>60</v>
      </c>
      <c r="C131" s="953">
        <v>42945.0</v>
      </c>
      <c r="D131" s="954" t="s">
        <v>59</v>
      </c>
      <c r="E131" s="948" t="s">
        <v>63</v>
      </c>
      <c r="F131" s="954" t="s">
        <v>69</v>
      </c>
      <c r="G131" s="954" t="s">
        <v>69</v>
      </c>
      <c r="H131" s="954" t="s">
        <v>68</v>
      </c>
      <c r="I131" s="955">
        <v>0.7</v>
      </c>
      <c r="J131" s="948">
        <v>215.0</v>
      </c>
      <c r="K131" s="949">
        <v>0.010326517030699645</v>
      </c>
      <c r="L131" s="950" t="str">
        <f t="shared" si="1"/>
        <v>yes</v>
      </c>
      <c r="M131" s="736"/>
      <c r="N131" s="736"/>
      <c r="O131" s="736"/>
    </row>
    <row r="132">
      <c r="A132" s="951" t="s">
        <v>1884</v>
      </c>
      <c r="B132" s="952" t="s">
        <v>60</v>
      </c>
      <c r="C132" s="953">
        <v>42945.0</v>
      </c>
      <c r="D132" s="954" t="s">
        <v>629</v>
      </c>
      <c r="E132" s="948" t="s">
        <v>63</v>
      </c>
      <c r="F132" s="954" t="s">
        <v>64</v>
      </c>
      <c r="G132" s="954" t="s">
        <v>69</v>
      </c>
      <c r="H132" s="954" t="s">
        <v>68</v>
      </c>
      <c r="I132" s="955">
        <v>0.8</v>
      </c>
      <c r="J132" s="948">
        <v>192.0</v>
      </c>
      <c r="K132" s="949">
        <v>-0.008479923319460902</v>
      </c>
      <c r="L132" s="950" t="str">
        <f t="shared" si="1"/>
        <v/>
      </c>
      <c r="M132" s="736"/>
      <c r="N132" s="736"/>
      <c r="O132" s="736"/>
    </row>
    <row r="133">
      <c r="A133" s="951" t="s">
        <v>1734</v>
      </c>
      <c r="B133" s="952" t="s">
        <v>60</v>
      </c>
      <c r="C133" s="953">
        <v>42945.0</v>
      </c>
      <c r="D133" s="954" t="s">
        <v>59</v>
      </c>
      <c r="E133" s="948" t="s">
        <v>63</v>
      </c>
      <c r="F133" s="954" t="s">
        <v>64</v>
      </c>
      <c r="G133" s="954" t="s">
        <v>69</v>
      </c>
      <c r="H133" s="954" t="s">
        <v>69</v>
      </c>
      <c r="I133" s="955">
        <v>0.9</v>
      </c>
      <c r="J133" s="948">
        <v>218.0</v>
      </c>
      <c r="K133" s="949">
        <v>0.018765475542598775</v>
      </c>
      <c r="L133" s="950" t="str">
        <f t="shared" si="1"/>
        <v/>
      </c>
      <c r="M133" s="736"/>
      <c r="N133" s="736"/>
      <c r="O133" s="736"/>
    </row>
    <row r="134">
      <c r="A134" s="951" t="s">
        <v>623</v>
      </c>
      <c r="B134" s="952" t="s">
        <v>60</v>
      </c>
      <c r="C134" s="953">
        <v>42945.0</v>
      </c>
      <c r="D134" s="954" t="s">
        <v>59</v>
      </c>
      <c r="E134" s="948" t="s">
        <v>63</v>
      </c>
      <c r="F134" s="954" t="s">
        <v>65</v>
      </c>
      <c r="G134" s="954" t="s">
        <v>69</v>
      </c>
      <c r="H134" s="954" t="s">
        <v>66</v>
      </c>
      <c r="I134" s="955">
        <v>0.9</v>
      </c>
      <c r="J134" s="948">
        <v>181.4</v>
      </c>
      <c r="K134" s="949">
        <v>0.008883935608874238</v>
      </c>
      <c r="L134" s="950" t="str">
        <f t="shared" si="1"/>
        <v/>
      </c>
      <c r="M134" s="736"/>
      <c r="N134" s="736"/>
      <c r="O134" s="736"/>
    </row>
    <row r="135">
      <c r="A135" s="951" t="s">
        <v>1615</v>
      </c>
      <c r="B135" s="952" t="s">
        <v>60</v>
      </c>
      <c r="C135" s="953">
        <v>42944.0</v>
      </c>
      <c r="D135" s="954" t="s">
        <v>629</v>
      </c>
      <c r="E135" s="948" t="s">
        <v>63</v>
      </c>
      <c r="F135" s="954" t="s">
        <v>64</v>
      </c>
      <c r="G135" s="954" t="s">
        <v>69</v>
      </c>
      <c r="H135" s="954" t="s">
        <v>69</v>
      </c>
      <c r="I135" s="955">
        <v>0.9</v>
      </c>
      <c r="J135" s="948">
        <v>189.0</v>
      </c>
      <c r="K135" s="949">
        <v>1.430302883620449E-5</v>
      </c>
      <c r="L135" s="950" t="str">
        <f t="shared" si="1"/>
        <v/>
      </c>
      <c r="M135" s="736"/>
      <c r="N135" s="736"/>
      <c r="O135" s="736"/>
    </row>
    <row r="136">
      <c r="A136" s="951" t="s">
        <v>1866</v>
      </c>
      <c r="B136" s="952" t="s">
        <v>60</v>
      </c>
      <c r="C136" s="953">
        <v>42941.0</v>
      </c>
      <c r="D136" s="954" t="s">
        <v>305</v>
      </c>
      <c r="E136" s="948" t="s">
        <v>63</v>
      </c>
      <c r="F136" s="954" t="s">
        <v>69</v>
      </c>
      <c r="G136" s="954" t="s">
        <v>66</v>
      </c>
      <c r="H136" s="954" t="s">
        <v>68</v>
      </c>
      <c r="I136" s="955">
        <v>0.9</v>
      </c>
      <c r="J136" s="948">
        <v>193.0</v>
      </c>
      <c r="K136" s="949">
        <v>0.018145809624524833</v>
      </c>
      <c r="L136" s="950" t="str">
        <f t="shared" si="1"/>
        <v/>
      </c>
      <c r="M136" s="736"/>
      <c r="N136" s="736"/>
      <c r="O136" s="736"/>
    </row>
    <row r="137">
      <c r="A137" s="951" t="s">
        <v>1634</v>
      </c>
      <c r="B137" s="952" t="s">
        <v>60</v>
      </c>
      <c r="C137" s="953">
        <v>42940.0</v>
      </c>
      <c r="D137" s="954" t="s">
        <v>59</v>
      </c>
      <c r="E137" s="948" t="s">
        <v>63</v>
      </c>
      <c r="F137" s="954" t="s">
        <v>65</v>
      </c>
      <c r="G137" s="954" t="s">
        <v>68</v>
      </c>
      <c r="H137" s="954" t="s">
        <v>68</v>
      </c>
      <c r="I137" s="955">
        <v>0.8</v>
      </c>
      <c r="J137" s="948">
        <v>221.0</v>
      </c>
      <c r="K137" s="949">
        <v>0.01893308821132833</v>
      </c>
      <c r="L137" s="950" t="str">
        <f t="shared" si="1"/>
        <v>yes</v>
      </c>
      <c r="M137" s="736"/>
      <c r="N137" s="736"/>
      <c r="O137" s="736"/>
    </row>
    <row r="138">
      <c r="A138" s="951" t="s">
        <v>743</v>
      </c>
      <c r="B138" s="952" t="s">
        <v>56</v>
      </c>
      <c r="C138" s="953">
        <v>42939.0</v>
      </c>
      <c r="D138" s="954" t="s">
        <v>59</v>
      </c>
      <c r="E138" s="948" t="s">
        <v>63</v>
      </c>
      <c r="F138" s="954" t="s">
        <v>69</v>
      </c>
      <c r="G138" s="954" t="s">
        <v>69</v>
      </c>
      <c r="H138" s="954" t="s">
        <v>68</v>
      </c>
      <c r="I138" s="955">
        <v>0.8</v>
      </c>
      <c r="J138" s="948">
        <v>205.0</v>
      </c>
      <c r="K138" s="949">
        <v>0.03186634481245876</v>
      </c>
      <c r="L138" s="950" t="str">
        <f t="shared" si="1"/>
        <v>yes</v>
      </c>
      <c r="M138" s="736"/>
      <c r="N138" s="736"/>
      <c r="O138" s="736"/>
    </row>
    <row r="139">
      <c r="A139" s="951" t="s">
        <v>1632</v>
      </c>
      <c r="B139" s="952" t="s">
        <v>60</v>
      </c>
      <c r="C139" s="953">
        <v>42938.0</v>
      </c>
      <c r="D139" s="954" t="s">
        <v>619</v>
      </c>
      <c r="E139" s="948" t="s">
        <v>63</v>
      </c>
      <c r="F139" s="954" t="s">
        <v>69</v>
      </c>
      <c r="G139" s="954" t="s">
        <v>69</v>
      </c>
      <c r="H139" s="954" t="s">
        <v>66</v>
      </c>
      <c r="I139" s="955">
        <v>0.8</v>
      </c>
      <c r="J139" s="948">
        <v>230.0</v>
      </c>
      <c r="K139" s="949">
        <v>-0.0014587071101512805</v>
      </c>
      <c r="L139" s="950" t="str">
        <f t="shared" si="1"/>
        <v>yes</v>
      </c>
      <c r="M139" s="736"/>
      <c r="N139" s="736"/>
      <c r="O139" s="736"/>
    </row>
    <row r="140">
      <c r="A140" s="951" t="s">
        <v>1714</v>
      </c>
      <c r="B140" s="952" t="s">
        <v>60</v>
      </c>
      <c r="C140" s="953">
        <v>42937.0</v>
      </c>
      <c r="D140" s="954" t="s">
        <v>57</v>
      </c>
      <c r="E140" s="948" t="s">
        <v>63</v>
      </c>
      <c r="F140" s="954" t="s">
        <v>67</v>
      </c>
      <c r="G140" s="954" t="s">
        <v>69</v>
      </c>
      <c r="H140" s="954" t="s">
        <v>69</v>
      </c>
      <c r="I140" s="955"/>
      <c r="J140" s="948">
        <v>218.0</v>
      </c>
      <c r="K140" s="949">
        <v>0.00211706242801446</v>
      </c>
      <c r="L140" s="950" t="str">
        <f t="shared" si="1"/>
        <v/>
      </c>
      <c r="M140" s="736"/>
      <c r="N140" s="736"/>
      <c r="O140" s="736"/>
    </row>
    <row r="141">
      <c r="A141" s="951" t="s">
        <v>161</v>
      </c>
      <c r="B141" s="952" t="s">
        <v>56</v>
      </c>
      <c r="C141" s="953">
        <v>42937.0</v>
      </c>
      <c r="D141" s="954" t="s">
        <v>59</v>
      </c>
      <c r="E141" s="948" t="s">
        <v>63</v>
      </c>
      <c r="F141" s="954" t="s">
        <v>64</v>
      </c>
      <c r="G141" s="954" t="s">
        <v>69</v>
      </c>
      <c r="H141" s="954" t="s">
        <v>69</v>
      </c>
      <c r="I141" s="955">
        <v>0.9</v>
      </c>
      <c r="J141" s="948">
        <v>185.0</v>
      </c>
      <c r="K141" s="949">
        <v>-0.005539276398509707</v>
      </c>
      <c r="L141" s="950" t="str">
        <f t="shared" si="1"/>
        <v/>
      </c>
      <c r="M141" s="736"/>
      <c r="N141" s="736"/>
      <c r="O141" s="736"/>
    </row>
    <row r="142">
      <c r="A142" s="951" t="s">
        <v>1837</v>
      </c>
      <c r="B142" s="952" t="s">
        <v>60</v>
      </c>
      <c r="C142" s="953">
        <v>42936.0</v>
      </c>
      <c r="D142" s="954" t="s">
        <v>305</v>
      </c>
      <c r="E142" s="948" t="s">
        <v>63</v>
      </c>
      <c r="F142" s="954" t="s">
        <v>65</v>
      </c>
      <c r="G142" s="954" t="s">
        <v>64</v>
      </c>
      <c r="H142" s="954" t="s">
        <v>69</v>
      </c>
      <c r="I142" s="955">
        <v>0.9</v>
      </c>
      <c r="J142" s="948">
        <v>207.0</v>
      </c>
      <c r="K142" s="949">
        <v>0.036281205520864446</v>
      </c>
      <c r="L142" s="950" t="str">
        <f t="shared" si="1"/>
        <v>yes</v>
      </c>
      <c r="M142" s="736"/>
      <c r="N142" s="736"/>
      <c r="O142" s="736"/>
    </row>
    <row r="143">
      <c r="A143" s="951" t="s">
        <v>1637</v>
      </c>
      <c r="B143" s="952" t="s">
        <v>60</v>
      </c>
      <c r="C143" s="953">
        <v>42936.0</v>
      </c>
      <c r="D143" s="954" t="s">
        <v>118</v>
      </c>
      <c r="E143" s="948" t="s">
        <v>63</v>
      </c>
      <c r="F143" s="954" t="s">
        <v>67</v>
      </c>
      <c r="G143" s="954" t="s">
        <v>64</v>
      </c>
      <c r="H143" s="954" t="s">
        <v>69</v>
      </c>
      <c r="I143" s="955">
        <v>0.8</v>
      </c>
      <c r="J143" s="948">
        <v>205.0</v>
      </c>
      <c r="K143" s="949">
        <v>0.020615615320171865</v>
      </c>
      <c r="L143" s="950" t="str">
        <f t="shared" si="1"/>
        <v/>
      </c>
      <c r="M143" s="736"/>
      <c r="N143" s="736"/>
      <c r="O143" s="736"/>
    </row>
    <row r="144">
      <c r="A144" s="951" t="s">
        <v>1714</v>
      </c>
      <c r="B144" s="952" t="s">
        <v>60</v>
      </c>
      <c r="C144" s="953">
        <v>42933.0</v>
      </c>
      <c r="D144" s="954" t="s">
        <v>57</v>
      </c>
      <c r="E144" s="948" t="s">
        <v>63</v>
      </c>
      <c r="F144" s="954" t="s">
        <v>67</v>
      </c>
      <c r="G144" s="954" t="s">
        <v>69</v>
      </c>
      <c r="H144" s="954" t="s">
        <v>69</v>
      </c>
      <c r="I144" s="955"/>
      <c r="J144" s="948">
        <v>218.0</v>
      </c>
      <c r="K144" s="949">
        <v>0.004532751948521652</v>
      </c>
      <c r="L144" s="950" t="str">
        <f t="shared" si="1"/>
        <v/>
      </c>
      <c r="M144" s="736"/>
      <c r="N144" s="736"/>
      <c r="O144" s="736"/>
    </row>
    <row r="145">
      <c r="A145" s="951" t="s">
        <v>757</v>
      </c>
      <c r="B145" s="952" t="s">
        <v>56</v>
      </c>
      <c r="C145" s="953">
        <v>42930.0</v>
      </c>
      <c r="D145" s="954" t="s">
        <v>629</v>
      </c>
      <c r="E145" s="948" t="s">
        <v>63</v>
      </c>
      <c r="F145" s="954" t="s">
        <v>67</v>
      </c>
      <c r="G145" s="954" t="s">
        <v>64</v>
      </c>
      <c r="H145" s="954" t="s">
        <v>66</v>
      </c>
      <c r="I145" s="955">
        <v>0.8</v>
      </c>
      <c r="J145" s="948">
        <v>178.0</v>
      </c>
      <c r="K145" s="949">
        <v>0.00926908552035921</v>
      </c>
      <c r="L145" s="950" t="str">
        <f t="shared" si="1"/>
        <v>yes</v>
      </c>
      <c r="M145" s="736"/>
      <c r="N145" s="736"/>
      <c r="O145" s="736"/>
    </row>
    <row r="146">
      <c r="A146" s="951" t="s">
        <v>762</v>
      </c>
      <c r="B146" s="952" t="s">
        <v>56</v>
      </c>
      <c r="C146" s="953">
        <v>42930.0</v>
      </c>
      <c r="D146" s="954" t="s">
        <v>59</v>
      </c>
      <c r="E146" s="948" t="s">
        <v>63</v>
      </c>
      <c r="F146" s="954" t="s">
        <v>64</v>
      </c>
      <c r="G146" s="954" t="s">
        <v>64</v>
      </c>
      <c r="H146" s="954" t="s">
        <v>68</v>
      </c>
      <c r="I146" s="955">
        <v>0.9</v>
      </c>
      <c r="J146" s="948">
        <v>207.0</v>
      </c>
      <c r="K146" s="949">
        <v>0.037932102033003234</v>
      </c>
      <c r="L146" s="950" t="str">
        <f t="shared" si="1"/>
        <v>yes</v>
      </c>
      <c r="M146" s="736"/>
      <c r="N146" s="736"/>
      <c r="O146" s="736"/>
    </row>
    <row r="147">
      <c r="A147" s="951" t="s">
        <v>126</v>
      </c>
      <c r="B147" s="952" t="s">
        <v>60</v>
      </c>
      <c r="C147" s="953">
        <v>42929.0</v>
      </c>
      <c r="D147" s="954" t="s">
        <v>79</v>
      </c>
      <c r="E147" s="948" t="s">
        <v>63</v>
      </c>
      <c r="F147" s="954" t="s">
        <v>65</v>
      </c>
      <c r="G147" s="954" t="s">
        <v>127</v>
      </c>
      <c r="H147" s="954" t="s">
        <v>69</v>
      </c>
      <c r="I147" s="955">
        <v>1.0</v>
      </c>
      <c r="J147" s="948">
        <v>212.0</v>
      </c>
      <c r="K147" s="949">
        <v>0.015528242449638574</v>
      </c>
      <c r="L147" s="950" t="str">
        <f t="shared" si="1"/>
        <v/>
      </c>
      <c r="M147" s="736"/>
      <c r="N147" s="736"/>
      <c r="O147" s="736"/>
    </row>
    <row r="148">
      <c r="A148" s="951" t="s">
        <v>1726</v>
      </c>
      <c r="B148" s="952" t="s">
        <v>60</v>
      </c>
      <c r="C148" s="953">
        <v>42929.0</v>
      </c>
      <c r="D148" s="954" t="s">
        <v>305</v>
      </c>
      <c r="E148" s="948" t="s">
        <v>63</v>
      </c>
      <c r="F148" s="954" t="s">
        <v>64</v>
      </c>
      <c r="G148" s="954" t="s">
        <v>64</v>
      </c>
      <c r="H148" s="954" t="s">
        <v>69</v>
      </c>
      <c r="I148" s="955">
        <v>0.8</v>
      </c>
      <c r="J148" s="948">
        <v>233.0</v>
      </c>
      <c r="K148" s="949">
        <v>-0.0023512680465023195</v>
      </c>
      <c r="L148" s="950" t="str">
        <f t="shared" si="1"/>
        <v/>
      </c>
      <c r="M148" s="736"/>
      <c r="N148" s="736"/>
      <c r="O148" s="736"/>
    </row>
    <row r="149">
      <c r="A149" s="951" t="s">
        <v>1322</v>
      </c>
      <c r="B149" s="952" t="s">
        <v>60</v>
      </c>
      <c r="C149" s="953">
        <v>42929.0</v>
      </c>
      <c r="D149" s="954" t="s">
        <v>86</v>
      </c>
      <c r="E149" s="948" t="s">
        <v>63</v>
      </c>
      <c r="F149" s="954" t="s">
        <v>80</v>
      </c>
      <c r="G149" s="954" t="s">
        <v>65</v>
      </c>
      <c r="H149" s="954" t="s">
        <v>67</v>
      </c>
      <c r="I149" s="955">
        <v>0.5</v>
      </c>
      <c r="J149" s="948">
        <v>248.0</v>
      </c>
      <c r="K149" s="949">
        <v>0.02896562287925253</v>
      </c>
      <c r="L149" s="950" t="str">
        <f t="shared" si="1"/>
        <v>yes</v>
      </c>
      <c r="M149" s="736"/>
      <c r="N149" s="736"/>
      <c r="O149" s="736"/>
    </row>
    <row r="150">
      <c r="A150" s="951" t="s">
        <v>788</v>
      </c>
      <c r="B150" s="952" t="s">
        <v>56</v>
      </c>
      <c r="C150" s="953">
        <v>42929.0</v>
      </c>
      <c r="D150" s="954" t="s">
        <v>59</v>
      </c>
      <c r="E150" s="948" t="s">
        <v>63</v>
      </c>
      <c r="F150" s="954" t="s">
        <v>64</v>
      </c>
      <c r="G150" s="954" t="s">
        <v>69</v>
      </c>
      <c r="H150" s="954" t="s">
        <v>68</v>
      </c>
      <c r="I150" s="955">
        <v>0.9</v>
      </c>
      <c r="J150" s="948">
        <v>201.0</v>
      </c>
      <c r="K150" s="949">
        <v>0.00222645353679507</v>
      </c>
      <c r="L150" s="950" t="str">
        <f t="shared" si="1"/>
        <v>yes</v>
      </c>
      <c r="M150" s="736"/>
      <c r="N150" s="736"/>
      <c r="O150" s="736"/>
    </row>
    <row r="151">
      <c r="A151" s="951" t="s">
        <v>126</v>
      </c>
      <c r="B151" s="952" t="s">
        <v>60</v>
      </c>
      <c r="C151" s="953">
        <v>42928.0</v>
      </c>
      <c r="D151" s="954" t="s">
        <v>79</v>
      </c>
      <c r="E151" s="948" t="s">
        <v>63</v>
      </c>
      <c r="F151" s="954" t="s">
        <v>65</v>
      </c>
      <c r="G151" s="954" t="s">
        <v>127</v>
      </c>
      <c r="H151" s="954" t="s">
        <v>69</v>
      </c>
      <c r="I151" s="955">
        <v>1.0</v>
      </c>
      <c r="J151" s="948">
        <v>212.0</v>
      </c>
      <c r="K151" s="949">
        <v>0.01549697653978277</v>
      </c>
      <c r="L151" s="950" t="str">
        <f t="shared" si="1"/>
        <v/>
      </c>
      <c r="M151" s="736"/>
      <c r="N151" s="736"/>
      <c r="O151" s="736"/>
    </row>
    <row r="152">
      <c r="A152" s="951" t="s">
        <v>1795</v>
      </c>
      <c r="B152" s="952" t="s">
        <v>60</v>
      </c>
      <c r="C152" s="953">
        <v>42925.0</v>
      </c>
      <c r="D152" s="954" t="s">
        <v>59</v>
      </c>
      <c r="E152" s="948" t="s">
        <v>63</v>
      </c>
      <c r="F152" s="954" t="s">
        <v>67</v>
      </c>
      <c r="G152" s="954" t="s">
        <v>69</v>
      </c>
      <c r="H152" s="954" t="s">
        <v>64</v>
      </c>
      <c r="I152" s="955">
        <v>0.9</v>
      </c>
      <c r="J152" s="948">
        <v>212.0</v>
      </c>
      <c r="K152" s="949">
        <v>0.012133070477448937</v>
      </c>
      <c r="L152" s="950" t="str">
        <f t="shared" si="1"/>
        <v/>
      </c>
      <c r="M152" s="736"/>
      <c r="N152" s="736"/>
      <c r="O152" s="736"/>
    </row>
    <row r="153">
      <c r="A153" s="951" t="s">
        <v>1811</v>
      </c>
      <c r="B153" s="952" t="s">
        <v>60</v>
      </c>
      <c r="C153" s="953">
        <v>42921.0</v>
      </c>
      <c r="D153" s="954" t="s">
        <v>59</v>
      </c>
      <c r="E153" s="948" t="s">
        <v>63</v>
      </c>
      <c r="F153" s="954" t="s">
        <v>69</v>
      </c>
      <c r="G153" s="954" t="s">
        <v>69</v>
      </c>
      <c r="H153" s="954" t="s">
        <v>66</v>
      </c>
      <c r="I153" s="955">
        <v>0.8</v>
      </c>
      <c r="J153" s="948">
        <v>218.0</v>
      </c>
      <c r="K153" s="949">
        <v>-0.00803155493520491</v>
      </c>
      <c r="L153" s="950" t="str">
        <f t="shared" si="1"/>
        <v>yes</v>
      </c>
      <c r="M153" s="736"/>
      <c r="N153" s="736"/>
      <c r="O153" s="736"/>
    </row>
    <row r="154">
      <c r="A154" s="951" t="s">
        <v>169</v>
      </c>
      <c r="B154" s="952" t="s">
        <v>55</v>
      </c>
      <c r="C154" s="953">
        <v>42920.0</v>
      </c>
      <c r="D154" s="954" t="s">
        <v>59</v>
      </c>
      <c r="E154" s="948" t="s">
        <v>63</v>
      </c>
      <c r="F154" s="954" t="s">
        <v>64</v>
      </c>
      <c r="G154" s="954" t="s">
        <v>64</v>
      </c>
      <c r="H154" s="954" t="s">
        <v>69</v>
      </c>
      <c r="I154" s="955">
        <v>0.9</v>
      </c>
      <c r="J154" s="948">
        <v>220.0</v>
      </c>
      <c r="K154" s="949">
        <v>2.1219334745059548E-4</v>
      </c>
      <c r="L154" s="950" t="str">
        <f t="shared" si="1"/>
        <v>yes</v>
      </c>
      <c r="M154" s="736"/>
      <c r="N154" s="736"/>
      <c r="O154" s="736"/>
    </row>
    <row r="155">
      <c r="A155" s="951" t="s">
        <v>1729</v>
      </c>
      <c r="B155" s="952" t="s">
        <v>60</v>
      </c>
      <c r="C155" s="953">
        <v>42919.0</v>
      </c>
      <c r="D155" s="954" t="s">
        <v>79</v>
      </c>
      <c r="E155" s="948" t="s">
        <v>195</v>
      </c>
      <c r="F155" s="954" t="s">
        <v>65</v>
      </c>
      <c r="G155" s="954" t="s">
        <v>80</v>
      </c>
      <c r="H155" s="954" t="s">
        <v>65</v>
      </c>
      <c r="I155" s="955">
        <v>0.9</v>
      </c>
      <c r="J155" s="948">
        <v>223.0</v>
      </c>
      <c r="K155" s="949">
        <v>3.703415678052435E-4</v>
      </c>
      <c r="L155" s="950" t="str">
        <f t="shared" si="1"/>
        <v>yes</v>
      </c>
      <c r="M155" s="736"/>
      <c r="N155" s="736"/>
      <c r="O155" s="736"/>
    </row>
    <row r="156">
      <c r="A156" s="951" t="s">
        <v>1454</v>
      </c>
      <c r="B156" s="952" t="s">
        <v>60</v>
      </c>
      <c r="C156" s="953">
        <v>42917.0</v>
      </c>
      <c r="D156" s="954" t="s">
        <v>118</v>
      </c>
      <c r="E156" s="948" t="s">
        <v>63</v>
      </c>
      <c r="F156" s="954" t="s">
        <v>64</v>
      </c>
      <c r="G156" s="954" t="s">
        <v>65</v>
      </c>
      <c r="H156" s="954" t="s">
        <v>68</v>
      </c>
      <c r="I156" s="955">
        <v>0.9</v>
      </c>
      <c r="J156" s="948">
        <v>203.0</v>
      </c>
      <c r="K156" s="949">
        <v>0.023928367733186184</v>
      </c>
      <c r="L156" s="950" t="str">
        <f t="shared" si="1"/>
        <v/>
      </c>
      <c r="M156" s="736"/>
      <c r="N156" s="736"/>
      <c r="O156" s="736"/>
    </row>
    <row r="157">
      <c r="A157" s="951" t="s">
        <v>1615</v>
      </c>
      <c r="B157" s="952" t="s">
        <v>60</v>
      </c>
      <c r="C157" s="953">
        <v>42914.0</v>
      </c>
      <c r="D157" s="954" t="s">
        <v>629</v>
      </c>
      <c r="E157" s="948" t="s">
        <v>63</v>
      </c>
      <c r="F157" s="954" t="s">
        <v>67</v>
      </c>
      <c r="G157" s="954" t="s">
        <v>65</v>
      </c>
      <c r="H157" s="954" t="s">
        <v>64</v>
      </c>
      <c r="I157" s="955">
        <v>0.9</v>
      </c>
      <c r="J157" s="948">
        <v>196.0</v>
      </c>
      <c r="K157" s="949">
        <v>-0.018504281712531934</v>
      </c>
      <c r="L157" s="950" t="str">
        <f t="shared" si="1"/>
        <v/>
      </c>
      <c r="M157" s="736"/>
      <c r="N157" s="736"/>
      <c r="O157" s="736"/>
    </row>
    <row r="158">
      <c r="A158" s="951" t="s">
        <v>194</v>
      </c>
      <c r="B158" s="952" t="s">
        <v>55</v>
      </c>
      <c r="C158" s="953">
        <v>42911.0</v>
      </c>
      <c r="D158" s="954" t="s">
        <v>109</v>
      </c>
      <c r="E158" s="948" t="s">
        <v>63</v>
      </c>
      <c r="F158" s="954" t="s">
        <v>69</v>
      </c>
      <c r="G158" s="954" t="s">
        <v>69</v>
      </c>
      <c r="H158" s="954" t="s">
        <v>68</v>
      </c>
      <c r="I158" s="955">
        <v>0.9</v>
      </c>
      <c r="J158" s="948">
        <v>224.0</v>
      </c>
      <c r="K158" s="949">
        <v>-0.04677197433911895</v>
      </c>
      <c r="L158" s="950" t="str">
        <f t="shared" si="1"/>
        <v>yes</v>
      </c>
      <c r="M158" s="736"/>
      <c r="N158" s="736"/>
      <c r="O158" s="736"/>
    </row>
    <row r="159">
      <c r="A159" s="951" t="s">
        <v>749</v>
      </c>
      <c r="B159" s="952" t="s">
        <v>56</v>
      </c>
      <c r="C159" s="953">
        <v>42911.0</v>
      </c>
      <c r="D159" s="954" t="s">
        <v>619</v>
      </c>
      <c r="E159" s="948" t="s">
        <v>63</v>
      </c>
      <c r="F159" s="954" t="s">
        <v>65</v>
      </c>
      <c r="G159" s="954" t="s">
        <v>69</v>
      </c>
      <c r="H159" s="954" t="s">
        <v>68</v>
      </c>
      <c r="I159" s="955">
        <v>0.8</v>
      </c>
      <c r="J159" s="948">
        <v>193.0</v>
      </c>
      <c r="K159" s="949">
        <v>0.01068971522370954</v>
      </c>
      <c r="L159" s="950" t="str">
        <f t="shared" si="1"/>
        <v>yes</v>
      </c>
      <c r="M159" s="736"/>
      <c r="N159" s="736"/>
      <c r="O159" s="736"/>
    </row>
    <row r="160">
      <c r="A160" s="951" t="s">
        <v>519</v>
      </c>
      <c r="B160" s="952" t="s">
        <v>56</v>
      </c>
      <c r="C160" s="953">
        <v>42911.0</v>
      </c>
      <c r="D160" s="954" t="s">
        <v>305</v>
      </c>
      <c r="E160" s="948" t="s">
        <v>63</v>
      </c>
      <c r="F160" s="954" t="s">
        <v>65</v>
      </c>
      <c r="G160" s="954" t="s">
        <v>69</v>
      </c>
      <c r="H160" s="954" t="s">
        <v>68</v>
      </c>
      <c r="I160" s="955">
        <v>0.8</v>
      </c>
      <c r="J160" s="948">
        <v>180.0</v>
      </c>
      <c r="K160" s="949">
        <v>0.016548189436910277</v>
      </c>
      <c r="L160" s="950" t="str">
        <f t="shared" si="1"/>
        <v/>
      </c>
      <c r="M160" s="736"/>
      <c r="N160" s="736"/>
      <c r="O160" s="736"/>
    </row>
    <row r="161">
      <c r="A161" s="951" t="s">
        <v>1884</v>
      </c>
      <c r="B161" s="952" t="s">
        <v>60</v>
      </c>
      <c r="C161" s="953">
        <v>42910.0</v>
      </c>
      <c r="D161" s="954" t="s">
        <v>629</v>
      </c>
      <c r="E161" s="948" t="s">
        <v>63</v>
      </c>
      <c r="F161" s="954" t="s">
        <v>64</v>
      </c>
      <c r="G161" s="954" t="s">
        <v>64</v>
      </c>
      <c r="H161" s="954" t="s">
        <v>68</v>
      </c>
      <c r="I161" s="955">
        <v>0.9</v>
      </c>
      <c r="J161" s="948">
        <v>196.0</v>
      </c>
      <c r="K161" s="949">
        <v>-0.020028224320994714</v>
      </c>
      <c r="L161" s="950" t="str">
        <f t="shared" si="1"/>
        <v/>
      </c>
      <c r="M161" s="736"/>
      <c r="N161" s="736"/>
      <c r="O161" s="736"/>
    </row>
    <row r="162">
      <c r="A162" s="951" t="s">
        <v>1493</v>
      </c>
      <c r="B162" s="952" t="s">
        <v>60</v>
      </c>
      <c r="C162" s="953">
        <v>42910.0</v>
      </c>
      <c r="D162" s="954" t="s">
        <v>59</v>
      </c>
      <c r="E162" s="948" t="s">
        <v>63</v>
      </c>
      <c r="F162" s="954" t="s">
        <v>65</v>
      </c>
      <c r="G162" s="954" t="s">
        <v>69</v>
      </c>
      <c r="H162" s="954" t="s">
        <v>66</v>
      </c>
      <c r="I162" s="955">
        <v>0.9</v>
      </c>
      <c r="J162" s="948">
        <v>206.0</v>
      </c>
      <c r="K162" s="949">
        <v>-0.0023905162252891854</v>
      </c>
      <c r="L162" s="950" t="str">
        <f t="shared" si="1"/>
        <v/>
      </c>
      <c r="M162" s="736"/>
      <c r="N162" s="736"/>
      <c r="O162" s="736"/>
    </row>
    <row r="163">
      <c r="A163" s="951" t="s">
        <v>1454</v>
      </c>
      <c r="B163" s="952" t="s">
        <v>60</v>
      </c>
      <c r="C163" s="953">
        <v>42909.0</v>
      </c>
      <c r="D163" s="954" t="s">
        <v>118</v>
      </c>
      <c r="E163" s="948" t="s">
        <v>63</v>
      </c>
      <c r="F163" s="954" t="s">
        <v>64</v>
      </c>
      <c r="G163" s="954" t="s">
        <v>64</v>
      </c>
      <c r="H163" s="954" t="s">
        <v>68</v>
      </c>
      <c r="I163" s="955">
        <v>0.9</v>
      </c>
      <c r="J163" s="948">
        <v>200.0</v>
      </c>
      <c r="K163" s="949">
        <v>0.023527534947538453</v>
      </c>
      <c r="L163" s="950" t="str">
        <f t="shared" si="1"/>
        <v/>
      </c>
      <c r="M163" s="736"/>
      <c r="N163" s="736"/>
      <c r="O163" s="736"/>
    </row>
    <row r="164">
      <c r="A164" s="951" t="s">
        <v>1611</v>
      </c>
      <c r="B164" s="952" t="s">
        <v>60</v>
      </c>
      <c r="C164" s="953">
        <v>42908.0</v>
      </c>
      <c r="D164" s="954" t="s">
        <v>79</v>
      </c>
      <c r="E164" s="948" t="s">
        <v>63</v>
      </c>
      <c r="F164" s="954" t="s">
        <v>69</v>
      </c>
      <c r="G164" s="954" t="s">
        <v>69</v>
      </c>
      <c r="H164" s="954" t="s">
        <v>68</v>
      </c>
      <c r="I164" s="955">
        <v>0.9</v>
      </c>
      <c r="J164" s="948">
        <v>201.0</v>
      </c>
      <c r="K164" s="949">
        <v>0.026234848905352992</v>
      </c>
      <c r="L164" s="950" t="str">
        <f t="shared" si="1"/>
        <v>yes</v>
      </c>
      <c r="M164" s="736"/>
      <c r="N164" s="736"/>
      <c r="O164" s="736"/>
    </row>
    <row r="165">
      <c r="A165" s="951" t="s">
        <v>1757</v>
      </c>
      <c r="B165" s="952" t="s">
        <v>60</v>
      </c>
      <c r="C165" s="953">
        <v>42907.0</v>
      </c>
      <c r="D165" s="954" t="s">
        <v>118</v>
      </c>
      <c r="E165" s="948" t="s">
        <v>63</v>
      </c>
      <c r="F165" s="954" t="s">
        <v>127</v>
      </c>
      <c r="G165" s="954" t="s">
        <v>69</v>
      </c>
      <c r="H165" s="954" t="s">
        <v>68</v>
      </c>
      <c r="I165" s="955">
        <v>0.9</v>
      </c>
      <c r="J165" s="948">
        <v>210.0</v>
      </c>
      <c r="K165" s="949">
        <v>-0.00932045702827733</v>
      </c>
      <c r="L165" s="950" t="str">
        <f t="shared" si="1"/>
        <v/>
      </c>
      <c r="M165" s="736"/>
      <c r="N165" s="736"/>
      <c r="O165" s="736"/>
    </row>
    <row r="166">
      <c r="A166" s="951" t="s">
        <v>1726</v>
      </c>
      <c r="B166" s="952" t="s">
        <v>60</v>
      </c>
      <c r="C166" s="953">
        <v>42907.0</v>
      </c>
      <c r="D166" s="954" t="s">
        <v>305</v>
      </c>
      <c r="E166" s="948" t="s">
        <v>63</v>
      </c>
      <c r="F166" s="954" t="s">
        <v>64</v>
      </c>
      <c r="G166" s="954" t="s">
        <v>64</v>
      </c>
      <c r="H166" s="954" t="s">
        <v>69</v>
      </c>
      <c r="I166" s="955">
        <v>0.8</v>
      </c>
      <c r="J166" s="948">
        <v>234.0</v>
      </c>
      <c r="K166" s="949">
        <v>0.0015842014371904023</v>
      </c>
      <c r="L166" s="950" t="str">
        <f t="shared" si="1"/>
        <v/>
      </c>
      <c r="M166" s="736"/>
      <c r="N166" s="736"/>
      <c r="O166" s="736"/>
    </row>
    <row r="167">
      <c r="A167" s="951" t="s">
        <v>739</v>
      </c>
      <c r="B167" s="952" t="s">
        <v>56</v>
      </c>
      <c r="C167" s="953">
        <v>42906.0</v>
      </c>
      <c r="D167" s="954" t="s">
        <v>629</v>
      </c>
      <c r="E167" s="948" t="s">
        <v>63</v>
      </c>
      <c r="F167" s="954" t="s">
        <v>67</v>
      </c>
      <c r="G167" s="954" t="s">
        <v>66</v>
      </c>
      <c r="H167" s="954" t="s">
        <v>66</v>
      </c>
      <c r="I167" s="955">
        <v>0.9</v>
      </c>
      <c r="J167" s="948">
        <v>185.0</v>
      </c>
      <c r="K167" s="949">
        <v>-0.018099578967581853</v>
      </c>
      <c r="L167" s="950" t="str">
        <f t="shared" si="1"/>
        <v>yes</v>
      </c>
      <c r="M167" s="736"/>
      <c r="N167" s="736"/>
      <c r="O167" s="736"/>
    </row>
    <row r="168">
      <c r="A168" s="951" t="s">
        <v>161</v>
      </c>
      <c r="B168" s="952" t="s">
        <v>56</v>
      </c>
      <c r="C168" s="953">
        <v>42905.0</v>
      </c>
      <c r="D168" s="954" t="s">
        <v>59</v>
      </c>
      <c r="E168" s="948" t="s">
        <v>63</v>
      </c>
      <c r="F168" s="954" t="s">
        <v>64</v>
      </c>
      <c r="G168" s="954" t="s">
        <v>69</v>
      </c>
      <c r="H168" s="954" t="s">
        <v>69</v>
      </c>
      <c r="I168" s="955">
        <v>0.9</v>
      </c>
      <c r="J168" s="948">
        <v>185.0</v>
      </c>
      <c r="K168" s="949">
        <v>-0.005753963389197425</v>
      </c>
      <c r="L168" s="950" t="str">
        <f t="shared" si="1"/>
        <v/>
      </c>
      <c r="M168" s="736"/>
      <c r="N168" s="736"/>
      <c r="O168" s="736"/>
    </row>
    <row r="169">
      <c r="A169" s="951" t="s">
        <v>1884</v>
      </c>
      <c r="B169" s="952" t="s">
        <v>60</v>
      </c>
      <c r="C169" s="953">
        <v>42903.0</v>
      </c>
      <c r="D169" s="954" t="s">
        <v>629</v>
      </c>
      <c r="E169" s="948" t="s">
        <v>63</v>
      </c>
      <c r="F169" s="954" t="s">
        <v>69</v>
      </c>
      <c r="G169" s="954" t="s">
        <v>64</v>
      </c>
      <c r="H169" s="954" t="s">
        <v>68</v>
      </c>
      <c r="I169" s="955">
        <v>0.9</v>
      </c>
      <c r="J169" s="948">
        <v>194.0</v>
      </c>
      <c r="K169" s="949">
        <v>-0.020794231562047183</v>
      </c>
      <c r="L169" s="950" t="str">
        <f t="shared" si="1"/>
        <v/>
      </c>
      <c r="M169" s="736"/>
      <c r="N169" s="736"/>
      <c r="O169" s="736"/>
    </row>
    <row r="170">
      <c r="A170" s="951" t="s">
        <v>736</v>
      </c>
      <c r="B170" s="952" t="s">
        <v>56</v>
      </c>
      <c r="C170" s="953">
        <v>42903.0</v>
      </c>
      <c r="D170" s="954" t="s">
        <v>118</v>
      </c>
      <c r="E170" s="948" t="s">
        <v>63</v>
      </c>
      <c r="F170" s="954" t="s">
        <v>66</v>
      </c>
      <c r="G170" s="954" t="s">
        <v>66</v>
      </c>
      <c r="H170" s="954" t="s">
        <v>68</v>
      </c>
      <c r="I170" s="955">
        <v>0.8</v>
      </c>
      <c r="J170" s="948"/>
      <c r="K170" s="949">
        <v>0.025076276938756026</v>
      </c>
      <c r="L170" s="950" t="str">
        <f t="shared" si="1"/>
        <v>yes</v>
      </c>
      <c r="M170" s="736"/>
      <c r="N170" s="736"/>
      <c r="O170" s="736"/>
    </row>
    <row r="171">
      <c r="A171" s="951" t="s">
        <v>1447</v>
      </c>
      <c r="B171" s="952" t="s">
        <v>60</v>
      </c>
      <c r="C171" s="953">
        <v>42899.0</v>
      </c>
      <c r="D171" s="954" t="s">
        <v>59</v>
      </c>
      <c r="E171" s="948" t="s">
        <v>63</v>
      </c>
      <c r="F171" s="954" t="s">
        <v>69</v>
      </c>
      <c r="G171" s="954" t="s">
        <v>66</v>
      </c>
      <c r="H171" s="954" t="s">
        <v>69</v>
      </c>
      <c r="I171" s="955">
        <v>0.8</v>
      </c>
      <c r="J171" s="948">
        <v>224.0</v>
      </c>
      <c r="K171" s="949">
        <v>-0.005732137524782077</v>
      </c>
      <c r="L171" s="950" t="str">
        <f t="shared" si="1"/>
        <v>yes</v>
      </c>
      <c r="M171" s="736"/>
      <c r="N171" s="736"/>
      <c r="O171" s="736"/>
    </row>
    <row r="172">
      <c r="A172" s="951" t="s">
        <v>300</v>
      </c>
      <c r="B172" s="952" t="s">
        <v>60</v>
      </c>
      <c r="C172" s="953">
        <v>42897.0</v>
      </c>
      <c r="D172" s="954" t="s">
        <v>59</v>
      </c>
      <c r="E172" s="948" t="s">
        <v>195</v>
      </c>
      <c r="F172" s="954"/>
      <c r="G172" s="954"/>
      <c r="H172" s="954"/>
      <c r="I172" s="955"/>
      <c r="J172" s="948">
        <v>226.0</v>
      </c>
      <c r="K172" s="949">
        <v>0.006182529474755727</v>
      </c>
      <c r="L172" s="950" t="str">
        <f t="shared" si="1"/>
        <v>yes</v>
      </c>
      <c r="M172" s="736"/>
      <c r="N172" s="736"/>
      <c r="O172" s="736"/>
    </row>
    <row r="173">
      <c r="A173" s="951" t="s">
        <v>1784</v>
      </c>
      <c r="B173" s="952" t="s">
        <v>60</v>
      </c>
      <c r="C173" s="953">
        <v>42897.0</v>
      </c>
      <c r="D173" s="954" t="s">
        <v>59</v>
      </c>
      <c r="E173" s="948" t="s">
        <v>63</v>
      </c>
      <c r="F173" s="954"/>
      <c r="G173" s="954"/>
      <c r="H173" s="954"/>
      <c r="I173" s="955"/>
      <c r="J173" s="948">
        <v>206.0</v>
      </c>
      <c r="K173" s="949">
        <v>0.019492461708875197</v>
      </c>
      <c r="L173" s="950" t="str">
        <f t="shared" si="1"/>
        <v/>
      </c>
      <c r="M173" s="736"/>
      <c r="N173" s="736"/>
      <c r="O173" s="736"/>
    </row>
    <row r="174">
      <c r="A174" s="951" t="s">
        <v>126</v>
      </c>
      <c r="B174" s="952" t="s">
        <v>60</v>
      </c>
      <c r="C174" s="953">
        <v>42895.0</v>
      </c>
      <c r="D174" s="954" t="s">
        <v>79</v>
      </c>
      <c r="E174" s="948" t="s">
        <v>63</v>
      </c>
      <c r="F174" s="954" t="s">
        <v>65</v>
      </c>
      <c r="G174" s="954" t="s">
        <v>127</v>
      </c>
      <c r="H174" s="954" t="s">
        <v>69</v>
      </c>
      <c r="I174" s="955">
        <v>1.0</v>
      </c>
      <c r="J174" s="948">
        <v>212.0</v>
      </c>
      <c r="K174" s="949">
        <v>0.009715319832740543</v>
      </c>
      <c r="L174" s="950" t="str">
        <f t="shared" si="1"/>
        <v/>
      </c>
      <c r="M174" s="736"/>
      <c r="N174" s="736"/>
      <c r="O174" s="736"/>
    </row>
    <row r="175">
      <c r="A175" s="951" t="s">
        <v>1628</v>
      </c>
      <c r="B175" s="952" t="s">
        <v>60</v>
      </c>
      <c r="C175" s="953">
        <v>42892.0</v>
      </c>
      <c r="D175" s="954" t="s">
        <v>305</v>
      </c>
      <c r="E175" s="948" t="s">
        <v>63</v>
      </c>
      <c r="F175" s="954" t="s">
        <v>65</v>
      </c>
      <c r="G175" s="954" t="s">
        <v>65</v>
      </c>
      <c r="H175" s="954" t="s">
        <v>66</v>
      </c>
      <c r="I175" s="955">
        <v>0.9</v>
      </c>
      <c r="J175" s="948">
        <v>219.0</v>
      </c>
      <c r="K175" s="949">
        <v>-9.99024084957001E-4</v>
      </c>
      <c r="L175" s="950" t="str">
        <f t="shared" si="1"/>
        <v/>
      </c>
      <c r="M175" s="736"/>
      <c r="N175" s="736"/>
      <c r="O175" s="736"/>
    </row>
    <row r="176">
      <c r="A176" s="951" t="s">
        <v>1825</v>
      </c>
      <c r="B176" s="952" t="s">
        <v>60</v>
      </c>
      <c r="C176" s="953">
        <v>42891.0</v>
      </c>
      <c r="D176" s="954" t="s">
        <v>86</v>
      </c>
      <c r="E176" s="948" t="s">
        <v>63</v>
      </c>
      <c r="F176" s="954" t="s">
        <v>69</v>
      </c>
      <c r="G176" s="954" t="s">
        <v>66</v>
      </c>
      <c r="H176" s="954" t="s">
        <v>68</v>
      </c>
      <c r="I176" s="955">
        <v>0.8</v>
      </c>
      <c r="J176" s="948">
        <v>208.0</v>
      </c>
      <c r="K176" s="949">
        <v>0.03531772924077581</v>
      </c>
      <c r="L176" s="950" t="str">
        <f t="shared" si="1"/>
        <v>yes</v>
      </c>
      <c r="M176" s="736"/>
      <c r="N176" s="736"/>
      <c r="O176" s="736"/>
    </row>
    <row r="177">
      <c r="A177" s="951" t="s">
        <v>729</v>
      </c>
      <c r="B177" s="952" t="s">
        <v>56</v>
      </c>
      <c r="C177" s="953">
        <v>42891.0</v>
      </c>
      <c r="D177" s="954" t="s">
        <v>79</v>
      </c>
      <c r="E177" s="948" t="s">
        <v>63</v>
      </c>
      <c r="F177" s="954" t="s">
        <v>69</v>
      </c>
      <c r="G177" s="954" t="s">
        <v>66</v>
      </c>
      <c r="H177" s="954" t="s">
        <v>68</v>
      </c>
      <c r="I177" s="955">
        <v>0.9</v>
      </c>
      <c r="J177" s="948">
        <v>205.0</v>
      </c>
      <c r="K177" s="949">
        <v>0.012776568519581533</v>
      </c>
      <c r="L177" s="950" t="str">
        <f t="shared" si="1"/>
        <v>yes</v>
      </c>
      <c r="M177" s="736"/>
      <c r="N177" s="736"/>
      <c r="O177" s="736"/>
    </row>
    <row r="178">
      <c r="A178" s="951" t="s">
        <v>1761</v>
      </c>
      <c r="B178" s="952" t="s">
        <v>60</v>
      </c>
      <c r="C178" s="953">
        <v>42887.0</v>
      </c>
      <c r="D178" s="954" t="s">
        <v>675</v>
      </c>
      <c r="E178" s="948" t="s">
        <v>63</v>
      </c>
      <c r="F178" s="954" t="s">
        <v>67</v>
      </c>
      <c r="G178" s="954" t="s">
        <v>64</v>
      </c>
      <c r="H178" s="954" t="s">
        <v>69</v>
      </c>
      <c r="I178" s="955">
        <v>0.9</v>
      </c>
      <c r="J178" s="948">
        <v>190.0</v>
      </c>
      <c r="K178" s="949">
        <v>0.006198180267849018</v>
      </c>
      <c r="L178" s="950" t="str">
        <f t="shared" si="1"/>
        <v/>
      </c>
      <c r="M178" s="736"/>
      <c r="N178" s="736"/>
      <c r="O178" s="736"/>
    </row>
    <row r="179">
      <c r="A179" s="951" t="s">
        <v>161</v>
      </c>
      <c r="B179" s="952" t="s">
        <v>56</v>
      </c>
      <c r="C179" s="953">
        <v>42887.0</v>
      </c>
      <c r="D179" s="954" t="s">
        <v>59</v>
      </c>
      <c r="E179" s="948" t="s">
        <v>63</v>
      </c>
      <c r="F179" s="954" t="s">
        <v>64</v>
      </c>
      <c r="G179" s="954" t="s">
        <v>69</v>
      </c>
      <c r="H179" s="954" t="s">
        <v>69</v>
      </c>
      <c r="I179" s="955">
        <v>0.9</v>
      </c>
      <c r="J179" s="948">
        <v>185.0</v>
      </c>
      <c r="K179" s="949">
        <v>-0.005885129951566093</v>
      </c>
      <c r="L179" s="950" t="str">
        <f t="shared" si="1"/>
        <v/>
      </c>
      <c r="M179" s="736"/>
      <c r="N179" s="736"/>
      <c r="O179" s="736"/>
    </row>
    <row r="180">
      <c r="A180" s="951" t="s">
        <v>722</v>
      </c>
      <c r="B180" s="952" t="s">
        <v>56</v>
      </c>
      <c r="C180" s="953">
        <v>42885.0</v>
      </c>
      <c r="D180" s="954" t="s">
        <v>109</v>
      </c>
      <c r="E180" s="948" t="s">
        <v>63</v>
      </c>
      <c r="F180" s="954" t="s">
        <v>64</v>
      </c>
      <c r="G180" s="954" t="s">
        <v>66</v>
      </c>
      <c r="H180" s="954" t="s">
        <v>66</v>
      </c>
      <c r="I180" s="955">
        <v>0.9</v>
      </c>
      <c r="J180" s="948">
        <v>114.0</v>
      </c>
      <c r="K180" s="949">
        <v>0.0213019694713521</v>
      </c>
      <c r="L180" s="950" t="str">
        <f t="shared" si="1"/>
        <v>yes</v>
      </c>
      <c r="M180" s="736"/>
      <c r="N180" s="736"/>
      <c r="O180" s="736"/>
    </row>
    <row r="181">
      <c r="A181" s="951" t="s">
        <v>719</v>
      </c>
      <c r="B181" s="952" t="s">
        <v>56</v>
      </c>
      <c r="C181" s="953">
        <v>42884.0</v>
      </c>
      <c r="D181" s="954" t="s">
        <v>109</v>
      </c>
      <c r="E181" s="948" t="s">
        <v>63</v>
      </c>
      <c r="F181" s="954"/>
      <c r="G181" s="954"/>
      <c r="H181" s="954"/>
      <c r="I181" s="955"/>
      <c r="J181" s="948">
        <v>198.0</v>
      </c>
      <c r="K181" s="949">
        <v>-0.10927356562646495</v>
      </c>
      <c r="L181" s="950" t="str">
        <f t="shared" si="1"/>
        <v>yes</v>
      </c>
      <c r="M181" s="736"/>
      <c r="N181" s="736"/>
      <c r="O181" s="736"/>
    </row>
    <row r="182">
      <c r="A182" s="951" t="s">
        <v>1642</v>
      </c>
      <c r="B182" s="952" t="s">
        <v>60</v>
      </c>
      <c r="C182" s="953">
        <v>42883.0</v>
      </c>
      <c r="D182" s="954" t="s">
        <v>118</v>
      </c>
      <c r="E182" s="948" t="s">
        <v>63</v>
      </c>
      <c r="F182" s="954" t="s">
        <v>65</v>
      </c>
      <c r="G182" s="954" t="s">
        <v>66</v>
      </c>
      <c r="H182" s="954" t="s">
        <v>64</v>
      </c>
      <c r="I182" s="955">
        <v>0.9</v>
      </c>
      <c r="J182" s="948">
        <v>218.0</v>
      </c>
      <c r="K182" s="949">
        <v>0.034716068497600006</v>
      </c>
      <c r="L182" s="950" t="str">
        <f t="shared" si="1"/>
        <v>yes</v>
      </c>
      <c r="M182" s="736"/>
      <c r="N182" s="736"/>
      <c r="O182" s="736"/>
    </row>
    <row r="183">
      <c r="A183" s="951" t="s">
        <v>715</v>
      </c>
      <c r="B183" s="952" t="s">
        <v>56</v>
      </c>
      <c r="C183" s="953">
        <v>42883.0</v>
      </c>
      <c r="D183" s="954" t="s">
        <v>250</v>
      </c>
      <c r="E183" s="948" t="s">
        <v>63</v>
      </c>
      <c r="F183" s="954" t="s">
        <v>69</v>
      </c>
      <c r="G183" s="954" t="s">
        <v>65</v>
      </c>
      <c r="H183" s="954" t="s">
        <v>66</v>
      </c>
      <c r="I183" s="955">
        <v>0.9</v>
      </c>
      <c r="J183" s="948">
        <v>202.0</v>
      </c>
      <c r="K183" s="949">
        <v>0.004783457135879576</v>
      </c>
      <c r="L183" s="950" t="str">
        <f t="shared" si="1"/>
        <v>yes</v>
      </c>
      <c r="M183" s="736"/>
      <c r="N183" s="736"/>
      <c r="O183" s="736"/>
    </row>
    <row r="184">
      <c r="A184" s="951" t="s">
        <v>713</v>
      </c>
      <c r="B184" s="952" t="s">
        <v>56</v>
      </c>
      <c r="C184" s="953">
        <v>42881.0</v>
      </c>
      <c r="D184" s="954" t="s">
        <v>86</v>
      </c>
      <c r="E184" s="948" t="s">
        <v>63</v>
      </c>
      <c r="F184" s="954"/>
      <c r="G184" s="954"/>
      <c r="H184" s="954"/>
      <c r="I184" s="955"/>
      <c r="J184" s="948">
        <v>198.0</v>
      </c>
      <c r="K184" s="949">
        <v>0.02737224397954674</v>
      </c>
      <c r="L184" s="950" t="str">
        <f t="shared" si="1"/>
        <v>yes</v>
      </c>
      <c r="M184" s="736"/>
      <c r="N184" s="736"/>
      <c r="O184" s="736"/>
    </row>
    <row r="185">
      <c r="A185" s="951" t="s">
        <v>703</v>
      </c>
      <c r="B185" s="952" t="s">
        <v>56</v>
      </c>
      <c r="C185" s="953">
        <v>42878.0</v>
      </c>
      <c r="D185" s="954" t="s">
        <v>250</v>
      </c>
      <c r="E185" s="948" t="s">
        <v>63</v>
      </c>
      <c r="F185" s="954" t="s">
        <v>69</v>
      </c>
      <c r="G185" s="954" t="s">
        <v>68</v>
      </c>
      <c r="H185" s="954" t="s">
        <v>68</v>
      </c>
      <c r="I185" s="955">
        <v>1.0</v>
      </c>
      <c r="J185" s="948">
        <v>168.0</v>
      </c>
      <c r="K185" s="949">
        <v>0.006732001514029529</v>
      </c>
      <c r="L185" s="950" t="str">
        <f t="shared" si="1"/>
        <v>yes</v>
      </c>
      <c r="M185" s="736"/>
      <c r="N185" s="736"/>
      <c r="O185" s="736"/>
    </row>
    <row r="186">
      <c r="A186" s="951" t="s">
        <v>161</v>
      </c>
      <c r="B186" s="952" t="s">
        <v>56</v>
      </c>
      <c r="C186" s="953">
        <v>42878.0</v>
      </c>
      <c r="D186" s="954" t="s">
        <v>59</v>
      </c>
      <c r="E186" s="948" t="s">
        <v>63</v>
      </c>
      <c r="F186" s="954" t="s">
        <v>64</v>
      </c>
      <c r="G186" s="954" t="s">
        <v>69</v>
      </c>
      <c r="H186" s="954" t="s">
        <v>69</v>
      </c>
      <c r="I186" s="955">
        <v>0.9</v>
      </c>
      <c r="J186" s="948">
        <v>185.0</v>
      </c>
      <c r="K186" s="949">
        <v>-0.009672610347199795</v>
      </c>
      <c r="L186" s="950" t="str">
        <f t="shared" si="1"/>
        <v/>
      </c>
      <c r="M186" s="736"/>
      <c r="N186" s="736"/>
      <c r="O186" s="736"/>
    </row>
    <row r="187">
      <c r="A187" s="951" t="s">
        <v>710</v>
      </c>
      <c r="B187" s="952" t="s">
        <v>56</v>
      </c>
      <c r="C187" s="953">
        <v>42878.0</v>
      </c>
      <c r="D187" s="954" t="s">
        <v>683</v>
      </c>
      <c r="E187" s="948" t="s">
        <v>63</v>
      </c>
      <c r="F187" s="954" t="s">
        <v>127</v>
      </c>
      <c r="G187" s="954" t="s">
        <v>64</v>
      </c>
      <c r="H187" s="954" t="s">
        <v>64</v>
      </c>
      <c r="I187" s="955">
        <v>0.9</v>
      </c>
      <c r="J187" s="948">
        <v>222.0</v>
      </c>
      <c r="K187" s="949">
        <v>0.03933417442258347</v>
      </c>
      <c r="L187" s="950" t="str">
        <f t="shared" si="1"/>
        <v>yes</v>
      </c>
      <c r="M187" s="736"/>
      <c r="N187" s="736"/>
      <c r="O187" s="736"/>
    </row>
    <row r="188">
      <c r="A188" s="951" t="s">
        <v>1837</v>
      </c>
      <c r="B188" s="952" t="s">
        <v>60</v>
      </c>
      <c r="C188" s="953">
        <v>42875.0</v>
      </c>
      <c r="D188" s="954" t="s">
        <v>305</v>
      </c>
      <c r="E188" s="948" t="s">
        <v>63</v>
      </c>
      <c r="F188" s="954" t="s">
        <v>65</v>
      </c>
      <c r="G188" s="954" t="s">
        <v>65</v>
      </c>
      <c r="H188" s="954" t="s">
        <v>66</v>
      </c>
      <c r="I188" s="955">
        <v>0.9</v>
      </c>
      <c r="J188" s="948">
        <v>214.0</v>
      </c>
      <c r="K188" s="949">
        <v>0.03400346939307086</v>
      </c>
      <c r="L188" s="950" t="str">
        <f t="shared" si="1"/>
        <v/>
      </c>
      <c r="M188" s="736"/>
      <c r="N188" s="736"/>
      <c r="O188" s="736"/>
    </row>
    <row r="189">
      <c r="A189" s="951" t="s">
        <v>457</v>
      </c>
      <c r="B189" s="952" t="s">
        <v>60</v>
      </c>
      <c r="C189" s="953">
        <v>42874.0</v>
      </c>
      <c r="D189" s="954" t="s">
        <v>59</v>
      </c>
      <c r="E189" s="948" t="s">
        <v>63</v>
      </c>
      <c r="F189" s="954" t="s">
        <v>69</v>
      </c>
      <c r="G189" s="954" t="s">
        <v>69</v>
      </c>
      <c r="H189" s="954" t="s">
        <v>69</v>
      </c>
      <c r="I189" s="955"/>
      <c r="J189" s="948">
        <v>240.0</v>
      </c>
      <c r="K189" s="949">
        <v>0.011718705118977324</v>
      </c>
      <c r="L189" s="950" t="str">
        <f t="shared" si="1"/>
        <v>yes</v>
      </c>
      <c r="M189" s="736"/>
      <c r="N189" s="736"/>
      <c r="O189" s="736"/>
    </row>
    <row r="190">
      <c r="A190" s="951" t="s">
        <v>761</v>
      </c>
      <c r="B190" s="952" t="s">
        <v>60</v>
      </c>
      <c r="C190" s="953">
        <v>42874.0</v>
      </c>
      <c r="D190" s="954" t="s">
        <v>90</v>
      </c>
      <c r="E190" s="948" t="s">
        <v>63</v>
      </c>
      <c r="F190" s="954" t="s">
        <v>65</v>
      </c>
      <c r="G190" s="954" t="s">
        <v>64</v>
      </c>
      <c r="H190" s="954" t="s">
        <v>66</v>
      </c>
      <c r="I190" s="955">
        <v>0.7</v>
      </c>
      <c r="J190" s="948">
        <v>232.0</v>
      </c>
      <c r="K190" s="949">
        <v>-0.005159347451747176</v>
      </c>
      <c r="L190" s="950" t="str">
        <f t="shared" si="1"/>
        <v/>
      </c>
      <c r="M190" s="736"/>
      <c r="N190" s="736"/>
      <c r="O190" s="736"/>
    </row>
    <row r="191">
      <c r="A191" s="951" t="s">
        <v>1615</v>
      </c>
      <c r="B191" s="952" t="s">
        <v>60</v>
      </c>
      <c r="C191" s="969">
        <v>42874.0</v>
      </c>
      <c r="D191" s="954" t="s">
        <v>629</v>
      </c>
      <c r="E191" s="948" t="s">
        <v>63</v>
      </c>
      <c r="F191" s="954" t="s">
        <v>67</v>
      </c>
      <c r="G191" s="954" t="s">
        <v>64</v>
      </c>
      <c r="H191" s="954" t="s">
        <v>69</v>
      </c>
      <c r="I191" s="955">
        <v>0.9</v>
      </c>
      <c r="J191" s="948">
        <v>194.0</v>
      </c>
      <c r="K191" s="949">
        <v>-0.008643986927721059</v>
      </c>
      <c r="L191" s="950" t="str">
        <f t="shared" si="1"/>
        <v/>
      </c>
      <c r="M191" s="736"/>
      <c r="N191" s="736"/>
      <c r="O191" s="736"/>
    </row>
    <row r="192">
      <c r="A192" s="951" t="s">
        <v>1672</v>
      </c>
      <c r="B192" s="952" t="s">
        <v>60</v>
      </c>
      <c r="C192" s="953">
        <v>42874.0</v>
      </c>
      <c r="D192" s="954" t="s">
        <v>683</v>
      </c>
      <c r="E192" s="948" t="s">
        <v>63</v>
      </c>
      <c r="F192" s="954"/>
      <c r="G192" s="954"/>
      <c r="H192" s="954"/>
      <c r="I192" s="955"/>
      <c r="J192" s="948">
        <v>230.0</v>
      </c>
      <c r="K192" s="949">
        <v>0.046199907639064564</v>
      </c>
      <c r="L192" s="950" t="str">
        <f t="shared" si="1"/>
        <v>yes</v>
      </c>
      <c r="M192" s="736"/>
      <c r="N192" s="736"/>
      <c r="O192" s="736"/>
    </row>
    <row r="193">
      <c r="A193" s="951" t="s">
        <v>839</v>
      </c>
      <c r="B193" s="952" t="s">
        <v>56</v>
      </c>
      <c r="C193" s="953">
        <v>42874.0</v>
      </c>
      <c r="D193" s="954" t="s">
        <v>305</v>
      </c>
      <c r="E193" s="948" t="s">
        <v>63</v>
      </c>
      <c r="F193" s="954" t="s">
        <v>69</v>
      </c>
      <c r="G193" s="954" t="s">
        <v>69</v>
      </c>
      <c r="H193" s="954" t="s">
        <v>68</v>
      </c>
      <c r="I193" s="955">
        <v>0.9</v>
      </c>
      <c r="J193" s="948">
        <v>163.0</v>
      </c>
      <c r="K193" s="949">
        <v>0.012716608758404524</v>
      </c>
      <c r="L193" s="950" t="str">
        <f t="shared" si="1"/>
        <v/>
      </c>
      <c r="M193" s="736"/>
      <c r="N193" s="736"/>
      <c r="O193" s="736"/>
    </row>
    <row r="194">
      <c r="A194" s="951" t="s">
        <v>1742</v>
      </c>
      <c r="B194" s="952" t="s">
        <v>60</v>
      </c>
      <c r="C194" s="953">
        <v>42872.0</v>
      </c>
      <c r="D194" s="954" t="s">
        <v>86</v>
      </c>
      <c r="E194" s="948" t="s">
        <v>63</v>
      </c>
      <c r="F194" s="954" t="s">
        <v>65</v>
      </c>
      <c r="G194" s="954" t="s">
        <v>69</v>
      </c>
      <c r="H194" s="954" t="s">
        <v>66</v>
      </c>
      <c r="I194" s="955">
        <v>0.7</v>
      </c>
      <c r="J194" s="948">
        <v>218.0</v>
      </c>
      <c r="K194" s="949">
        <v>0.032174679512263604</v>
      </c>
      <c r="L194" s="950" t="str">
        <f t="shared" si="1"/>
        <v>yes</v>
      </c>
      <c r="M194" s="736"/>
      <c r="N194" s="736"/>
      <c r="O194" s="736"/>
    </row>
    <row r="195">
      <c r="A195" s="951" t="s">
        <v>696</v>
      </c>
      <c r="B195" s="952" t="s">
        <v>56</v>
      </c>
      <c r="C195" s="953">
        <v>42872.0</v>
      </c>
      <c r="D195" s="954" t="s">
        <v>79</v>
      </c>
      <c r="E195" s="948" t="s">
        <v>63</v>
      </c>
      <c r="F195" s="954" t="s">
        <v>69</v>
      </c>
      <c r="G195" s="954" t="s">
        <v>68</v>
      </c>
      <c r="H195" s="954" t="s">
        <v>68</v>
      </c>
      <c r="I195" s="955">
        <v>0.7</v>
      </c>
      <c r="J195" s="948">
        <v>214.0</v>
      </c>
      <c r="K195" s="949">
        <v>0.012643978173345616</v>
      </c>
      <c r="L195" s="950" t="str">
        <f t="shared" si="1"/>
        <v>yes</v>
      </c>
      <c r="M195" s="736"/>
      <c r="N195" s="736"/>
      <c r="O195" s="736"/>
    </row>
    <row r="196">
      <c r="A196" s="951" t="s">
        <v>1784</v>
      </c>
      <c r="B196" s="952" t="s">
        <v>60</v>
      </c>
      <c r="C196" s="953">
        <v>42871.0</v>
      </c>
      <c r="D196" s="954" t="s">
        <v>59</v>
      </c>
      <c r="E196" s="948" t="s">
        <v>63</v>
      </c>
      <c r="F196" s="954"/>
      <c r="G196" s="954"/>
      <c r="H196" s="954"/>
      <c r="I196" s="955"/>
      <c r="J196" s="948">
        <v>206.0</v>
      </c>
      <c r="K196" s="949">
        <v>0.0167818743309478</v>
      </c>
      <c r="L196" s="950" t="str">
        <f t="shared" si="1"/>
        <v/>
      </c>
      <c r="M196" s="736"/>
      <c r="N196" s="736"/>
      <c r="O196" s="736"/>
    </row>
    <row r="197">
      <c r="A197" s="951" t="s">
        <v>1898</v>
      </c>
      <c r="B197" s="952" t="s">
        <v>60</v>
      </c>
      <c r="C197" s="953">
        <v>42871.0</v>
      </c>
      <c r="D197" s="954" t="s">
        <v>921</v>
      </c>
      <c r="E197" s="948" t="s">
        <v>63</v>
      </c>
      <c r="F197" s="954" t="s">
        <v>67</v>
      </c>
      <c r="G197" s="954" t="s">
        <v>69</v>
      </c>
      <c r="H197" s="954" t="s">
        <v>68</v>
      </c>
      <c r="I197" s="955">
        <v>0.8</v>
      </c>
      <c r="J197" s="948">
        <v>188.0</v>
      </c>
      <c r="K197" s="949">
        <v>0.0026909204857843427</v>
      </c>
      <c r="L197" s="950" t="str">
        <f t="shared" si="1"/>
        <v/>
      </c>
      <c r="M197" s="736"/>
      <c r="N197" s="736"/>
      <c r="O197" s="736"/>
    </row>
    <row r="198">
      <c r="A198" s="951" t="s">
        <v>1804</v>
      </c>
      <c r="B198" s="952" t="s">
        <v>60</v>
      </c>
      <c r="C198" s="953">
        <v>42869.0</v>
      </c>
      <c r="D198" s="954" t="s">
        <v>79</v>
      </c>
      <c r="E198" s="948" t="s">
        <v>63</v>
      </c>
      <c r="F198" s="954" t="s">
        <v>67</v>
      </c>
      <c r="G198" s="954" t="s">
        <v>64</v>
      </c>
      <c r="H198" s="954" t="s">
        <v>69</v>
      </c>
      <c r="I198" s="955">
        <v>0.6</v>
      </c>
      <c r="J198" s="948">
        <v>220.0</v>
      </c>
      <c r="K198" s="949">
        <v>-0.017770871441477265</v>
      </c>
      <c r="L198" s="950" t="str">
        <f t="shared" si="1"/>
        <v>yes</v>
      </c>
      <c r="M198" s="736"/>
      <c r="N198" s="736"/>
      <c r="O198" s="736"/>
    </row>
    <row r="199">
      <c r="A199" s="951" t="s">
        <v>1637</v>
      </c>
      <c r="B199" s="952" t="s">
        <v>60</v>
      </c>
      <c r="C199" s="953">
        <v>42867.0</v>
      </c>
      <c r="D199" s="954" t="s">
        <v>118</v>
      </c>
      <c r="E199" s="948" t="s">
        <v>63</v>
      </c>
      <c r="F199" s="954" t="s">
        <v>67</v>
      </c>
      <c r="G199" s="954" t="s">
        <v>64</v>
      </c>
      <c r="H199" s="954" t="s">
        <v>69</v>
      </c>
      <c r="I199" s="955">
        <v>0.8</v>
      </c>
      <c r="J199" s="948">
        <v>207.0</v>
      </c>
      <c r="K199" s="949">
        <v>0.021792720136488142</v>
      </c>
      <c r="L199" s="950" t="str">
        <f t="shared" si="1"/>
        <v/>
      </c>
      <c r="M199" s="736"/>
      <c r="N199" s="736"/>
      <c r="O199" s="736"/>
    </row>
    <row r="200">
      <c r="A200" s="951" t="s">
        <v>1683</v>
      </c>
      <c r="B200" s="952" t="s">
        <v>60</v>
      </c>
      <c r="C200" s="953">
        <v>42867.0</v>
      </c>
      <c r="D200" s="954" t="s">
        <v>118</v>
      </c>
      <c r="E200" s="948" t="s">
        <v>63</v>
      </c>
      <c r="F200" s="954" t="s">
        <v>69</v>
      </c>
      <c r="G200" s="954" t="s">
        <v>69</v>
      </c>
      <c r="H200" s="954" t="s">
        <v>66</v>
      </c>
      <c r="I200" s="955">
        <v>0.9</v>
      </c>
      <c r="J200" s="948">
        <v>234.0</v>
      </c>
      <c r="K200" s="949">
        <v>0.029519062147061348</v>
      </c>
      <c r="L200" s="950" t="str">
        <f t="shared" si="1"/>
        <v>yes</v>
      </c>
      <c r="M200" s="736"/>
      <c r="N200" s="736"/>
      <c r="O200" s="736"/>
    </row>
    <row r="201">
      <c r="A201" s="951" t="s">
        <v>78</v>
      </c>
      <c r="B201" s="952" t="s">
        <v>56</v>
      </c>
      <c r="C201" s="953">
        <v>42865.0</v>
      </c>
      <c r="D201" s="954" t="s">
        <v>79</v>
      </c>
      <c r="E201" s="948" t="s">
        <v>63</v>
      </c>
      <c r="F201" s="954" t="s">
        <v>80</v>
      </c>
      <c r="G201" s="954" t="s">
        <v>69</v>
      </c>
      <c r="H201" s="954" t="s">
        <v>66</v>
      </c>
      <c r="I201" s="955">
        <v>0.9</v>
      </c>
      <c r="J201" s="948">
        <v>191.0</v>
      </c>
      <c r="K201" s="949">
        <v>-0.009001411014745164</v>
      </c>
      <c r="L201" s="950" t="str">
        <f t="shared" si="1"/>
        <v/>
      </c>
      <c r="M201" s="736"/>
      <c r="N201" s="736"/>
      <c r="O201" s="736"/>
    </row>
    <row r="202">
      <c r="A202" s="951" t="s">
        <v>126</v>
      </c>
      <c r="B202" s="952" t="s">
        <v>60</v>
      </c>
      <c r="C202" s="953">
        <v>42864.0</v>
      </c>
      <c r="D202" s="954" t="s">
        <v>79</v>
      </c>
      <c r="E202" s="948" t="s">
        <v>63</v>
      </c>
      <c r="F202" s="954" t="s">
        <v>65</v>
      </c>
      <c r="G202" s="954" t="s">
        <v>127</v>
      </c>
      <c r="H202" s="954" t="s">
        <v>69</v>
      </c>
      <c r="I202" s="955">
        <v>1.0</v>
      </c>
      <c r="J202" s="948">
        <v>212.0</v>
      </c>
      <c r="K202" s="949">
        <v>0.006177304548988571</v>
      </c>
      <c r="L202" s="950" t="str">
        <f t="shared" si="1"/>
        <v/>
      </c>
      <c r="M202" s="736"/>
      <c r="N202" s="736"/>
      <c r="O202" s="736"/>
    </row>
    <row r="203">
      <c r="A203" s="951" t="s">
        <v>689</v>
      </c>
      <c r="B203" s="952" t="s">
        <v>56</v>
      </c>
      <c r="C203" s="953">
        <v>42864.0</v>
      </c>
      <c r="D203" s="954" t="s">
        <v>305</v>
      </c>
      <c r="E203" s="948" t="s">
        <v>63</v>
      </c>
      <c r="F203" s="954" t="s">
        <v>65</v>
      </c>
      <c r="G203" s="954" t="s">
        <v>80</v>
      </c>
      <c r="H203" s="954" t="s">
        <v>68</v>
      </c>
      <c r="I203" s="955"/>
      <c r="J203" s="948"/>
      <c r="K203" s="949">
        <v>-0.08655929891547953</v>
      </c>
      <c r="L203" s="950" t="str">
        <f t="shared" si="1"/>
        <v>yes</v>
      </c>
      <c r="M203" s="736"/>
      <c r="N203" s="736"/>
      <c r="O203" s="736"/>
    </row>
    <row r="204">
      <c r="A204" s="951" t="s">
        <v>138</v>
      </c>
      <c r="B204" s="952" t="s">
        <v>55</v>
      </c>
      <c r="C204" s="953">
        <v>42862.0</v>
      </c>
      <c r="D204" s="954" t="s">
        <v>86</v>
      </c>
      <c r="E204" s="948" t="s">
        <v>63</v>
      </c>
      <c r="F204" s="954" t="s">
        <v>69</v>
      </c>
      <c r="G204" s="954" t="s">
        <v>69</v>
      </c>
      <c r="H204" s="954" t="s">
        <v>68</v>
      </c>
      <c r="I204" s="955">
        <v>0.9</v>
      </c>
      <c r="J204" s="948">
        <v>209.0</v>
      </c>
      <c r="K204" s="949">
        <v>0.03196622751546474</v>
      </c>
      <c r="L204" s="950" t="str">
        <f t="shared" si="1"/>
        <v/>
      </c>
      <c r="M204" s="736"/>
      <c r="N204" s="736"/>
      <c r="O204" s="736"/>
    </row>
    <row r="205">
      <c r="A205" s="951" t="s">
        <v>1774</v>
      </c>
      <c r="B205" s="952" t="s">
        <v>60</v>
      </c>
      <c r="C205" s="953">
        <v>42861.0</v>
      </c>
      <c r="D205" s="954" t="s">
        <v>79</v>
      </c>
      <c r="E205" s="948" t="s">
        <v>63</v>
      </c>
      <c r="F205" s="954" t="s">
        <v>65</v>
      </c>
      <c r="G205" s="954" t="s">
        <v>65</v>
      </c>
      <c r="H205" s="954" t="s">
        <v>64</v>
      </c>
      <c r="I205" s="955">
        <v>0.7</v>
      </c>
      <c r="J205" s="948">
        <v>209.0</v>
      </c>
      <c r="K205" s="949">
        <v>-0.008607709148783282</v>
      </c>
      <c r="L205" s="950" t="str">
        <f t="shared" si="1"/>
        <v>yes</v>
      </c>
      <c r="M205" s="736"/>
      <c r="N205" s="736"/>
      <c r="O205" s="736"/>
    </row>
    <row r="206">
      <c r="A206" s="951" t="s">
        <v>682</v>
      </c>
      <c r="B206" s="952" t="s">
        <v>56</v>
      </c>
      <c r="C206" s="953">
        <v>42861.0</v>
      </c>
      <c r="D206" s="954" t="s">
        <v>683</v>
      </c>
      <c r="E206" s="948" t="s">
        <v>63</v>
      </c>
      <c r="F206" s="954" t="s">
        <v>65</v>
      </c>
      <c r="G206" s="954" t="s">
        <v>65</v>
      </c>
      <c r="H206" s="954" t="s">
        <v>69</v>
      </c>
      <c r="I206" s="955">
        <v>0.7</v>
      </c>
      <c r="J206" s="948">
        <v>216.0</v>
      </c>
      <c r="K206" s="949">
        <v>0.01854634203573058</v>
      </c>
      <c r="L206" s="950" t="str">
        <f t="shared" si="1"/>
        <v>yes</v>
      </c>
      <c r="M206" s="736"/>
      <c r="N206" s="736"/>
      <c r="O206" s="736"/>
    </row>
    <row r="207">
      <c r="A207" s="951" t="s">
        <v>1784</v>
      </c>
      <c r="B207" s="952" t="s">
        <v>60</v>
      </c>
      <c r="C207" s="953">
        <v>42858.0</v>
      </c>
      <c r="D207" s="954" t="s">
        <v>59</v>
      </c>
      <c r="E207" s="948" t="s">
        <v>63</v>
      </c>
      <c r="F207" s="954"/>
      <c r="G207" s="954"/>
      <c r="H207" s="954"/>
      <c r="I207" s="955"/>
      <c r="J207" s="948">
        <v>204.0</v>
      </c>
      <c r="K207" s="949">
        <v>0.015271466866020211</v>
      </c>
      <c r="L207" s="950" t="str">
        <f t="shared" si="1"/>
        <v/>
      </c>
      <c r="M207" s="736"/>
      <c r="N207" s="736"/>
      <c r="O207" s="736"/>
    </row>
    <row r="208">
      <c r="A208" s="951" t="s">
        <v>1726</v>
      </c>
      <c r="B208" s="952" t="s">
        <v>60</v>
      </c>
      <c r="C208" s="953">
        <v>42858.0</v>
      </c>
      <c r="D208" s="954" t="s">
        <v>305</v>
      </c>
      <c r="E208" s="948" t="s">
        <v>63</v>
      </c>
      <c r="F208" s="954" t="s">
        <v>65</v>
      </c>
      <c r="G208" s="954" t="s">
        <v>69</v>
      </c>
      <c r="H208" s="954" t="s">
        <v>64</v>
      </c>
      <c r="I208" s="955">
        <v>0.8</v>
      </c>
      <c r="J208" s="948">
        <v>234.0</v>
      </c>
      <c r="K208" s="949">
        <v>0.0031193515601803945</v>
      </c>
      <c r="L208" s="950" t="str">
        <f t="shared" si="1"/>
        <v/>
      </c>
      <c r="M208" s="736"/>
      <c r="N208" s="736"/>
      <c r="O208" s="736"/>
    </row>
    <row r="209">
      <c r="A209" s="951" t="s">
        <v>623</v>
      </c>
      <c r="B209" s="952" t="s">
        <v>60</v>
      </c>
      <c r="C209" s="953">
        <v>42857.0</v>
      </c>
      <c r="D209" s="954" t="s">
        <v>59</v>
      </c>
      <c r="E209" s="948" t="s">
        <v>63</v>
      </c>
      <c r="F209" s="954" t="s">
        <v>65</v>
      </c>
      <c r="G209" s="954" t="s">
        <v>69</v>
      </c>
      <c r="H209" s="954" t="s">
        <v>69</v>
      </c>
      <c r="I209" s="955">
        <v>0.9</v>
      </c>
      <c r="J209" s="948">
        <v>182.0</v>
      </c>
      <c r="K209" s="949">
        <v>0.019173012484411722</v>
      </c>
      <c r="L209" s="950" t="str">
        <f t="shared" si="1"/>
        <v/>
      </c>
      <c r="M209" s="736"/>
      <c r="N209" s="736"/>
      <c r="O209" s="736"/>
    </row>
    <row r="210">
      <c r="A210" s="951" t="s">
        <v>661</v>
      </c>
      <c r="B210" s="952" t="s">
        <v>56</v>
      </c>
      <c r="C210" s="953">
        <v>42856.0</v>
      </c>
      <c r="D210" s="954" t="s">
        <v>109</v>
      </c>
      <c r="E210" s="948" t="s">
        <v>63</v>
      </c>
      <c r="F210" s="954" t="s">
        <v>65</v>
      </c>
      <c r="G210" s="954" t="s">
        <v>64</v>
      </c>
      <c r="H210" s="954" t="s">
        <v>68</v>
      </c>
      <c r="I210" s="955">
        <v>0.6</v>
      </c>
      <c r="J210" s="948"/>
      <c r="K210" s="949">
        <v>0.020111652402034386</v>
      </c>
      <c r="L210" s="950" t="str">
        <f t="shared" si="1"/>
        <v>yes</v>
      </c>
      <c r="M210" s="736"/>
      <c r="N210" s="736"/>
      <c r="O210" s="736"/>
    </row>
    <row r="211">
      <c r="A211" s="951" t="s">
        <v>668</v>
      </c>
      <c r="B211" s="952" t="s">
        <v>56</v>
      </c>
      <c r="C211" s="953">
        <v>42856.0</v>
      </c>
      <c r="D211" s="954" t="s">
        <v>79</v>
      </c>
      <c r="E211" s="948" t="s">
        <v>63</v>
      </c>
      <c r="F211" s="954" t="s">
        <v>69</v>
      </c>
      <c r="G211" s="954" t="s">
        <v>69</v>
      </c>
      <c r="H211" s="954" t="s">
        <v>68</v>
      </c>
      <c r="I211" s="955">
        <v>0.9</v>
      </c>
      <c r="J211" s="948">
        <v>205.0</v>
      </c>
      <c r="K211" s="949">
        <v>0.029603985969561486</v>
      </c>
      <c r="L211" s="950" t="str">
        <f t="shared" si="1"/>
        <v>yes</v>
      </c>
      <c r="M211" s="736"/>
      <c r="N211" s="736"/>
      <c r="O211" s="736"/>
    </row>
    <row r="212">
      <c r="A212" s="951" t="s">
        <v>1454</v>
      </c>
      <c r="B212" s="952" t="s">
        <v>60</v>
      </c>
      <c r="C212" s="953">
        <v>42854.0</v>
      </c>
      <c r="D212" s="954" t="s">
        <v>118</v>
      </c>
      <c r="E212" s="948" t="s">
        <v>63</v>
      </c>
      <c r="F212" s="954" t="s">
        <v>69</v>
      </c>
      <c r="G212" s="954" t="s">
        <v>69</v>
      </c>
      <c r="H212" s="954" t="s">
        <v>68</v>
      </c>
      <c r="I212" s="955">
        <v>0.9</v>
      </c>
      <c r="J212" s="948"/>
      <c r="K212" s="949">
        <v>-0.006380881131474614</v>
      </c>
      <c r="L212" s="950" t="str">
        <f t="shared" si="1"/>
        <v/>
      </c>
      <c r="M212" s="736"/>
      <c r="N212" s="736"/>
      <c r="O212" s="736"/>
    </row>
    <row r="213">
      <c r="A213" s="951" t="s">
        <v>1734</v>
      </c>
      <c r="B213" s="952" t="s">
        <v>60</v>
      </c>
      <c r="C213" s="953">
        <v>42853.0</v>
      </c>
      <c r="D213" s="954" t="s">
        <v>59</v>
      </c>
      <c r="E213" s="948" t="s">
        <v>63</v>
      </c>
      <c r="F213" s="954" t="s">
        <v>69</v>
      </c>
      <c r="G213" s="954" t="s">
        <v>69</v>
      </c>
      <c r="H213" s="954" t="s">
        <v>66</v>
      </c>
      <c r="I213" s="955">
        <v>0.8</v>
      </c>
      <c r="J213" s="948"/>
      <c r="K213" s="949">
        <v>0.01193581437843827</v>
      </c>
      <c r="L213" s="950" t="str">
        <f t="shared" si="1"/>
        <v/>
      </c>
      <c r="M213" s="736"/>
      <c r="N213" s="736"/>
      <c r="O213" s="736"/>
    </row>
    <row r="214">
      <c r="A214" s="951" t="s">
        <v>681</v>
      </c>
      <c r="B214" s="952" t="s">
        <v>638</v>
      </c>
      <c r="C214" s="953">
        <v>42850.0</v>
      </c>
      <c r="D214" s="954" t="s">
        <v>86</v>
      </c>
      <c r="E214" s="948" t="s">
        <v>63</v>
      </c>
      <c r="F214" s="954" t="s">
        <v>67</v>
      </c>
      <c r="G214" s="954" t="s">
        <v>68</v>
      </c>
      <c r="H214" s="954" t="s">
        <v>68</v>
      </c>
      <c r="I214" s="955">
        <v>0.8</v>
      </c>
      <c r="J214" s="948">
        <v>199.0</v>
      </c>
      <c r="K214" s="949">
        <v>0.06006656087288065</v>
      </c>
      <c r="L214" s="950" t="str">
        <f t="shared" si="1"/>
        <v>yes</v>
      </c>
      <c r="M214" s="736"/>
      <c r="N214" s="736"/>
      <c r="O214" s="736"/>
    </row>
    <row r="215">
      <c r="A215" s="951" t="s">
        <v>161</v>
      </c>
      <c r="B215" s="952" t="s">
        <v>56</v>
      </c>
      <c r="C215" s="953">
        <v>42849.0</v>
      </c>
      <c r="D215" s="954" t="s">
        <v>59</v>
      </c>
      <c r="E215" s="948" t="s">
        <v>63</v>
      </c>
      <c r="F215" s="954" t="s">
        <v>64</v>
      </c>
      <c r="G215" s="954" t="s">
        <v>69</v>
      </c>
      <c r="H215" s="954" t="s">
        <v>69</v>
      </c>
      <c r="I215" s="955">
        <v>0.9</v>
      </c>
      <c r="J215" s="948">
        <v>185.0</v>
      </c>
      <c r="K215" s="949">
        <v>-0.009984769579559405</v>
      </c>
      <c r="L215" s="950" t="str">
        <f t="shared" si="1"/>
        <v/>
      </c>
      <c r="M215" s="736"/>
      <c r="N215" s="736"/>
      <c r="O215" s="736"/>
    </row>
    <row r="216">
      <c r="A216" s="951" t="s">
        <v>1712</v>
      </c>
      <c r="B216" s="952" t="s">
        <v>60</v>
      </c>
      <c r="C216" s="953">
        <v>42848.0</v>
      </c>
      <c r="D216" s="954" t="s">
        <v>79</v>
      </c>
      <c r="E216" s="948" t="s">
        <v>63</v>
      </c>
      <c r="F216" s="954" t="s">
        <v>67</v>
      </c>
      <c r="G216" s="954" t="s">
        <v>69</v>
      </c>
      <c r="H216" s="954" t="s">
        <v>69</v>
      </c>
      <c r="I216" s="955"/>
      <c r="J216" s="948">
        <v>218.0</v>
      </c>
      <c r="K216" s="949">
        <v>0.012477913794773365</v>
      </c>
      <c r="L216" s="950" t="str">
        <f t="shared" si="1"/>
        <v/>
      </c>
      <c r="M216" s="736"/>
      <c r="N216" s="736"/>
      <c r="O216" s="736"/>
    </row>
    <row r="217">
      <c r="A217" s="951" t="s">
        <v>519</v>
      </c>
      <c r="B217" s="952" t="s">
        <v>56</v>
      </c>
      <c r="C217" s="953">
        <v>42848.0</v>
      </c>
      <c r="D217" s="954" t="s">
        <v>305</v>
      </c>
      <c r="E217" s="948" t="s">
        <v>63</v>
      </c>
      <c r="F217" s="954" t="s">
        <v>64</v>
      </c>
      <c r="G217" s="954" t="s">
        <v>69</v>
      </c>
      <c r="H217" s="954" t="s">
        <v>68</v>
      </c>
      <c r="I217" s="955">
        <v>0.8</v>
      </c>
      <c r="J217" s="948">
        <v>183.0</v>
      </c>
      <c r="K217" s="949">
        <v>0.02058928292788098</v>
      </c>
      <c r="L217" s="950" t="str">
        <f t="shared" si="1"/>
        <v/>
      </c>
      <c r="M217" s="736"/>
      <c r="N217" s="736"/>
      <c r="O217" s="736"/>
    </row>
    <row r="218">
      <c r="A218" s="951" t="s">
        <v>1454</v>
      </c>
      <c r="B218" s="952" t="s">
        <v>60</v>
      </c>
      <c r="C218" s="953">
        <v>42847.0</v>
      </c>
      <c r="D218" s="954" t="s">
        <v>118</v>
      </c>
      <c r="E218" s="948" t="s">
        <v>63</v>
      </c>
      <c r="F218" s="954" t="s">
        <v>64</v>
      </c>
      <c r="G218" s="954" t="s">
        <v>69</v>
      </c>
      <c r="H218" s="954" t="s">
        <v>66</v>
      </c>
      <c r="I218" s="955">
        <v>0.9</v>
      </c>
      <c r="J218" s="948">
        <v>212.0</v>
      </c>
      <c r="K218" s="949">
        <v>0.012786847537060053</v>
      </c>
      <c r="L218" s="950" t="str">
        <f t="shared" si="1"/>
        <v/>
      </c>
      <c r="M218" s="736"/>
      <c r="N218" s="736"/>
      <c r="O218" s="736"/>
    </row>
    <row r="219">
      <c r="A219" s="951" t="s">
        <v>1712</v>
      </c>
      <c r="B219" s="952" t="s">
        <v>60</v>
      </c>
      <c r="C219" s="953">
        <v>42847.0</v>
      </c>
      <c r="D219" s="954" t="s">
        <v>79</v>
      </c>
      <c r="E219" s="948" t="s">
        <v>63</v>
      </c>
      <c r="F219" s="954" t="s">
        <v>67</v>
      </c>
      <c r="G219" s="954" t="s">
        <v>69</v>
      </c>
      <c r="H219" s="954" t="s">
        <v>69</v>
      </c>
      <c r="I219" s="955"/>
      <c r="J219" s="948">
        <v>218.0</v>
      </c>
      <c r="K219" s="949">
        <v>0.012410314880178963</v>
      </c>
      <c r="L219" s="950" t="str">
        <f t="shared" si="1"/>
        <v/>
      </c>
      <c r="M219" s="736"/>
      <c r="N219" s="736"/>
      <c r="O219" s="736"/>
    </row>
    <row r="220">
      <c r="A220" s="951" t="s">
        <v>694</v>
      </c>
      <c r="B220" s="952" t="s">
        <v>638</v>
      </c>
      <c r="C220" s="953">
        <v>42847.0</v>
      </c>
      <c r="D220" s="954" t="s">
        <v>250</v>
      </c>
      <c r="E220" s="948" t="s">
        <v>63</v>
      </c>
      <c r="F220" s="954"/>
      <c r="G220" s="954"/>
      <c r="H220" s="954"/>
      <c r="I220" s="955"/>
      <c r="J220" s="948"/>
      <c r="K220" s="949">
        <v>0.009768125969225938</v>
      </c>
      <c r="L220" s="950" t="str">
        <f t="shared" si="1"/>
        <v>yes</v>
      </c>
      <c r="M220" s="736"/>
      <c r="N220" s="736"/>
      <c r="O220" s="736"/>
    </row>
    <row r="221">
      <c r="A221" s="951" t="s">
        <v>1762</v>
      </c>
      <c r="B221" s="952" t="s">
        <v>60</v>
      </c>
      <c r="C221" s="953">
        <v>42846.0</v>
      </c>
      <c r="D221" s="954" t="s">
        <v>59</v>
      </c>
      <c r="E221" s="948" t="s">
        <v>63</v>
      </c>
      <c r="F221" s="954" t="s">
        <v>67</v>
      </c>
      <c r="G221" s="954" t="s">
        <v>69</v>
      </c>
      <c r="H221" s="954" t="s">
        <v>68</v>
      </c>
      <c r="I221" s="955">
        <v>0.6</v>
      </c>
      <c r="J221" s="948">
        <v>218.0</v>
      </c>
      <c r="K221" s="949">
        <v>0.012203941686405928</v>
      </c>
      <c r="L221" s="950" t="str">
        <f t="shared" si="1"/>
        <v/>
      </c>
      <c r="M221" s="736"/>
      <c r="N221" s="736"/>
      <c r="O221" s="736"/>
    </row>
    <row r="222">
      <c r="A222" s="951" t="s">
        <v>1863</v>
      </c>
      <c r="B222" s="952" t="s">
        <v>60</v>
      </c>
      <c r="C222" s="953">
        <v>42844.0</v>
      </c>
      <c r="D222" s="954" t="s">
        <v>59</v>
      </c>
      <c r="E222" s="948" t="s">
        <v>63</v>
      </c>
      <c r="F222" s="954" t="s">
        <v>80</v>
      </c>
      <c r="G222" s="954" t="s">
        <v>64</v>
      </c>
      <c r="H222" s="954" t="s">
        <v>65</v>
      </c>
      <c r="I222" s="955">
        <v>0.9</v>
      </c>
      <c r="J222" s="948">
        <v>250.0</v>
      </c>
      <c r="K222" s="949">
        <v>-0.007436482648377707</v>
      </c>
      <c r="L222" s="950" t="str">
        <f t="shared" si="1"/>
        <v>yes</v>
      </c>
      <c r="M222" s="736"/>
      <c r="N222" s="736"/>
      <c r="O222" s="736"/>
    </row>
    <row r="223">
      <c r="A223" s="951" t="s">
        <v>279</v>
      </c>
      <c r="B223" s="952" t="s">
        <v>60</v>
      </c>
      <c r="C223" s="953">
        <v>42843.0</v>
      </c>
      <c r="D223" s="954" t="s">
        <v>59</v>
      </c>
      <c r="E223" s="948" t="s">
        <v>195</v>
      </c>
      <c r="F223" s="954" t="s">
        <v>64</v>
      </c>
      <c r="G223" s="954" t="s">
        <v>69</v>
      </c>
      <c r="H223" s="954" t="s">
        <v>66</v>
      </c>
      <c r="I223" s="955">
        <v>0.9</v>
      </c>
      <c r="J223" s="948">
        <v>234.0</v>
      </c>
      <c r="K223" s="949">
        <v>-0.004321733559077501</v>
      </c>
      <c r="L223" s="950" t="str">
        <f t="shared" si="1"/>
        <v>yes</v>
      </c>
      <c r="M223" s="736"/>
      <c r="N223" s="736"/>
      <c r="O223" s="736"/>
    </row>
    <row r="224">
      <c r="A224" s="951" t="s">
        <v>647</v>
      </c>
      <c r="B224" s="952" t="s">
        <v>56</v>
      </c>
      <c r="C224" s="953">
        <v>42843.0</v>
      </c>
      <c r="D224" s="954" t="s">
        <v>86</v>
      </c>
      <c r="E224" s="948" t="s">
        <v>63</v>
      </c>
      <c r="F224" s="954" t="s">
        <v>69</v>
      </c>
      <c r="G224" s="954" t="s">
        <v>66</v>
      </c>
      <c r="H224" s="954" t="s">
        <v>68</v>
      </c>
      <c r="I224" s="955">
        <v>0.9</v>
      </c>
      <c r="J224" s="948">
        <v>178.0</v>
      </c>
      <c r="K224" s="949">
        <v>0.01708509836518768</v>
      </c>
      <c r="L224" s="950" t="str">
        <f t="shared" si="1"/>
        <v>yes</v>
      </c>
      <c r="M224" s="736"/>
      <c r="N224" s="736"/>
      <c r="O224" s="736"/>
    </row>
    <row r="225">
      <c r="A225" s="951" t="s">
        <v>1275</v>
      </c>
      <c r="B225" s="952" t="s">
        <v>60</v>
      </c>
      <c r="C225" s="953">
        <v>42842.0</v>
      </c>
      <c r="D225" s="954" t="s">
        <v>683</v>
      </c>
      <c r="E225" s="948" t="s">
        <v>63</v>
      </c>
      <c r="F225" s="954" t="s">
        <v>65</v>
      </c>
      <c r="G225" s="954" t="s">
        <v>69</v>
      </c>
      <c r="H225" s="954" t="s">
        <v>69</v>
      </c>
      <c r="I225" s="955">
        <v>0.9</v>
      </c>
      <c r="J225" s="948">
        <v>302.0</v>
      </c>
      <c r="K225" s="949">
        <v>0.014127942266315863</v>
      </c>
      <c r="L225" s="950" t="str">
        <f t="shared" si="1"/>
        <v/>
      </c>
      <c r="M225" s="736"/>
      <c r="N225" s="736"/>
      <c r="O225" s="736"/>
    </row>
    <row r="226">
      <c r="A226" s="951" t="s">
        <v>1740</v>
      </c>
      <c r="B226" s="952" t="s">
        <v>60</v>
      </c>
      <c r="C226" s="953">
        <v>42842.0</v>
      </c>
      <c r="D226" s="954" t="s">
        <v>305</v>
      </c>
      <c r="E226" s="948" t="s">
        <v>63</v>
      </c>
      <c r="F226" s="954" t="s">
        <v>65</v>
      </c>
      <c r="G226" s="954" t="s">
        <v>64</v>
      </c>
      <c r="H226" s="954" t="s">
        <v>64</v>
      </c>
      <c r="I226" s="955">
        <v>0.8</v>
      </c>
      <c r="J226" s="948">
        <v>218.0</v>
      </c>
      <c r="K226" s="949">
        <v>0.009858143663142638</v>
      </c>
      <c r="L226" s="950" t="str">
        <f t="shared" si="1"/>
        <v>yes</v>
      </c>
      <c r="M226" s="736"/>
      <c r="N226" s="736"/>
      <c r="O226" s="736"/>
    </row>
    <row r="227">
      <c r="A227" s="951" t="s">
        <v>686</v>
      </c>
      <c r="B227" s="952" t="s">
        <v>638</v>
      </c>
      <c r="C227" s="953">
        <v>42842.0</v>
      </c>
      <c r="D227" s="954" t="s">
        <v>59</v>
      </c>
      <c r="E227" s="948" t="s">
        <v>63</v>
      </c>
      <c r="F227" s="954" t="s">
        <v>64</v>
      </c>
      <c r="G227" s="954" t="s">
        <v>69</v>
      </c>
      <c r="H227" s="954" t="s">
        <v>68</v>
      </c>
      <c r="I227" s="955">
        <v>0.8</v>
      </c>
      <c r="J227" s="948">
        <v>201.0</v>
      </c>
      <c r="K227" s="949">
        <v>0.015114819275522273</v>
      </c>
      <c r="L227" s="950" t="str">
        <f t="shared" si="1"/>
        <v>yes</v>
      </c>
      <c r="M227" s="736"/>
      <c r="N227" s="736"/>
      <c r="O227" s="736"/>
    </row>
    <row r="228">
      <c r="A228" s="951" t="s">
        <v>642</v>
      </c>
      <c r="B228" s="952" t="s">
        <v>56</v>
      </c>
      <c r="C228" s="953">
        <v>42842.0</v>
      </c>
      <c r="D228" s="954" t="s">
        <v>90</v>
      </c>
      <c r="E228" s="948" t="s">
        <v>63</v>
      </c>
      <c r="F228" s="954" t="s">
        <v>68</v>
      </c>
      <c r="G228" s="954" t="s">
        <v>66</v>
      </c>
      <c r="H228" s="954" t="s">
        <v>68</v>
      </c>
      <c r="I228" s="955">
        <v>0.9</v>
      </c>
      <c r="J228" s="948">
        <v>206.0</v>
      </c>
      <c r="K228" s="949">
        <v>0.008654605945538574</v>
      </c>
      <c r="L228" s="950" t="str">
        <f t="shared" si="1"/>
        <v>yes</v>
      </c>
      <c r="M228" s="736"/>
      <c r="N228" s="736"/>
      <c r="O228" s="736"/>
    </row>
    <row r="229">
      <c r="A229" s="951" t="s">
        <v>1654</v>
      </c>
      <c r="B229" s="952" t="s">
        <v>60</v>
      </c>
      <c r="C229" s="953">
        <v>42841.0</v>
      </c>
      <c r="D229" s="954" t="s">
        <v>59</v>
      </c>
      <c r="E229" s="948" t="s">
        <v>63</v>
      </c>
      <c r="F229" s="954" t="s">
        <v>65</v>
      </c>
      <c r="G229" s="954" t="s">
        <v>65</v>
      </c>
      <c r="H229" s="954" t="s">
        <v>69</v>
      </c>
      <c r="I229" s="955"/>
      <c r="J229" s="948">
        <v>224.0</v>
      </c>
      <c r="K229" s="949">
        <v>0.012815200143414862</v>
      </c>
      <c r="L229" s="950" t="str">
        <f t="shared" si="1"/>
        <v>yes</v>
      </c>
      <c r="M229" s="736"/>
      <c r="N229" s="736"/>
      <c r="O229" s="736"/>
    </row>
    <row r="230">
      <c r="A230" s="951" t="s">
        <v>1873</v>
      </c>
      <c r="B230" s="952" t="s">
        <v>60</v>
      </c>
      <c r="C230" s="953">
        <v>42840.0</v>
      </c>
      <c r="D230" s="954" t="s">
        <v>109</v>
      </c>
      <c r="E230" s="948" t="s">
        <v>63</v>
      </c>
      <c r="F230" s="954" t="s">
        <v>64</v>
      </c>
      <c r="G230" s="954" t="s">
        <v>68</v>
      </c>
      <c r="H230" s="954" t="s">
        <v>69</v>
      </c>
      <c r="I230" s="955">
        <v>0.9</v>
      </c>
      <c r="J230" s="948">
        <v>199.0</v>
      </c>
      <c r="K230" s="949">
        <v>-0.07248019875712952</v>
      </c>
      <c r="L230" s="950" t="str">
        <f t="shared" si="1"/>
        <v>yes</v>
      </c>
      <c r="M230" s="736"/>
      <c r="N230" s="736"/>
      <c r="O230" s="736"/>
    </row>
    <row r="231">
      <c r="A231" s="951" t="s">
        <v>1454</v>
      </c>
      <c r="B231" s="952" t="s">
        <v>60</v>
      </c>
      <c r="C231" s="953">
        <v>42840.0</v>
      </c>
      <c r="D231" s="954" t="s">
        <v>118</v>
      </c>
      <c r="E231" s="948" t="s">
        <v>63</v>
      </c>
      <c r="F231" s="954" t="s">
        <v>64</v>
      </c>
      <c r="G231" s="954" t="s">
        <v>69</v>
      </c>
      <c r="H231" s="954" t="s">
        <v>68</v>
      </c>
      <c r="I231" s="955">
        <v>0.9</v>
      </c>
      <c r="J231" s="948">
        <v>219.0</v>
      </c>
      <c r="K231" s="949">
        <v>0.0014255204840550872</v>
      </c>
      <c r="L231" s="950" t="str">
        <f t="shared" si="1"/>
        <v/>
      </c>
      <c r="M231" s="736"/>
      <c r="N231" s="736"/>
      <c r="O231" s="736"/>
    </row>
    <row r="232">
      <c r="A232" s="951" t="s">
        <v>639</v>
      </c>
      <c r="B232" s="952" t="s">
        <v>56</v>
      </c>
      <c r="C232" s="953">
        <v>42839.0</v>
      </c>
      <c r="D232" s="954" t="s">
        <v>79</v>
      </c>
      <c r="E232" s="948" t="s">
        <v>63</v>
      </c>
      <c r="F232" s="954" t="s">
        <v>64</v>
      </c>
      <c r="G232" s="954" t="s">
        <v>69</v>
      </c>
      <c r="H232" s="954" t="s">
        <v>68</v>
      </c>
      <c r="I232" s="955">
        <v>0.9</v>
      </c>
      <c r="J232" s="948">
        <v>215.0</v>
      </c>
      <c r="K232" s="949">
        <v>-0.02529983372058975</v>
      </c>
      <c r="L232" s="950" t="str">
        <f t="shared" si="1"/>
        <v>yes</v>
      </c>
      <c r="M232" s="736"/>
      <c r="N232" s="736"/>
      <c r="O232" s="736"/>
    </row>
    <row r="233">
      <c r="A233" s="951" t="s">
        <v>1726</v>
      </c>
      <c r="B233" s="952" t="s">
        <v>60</v>
      </c>
      <c r="C233" s="953">
        <v>42838.0</v>
      </c>
      <c r="D233" s="954" t="s">
        <v>305</v>
      </c>
      <c r="E233" s="948" t="s">
        <v>63</v>
      </c>
      <c r="F233" s="954" t="s">
        <v>66</v>
      </c>
      <c r="G233" s="954" t="s">
        <v>69</v>
      </c>
      <c r="H233" s="954" t="s">
        <v>64</v>
      </c>
      <c r="I233" s="955">
        <v>0.8</v>
      </c>
      <c r="J233" s="948">
        <v>234.0</v>
      </c>
      <c r="K233" s="949">
        <v>-0.004716152030996179</v>
      </c>
      <c r="L233" s="950" t="str">
        <f t="shared" si="1"/>
        <v/>
      </c>
      <c r="M233" s="736"/>
      <c r="N233" s="736"/>
      <c r="O233" s="736"/>
    </row>
    <row r="234">
      <c r="A234" s="951" t="s">
        <v>1874</v>
      </c>
      <c r="B234" s="952" t="s">
        <v>60</v>
      </c>
      <c r="C234" s="953">
        <v>42838.0</v>
      </c>
      <c r="D234" s="954" t="s">
        <v>118</v>
      </c>
      <c r="E234" s="948" t="s">
        <v>63</v>
      </c>
      <c r="F234" s="954" t="s">
        <v>64</v>
      </c>
      <c r="G234" s="954" t="s">
        <v>65</v>
      </c>
      <c r="H234" s="954" t="s">
        <v>66</v>
      </c>
      <c r="I234" s="955">
        <v>0.9</v>
      </c>
      <c r="J234" s="948">
        <v>209.0</v>
      </c>
      <c r="K234" s="949">
        <v>0.04128550121287766</v>
      </c>
      <c r="L234" s="950" t="str">
        <f t="shared" si="1"/>
        <v>yes</v>
      </c>
      <c r="M234" s="736"/>
      <c r="N234" s="736"/>
      <c r="O234" s="736"/>
    </row>
    <row r="235">
      <c r="A235" s="951" t="s">
        <v>633</v>
      </c>
      <c r="B235" s="952" t="s">
        <v>56</v>
      </c>
      <c r="C235" s="953">
        <v>42838.0</v>
      </c>
      <c r="D235" s="954" t="s">
        <v>59</v>
      </c>
      <c r="E235" s="948" t="s">
        <v>63</v>
      </c>
      <c r="F235" s="954" t="s">
        <v>69</v>
      </c>
      <c r="G235" s="954" t="s">
        <v>66</v>
      </c>
      <c r="H235" s="954" t="s">
        <v>68</v>
      </c>
      <c r="I235" s="955">
        <v>0.9</v>
      </c>
      <c r="J235" s="948">
        <v>173.0</v>
      </c>
      <c r="K235" s="949">
        <v>0.025724375560913337</v>
      </c>
      <c r="L235" s="950" t="str">
        <f t="shared" si="1"/>
        <v>yes</v>
      </c>
      <c r="M235" s="736"/>
      <c r="N235" s="736"/>
      <c r="O235" s="736"/>
    </row>
    <row r="236">
      <c r="A236" s="951" t="s">
        <v>1652</v>
      </c>
      <c r="B236" s="952" t="s">
        <v>60</v>
      </c>
      <c r="C236" s="953">
        <v>42836.0</v>
      </c>
      <c r="D236" s="954" t="s">
        <v>79</v>
      </c>
      <c r="E236" s="948" t="s">
        <v>63</v>
      </c>
      <c r="F236" s="954" t="s">
        <v>65</v>
      </c>
      <c r="G236" s="954" t="s">
        <v>67</v>
      </c>
      <c r="H236" s="954" t="s">
        <v>66</v>
      </c>
      <c r="I236" s="955">
        <v>0.9</v>
      </c>
      <c r="J236" s="948">
        <v>217.0</v>
      </c>
      <c r="K236" s="949">
        <v>0.0026784261806822585</v>
      </c>
      <c r="L236" s="950" t="str">
        <f t="shared" si="1"/>
        <v>yes</v>
      </c>
      <c r="M236" s="736"/>
      <c r="N236" s="736"/>
      <c r="O236" s="736"/>
    </row>
    <row r="237">
      <c r="A237" s="951" t="s">
        <v>1819</v>
      </c>
      <c r="B237" s="952" t="s">
        <v>60</v>
      </c>
      <c r="C237" s="953">
        <v>42832.0</v>
      </c>
      <c r="D237" s="954" t="s">
        <v>59</v>
      </c>
      <c r="E237" s="948" t="s">
        <v>63</v>
      </c>
      <c r="F237" s="954" t="s">
        <v>64</v>
      </c>
      <c r="G237" s="954" t="s">
        <v>66</v>
      </c>
      <c r="H237" s="954" t="s">
        <v>68</v>
      </c>
      <c r="I237" s="955">
        <v>0.8</v>
      </c>
      <c r="J237" s="948">
        <v>210.0</v>
      </c>
      <c r="K237" s="949">
        <v>0.009654953100813102</v>
      </c>
      <c r="L237" s="950" t="str">
        <f t="shared" si="1"/>
        <v>yes</v>
      </c>
      <c r="M237" s="736"/>
      <c r="N237" s="736"/>
      <c r="O237" s="736"/>
    </row>
    <row r="238">
      <c r="A238" s="951" t="s">
        <v>1637</v>
      </c>
      <c r="B238" s="952" t="s">
        <v>60</v>
      </c>
      <c r="C238" s="953">
        <v>42831.0</v>
      </c>
      <c r="D238" s="954" t="s">
        <v>118</v>
      </c>
      <c r="E238" s="948" t="s">
        <v>63</v>
      </c>
      <c r="F238" s="954" t="s">
        <v>67</v>
      </c>
      <c r="G238" s="954" t="s">
        <v>64</v>
      </c>
      <c r="H238" s="954" t="s">
        <v>69</v>
      </c>
      <c r="I238" s="955">
        <v>0.8</v>
      </c>
      <c r="J238" s="948">
        <v>207.0</v>
      </c>
      <c r="K238" s="949">
        <v>0.023280301835036155</v>
      </c>
      <c r="L238" s="950" t="str">
        <f t="shared" si="1"/>
        <v/>
      </c>
      <c r="M238" s="736"/>
      <c r="N238" s="736"/>
      <c r="O238" s="736"/>
    </row>
    <row r="239">
      <c r="A239" s="951" t="s">
        <v>628</v>
      </c>
      <c r="B239" s="952" t="s">
        <v>56</v>
      </c>
      <c r="C239" s="953">
        <v>42830.0</v>
      </c>
      <c r="D239" s="954" t="s">
        <v>629</v>
      </c>
      <c r="E239" s="948" t="s">
        <v>63</v>
      </c>
      <c r="F239" s="954" t="s">
        <v>80</v>
      </c>
      <c r="G239" s="954" t="s">
        <v>69</v>
      </c>
      <c r="H239" s="954" t="s">
        <v>65</v>
      </c>
      <c r="I239" s="955">
        <v>0.8</v>
      </c>
      <c r="J239" s="948">
        <v>188.0</v>
      </c>
      <c r="K239" s="949">
        <v>-0.012417804252789044</v>
      </c>
      <c r="L239" s="950" t="str">
        <f t="shared" si="1"/>
        <v>yes</v>
      </c>
      <c r="M239" s="736"/>
      <c r="N239" s="736"/>
      <c r="O239" s="736"/>
    </row>
    <row r="240">
      <c r="A240" s="951" t="s">
        <v>674</v>
      </c>
      <c r="B240" s="952" t="s">
        <v>56</v>
      </c>
      <c r="C240" s="953">
        <v>42830.0</v>
      </c>
      <c r="D240" s="954" t="s">
        <v>675</v>
      </c>
      <c r="E240" s="948" t="s">
        <v>63</v>
      </c>
      <c r="F240" s="954" t="s">
        <v>65</v>
      </c>
      <c r="G240" s="954" t="s">
        <v>65</v>
      </c>
      <c r="H240" s="954" t="s">
        <v>68</v>
      </c>
      <c r="I240" s="955">
        <v>0.9</v>
      </c>
      <c r="J240" s="948">
        <v>174.0</v>
      </c>
      <c r="K240" s="949">
        <v>0.022132102033003198</v>
      </c>
      <c r="L240" s="950" t="str">
        <f t="shared" si="1"/>
        <v>yes</v>
      </c>
      <c r="M240" s="736"/>
      <c r="N240" s="736"/>
      <c r="O240" s="736"/>
    </row>
    <row r="241">
      <c r="A241" s="951" t="s">
        <v>1615</v>
      </c>
      <c r="B241" s="952" t="s">
        <v>60</v>
      </c>
      <c r="C241" s="953">
        <v>42828.0</v>
      </c>
      <c r="D241" s="954" t="s">
        <v>629</v>
      </c>
      <c r="E241" s="948" t="s">
        <v>63</v>
      </c>
      <c r="F241" s="954" t="s">
        <v>80</v>
      </c>
      <c r="G241" s="954" t="s">
        <v>64</v>
      </c>
      <c r="H241" s="954" t="s">
        <v>64</v>
      </c>
      <c r="I241" s="955">
        <v>0.7</v>
      </c>
      <c r="J241" s="948">
        <v>200.0</v>
      </c>
      <c r="K241" s="949">
        <v>3.12480530616277E-4</v>
      </c>
      <c r="L241" s="950" t="str">
        <f t="shared" si="1"/>
        <v/>
      </c>
      <c r="M241" s="736"/>
      <c r="N241" s="736"/>
      <c r="O241" s="736"/>
    </row>
    <row r="242">
      <c r="A242" s="951" t="s">
        <v>1820</v>
      </c>
      <c r="B242" s="952" t="s">
        <v>60</v>
      </c>
      <c r="C242" s="953">
        <v>42826.0</v>
      </c>
      <c r="D242" s="954" t="s">
        <v>683</v>
      </c>
      <c r="E242" s="948" t="s">
        <v>63</v>
      </c>
      <c r="F242" s="954" t="s">
        <v>64</v>
      </c>
      <c r="G242" s="954" t="s">
        <v>66</v>
      </c>
      <c r="H242" s="954" t="s">
        <v>68</v>
      </c>
      <c r="I242" s="955">
        <v>0.8</v>
      </c>
      <c r="J242" s="948">
        <v>225.0</v>
      </c>
      <c r="K242" s="949">
        <v>-0.012097253791073848</v>
      </c>
      <c r="L242" s="950" t="str">
        <f t="shared" si="1"/>
        <v>yes</v>
      </c>
      <c r="M242" s="736"/>
      <c r="N242" s="736"/>
      <c r="O242" s="736"/>
    </row>
    <row r="243">
      <c r="A243" s="951" t="s">
        <v>1783</v>
      </c>
      <c r="B243" s="952" t="s">
        <v>60</v>
      </c>
      <c r="C243" s="953">
        <v>42826.0</v>
      </c>
      <c r="D243" s="954" t="s">
        <v>59</v>
      </c>
      <c r="E243" s="948" t="s">
        <v>63</v>
      </c>
      <c r="F243" s="954" t="s">
        <v>69</v>
      </c>
      <c r="G243" s="954" t="s">
        <v>69</v>
      </c>
      <c r="H243" s="954" t="s">
        <v>69</v>
      </c>
      <c r="I243" s="955"/>
      <c r="J243" s="948">
        <v>222.0</v>
      </c>
      <c r="K243" s="949">
        <v>0.019321292397066703</v>
      </c>
      <c r="L243" s="950" t="str">
        <f t="shared" si="1"/>
        <v>yes</v>
      </c>
      <c r="M243" s="736"/>
      <c r="N243" s="736"/>
      <c r="O243" s="736"/>
    </row>
    <row r="244">
      <c r="A244" s="951" t="s">
        <v>1832</v>
      </c>
      <c r="B244" s="952" t="s">
        <v>60</v>
      </c>
      <c r="C244" s="953">
        <v>42825.0</v>
      </c>
      <c r="D244" s="954" t="s">
        <v>90</v>
      </c>
      <c r="E244" s="948" t="s">
        <v>63</v>
      </c>
      <c r="F244" s="954" t="s">
        <v>64</v>
      </c>
      <c r="G244" s="954" t="s">
        <v>65</v>
      </c>
      <c r="H244" s="954" t="s">
        <v>66</v>
      </c>
      <c r="I244" s="955">
        <v>0.9</v>
      </c>
      <c r="J244" s="948">
        <v>212.0</v>
      </c>
      <c r="K244" s="949">
        <v>-0.0046572315948100185</v>
      </c>
      <c r="L244" s="950" t="str">
        <f t="shared" si="1"/>
        <v>yes</v>
      </c>
      <c r="M244" s="736"/>
      <c r="N244" s="736"/>
      <c r="O244" s="736"/>
    </row>
    <row r="245">
      <c r="A245" s="951" t="s">
        <v>1628</v>
      </c>
      <c r="B245" s="952" t="s">
        <v>60</v>
      </c>
      <c r="C245" s="953">
        <v>42823.0</v>
      </c>
      <c r="D245" s="954" t="s">
        <v>305</v>
      </c>
      <c r="E245" s="948" t="s">
        <v>63</v>
      </c>
      <c r="F245" s="954" t="s">
        <v>64</v>
      </c>
      <c r="G245" s="954" t="s">
        <v>65</v>
      </c>
      <c r="H245" s="954" t="s">
        <v>68</v>
      </c>
      <c r="I245" s="955">
        <v>0.9</v>
      </c>
      <c r="J245" s="948">
        <v>222.0</v>
      </c>
      <c r="K245" s="949">
        <v>8.675224732298537E-4</v>
      </c>
      <c r="L245" s="950" t="str">
        <f t="shared" si="1"/>
        <v/>
      </c>
      <c r="M245" s="736"/>
      <c r="N245" s="736"/>
      <c r="O245" s="736"/>
    </row>
    <row r="246">
      <c r="A246" s="951" t="s">
        <v>161</v>
      </c>
      <c r="B246" s="952" t="s">
        <v>56</v>
      </c>
      <c r="C246" s="953">
        <v>42822.0</v>
      </c>
      <c r="D246" s="954" t="s">
        <v>59</v>
      </c>
      <c r="E246" s="948" t="s">
        <v>63</v>
      </c>
      <c r="F246" s="954" t="s">
        <v>64</v>
      </c>
      <c r="G246" s="954" t="s">
        <v>69</v>
      </c>
      <c r="H246" s="954" t="s">
        <v>69</v>
      </c>
      <c r="I246" s="955">
        <v>0.9</v>
      </c>
      <c r="J246" s="948">
        <v>185.0</v>
      </c>
      <c r="K246" s="949">
        <v>-0.010149717730070784</v>
      </c>
      <c r="L246" s="950" t="str">
        <f t="shared" si="1"/>
        <v/>
      </c>
      <c r="M246" s="736"/>
      <c r="N246" s="736"/>
      <c r="O246" s="736"/>
    </row>
    <row r="247">
      <c r="A247" s="951" t="s">
        <v>1784</v>
      </c>
      <c r="B247" s="952" t="s">
        <v>60</v>
      </c>
      <c r="C247" s="953">
        <v>42821.0</v>
      </c>
      <c r="D247" s="954" t="s">
        <v>59</v>
      </c>
      <c r="E247" s="948" t="s">
        <v>63</v>
      </c>
      <c r="F247" s="954"/>
      <c r="G247" s="954"/>
      <c r="H247" s="954"/>
      <c r="I247" s="955"/>
      <c r="J247" s="948">
        <v>205.0</v>
      </c>
      <c r="K247" s="949">
        <v>0.01863152542178914</v>
      </c>
      <c r="L247" s="950" t="str">
        <f t="shared" si="1"/>
        <v/>
      </c>
      <c r="M247" s="736"/>
      <c r="N247" s="736"/>
      <c r="O247" s="736"/>
    </row>
    <row r="248">
      <c r="A248" s="951" t="s">
        <v>169</v>
      </c>
      <c r="B248" s="952" t="s">
        <v>55</v>
      </c>
      <c r="C248" s="953">
        <v>42819.0</v>
      </c>
      <c r="D248" s="954" t="s">
        <v>59</v>
      </c>
      <c r="E248" s="948" t="s">
        <v>63</v>
      </c>
      <c r="F248" s="954" t="s">
        <v>64</v>
      </c>
      <c r="G248" s="954" t="s">
        <v>69</v>
      </c>
      <c r="H248" s="954" t="s">
        <v>69</v>
      </c>
      <c r="I248" s="955">
        <v>0.9</v>
      </c>
      <c r="J248" s="948">
        <v>215.0</v>
      </c>
      <c r="K248" s="949">
        <v>-0.006388612053391807</v>
      </c>
      <c r="L248" s="950" t="str">
        <f t="shared" si="1"/>
        <v/>
      </c>
      <c r="M248" s="736"/>
      <c r="N248" s="736"/>
      <c r="O248" s="736"/>
    </row>
    <row r="249">
      <c r="A249" s="951" t="s">
        <v>126</v>
      </c>
      <c r="B249" s="952" t="s">
        <v>60</v>
      </c>
      <c r="C249" s="953">
        <v>42817.0</v>
      </c>
      <c r="D249" s="954" t="s">
        <v>79</v>
      </c>
      <c r="E249" s="948" t="s">
        <v>63</v>
      </c>
      <c r="F249" s="954" t="s">
        <v>65</v>
      </c>
      <c r="G249" s="954" t="s">
        <v>127</v>
      </c>
      <c r="H249" s="954" t="s">
        <v>69</v>
      </c>
      <c r="I249" s="955">
        <v>1.0</v>
      </c>
      <c r="J249" s="948">
        <v>212.0</v>
      </c>
      <c r="K249" s="949">
        <v>-0.004804404041318322</v>
      </c>
      <c r="L249" s="950" t="str">
        <f t="shared" si="1"/>
        <v/>
      </c>
      <c r="M249" s="736"/>
      <c r="N249" s="736"/>
      <c r="O249" s="736"/>
    </row>
    <row r="250">
      <c r="A250" s="951" t="s">
        <v>1336</v>
      </c>
      <c r="B250" s="952" t="s">
        <v>60</v>
      </c>
      <c r="C250" s="953">
        <v>42815.0</v>
      </c>
      <c r="D250" s="954" t="s">
        <v>59</v>
      </c>
      <c r="E250" s="948" t="s">
        <v>63</v>
      </c>
      <c r="F250" s="954" t="s">
        <v>69</v>
      </c>
      <c r="G250" s="954" t="s">
        <v>66</v>
      </c>
      <c r="H250" s="954" t="s">
        <v>66</v>
      </c>
      <c r="I250" s="955">
        <v>0.8</v>
      </c>
      <c r="J250" s="948">
        <v>205.0</v>
      </c>
      <c r="K250" s="949">
        <v>0.005322550179337804</v>
      </c>
      <c r="L250" s="950" t="str">
        <f t="shared" si="1"/>
        <v/>
      </c>
      <c r="M250" s="736"/>
      <c r="N250" s="736"/>
      <c r="O250" s="736"/>
    </row>
    <row r="251">
      <c r="A251" s="951" t="s">
        <v>257</v>
      </c>
      <c r="B251" s="952" t="s">
        <v>55</v>
      </c>
      <c r="C251" s="953">
        <v>42815.0</v>
      </c>
      <c r="D251" s="954" t="s">
        <v>258</v>
      </c>
      <c r="E251" s="948" t="s">
        <v>63</v>
      </c>
      <c r="F251" s="954" t="s">
        <v>65</v>
      </c>
      <c r="G251" s="954" t="s">
        <v>65</v>
      </c>
      <c r="H251" s="954" t="s">
        <v>68</v>
      </c>
      <c r="I251" s="955">
        <v>0.8</v>
      </c>
      <c r="J251" s="948">
        <v>215.0</v>
      </c>
      <c r="K251" s="949">
        <v>0.010218899724447117</v>
      </c>
      <c r="L251" s="950" t="str">
        <f t="shared" si="1"/>
        <v>yes</v>
      </c>
      <c r="M251" s="736"/>
      <c r="N251" s="736"/>
      <c r="O251" s="736"/>
    </row>
    <row r="252">
      <c r="A252" s="951" t="s">
        <v>143</v>
      </c>
      <c r="B252" s="952" t="s">
        <v>56</v>
      </c>
      <c r="C252" s="953">
        <v>42814.0</v>
      </c>
      <c r="D252" s="954" t="s">
        <v>59</v>
      </c>
      <c r="E252" s="948" t="s">
        <v>63</v>
      </c>
      <c r="F252" s="954" t="s">
        <v>80</v>
      </c>
      <c r="G252" s="954" t="s">
        <v>64</v>
      </c>
      <c r="H252" s="954" t="s">
        <v>64</v>
      </c>
      <c r="I252" s="955">
        <v>0.8</v>
      </c>
      <c r="J252" s="948">
        <v>202.0</v>
      </c>
      <c r="K252" s="949">
        <v>0.0013779813716231493</v>
      </c>
      <c r="L252" s="950" t="str">
        <f t="shared" si="1"/>
        <v/>
      </c>
      <c r="M252" s="736"/>
      <c r="N252" s="736"/>
      <c r="O252" s="736"/>
    </row>
    <row r="253">
      <c r="A253" s="951" t="s">
        <v>92</v>
      </c>
      <c r="B253" s="952" t="s">
        <v>55</v>
      </c>
      <c r="C253" s="953">
        <v>42813.0</v>
      </c>
      <c r="D253" s="954" t="s">
        <v>59</v>
      </c>
      <c r="E253" s="948" t="s">
        <v>63</v>
      </c>
      <c r="F253" s="954" t="s">
        <v>64</v>
      </c>
      <c r="G253" s="954" t="s">
        <v>64</v>
      </c>
      <c r="H253" s="954" t="s">
        <v>68</v>
      </c>
      <c r="I253" s="955">
        <v>0.9</v>
      </c>
      <c r="J253" s="948">
        <v>211.0</v>
      </c>
      <c r="K253" s="949">
        <v>0.012704897665213877</v>
      </c>
      <c r="L253" s="950" t="str">
        <f t="shared" si="1"/>
        <v/>
      </c>
      <c r="M253" s="736"/>
      <c r="N253" s="736"/>
      <c r="O253" s="736"/>
    </row>
    <row r="254">
      <c r="A254" s="951" t="s">
        <v>248</v>
      </c>
      <c r="B254" s="952" t="s">
        <v>55</v>
      </c>
      <c r="C254" s="953">
        <v>42813.0</v>
      </c>
      <c r="D254" s="954" t="s">
        <v>250</v>
      </c>
      <c r="E254" s="948" t="s">
        <v>63</v>
      </c>
      <c r="F254" s="954" t="s">
        <v>69</v>
      </c>
      <c r="G254" s="954" t="s">
        <v>64</v>
      </c>
      <c r="H254" s="954" t="s">
        <v>68</v>
      </c>
      <c r="I254" s="955">
        <v>0.9</v>
      </c>
      <c r="J254" s="948">
        <v>228.0</v>
      </c>
      <c r="K254" s="949">
        <v>-0.015652109099210998</v>
      </c>
      <c r="L254" s="950" t="str">
        <f t="shared" si="1"/>
        <v>yes</v>
      </c>
      <c r="M254" s="736"/>
      <c r="N254" s="736"/>
      <c r="O254" s="736"/>
    </row>
    <row r="255">
      <c r="A255" s="951" t="s">
        <v>1712</v>
      </c>
      <c r="B255" s="952" t="s">
        <v>60</v>
      </c>
      <c r="C255" s="953">
        <v>42812.0</v>
      </c>
      <c r="D255" s="954" t="s">
        <v>79</v>
      </c>
      <c r="E255" s="948" t="s">
        <v>63</v>
      </c>
      <c r="F255" s="954" t="s">
        <v>67</v>
      </c>
      <c r="G255" s="954" t="s">
        <v>69</v>
      </c>
      <c r="H255" s="954" t="s">
        <v>69</v>
      </c>
      <c r="I255" s="955"/>
      <c r="J255" s="948">
        <v>218.0</v>
      </c>
      <c r="K255" s="949">
        <v>0.011519280075072524</v>
      </c>
      <c r="L255" s="950" t="str">
        <f t="shared" si="1"/>
        <v/>
      </c>
      <c r="M255" s="736"/>
      <c r="N255" s="736"/>
      <c r="O255" s="736"/>
    </row>
    <row r="256">
      <c r="A256" s="951" t="s">
        <v>169</v>
      </c>
      <c r="B256" s="952" t="s">
        <v>55</v>
      </c>
      <c r="C256" s="953">
        <v>42812.0</v>
      </c>
      <c r="D256" s="954" t="s">
        <v>59</v>
      </c>
      <c r="E256" s="948" t="s">
        <v>63</v>
      </c>
      <c r="F256" s="954" t="s">
        <v>64</v>
      </c>
      <c r="G256" s="954" t="s">
        <v>69</v>
      </c>
      <c r="H256" s="954" t="s">
        <v>69</v>
      </c>
      <c r="I256" s="955">
        <v>0.9</v>
      </c>
      <c r="J256" s="948">
        <v>214.0</v>
      </c>
      <c r="K256" s="949">
        <v>-0.04382987490588952</v>
      </c>
      <c r="L256" s="950" t="str">
        <f t="shared" si="1"/>
        <v/>
      </c>
      <c r="M256" s="736"/>
      <c r="N256" s="736"/>
      <c r="O256" s="736"/>
    </row>
    <row r="257">
      <c r="A257" s="951" t="s">
        <v>449</v>
      </c>
      <c r="B257" s="952" t="s">
        <v>60</v>
      </c>
      <c r="C257" s="953">
        <v>42810.0</v>
      </c>
      <c r="D257" s="954" t="s">
        <v>59</v>
      </c>
      <c r="E257" s="948" t="s">
        <v>63</v>
      </c>
      <c r="F257" s="954" t="s">
        <v>80</v>
      </c>
      <c r="G257" s="954" t="s">
        <v>64</v>
      </c>
      <c r="H257" s="954" t="s">
        <v>66</v>
      </c>
      <c r="I257" s="955">
        <v>0.7</v>
      </c>
      <c r="J257" s="948">
        <v>186.0</v>
      </c>
      <c r="K257" s="949">
        <v>-0.01721532807795545</v>
      </c>
      <c r="L257" s="950" t="str">
        <f t="shared" si="1"/>
        <v>yes</v>
      </c>
      <c r="M257" s="736"/>
      <c r="N257" s="736"/>
      <c r="O257" s="736"/>
    </row>
    <row r="258">
      <c r="A258" s="951" t="s">
        <v>1784</v>
      </c>
      <c r="B258" s="952" t="s">
        <v>60</v>
      </c>
      <c r="C258" s="953">
        <v>42808.0</v>
      </c>
      <c r="D258" s="954" t="s">
        <v>59</v>
      </c>
      <c r="E258" s="948" t="s">
        <v>63</v>
      </c>
      <c r="F258" s="954" t="s">
        <v>80</v>
      </c>
      <c r="G258" s="954" t="s">
        <v>64</v>
      </c>
      <c r="H258" s="954" t="s">
        <v>68</v>
      </c>
      <c r="I258" s="955">
        <v>0.9</v>
      </c>
      <c r="J258" s="948">
        <v>206.0</v>
      </c>
      <c r="K258" s="949">
        <v>0.018277508439648704</v>
      </c>
      <c r="L258" s="950" t="str">
        <f t="shared" si="1"/>
        <v/>
      </c>
      <c r="M258" s="736"/>
      <c r="N258" s="736"/>
      <c r="O258" s="736"/>
    </row>
    <row r="259">
      <c r="A259" s="951" t="s">
        <v>761</v>
      </c>
      <c r="B259" s="952" t="s">
        <v>60</v>
      </c>
      <c r="C259" s="953">
        <v>42805.0</v>
      </c>
      <c r="D259" s="954" t="s">
        <v>90</v>
      </c>
      <c r="E259" s="948" t="s">
        <v>63</v>
      </c>
      <c r="F259" s="954" t="s">
        <v>65</v>
      </c>
      <c r="G259" s="954" t="s">
        <v>64</v>
      </c>
      <c r="H259" s="954" t="s">
        <v>66</v>
      </c>
      <c r="I259" s="955">
        <v>0.7</v>
      </c>
      <c r="J259" s="948">
        <v>232.0</v>
      </c>
      <c r="K259" s="949">
        <v>-0.009005468263860728</v>
      </c>
      <c r="L259" s="950" t="str">
        <f t="shared" si="1"/>
        <v/>
      </c>
      <c r="M259" s="736"/>
      <c r="N259" s="736"/>
      <c r="O259" s="736"/>
    </row>
    <row r="260">
      <c r="A260" s="951" t="s">
        <v>617</v>
      </c>
      <c r="B260" s="952" t="s">
        <v>56</v>
      </c>
      <c r="C260" s="953">
        <v>42803.0</v>
      </c>
      <c r="D260" s="954" t="s">
        <v>619</v>
      </c>
      <c r="E260" s="948" t="s">
        <v>63</v>
      </c>
      <c r="F260" s="954" t="s">
        <v>69</v>
      </c>
      <c r="G260" s="954" t="s">
        <v>66</v>
      </c>
      <c r="H260" s="954" t="s">
        <v>68</v>
      </c>
      <c r="I260" s="955">
        <v>0.8</v>
      </c>
      <c r="J260" s="948">
        <v>175.0</v>
      </c>
      <c r="K260" s="949">
        <v>0.01188549649984294</v>
      </c>
      <c r="L260" s="950" t="str">
        <f t="shared" si="1"/>
        <v>yes</v>
      </c>
      <c r="M260" s="736"/>
      <c r="N260" s="736"/>
      <c r="O260" s="736"/>
    </row>
    <row r="261">
      <c r="A261" s="951" t="s">
        <v>1810</v>
      </c>
      <c r="B261" s="952" t="s">
        <v>60</v>
      </c>
      <c r="C261" s="953">
        <v>42802.0</v>
      </c>
      <c r="D261" s="954" t="s">
        <v>86</v>
      </c>
      <c r="E261" s="948" t="s">
        <v>63</v>
      </c>
      <c r="F261" s="954" t="s">
        <v>67</v>
      </c>
      <c r="G261" s="954" t="s">
        <v>68</v>
      </c>
      <c r="H261" s="954" t="s">
        <v>69</v>
      </c>
      <c r="I261" s="955">
        <v>0.5</v>
      </c>
      <c r="J261" s="948">
        <v>211.0</v>
      </c>
      <c r="K261" s="949">
        <v>0.045325052775793795</v>
      </c>
      <c r="L261" s="950" t="str">
        <f t="shared" si="1"/>
        <v/>
      </c>
      <c r="M261" s="736"/>
      <c r="N261" s="736"/>
      <c r="O261" s="736"/>
    </row>
    <row r="262">
      <c r="A262" s="951" t="s">
        <v>1692</v>
      </c>
      <c r="B262" s="952" t="s">
        <v>60</v>
      </c>
      <c r="C262" s="953">
        <v>42802.0</v>
      </c>
      <c r="D262" s="954" t="s">
        <v>59</v>
      </c>
      <c r="E262" s="948" t="s">
        <v>63</v>
      </c>
      <c r="F262" s="954" t="s">
        <v>64</v>
      </c>
      <c r="G262" s="954" t="s">
        <v>69</v>
      </c>
      <c r="H262" s="954" t="s">
        <v>66</v>
      </c>
      <c r="I262" s="955">
        <v>0.8</v>
      </c>
      <c r="J262" s="948">
        <v>210.0</v>
      </c>
      <c r="K262" s="949">
        <v>-0.03386202183431786</v>
      </c>
      <c r="L262" s="950" t="str">
        <f t="shared" si="1"/>
        <v>yes</v>
      </c>
      <c r="M262" s="736"/>
      <c r="N262" s="736"/>
      <c r="O262" s="736"/>
    </row>
    <row r="263">
      <c r="A263" s="951" t="s">
        <v>1637</v>
      </c>
      <c r="B263" s="952" t="s">
        <v>60</v>
      </c>
      <c r="C263" s="953">
        <v>42797.0</v>
      </c>
      <c r="D263" s="954" t="s">
        <v>118</v>
      </c>
      <c r="E263" s="948" t="s">
        <v>63</v>
      </c>
      <c r="F263" s="954" t="s">
        <v>67</v>
      </c>
      <c r="G263" s="954" t="s">
        <v>64</v>
      </c>
      <c r="H263" s="954" t="s">
        <v>69</v>
      </c>
      <c r="I263" s="955">
        <v>0.8</v>
      </c>
      <c r="J263" s="948">
        <v>207.0</v>
      </c>
      <c r="K263" s="949">
        <v>0.022374624802783627</v>
      </c>
      <c r="L263" s="950" t="str">
        <f t="shared" si="1"/>
        <v/>
      </c>
      <c r="M263" s="736"/>
      <c r="N263" s="736"/>
      <c r="O263" s="736"/>
    </row>
    <row r="264">
      <c r="A264" s="951" t="s">
        <v>300</v>
      </c>
      <c r="B264" s="952" t="s">
        <v>60</v>
      </c>
      <c r="C264" s="953">
        <v>42797.0</v>
      </c>
      <c r="D264" s="954" t="s">
        <v>59</v>
      </c>
      <c r="E264" s="948" t="s">
        <v>195</v>
      </c>
      <c r="F264" s="954" t="s">
        <v>69</v>
      </c>
      <c r="G264" s="954" t="s">
        <v>64</v>
      </c>
      <c r="H264" s="954" t="s">
        <v>69</v>
      </c>
      <c r="I264" s="955">
        <v>0.9</v>
      </c>
      <c r="J264" s="948">
        <v>226.0</v>
      </c>
      <c r="K264" s="949">
        <v>-1.536690259195117E-4</v>
      </c>
      <c r="L264" s="950" t="str">
        <f t="shared" si="1"/>
        <v/>
      </c>
      <c r="M264" s="736"/>
      <c r="N264" s="736"/>
      <c r="O264" s="736"/>
    </row>
    <row r="265">
      <c r="A265" s="951" t="s">
        <v>1890</v>
      </c>
      <c r="B265" s="952" t="s">
        <v>60</v>
      </c>
      <c r="C265" s="953">
        <v>42797.0</v>
      </c>
      <c r="D265" s="954" t="s">
        <v>118</v>
      </c>
      <c r="E265" s="948" t="s">
        <v>63</v>
      </c>
      <c r="F265" s="954" t="s">
        <v>64</v>
      </c>
      <c r="G265" s="954" t="s">
        <v>64</v>
      </c>
      <c r="H265" s="954" t="s">
        <v>69</v>
      </c>
      <c r="I265" s="955">
        <v>0.9</v>
      </c>
      <c r="J265" s="948">
        <v>193.0</v>
      </c>
      <c r="K265" s="949">
        <v>-0.01819120619611936</v>
      </c>
      <c r="L265" s="950" t="str">
        <f t="shared" si="1"/>
        <v>yes</v>
      </c>
      <c r="M265" s="736"/>
      <c r="N265" s="736"/>
      <c r="O265" s="736"/>
    </row>
    <row r="266">
      <c r="A266" s="951" t="s">
        <v>1746</v>
      </c>
      <c r="B266" s="952" t="s">
        <v>60</v>
      </c>
      <c r="C266" s="953">
        <v>42797.0</v>
      </c>
      <c r="D266" s="954" t="s">
        <v>629</v>
      </c>
      <c r="E266" s="948" t="s">
        <v>63</v>
      </c>
      <c r="F266" s="954"/>
      <c r="G266" s="954"/>
      <c r="H266" s="954"/>
      <c r="I266" s="955"/>
      <c r="J266" s="948">
        <v>198.0</v>
      </c>
      <c r="K266" s="949">
        <v>0.012276168460654158</v>
      </c>
      <c r="L266" s="950" t="str">
        <f t="shared" si="1"/>
        <v>yes</v>
      </c>
      <c r="M266" s="736"/>
      <c r="N266" s="736"/>
      <c r="O266" s="736"/>
    </row>
    <row r="267">
      <c r="A267" s="951" t="s">
        <v>1127</v>
      </c>
      <c r="B267" s="952" t="s">
        <v>60</v>
      </c>
      <c r="C267" s="953">
        <v>42796.0</v>
      </c>
      <c r="D267" s="954" t="s">
        <v>86</v>
      </c>
      <c r="E267" s="948" t="s">
        <v>63</v>
      </c>
      <c r="F267" s="954" t="s">
        <v>67</v>
      </c>
      <c r="G267" s="954"/>
      <c r="H267" s="954" t="s">
        <v>69</v>
      </c>
      <c r="I267" s="955">
        <v>0.9</v>
      </c>
      <c r="J267" s="948">
        <v>215.0</v>
      </c>
      <c r="K267" s="949">
        <v>0.021352462045139076</v>
      </c>
      <c r="L267" s="950" t="str">
        <f t="shared" si="1"/>
        <v/>
      </c>
      <c r="M267" s="736"/>
      <c r="N267" s="736"/>
      <c r="O267" s="736"/>
    </row>
    <row r="268">
      <c r="A268" s="951" t="s">
        <v>126</v>
      </c>
      <c r="B268" s="952" t="s">
        <v>60</v>
      </c>
      <c r="C268" s="953">
        <v>42795.0</v>
      </c>
      <c r="D268" s="954" t="s">
        <v>79</v>
      </c>
      <c r="E268" s="948" t="s">
        <v>63</v>
      </c>
      <c r="F268" s="954" t="s">
        <v>65</v>
      </c>
      <c r="G268" s="954" t="s">
        <v>127</v>
      </c>
      <c r="H268" s="954" t="s">
        <v>69</v>
      </c>
      <c r="I268" s="955">
        <v>1.0</v>
      </c>
      <c r="J268" s="948">
        <v>212.0</v>
      </c>
      <c r="K268" s="949">
        <v>-0.010586146722216583</v>
      </c>
      <c r="L268" s="950" t="str">
        <f t="shared" si="1"/>
        <v/>
      </c>
      <c r="M268" s="736"/>
      <c r="N268" s="736"/>
      <c r="O268" s="736"/>
    </row>
    <row r="269">
      <c r="A269" s="951" t="s">
        <v>1668</v>
      </c>
      <c r="B269" s="952" t="s">
        <v>60</v>
      </c>
      <c r="C269" s="953">
        <v>42795.0</v>
      </c>
      <c r="D269" s="954" t="s">
        <v>870</v>
      </c>
      <c r="E269" s="948" t="s">
        <v>63</v>
      </c>
      <c r="F269" s="954" t="s">
        <v>64</v>
      </c>
      <c r="G269" s="954" t="s">
        <v>69</v>
      </c>
      <c r="H269" s="954" t="s">
        <v>69</v>
      </c>
      <c r="I269" s="955">
        <v>0.9</v>
      </c>
      <c r="J269" s="948">
        <v>210.0</v>
      </c>
      <c r="K269" s="949">
        <v>0.04888891388926153</v>
      </c>
      <c r="L269" s="950" t="str">
        <f t="shared" si="1"/>
        <v>yes</v>
      </c>
      <c r="M269" s="736"/>
      <c r="N269" s="736"/>
      <c r="O269" s="736"/>
    </row>
    <row r="270">
      <c r="A270" s="951" t="s">
        <v>1812</v>
      </c>
      <c r="B270" s="952" t="s">
        <v>60</v>
      </c>
      <c r="C270" s="953">
        <v>42794.0</v>
      </c>
      <c r="D270" s="954" t="s">
        <v>109</v>
      </c>
      <c r="E270" s="948" t="s">
        <v>63</v>
      </c>
      <c r="F270" s="954" t="s">
        <v>69</v>
      </c>
      <c r="G270" s="954" t="s">
        <v>66</v>
      </c>
      <c r="H270" s="954" t="s">
        <v>68</v>
      </c>
      <c r="I270" s="955">
        <v>0.9</v>
      </c>
      <c r="J270" s="948">
        <v>223.0</v>
      </c>
      <c r="K270" s="949">
        <v>-0.056549173531709074</v>
      </c>
      <c r="L270" s="950" t="str">
        <f t="shared" si="1"/>
        <v>yes</v>
      </c>
      <c r="M270" s="736"/>
      <c r="N270" s="736"/>
      <c r="O270" s="736"/>
    </row>
    <row r="271">
      <c r="A271" s="951" t="s">
        <v>1611</v>
      </c>
      <c r="B271" s="952" t="s">
        <v>60</v>
      </c>
      <c r="C271" s="953">
        <v>42794.0</v>
      </c>
      <c r="D271" s="954" t="s">
        <v>79</v>
      </c>
      <c r="E271" s="948" t="s">
        <v>63</v>
      </c>
      <c r="F271" s="954" t="s">
        <v>69</v>
      </c>
      <c r="G271" s="954" t="s">
        <v>69</v>
      </c>
      <c r="H271" s="954" t="s">
        <v>68</v>
      </c>
      <c r="I271" s="955">
        <v>0.9</v>
      </c>
      <c r="J271" s="948">
        <v>202.0</v>
      </c>
      <c r="K271" s="949">
        <v>0.00933797816568216</v>
      </c>
      <c r="L271" s="950" t="str">
        <f t="shared" si="1"/>
        <v/>
      </c>
      <c r="M271" s="736"/>
      <c r="N271" s="736"/>
      <c r="O271" s="736"/>
    </row>
    <row r="272">
      <c r="A272" s="951" t="s">
        <v>328</v>
      </c>
      <c r="B272" s="952" t="s">
        <v>60</v>
      </c>
      <c r="C272" s="953">
        <v>42793.0</v>
      </c>
      <c r="D272" s="954" t="s">
        <v>59</v>
      </c>
      <c r="E272" s="948" t="s">
        <v>63</v>
      </c>
      <c r="F272" s="954" t="s">
        <v>64</v>
      </c>
      <c r="G272" s="954" t="s">
        <v>69</v>
      </c>
      <c r="H272" s="954" t="s">
        <v>66</v>
      </c>
      <c r="I272" s="955">
        <v>0.8</v>
      </c>
      <c r="J272" s="948">
        <v>212.0</v>
      </c>
      <c r="K272" s="949">
        <v>-0.02287263363183545</v>
      </c>
      <c r="L272" s="950" t="str">
        <f t="shared" si="1"/>
        <v/>
      </c>
      <c r="M272" s="736"/>
      <c r="N272" s="736"/>
      <c r="O272" s="736"/>
    </row>
    <row r="273">
      <c r="A273" s="951" t="s">
        <v>449</v>
      </c>
      <c r="B273" s="952" t="s">
        <v>60</v>
      </c>
      <c r="C273" s="953">
        <v>42786.0</v>
      </c>
      <c r="D273" s="954" t="s">
        <v>59</v>
      </c>
      <c r="E273" s="948" t="s">
        <v>63</v>
      </c>
      <c r="F273" s="954" t="s">
        <v>67</v>
      </c>
      <c r="G273" s="954" t="s">
        <v>65</v>
      </c>
      <c r="H273" s="954" t="s">
        <v>68</v>
      </c>
      <c r="I273" s="955">
        <v>0.6</v>
      </c>
      <c r="J273" s="948">
        <v>185.0</v>
      </c>
      <c r="K273" s="949">
        <v>-0.010411691472372864</v>
      </c>
      <c r="L273" s="950" t="str">
        <f t="shared" si="1"/>
        <v/>
      </c>
      <c r="M273" s="736"/>
      <c r="N273" s="736"/>
      <c r="O273" s="736"/>
    </row>
    <row r="274">
      <c r="A274" s="951" t="s">
        <v>761</v>
      </c>
      <c r="B274" s="952" t="s">
        <v>60</v>
      </c>
      <c r="C274" s="953">
        <v>42784.0</v>
      </c>
      <c r="D274" s="954" t="s">
        <v>90</v>
      </c>
      <c r="E274" s="948" t="s">
        <v>63</v>
      </c>
      <c r="F274" s="954" t="s">
        <v>65</v>
      </c>
      <c r="G274" s="954" t="s">
        <v>64</v>
      </c>
      <c r="H274" s="954" t="s">
        <v>66</v>
      </c>
      <c r="I274" s="955">
        <v>0.7</v>
      </c>
      <c r="J274" s="948">
        <v>232.0</v>
      </c>
      <c r="K274" s="949">
        <v>-0.011931330541830043</v>
      </c>
      <c r="L274" s="950" t="str">
        <f t="shared" si="1"/>
        <v/>
      </c>
      <c r="M274" s="736"/>
      <c r="N274" s="736"/>
      <c r="O274" s="736"/>
    </row>
    <row r="275">
      <c r="A275" s="951" t="s">
        <v>210</v>
      </c>
      <c r="B275" s="952" t="s">
        <v>55</v>
      </c>
      <c r="C275" s="953">
        <v>42783.0</v>
      </c>
      <c r="D275" s="954" t="s">
        <v>79</v>
      </c>
      <c r="E275" s="948" t="s">
        <v>63</v>
      </c>
      <c r="F275" s="954" t="s">
        <v>65</v>
      </c>
      <c r="G275" s="954" t="s">
        <v>69</v>
      </c>
      <c r="H275" s="954" t="s">
        <v>66</v>
      </c>
      <c r="I275" s="955">
        <v>0.8</v>
      </c>
      <c r="J275" s="948">
        <v>214.58</v>
      </c>
      <c r="K275" s="949">
        <v>8.814369483297613E-4</v>
      </c>
      <c r="L275" s="950" t="str">
        <f t="shared" si="1"/>
        <v>yes</v>
      </c>
      <c r="M275" s="736"/>
      <c r="N275" s="736"/>
      <c r="O275" s="736"/>
    </row>
    <row r="276">
      <c r="A276" s="951" t="s">
        <v>615</v>
      </c>
      <c r="B276" s="952" t="s">
        <v>56</v>
      </c>
      <c r="C276" s="953">
        <v>42781.0</v>
      </c>
      <c r="D276" s="954" t="s">
        <v>109</v>
      </c>
      <c r="E276" s="948" t="s">
        <v>63</v>
      </c>
      <c r="F276" s="954" t="s">
        <v>127</v>
      </c>
      <c r="G276" s="954" t="s">
        <v>127</v>
      </c>
      <c r="H276" s="954" t="s">
        <v>69</v>
      </c>
      <c r="I276" s="955">
        <v>1.0</v>
      </c>
      <c r="J276" s="948">
        <v>198.0</v>
      </c>
      <c r="K276" s="949">
        <v>0.01915095463290939</v>
      </c>
      <c r="L276" s="950" t="str">
        <f t="shared" si="1"/>
        <v>yes</v>
      </c>
      <c r="M276" s="736"/>
      <c r="N276" s="736"/>
      <c r="O276" s="736"/>
    </row>
    <row r="277">
      <c r="A277" s="951" t="s">
        <v>1615</v>
      </c>
      <c r="B277" s="952" t="s">
        <v>60</v>
      </c>
      <c r="C277" s="953">
        <v>42780.0</v>
      </c>
      <c r="D277" s="954" t="s">
        <v>629</v>
      </c>
      <c r="E277" s="948" t="s">
        <v>63</v>
      </c>
      <c r="F277" s="954"/>
      <c r="G277" s="954"/>
      <c r="H277" s="954"/>
      <c r="I277" s="955"/>
      <c r="J277" s="948">
        <v>201.0</v>
      </c>
      <c r="K277" s="949">
        <v>-0.013844150448991788</v>
      </c>
      <c r="L277" s="950" t="str">
        <f t="shared" si="1"/>
        <v/>
      </c>
      <c r="M277" s="736"/>
      <c r="N277" s="736"/>
      <c r="O277" s="736"/>
    </row>
    <row r="278">
      <c r="A278" s="951" t="s">
        <v>1874</v>
      </c>
      <c r="B278" s="952" t="s">
        <v>60</v>
      </c>
      <c r="C278" s="953">
        <v>42779.0</v>
      </c>
      <c r="D278" s="954" t="s">
        <v>118</v>
      </c>
      <c r="E278" s="948" t="s">
        <v>63</v>
      </c>
      <c r="F278" s="954" t="s">
        <v>69</v>
      </c>
      <c r="G278" s="954" t="s">
        <v>65</v>
      </c>
      <c r="H278" s="954" t="s">
        <v>66</v>
      </c>
      <c r="I278" s="955">
        <v>0.9</v>
      </c>
      <c r="J278" s="948">
        <v>207.0</v>
      </c>
      <c r="K278" s="949">
        <v>0.035963235512832537</v>
      </c>
      <c r="L278" s="950" t="str">
        <f t="shared" si="1"/>
        <v/>
      </c>
      <c r="M278" s="736"/>
      <c r="N278" s="736"/>
      <c r="O278" s="736"/>
    </row>
    <row r="279">
      <c r="A279" s="951" t="s">
        <v>1783</v>
      </c>
      <c r="B279" s="952" t="s">
        <v>60</v>
      </c>
      <c r="C279" s="953">
        <v>42776.0</v>
      </c>
      <c r="D279" s="954" t="s">
        <v>59</v>
      </c>
      <c r="E279" s="948" t="s">
        <v>63</v>
      </c>
      <c r="F279" s="954" t="s">
        <v>69</v>
      </c>
      <c r="G279" s="954" t="s">
        <v>69</v>
      </c>
      <c r="H279" s="954" t="s">
        <v>69</v>
      </c>
      <c r="I279" s="955">
        <v>0.9</v>
      </c>
      <c r="J279" s="948">
        <v>222.0</v>
      </c>
      <c r="K279" s="949">
        <v>0.017903518226385917</v>
      </c>
      <c r="L279" s="950" t="str">
        <f t="shared" si="1"/>
        <v/>
      </c>
      <c r="M279" s="736"/>
      <c r="N279" s="736"/>
      <c r="O279" s="736"/>
    </row>
    <row r="280">
      <c r="A280" s="951" t="s">
        <v>1683</v>
      </c>
      <c r="B280" s="952" t="s">
        <v>60</v>
      </c>
      <c r="C280" s="953">
        <v>42775.0</v>
      </c>
      <c r="D280" s="954" t="s">
        <v>118</v>
      </c>
      <c r="E280" s="948" t="s">
        <v>63</v>
      </c>
      <c r="F280" s="954" t="s">
        <v>69</v>
      </c>
      <c r="G280" s="954" t="s">
        <v>69</v>
      </c>
      <c r="H280" s="954" t="s">
        <v>66</v>
      </c>
      <c r="I280" s="955">
        <v>0.9</v>
      </c>
      <c r="J280" s="948">
        <v>232.0</v>
      </c>
      <c r="K280" s="949">
        <v>0.021478319595460316</v>
      </c>
      <c r="L280" s="950" t="str">
        <f t="shared" si="1"/>
        <v/>
      </c>
      <c r="M280" s="736"/>
      <c r="N280" s="736"/>
      <c r="O280" s="736"/>
    </row>
    <row r="281">
      <c r="A281" s="951" t="s">
        <v>1727</v>
      </c>
      <c r="B281" s="952" t="s">
        <v>60</v>
      </c>
      <c r="C281" s="953">
        <v>42771.0</v>
      </c>
      <c r="D281" s="954" t="s">
        <v>305</v>
      </c>
      <c r="E281" s="948" t="s">
        <v>63</v>
      </c>
      <c r="F281" s="954" t="s">
        <v>67</v>
      </c>
      <c r="G281" s="954" t="s">
        <v>69</v>
      </c>
      <c r="H281" s="954" t="s">
        <v>64</v>
      </c>
      <c r="I281" s="955">
        <v>0.9</v>
      </c>
      <c r="J281" s="948">
        <v>240.0</v>
      </c>
      <c r="K281" s="949">
        <v>-0.019490061398668046</v>
      </c>
      <c r="L281" s="950" t="str">
        <f t="shared" si="1"/>
        <v/>
      </c>
      <c r="M281" s="736"/>
      <c r="N281" s="736"/>
      <c r="O281" s="736"/>
    </row>
    <row r="282">
      <c r="A282" s="951" t="s">
        <v>548</v>
      </c>
      <c r="B282" s="952" t="s">
        <v>60</v>
      </c>
      <c r="C282" s="953">
        <v>42771.0</v>
      </c>
      <c r="D282" s="954" t="s">
        <v>79</v>
      </c>
      <c r="E282" s="948" t="s">
        <v>63</v>
      </c>
      <c r="F282" s="954" t="s">
        <v>65</v>
      </c>
      <c r="G282" s="954" t="s">
        <v>64</v>
      </c>
      <c r="H282" s="954" t="s">
        <v>64</v>
      </c>
      <c r="I282" s="955">
        <v>0.9</v>
      </c>
      <c r="J282" s="948">
        <v>212.0</v>
      </c>
      <c r="K282" s="949">
        <v>0.0038901697662743207</v>
      </c>
      <c r="L282" s="950" t="str">
        <f t="shared" si="1"/>
        <v/>
      </c>
      <c r="M282" s="736"/>
      <c r="N282" s="736"/>
      <c r="O282" s="736"/>
    </row>
    <row r="283">
      <c r="A283" s="951" t="s">
        <v>1726</v>
      </c>
      <c r="B283" s="952" t="s">
        <v>60</v>
      </c>
      <c r="C283" s="953">
        <v>42769.0</v>
      </c>
      <c r="D283" s="954" t="s">
        <v>305</v>
      </c>
      <c r="E283" s="948" t="s">
        <v>63</v>
      </c>
      <c r="F283" s="954" t="s">
        <v>64</v>
      </c>
      <c r="G283" s="954" t="s">
        <v>64</v>
      </c>
      <c r="H283" s="954" t="s">
        <v>69</v>
      </c>
      <c r="I283" s="955">
        <v>0.8</v>
      </c>
      <c r="J283" s="948">
        <v>233.0</v>
      </c>
      <c r="K283" s="949">
        <v>-0.002011282276772386</v>
      </c>
      <c r="L283" s="950" t="str">
        <f t="shared" si="1"/>
        <v/>
      </c>
      <c r="M283" s="736"/>
      <c r="N283" s="736"/>
      <c r="O283" s="736"/>
    </row>
    <row r="284">
      <c r="A284" s="951" t="s">
        <v>1644</v>
      </c>
      <c r="B284" s="952" t="s">
        <v>60</v>
      </c>
      <c r="C284" s="953">
        <v>42767.0</v>
      </c>
      <c r="D284" s="954" t="s">
        <v>59</v>
      </c>
      <c r="E284" s="948" t="s">
        <v>63</v>
      </c>
      <c r="F284" s="954"/>
      <c r="G284" s="954"/>
      <c r="H284" s="954"/>
      <c r="I284" s="955"/>
      <c r="J284" s="948">
        <v>220.0</v>
      </c>
      <c r="K284" s="949">
        <v>0.0025278907889548785</v>
      </c>
      <c r="L284" s="950" t="str">
        <f t="shared" si="1"/>
        <v>yes</v>
      </c>
      <c r="M284" s="736"/>
      <c r="N284" s="736"/>
      <c r="O284" s="736"/>
    </row>
    <row r="285">
      <c r="A285" s="951" t="s">
        <v>739</v>
      </c>
      <c r="B285" s="952" t="s">
        <v>56</v>
      </c>
      <c r="C285" s="953">
        <v>42767.0</v>
      </c>
      <c r="D285" s="954" t="s">
        <v>629</v>
      </c>
      <c r="E285" s="948" t="s">
        <v>63</v>
      </c>
      <c r="F285" s="954" t="s">
        <v>65</v>
      </c>
      <c r="G285" s="954" t="s">
        <v>66</v>
      </c>
      <c r="H285" s="954" t="s">
        <v>66</v>
      </c>
      <c r="I285" s="955">
        <v>0.9</v>
      </c>
      <c r="J285" s="948">
        <v>180.0</v>
      </c>
      <c r="K285" s="949">
        <v>-0.02324717673661847</v>
      </c>
      <c r="L285" s="950" t="str">
        <f t="shared" si="1"/>
        <v/>
      </c>
      <c r="M285" s="736"/>
      <c r="N285" s="736"/>
      <c r="O285" s="736"/>
    </row>
    <row r="286">
      <c r="A286" s="951" t="s">
        <v>1628</v>
      </c>
      <c r="B286" s="952" t="s">
        <v>60</v>
      </c>
      <c r="C286" s="953">
        <v>42766.0</v>
      </c>
      <c r="D286" s="954" t="s">
        <v>305</v>
      </c>
      <c r="E286" s="948" t="s">
        <v>63</v>
      </c>
      <c r="F286" s="954" t="s">
        <v>65</v>
      </c>
      <c r="G286" s="954" t="s">
        <v>64</v>
      </c>
      <c r="H286" s="954" t="s">
        <v>68</v>
      </c>
      <c r="I286" s="955">
        <v>0.8</v>
      </c>
      <c r="J286" s="948">
        <v>222.0</v>
      </c>
      <c r="K286" s="949">
        <v>-2.360262864243845E-4</v>
      </c>
      <c r="L286" s="950" t="str">
        <f t="shared" si="1"/>
        <v/>
      </c>
      <c r="M286" s="736"/>
      <c r="N286" s="736"/>
      <c r="O286" s="736"/>
    </row>
    <row r="287">
      <c r="A287" s="951" t="s">
        <v>1833</v>
      </c>
      <c r="B287" s="952" t="s">
        <v>60</v>
      </c>
      <c r="C287" s="953">
        <v>42766.0</v>
      </c>
      <c r="D287" s="954" t="s">
        <v>59</v>
      </c>
      <c r="E287" s="948" t="s">
        <v>63</v>
      </c>
      <c r="F287" s="954" t="s">
        <v>69</v>
      </c>
      <c r="G287" s="954" t="s">
        <v>66</v>
      </c>
      <c r="H287" s="954" t="s">
        <v>68</v>
      </c>
      <c r="I287" s="955">
        <v>0.6</v>
      </c>
      <c r="J287" s="948">
        <v>216.0</v>
      </c>
      <c r="K287" s="949">
        <v>0.01769070146981866</v>
      </c>
      <c r="L287" s="950" t="str">
        <f t="shared" si="1"/>
        <v/>
      </c>
      <c r="M287" s="736"/>
      <c r="N287" s="736"/>
      <c r="O287" s="736"/>
    </row>
    <row r="288">
      <c r="A288" s="951" t="s">
        <v>1637</v>
      </c>
      <c r="B288" s="952" t="s">
        <v>60</v>
      </c>
      <c r="C288" s="953">
        <v>42761.0</v>
      </c>
      <c r="D288" s="954" t="s">
        <v>118</v>
      </c>
      <c r="E288" s="948" t="s">
        <v>63</v>
      </c>
      <c r="F288" s="954" t="s">
        <v>67</v>
      </c>
      <c r="G288" s="954" t="s">
        <v>64</v>
      </c>
      <c r="H288" s="954" t="s">
        <v>69</v>
      </c>
      <c r="I288" s="955">
        <v>0.8</v>
      </c>
      <c r="J288" s="948">
        <v>205.0</v>
      </c>
      <c r="K288" s="949">
        <v>0.02932506020266601</v>
      </c>
      <c r="L288" s="950" t="str">
        <f t="shared" si="1"/>
        <v/>
      </c>
      <c r="M288" s="736"/>
      <c r="N288" s="736"/>
      <c r="O288" s="736"/>
    </row>
    <row r="289">
      <c r="A289" s="951" t="s">
        <v>1784</v>
      </c>
      <c r="B289" s="952" t="s">
        <v>60</v>
      </c>
      <c r="C289" s="953">
        <v>42756.0</v>
      </c>
      <c r="D289" s="954" t="s">
        <v>59</v>
      </c>
      <c r="E289" s="948" t="s">
        <v>63</v>
      </c>
      <c r="F289" s="954"/>
      <c r="G289" s="954"/>
      <c r="H289" s="954"/>
      <c r="I289" s="955"/>
      <c r="J289" s="948">
        <v>208.0</v>
      </c>
      <c r="K289" s="949">
        <v>0.01184145011013249</v>
      </c>
      <c r="L289" s="950" t="str">
        <f t="shared" si="1"/>
        <v/>
      </c>
      <c r="M289" s="736"/>
      <c r="N289" s="736"/>
      <c r="O289" s="736"/>
    </row>
    <row r="290">
      <c r="A290" s="951" t="s">
        <v>1827</v>
      </c>
      <c r="B290" s="952" t="s">
        <v>60</v>
      </c>
      <c r="C290" s="953">
        <v>42754.0</v>
      </c>
      <c r="D290" s="954" t="s">
        <v>305</v>
      </c>
      <c r="E290" s="948" t="s">
        <v>63</v>
      </c>
      <c r="F290" s="954" t="s">
        <v>65</v>
      </c>
      <c r="G290" s="954" t="s">
        <v>65</v>
      </c>
      <c r="H290" s="954" t="s">
        <v>64</v>
      </c>
      <c r="I290" s="955">
        <v>0.9</v>
      </c>
      <c r="J290" s="948">
        <v>230.0</v>
      </c>
      <c r="K290" s="949">
        <v>-0.003949450784449415</v>
      </c>
      <c r="L290" s="950" t="str">
        <f t="shared" si="1"/>
        <v>yes</v>
      </c>
      <c r="M290" s="736"/>
      <c r="N290" s="736"/>
      <c r="O290" s="736"/>
    </row>
    <row r="291">
      <c r="A291" s="951" t="s">
        <v>126</v>
      </c>
      <c r="B291" s="952" t="s">
        <v>60</v>
      </c>
      <c r="C291" s="953">
        <v>42752.0</v>
      </c>
      <c r="D291" s="954" t="s">
        <v>79</v>
      </c>
      <c r="E291" s="948" t="s">
        <v>63</v>
      </c>
      <c r="F291" s="954" t="s">
        <v>80</v>
      </c>
      <c r="G291" s="954" t="s">
        <v>127</v>
      </c>
      <c r="H291" s="954" t="s">
        <v>64</v>
      </c>
      <c r="I291" s="955">
        <v>1.0</v>
      </c>
      <c r="J291" s="948">
        <v>212.0</v>
      </c>
      <c r="K291" s="949">
        <v>-0.020737029437487453</v>
      </c>
      <c r="L291" s="950" t="str">
        <f t="shared" si="1"/>
        <v/>
      </c>
      <c r="M291" s="736"/>
      <c r="N291" s="736"/>
      <c r="O291" s="736"/>
    </row>
    <row r="292">
      <c r="A292" s="951" t="s">
        <v>640</v>
      </c>
      <c r="B292" s="952" t="s">
        <v>60</v>
      </c>
      <c r="C292" s="953">
        <v>42751.0</v>
      </c>
      <c r="D292" s="954" t="s">
        <v>59</v>
      </c>
      <c r="E292" s="948" t="s">
        <v>63</v>
      </c>
      <c r="F292" s="954" t="s">
        <v>80</v>
      </c>
      <c r="G292" s="954" t="s">
        <v>69</v>
      </c>
      <c r="H292" s="954" t="s">
        <v>66</v>
      </c>
      <c r="I292" s="955">
        <v>0.9</v>
      </c>
      <c r="J292" s="948">
        <v>217.0</v>
      </c>
      <c r="K292" s="949">
        <v>-1.2861204804703874E-5</v>
      </c>
      <c r="L292" s="950" t="str">
        <f t="shared" si="1"/>
        <v/>
      </c>
      <c r="M292" s="736"/>
      <c r="N292" s="736"/>
      <c r="O292" s="736"/>
    </row>
    <row r="293">
      <c r="A293" s="951" t="s">
        <v>78</v>
      </c>
      <c r="B293" s="952" t="s">
        <v>56</v>
      </c>
      <c r="C293" s="953">
        <v>42751.0</v>
      </c>
      <c r="D293" s="954" t="s">
        <v>79</v>
      </c>
      <c r="E293" s="948" t="s">
        <v>63</v>
      </c>
      <c r="F293" s="954" t="s">
        <v>80</v>
      </c>
      <c r="G293" s="954" t="s">
        <v>69</v>
      </c>
      <c r="H293" s="954" t="s">
        <v>66</v>
      </c>
      <c r="I293" s="955">
        <v>0.9</v>
      </c>
      <c r="J293" s="948">
        <v>190.0</v>
      </c>
      <c r="K293" s="949">
        <v>-0.006611860502288902</v>
      </c>
      <c r="L293" s="950" t="str">
        <f t="shared" si="1"/>
        <v/>
      </c>
      <c r="M293" s="736"/>
      <c r="N293" s="736"/>
      <c r="O293" s="736"/>
    </row>
    <row r="294">
      <c r="A294" s="951" t="s">
        <v>1775</v>
      </c>
      <c r="B294" s="952" t="s">
        <v>60</v>
      </c>
      <c r="C294" s="953">
        <v>42749.0</v>
      </c>
      <c r="D294" s="954" t="s">
        <v>305</v>
      </c>
      <c r="E294" s="948" t="s">
        <v>63</v>
      </c>
      <c r="F294" s="954" t="s">
        <v>64</v>
      </c>
      <c r="G294" s="954" t="s">
        <v>69</v>
      </c>
      <c r="H294" s="954" t="s">
        <v>68</v>
      </c>
      <c r="I294" s="955">
        <v>0.9</v>
      </c>
      <c r="J294" s="948">
        <v>219.0</v>
      </c>
      <c r="K294" s="949">
        <v>0.009576268006727617</v>
      </c>
      <c r="L294" s="950" t="str">
        <f t="shared" si="1"/>
        <v>yes</v>
      </c>
      <c r="M294" s="736"/>
      <c r="N294" s="736"/>
      <c r="O294" s="736"/>
    </row>
    <row r="295">
      <c r="A295" s="951" t="s">
        <v>449</v>
      </c>
      <c r="B295" s="952" t="s">
        <v>60</v>
      </c>
      <c r="C295" s="953">
        <v>42745.0</v>
      </c>
      <c r="D295" s="954" t="s">
        <v>59</v>
      </c>
      <c r="E295" s="948" t="s">
        <v>63</v>
      </c>
      <c r="F295" s="954" t="s">
        <v>67</v>
      </c>
      <c r="G295" s="954" t="s">
        <v>64</v>
      </c>
      <c r="H295" s="954" t="s">
        <v>68</v>
      </c>
      <c r="I295" s="955">
        <v>0.7</v>
      </c>
      <c r="J295" s="948">
        <v>185.0</v>
      </c>
      <c r="K295" s="949">
        <v>-0.018605191852291147</v>
      </c>
      <c r="L295" s="950" t="str">
        <f t="shared" si="1"/>
        <v/>
      </c>
      <c r="M295" s="736"/>
      <c r="N295" s="736"/>
      <c r="O295" s="736"/>
    </row>
    <row r="296">
      <c r="A296" s="951" t="s">
        <v>361</v>
      </c>
      <c r="B296" s="952" t="s">
        <v>60</v>
      </c>
      <c r="C296" s="953">
        <v>42744.0</v>
      </c>
      <c r="D296" s="954" t="s">
        <v>59</v>
      </c>
      <c r="E296" s="948" t="s">
        <v>63</v>
      </c>
      <c r="F296" s="954" t="s">
        <v>69</v>
      </c>
      <c r="G296" s="954" t="s">
        <v>69</v>
      </c>
      <c r="H296" s="954" t="s">
        <v>66</v>
      </c>
      <c r="I296" s="955">
        <v>0.8</v>
      </c>
      <c r="J296" s="948">
        <v>223.0</v>
      </c>
      <c r="K296" s="949">
        <v>0.008742586963542576</v>
      </c>
      <c r="L296" s="950" t="str">
        <f t="shared" si="1"/>
        <v/>
      </c>
      <c r="M296" s="736"/>
      <c r="N296" s="736"/>
      <c r="O296" s="736"/>
    </row>
    <row r="297">
      <c r="A297" s="951" t="s">
        <v>1726</v>
      </c>
      <c r="B297" s="952" t="s">
        <v>60</v>
      </c>
      <c r="C297" s="953">
        <v>42741.0</v>
      </c>
      <c r="D297" s="954" t="s">
        <v>305</v>
      </c>
      <c r="E297" s="948" t="s">
        <v>63</v>
      </c>
      <c r="F297" s="954" t="s">
        <v>64</v>
      </c>
      <c r="G297" s="954" t="s">
        <v>64</v>
      </c>
      <c r="H297" s="954" t="s">
        <v>69</v>
      </c>
      <c r="I297" s="955">
        <v>0.8</v>
      </c>
      <c r="J297" s="948">
        <v>231.0</v>
      </c>
      <c r="K297" s="949">
        <v>0.004179045430403039</v>
      </c>
      <c r="L297" s="950" t="str">
        <f t="shared" si="1"/>
        <v/>
      </c>
      <c r="M297" s="736"/>
      <c r="N297" s="736"/>
      <c r="O297" s="736"/>
    </row>
    <row r="298">
      <c r="A298" s="951" t="s">
        <v>143</v>
      </c>
      <c r="B298" s="952" t="s">
        <v>56</v>
      </c>
      <c r="C298" s="953">
        <v>42737.0</v>
      </c>
      <c r="D298" s="954" t="s">
        <v>59</v>
      </c>
      <c r="E298" s="948" t="s">
        <v>63</v>
      </c>
      <c r="F298" s="954" t="s">
        <v>67</v>
      </c>
      <c r="G298" s="954" t="s">
        <v>64</v>
      </c>
      <c r="H298" s="954" t="s">
        <v>64</v>
      </c>
      <c r="I298" s="955">
        <v>0.8</v>
      </c>
      <c r="J298" s="948">
        <v>200.0</v>
      </c>
      <c r="K298" s="949">
        <v>0.005966027492824044</v>
      </c>
      <c r="L298" s="950" t="str">
        <f t="shared" si="1"/>
        <v/>
      </c>
      <c r="M298" s="736"/>
      <c r="N298" s="736"/>
      <c r="O298" s="736"/>
    </row>
    <row r="299">
      <c r="A299" s="951" t="s">
        <v>1784</v>
      </c>
      <c r="B299" s="952" t="s">
        <v>60</v>
      </c>
      <c r="C299" s="953">
        <v>42736.0</v>
      </c>
      <c r="D299" s="954" t="s">
        <v>59</v>
      </c>
      <c r="E299" s="948" t="s">
        <v>63</v>
      </c>
      <c r="F299" s="954"/>
      <c r="G299" s="954"/>
      <c r="H299" s="954"/>
      <c r="I299" s="955"/>
      <c r="J299" s="948">
        <v>214.0</v>
      </c>
      <c r="K299" s="949">
        <v>0.008747428903760901</v>
      </c>
      <c r="L299" s="950" t="str">
        <f t="shared" si="1"/>
        <v/>
      </c>
      <c r="M299" s="736"/>
      <c r="N299" s="736"/>
      <c r="O299" s="736"/>
    </row>
    <row r="300">
      <c r="A300" s="951" t="s">
        <v>607</v>
      </c>
      <c r="B300" s="952" t="s">
        <v>56</v>
      </c>
      <c r="C300" s="953">
        <v>42736.0</v>
      </c>
      <c r="D300" s="954" t="s">
        <v>79</v>
      </c>
      <c r="E300" s="948" t="s">
        <v>195</v>
      </c>
      <c r="F300" s="954" t="s">
        <v>64</v>
      </c>
      <c r="G300" s="954" t="s">
        <v>69</v>
      </c>
      <c r="H300" s="954" t="s">
        <v>66</v>
      </c>
      <c r="I300" s="955">
        <v>0.8</v>
      </c>
      <c r="J300" s="948">
        <v>205.0</v>
      </c>
      <c r="K300" s="949">
        <v>0.004108813892978125</v>
      </c>
      <c r="L300" s="950" t="str">
        <f t="shared" si="1"/>
        <v>yes</v>
      </c>
      <c r="M300" s="736"/>
      <c r="N300" s="736"/>
      <c r="O300" s="736"/>
    </row>
    <row r="301">
      <c r="A301" s="951" t="s">
        <v>1693</v>
      </c>
      <c r="B301" s="952" t="s">
        <v>60</v>
      </c>
      <c r="C301" s="953">
        <v>42735.0</v>
      </c>
      <c r="D301" s="954" t="s">
        <v>59</v>
      </c>
      <c r="E301" s="948" t="s">
        <v>63</v>
      </c>
      <c r="F301" s="954"/>
      <c r="G301" s="954"/>
      <c r="H301" s="954"/>
      <c r="I301" s="955"/>
      <c r="J301" s="948">
        <v>218.0</v>
      </c>
      <c r="K301" s="949">
        <v>0.026243926101597537</v>
      </c>
      <c r="L301" s="950" t="str">
        <f t="shared" si="1"/>
        <v>yes</v>
      </c>
      <c r="M301" s="736"/>
      <c r="N301" s="736"/>
      <c r="O301" s="736"/>
    </row>
    <row r="302">
      <c r="A302" s="951" t="s">
        <v>231</v>
      </c>
      <c r="B302" s="952" t="s">
        <v>60</v>
      </c>
      <c r="C302" s="953">
        <v>42735.0</v>
      </c>
      <c r="D302" s="954" t="s">
        <v>59</v>
      </c>
      <c r="E302" s="948" t="s">
        <v>63</v>
      </c>
      <c r="F302" s="954" t="s">
        <v>80</v>
      </c>
      <c r="G302" s="954" t="s">
        <v>64</v>
      </c>
      <c r="H302" s="954" t="s">
        <v>80</v>
      </c>
      <c r="I302" s="955">
        <v>0.9</v>
      </c>
      <c r="J302" s="948">
        <v>241.0</v>
      </c>
      <c r="K302" s="949">
        <v>-0.01690362264015044</v>
      </c>
      <c r="L302" s="950" t="str">
        <f t="shared" si="1"/>
        <v/>
      </c>
      <c r="M302" s="736"/>
      <c r="N302" s="736"/>
      <c r="O302" s="736"/>
    </row>
    <row r="303">
      <c r="A303" s="951" t="s">
        <v>1615</v>
      </c>
      <c r="B303" s="952" t="s">
        <v>60</v>
      </c>
      <c r="C303" s="953">
        <v>42735.0</v>
      </c>
      <c r="D303" s="954" t="s">
        <v>629</v>
      </c>
      <c r="E303" s="948" t="s">
        <v>63</v>
      </c>
      <c r="F303" s="954" t="s">
        <v>67</v>
      </c>
      <c r="G303" s="954" t="s">
        <v>64</v>
      </c>
      <c r="H303" s="954" t="s">
        <v>65</v>
      </c>
      <c r="I303" s="955">
        <v>0.9</v>
      </c>
      <c r="J303" s="948">
        <v>199.0</v>
      </c>
      <c r="K303" s="949">
        <v>0.005831434199155994</v>
      </c>
      <c r="L303" s="950" t="str">
        <f t="shared" si="1"/>
        <v/>
      </c>
      <c r="M303" s="736"/>
      <c r="N303" s="736"/>
      <c r="O303" s="736"/>
    </row>
    <row r="304">
      <c r="A304" s="951" t="s">
        <v>1727</v>
      </c>
      <c r="B304" s="952" t="s">
        <v>60</v>
      </c>
      <c r="C304" s="953">
        <v>42734.0</v>
      </c>
      <c r="D304" s="954" t="s">
        <v>305</v>
      </c>
      <c r="E304" s="948" t="s">
        <v>63</v>
      </c>
      <c r="F304" s="954" t="s">
        <v>67</v>
      </c>
      <c r="G304" s="954" t="s">
        <v>69</v>
      </c>
      <c r="H304" s="954" t="s">
        <v>69</v>
      </c>
      <c r="I304" s="955"/>
      <c r="J304" s="948">
        <v>220.0</v>
      </c>
      <c r="K304" s="949">
        <v>-0.014561327056671458</v>
      </c>
      <c r="L304" s="950" t="str">
        <f t="shared" si="1"/>
        <v/>
      </c>
      <c r="M304" s="736"/>
      <c r="N304" s="736"/>
      <c r="O304" s="736"/>
    </row>
    <row r="305">
      <c r="A305" s="951" t="s">
        <v>138</v>
      </c>
      <c r="B305" s="952" t="s">
        <v>55</v>
      </c>
      <c r="C305" s="953">
        <v>42733.0</v>
      </c>
      <c r="D305" s="954" t="s">
        <v>86</v>
      </c>
      <c r="E305" s="948" t="s">
        <v>63</v>
      </c>
      <c r="F305" s="954" t="s">
        <v>69</v>
      </c>
      <c r="G305" s="954" t="s">
        <v>69</v>
      </c>
      <c r="H305" s="954" t="s">
        <v>68</v>
      </c>
      <c r="I305" s="955">
        <v>0.9</v>
      </c>
      <c r="J305" s="948">
        <v>218.0</v>
      </c>
      <c r="K305" s="949">
        <v>0.033010665472521405</v>
      </c>
      <c r="L305" s="950" t="str">
        <f t="shared" si="1"/>
        <v/>
      </c>
      <c r="M305" s="736"/>
      <c r="N305" s="736"/>
      <c r="O305" s="736"/>
    </row>
    <row r="306">
      <c r="A306" s="951" t="s">
        <v>1741</v>
      </c>
      <c r="B306" s="952" t="s">
        <v>60</v>
      </c>
      <c r="C306" s="953">
        <v>42731.0</v>
      </c>
      <c r="D306" s="954" t="s">
        <v>86</v>
      </c>
      <c r="E306" s="948" t="s">
        <v>63</v>
      </c>
      <c r="F306" s="954" t="s">
        <v>65</v>
      </c>
      <c r="G306" s="954" t="s">
        <v>64</v>
      </c>
      <c r="H306" s="954" t="s">
        <v>66</v>
      </c>
      <c r="I306" s="955">
        <v>0.8</v>
      </c>
      <c r="J306" s="948">
        <v>206.0</v>
      </c>
      <c r="K306" s="949">
        <v>0.02284717304942563</v>
      </c>
      <c r="L306" s="950" t="str">
        <f t="shared" si="1"/>
        <v>yes</v>
      </c>
      <c r="M306" s="736"/>
      <c r="N306" s="736"/>
      <c r="O306" s="736"/>
    </row>
    <row r="307">
      <c r="A307" s="951" t="s">
        <v>1741</v>
      </c>
      <c r="B307" s="952" t="s">
        <v>60</v>
      </c>
      <c r="C307" s="953">
        <v>42731.0</v>
      </c>
      <c r="D307" s="954" t="s">
        <v>86</v>
      </c>
      <c r="E307" s="948" t="s">
        <v>63</v>
      </c>
      <c r="F307" s="954" t="s">
        <v>65</v>
      </c>
      <c r="G307" s="954" t="s">
        <v>64</v>
      </c>
      <c r="H307" s="954" t="s">
        <v>66</v>
      </c>
      <c r="I307" s="955">
        <v>0.8</v>
      </c>
      <c r="J307" s="948">
        <v>206.0</v>
      </c>
      <c r="K307" s="949">
        <v>0.03232369773152344</v>
      </c>
      <c r="L307" s="950" t="str">
        <f t="shared" si="1"/>
        <v/>
      </c>
      <c r="M307" s="736"/>
      <c r="N307" s="736"/>
      <c r="O307" s="736"/>
    </row>
    <row r="308">
      <c r="A308" s="951" t="s">
        <v>761</v>
      </c>
      <c r="B308" s="952" t="s">
        <v>60</v>
      </c>
      <c r="C308" s="953">
        <v>42728.0</v>
      </c>
      <c r="D308" s="954" t="s">
        <v>90</v>
      </c>
      <c r="E308" s="948" t="s">
        <v>63</v>
      </c>
      <c r="F308" s="954" t="s">
        <v>65</v>
      </c>
      <c r="G308" s="954" t="s">
        <v>64</v>
      </c>
      <c r="H308" s="954" t="s">
        <v>66</v>
      </c>
      <c r="I308" s="955">
        <v>0.7</v>
      </c>
      <c r="J308" s="948">
        <v>230.0</v>
      </c>
      <c r="K308" s="949">
        <v>-0.015523275203578435</v>
      </c>
      <c r="L308" s="950" t="str">
        <f t="shared" si="1"/>
        <v/>
      </c>
      <c r="M308" s="736"/>
      <c r="N308" s="736"/>
      <c r="O308" s="736"/>
    </row>
    <row r="309">
      <c r="A309" s="951" t="s">
        <v>541</v>
      </c>
      <c r="B309" s="952" t="s">
        <v>60</v>
      </c>
      <c r="C309" s="953">
        <v>42728.0</v>
      </c>
      <c r="D309" s="954" t="s">
        <v>57</v>
      </c>
      <c r="E309" s="948" t="s">
        <v>63</v>
      </c>
      <c r="F309" s="954" t="s">
        <v>69</v>
      </c>
      <c r="G309" s="954" t="s">
        <v>80</v>
      </c>
      <c r="H309" s="954" t="s">
        <v>69</v>
      </c>
      <c r="I309" s="955">
        <v>0.9</v>
      </c>
      <c r="J309" s="948">
        <v>218.0</v>
      </c>
      <c r="K309" s="949">
        <v>0.002428725668443099</v>
      </c>
      <c r="L309" s="950" t="str">
        <f t="shared" si="1"/>
        <v/>
      </c>
      <c r="M309" s="736"/>
      <c r="N309" s="736"/>
      <c r="O309" s="736"/>
    </row>
    <row r="310">
      <c r="A310" s="951" t="s">
        <v>1775</v>
      </c>
      <c r="B310" s="952" t="s">
        <v>60</v>
      </c>
      <c r="C310" s="953">
        <v>42728.0</v>
      </c>
      <c r="D310" s="954" t="s">
        <v>305</v>
      </c>
      <c r="E310" s="948" t="s">
        <v>63</v>
      </c>
      <c r="F310" s="954" t="s">
        <v>64</v>
      </c>
      <c r="G310" s="954" t="s">
        <v>69</v>
      </c>
      <c r="H310" s="954" t="s">
        <v>68</v>
      </c>
      <c r="I310" s="955">
        <v>0.9</v>
      </c>
      <c r="J310" s="948">
        <v>219.0</v>
      </c>
      <c r="K310" s="949">
        <v>0.006059589979979241</v>
      </c>
      <c r="L310" s="950" t="str">
        <f t="shared" si="1"/>
        <v/>
      </c>
      <c r="M310" s="736"/>
      <c r="N310" s="736"/>
      <c r="O310" s="736"/>
    </row>
    <row r="311">
      <c r="A311" s="951" t="s">
        <v>541</v>
      </c>
      <c r="B311" s="952" t="s">
        <v>60</v>
      </c>
      <c r="C311" s="953">
        <v>42728.0</v>
      </c>
      <c r="D311" s="954" t="s">
        <v>57</v>
      </c>
      <c r="E311" s="948" t="s">
        <v>63</v>
      </c>
      <c r="F311" s="954" t="s">
        <v>67</v>
      </c>
      <c r="G311" s="954" t="s">
        <v>67</v>
      </c>
      <c r="H311" s="954" t="s">
        <v>69</v>
      </c>
      <c r="I311" s="955">
        <v>0.9</v>
      </c>
      <c r="J311" s="948">
        <v>226.0</v>
      </c>
      <c r="K311" s="949">
        <v>0.00952308595604312</v>
      </c>
      <c r="L311" s="950" t="str">
        <f t="shared" si="1"/>
        <v/>
      </c>
      <c r="M311" s="736"/>
      <c r="N311" s="736"/>
      <c r="O311" s="736"/>
    </row>
    <row r="312">
      <c r="A312" s="951" t="s">
        <v>672</v>
      </c>
      <c r="B312" s="952" t="s">
        <v>638</v>
      </c>
      <c r="C312" s="953">
        <v>42728.0</v>
      </c>
      <c r="D312" s="954" t="s">
        <v>59</v>
      </c>
      <c r="E312" s="948" t="s">
        <v>63</v>
      </c>
      <c r="F312" s="954" t="s">
        <v>64</v>
      </c>
      <c r="G312" s="954" t="s">
        <v>69</v>
      </c>
      <c r="H312" s="954" t="s">
        <v>68</v>
      </c>
      <c r="I312" s="955">
        <v>0.9</v>
      </c>
      <c r="J312" s="948">
        <v>198.0</v>
      </c>
      <c r="K312" s="949">
        <v>0.0209811986312457</v>
      </c>
      <c r="L312" s="950" t="str">
        <f t="shared" si="1"/>
        <v>yes</v>
      </c>
      <c r="M312" s="736"/>
      <c r="N312" s="736"/>
      <c r="O312" s="736"/>
    </row>
    <row r="313">
      <c r="A313" s="951" t="s">
        <v>1874</v>
      </c>
      <c r="B313" s="952" t="s">
        <v>60</v>
      </c>
      <c r="C313" s="953">
        <v>42727.0</v>
      </c>
      <c r="D313" s="954" t="s">
        <v>118</v>
      </c>
      <c r="E313" s="948" t="s">
        <v>63</v>
      </c>
      <c r="F313" s="954" t="s">
        <v>64</v>
      </c>
      <c r="G313" s="954" t="s">
        <v>65</v>
      </c>
      <c r="H313" s="954" t="s">
        <v>68</v>
      </c>
      <c r="I313" s="955">
        <v>0.9</v>
      </c>
      <c r="J313" s="948">
        <v>204.0</v>
      </c>
      <c r="K313" s="949">
        <v>0.028058276566498397</v>
      </c>
      <c r="L313" s="950" t="str">
        <f t="shared" si="1"/>
        <v/>
      </c>
      <c r="M313" s="736"/>
      <c r="N313" s="736"/>
      <c r="O313" s="736"/>
    </row>
    <row r="314">
      <c r="A314" s="951" t="s">
        <v>294</v>
      </c>
      <c r="B314" s="952" t="s">
        <v>60</v>
      </c>
      <c r="C314" s="953">
        <v>42727.0</v>
      </c>
      <c r="D314" s="954" t="s">
        <v>59</v>
      </c>
      <c r="E314" s="948" t="s">
        <v>63</v>
      </c>
      <c r="F314" s="954" t="s">
        <v>64</v>
      </c>
      <c r="G314" s="954" t="s">
        <v>69</v>
      </c>
      <c r="H314" s="954" t="s">
        <v>66</v>
      </c>
      <c r="I314" s="955">
        <v>0.8</v>
      </c>
      <c r="J314" s="948">
        <v>200.0</v>
      </c>
      <c r="K314" s="949">
        <v>0.018807733584000452</v>
      </c>
      <c r="L314" s="950" t="str">
        <f t="shared" si="1"/>
        <v>yes</v>
      </c>
      <c r="M314" s="736"/>
      <c r="N314" s="736"/>
      <c r="O314" s="736"/>
    </row>
    <row r="315">
      <c r="A315" s="951" t="s">
        <v>1632</v>
      </c>
      <c r="B315" s="952" t="s">
        <v>60</v>
      </c>
      <c r="C315" s="953">
        <v>42722.0</v>
      </c>
      <c r="D315" s="954" t="s">
        <v>619</v>
      </c>
      <c r="E315" s="948" t="s">
        <v>63</v>
      </c>
      <c r="F315" s="954" t="s">
        <v>69</v>
      </c>
      <c r="G315" s="954" t="s">
        <v>69</v>
      </c>
      <c r="H315" s="954" t="s">
        <v>69</v>
      </c>
      <c r="I315" s="955">
        <v>0.8</v>
      </c>
      <c r="J315" s="948">
        <v>235.0</v>
      </c>
      <c r="K315" s="949">
        <v>-0.007282716008377599</v>
      </c>
      <c r="L315" s="950" t="str">
        <f t="shared" si="1"/>
        <v/>
      </c>
      <c r="M315" s="736"/>
      <c r="N315" s="736"/>
      <c r="O315" s="736"/>
    </row>
    <row r="316">
      <c r="A316" s="951" t="s">
        <v>169</v>
      </c>
      <c r="B316" s="952" t="s">
        <v>55</v>
      </c>
      <c r="C316" s="953">
        <v>42721.0</v>
      </c>
      <c r="D316" s="954" t="s">
        <v>59</v>
      </c>
      <c r="E316" s="948" t="s">
        <v>63</v>
      </c>
      <c r="F316" s="954" t="s">
        <v>64</v>
      </c>
      <c r="G316" s="954" t="s">
        <v>69</v>
      </c>
      <c r="H316" s="954" t="s">
        <v>69</v>
      </c>
      <c r="I316" s="955">
        <v>0.9</v>
      </c>
      <c r="J316" s="948">
        <v>214.0</v>
      </c>
      <c r="K316" s="949">
        <v>-0.007508287347850917</v>
      </c>
      <c r="L316" s="950" t="str">
        <f t="shared" si="1"/>
        <v/>
      </c>
      <c r="M316" s="736"/>
      <c r="N316" s="736"/>
      <c r="O316" s="736"/>
    </row>
    <row r="317">
      <c r="A317" s="951" t="s">
        <v>1615</v>
      </c>
      <c r="B317" s="952" t="s">
        <v>60</v>
      </c>
      <c r="C317" s="953">
        <v>42720.0</v>
      </c>
      <c r="D317" s="954" t="s">
        <v>629</v>
      </c>
      <c r="E317" s="948" t="s">
        <v>63</v>
      </c>
      <c r="F317" s="954"/>
      <c r="G317" s="954"/>
      <c r="H317" s="954" t="s">
        <v>69</v>
      </c>
      <c r="I317" s="955"/>
      <c r="J317" s="948">
        <v>194.0</v>
      </c>
      <c r="K317" s="949">
        <v>-0.0011790030901245308</v>
      </c>
      <c r="L317" s="950" t="str">
        <f t="shared" si="1"/>
        <v/>
      </c>
      <c r="M317" s="736"/>
      <c r="N317" s="736"/>
      <c r="O317" s="736"/>
    </row>
    <row r="318">
      <c r="A318" s="951" t="s">
        <v>1741</v>
      </c>
      <c r="B318" s="952" t="s">
        <v>60</v>
      </c>
      <c r="C318" s="953">
        <v>42718.0</v>
      </c>
      <c r="D318" s="954" t="s">
        <v>86</v>
      </c>
      <c r="E318" s="948" t="s">
        <v>63</v>
      </c>
      <c r="F318" s="954" t="s">
        <v>65</v>
      </c>
      <c r="G318" s="954" t="s">
        <v>64</v>
      </c>
      <c r="H318" s="954" t="s">
        <v>66</v>
      </c>
      <c r="I318" s="955">
        <v>0.8</v>
      </c>
      <c r="J318" s="948">
        <v>206.0</v>
      </c>
      <c r="K318" s="949">
        <v>0.010868054962892115</v>
      </c>
      <c r="L318" s="950" t="str">
        <f t="shared" si="1"/>
        <v/>
      </c>
      <c r="M318" s="736"/>
      <c r="N318" s="736"/>
      <c r="O318" s="736"/>
    </row>
    <row r="319">
      <c r="A319" s="951" t="s">
        <v>667</v>
      </c>
      <c r="B319" s="952" t="s">
        <v>638</v>
      </c>
      <c r="C319" s="953">
        <v>42718.0</v>
      </c>
      <c r="D319" s="954" t="s">
        <v>59</v>
      </c>
      <c r="E319" s="948" t="s">
        <v>63</v>
      </c>
      <c r="F319" s="954" t="s">
        <v>69</v>
      </c>
      <c r="G319" s="954" t="s">
        <v>64</v>
      </c>
      <c r="H319" s="954" t="s">
        <v>68</v>
      </c>
      <c r="I319" s="955">
        <v>0.8</v>
      </c>
      <c r="J319" s="948">
        <v>222.0</v>
      </c>
      <c r="K319" s="949">
        <v>0.006755610505263632</v>
      </c>
      <c r="L319" s="950" t="str">
        <f t="shared" si="1"/>
        <v>yes</v>
      </c>
      <c r="M319" s="736"/>
      <c r="N319" s="736"/>
      <c r="O319" s="736"/>
    </row>
    <row r="320">
      <c r="A320" s="951" t="s">
        <v>1710</v>
      </c>
      <c r="B320" s="952" t="s">
        <v>60</v>
      </c>
      <c r="C320" s="953">
        <v>42717.0</v>
      </c>
      <c r="D320" s="954" t="s">
        <v>59</v>
      </c>
      <c r="E320" s="948" t="s">
        <v>63</v>
      </c>
      <c r="F320" s="954"/>
      <c r="G320" s="954"/>
      <c r="H320" s="954"/>
      <c r="I320" s="955"/>
      <c r="J320" s="948">
        <v>212.0</v>
      </c>
      <c r="K320" s="949">
        <v>-0.010524525057319267</v>
      </c>
      <c r="L320" s="950" t="str">
        <f t="shared" si="1"/>
        <v>yes</v>
      </c>
      <c r="M320" s="736"/>
      <c r="N320" s="736"/>
      <c r="O320" s="736"/>
    </row>
    <row r="321">
      <c r="A321" s="951" t="s">
        <v>1741</v>
      </c>
      <c r="B321" s="952" t="s">
        <v>60</v>
      </c>
      <c r="C321" s="953">
        <v>42716.0</v>
      </c>
      <c r="D321" s="954" t="s">
        <v>86</v>
      </c>
      <c r="E321" s="948" t="s">
        <v>63</v>
      </c>
      <c r="F321" s="954" t="s">
        <v>65</v>
      </c>
      <c r="G321" s="954" t="s">
        <v>64</v>
      </c>
      <c r="H321" s="954" t="s">
        <v>66</v>
      </c>
      <c r="I321" s="955">
        <v>0.8</v>
      </c>
      <c r="J321" s="948">
        <v>206.0</v>
      </c>
      <c r="K321" s="949">
        <v>0.015468382937408931</v>
      </c>
      <c r="L321" s="950" t="str">
        <f t="shared" si="1"/>
        <v/>
      </c>
      <c r="M321" s="736"/>
      <c r="N321" s="736"/>
      <c r="O321" s="736"/>
    </row>
    <row r="322">
      <c r="A322" s="951" t="s">
        <v>1795</v>
      </c>
      <c r="B322" s="952" t="s">
        <v>60</v>
      </c>
      <c r="C322" s="953">
        <v>42714.0</v>
      </c>
      <c r="D322" s="954" t="s">
        <v>59</v>
      </c>
      <c r="E322" s="948" t="s">
        <v>63</v>
      </c>
      <c r="F322" s="954"/>
      <c r="G322" s="954"/>
      <c r="H322" s="954"/>
      <c r="I322" s="955"/>
      <c r="J322" s="948">
        <v>214.0</v>
      </c>
      <c r="K322" s="949">
        <v>0.021756575037887416</v>
      </c>
      <c r="L322" s="950" t="str">
        <f t="shared" si="1"/>
        <v/>
      </c>
      <c r="M322" s="736"/>
      <c r="N322" s="736"/>
      <c r="O322" s="736"/>
    </row>
    <row r="323">
      <c r="A323" s="951" t="s">
        <v>376</v>
      </c>
      <c r="B323" s="952" t="s">
        <v>60</v>
      </c>
      <c r="C323" s="953">
        <v>42713.0</v>
      </c>
      <c r="D323" s="954" t="s">
        <v>59</v>
      </c>
      <c r="E323" s="948" t="s">
        <v>63</v>
      </c>
      <c r="F323" s="954" t="s">
        <v>64</v>
      </c>
      <c r="G323" s="954" t="s">
        <v>64</v>
      </c>
      <c r="H323" s="954" t="s">
        <v>68</v>
      </c>
      <c r="I323" s="955">
        <v>0.9</v>
      </c>
      <c r="J323" s="948">
        <v>200.0</v>
      </c>
      <c r="K323" s="949">
        <v>-0.001981564791019519</v>
      </c>
      <c r="L323" s="950" t="str">
        <f t="shared" si="1"/>
        <v>yes</v>
      </c>
      <c r="M323" s="736"/>
      <c r="N323" s="736"/>
      <c r="O323" s="736"/>
    </row>
    <row r="324">
      <c r="A324" s="951" t="s">
        <v>1615</v>
      </c>
      <c r="B324" s="952" t="s">
        <v>60</v>
      </c>
      <c r="C324" s="953">
        <v>42713.0</v>
      </c>
      <c r="D324" s="954" t="s">
        <v>629</v>
      </c>
      <c r="E324" s="948" t="s">
        <v>63</v>
      </c>
      <c r="F324" s="954"/>
      <c r="G324" s="954"/>
      <c r="H324" s="954"/>
      <c r="I324" s="955"/>
      <c r="J324" s="948">
        <v>192.0</v>
      </c>
      <c r="K324" s="949">
        <v>-0.004351113964364606</v>
      </c>
      <c r="L324" s="950" t="str">
        <f t="shared" si="1"/>
        <v/>
      </c>
      <c r="M324" s="736"/>
      <c r="N324" s="736"/>
      <c r="O324" s="736"/>
    </row>
    <row r="325">
      <c r="A325" s="951" t="s">
        <v>1683</v>
      </c>
      <c r="B325" s="952" t="s">
        <v>60</v>
      </c>
      <c r="C325" s="953">
        <v>42713.0</v>
      </c>
      <c r="D325" s="954" t="s">
        <v>118</v>
      </c>
      <c r="E325" s="948" t="s">
        <v>63</v>
      </c>
      <c r="F325" s="954" t="s">
        <v>69</v>
      </c>
      <c r="G325" s="954" t="s">
        <v>69</v>
      </c>
      <c r="H325" s="954" t="s">
        <v>66</v>
      </c>
      <c r="I325" s="955">
        <v>0.9</v>
      </c>
      <c r="J325" s="948">
        <v>229.0</v>
      </c>
      <c r="K325" s="949">
        <v>0.015156518444031986</v>
      </c>
      <c r="L325" s="950" t="str">
        <f t="shared" si="1"/>
        <v/>
      </c>
      <c r="M325" s="736"/>
      <c r="N325" s="736"/>
      <c r="O325" s="736"/>
    </row>
    <row r="326">
      <c r="A326" s="951" t="s">
        <v>761</v>
      </c>
      <c r="B326" s="952" t="s">
        <v>60</v>
      </c>
      <c r="C326" s="953">
        <v>42713.0</v>
      </c>
      <c r="D326" s="954" t="s">
        <v>90</v>
      </c>
      <c r="E326" s="948" t="s">
        <v>63</v>
      </c>
      <c r="F326" s="954" t="s">
        <v>65</v>
      </c>
      <c r="G326" s="954" t="s">
        <v>64</v>
      </c>
      <c r="H326" s="954" t="s">
        <v>66</v>
      </c>
      <c r="I326" s="955">
        <v>0.7</v>
      </c>
      <c r="J326" s="948">
        <v>230.0</v>
      </c>
      <c r="K326" s="949">
        <v>-0.015740873104824304</v>
      </c>
      <c r="L326" s="950" t="str">
        <f t="shared" si="1"/>
        <v/>
      </c>
      <c r="M326" s="736"/>
      <c r="N326" s="736"/>
      <c r="O326" s="736"/>
    </row>
    <row r="327">
      <c r="A327" s="951" t="s">
        <v>1784</v>
      </c>
      <c r="B327" s="952" t="s">
        <v>60</v>
      </c>
      <c r="C327" s="953">
        <v>42710.0</v>
      </c>
      <c r="D327" s="954" t="s">
        <v>59</v>
      </c>
      <c r="E327" s="948" t="s">
        <v>63</v>
      </c>
      <c r="F327" s="954" t="s">
        <v>80</v>
      </c>
      <c r="G327" s="954" t="s">
        <v>69</v>
      </c>
      <c r="H327" s="954" t="s">
        <v>68</v>
      </c>
      <c r="I327" s="955">
        <v>0.9</v>
      </c>
      <c r="J327" s="948">
        <v>194.0</v>
      </c>
      <c r="K327" s="949">
        <v>0.005593987527346744</v>
      </c>
      <c r="L327" s="950" t="str">
        <f t="shared" si="1"/>
        <v/>
      </c>
      <c r="M327" s="736"/>
      <c r="N327" s="736"/>
      <c r="O327" s="736"/>
    </row>
    <row r="328">
      <c r="A328" s="951" t="s">
        <v>541</v>
      </c>
      <c r="B328" s="952" t="s">
        <v>60</v>
      </c>
      <c r="C328" s="953">
        <v>42707.0</v>
      </c>
      <c r="D328" s="954" t="s">
        <v>57</v>
      </c>
      <c r="E328" s="948" t="s">
        <v>63</v>
      </c>
      <c r="F328" s="954" t="s">
        <v>69</v>
      </c>
      <c r="G328" s="954" t="s">
        <v>67</v>
      </c>
      <c r="H328" s="954" t="s">
        <v>69</v>
      </c>
      <c r="I328" s="955">
        <v>0.9</v>
      </c>
      <c r="J328" s="948">
        <v>224.0</v>
      </c>
      <c r="K328" s="949">
        <v>-0.013028705745997793</v>
      </c>
      <c r="L328" s="950" t="str">
        <f t="shared" si="1"/>
        <v/>
      </c>
      <c r="M328" s="736"/>
      <c r="N328" s="736"/>
      <c r="O328" s="736"/>
    </row>
    <row r="329">
      <c r="A329" s="951" t="s">
        <v>1726</v>
      </c>
      <c r="B329" s="952" t="s">
        <v>60</v>
      </c>
      <c r="C329" s="953">
        <v>42706.0</v>
      </c>
      <c r="D329" s="954" t="s">
        <v>305</v>
      </c>
      <c r="E329" s="948" t="s">
        <v>63</v>
      </c>
      <c r="F329" s="954" t="s">
        <v>64</v>
      </c>
      <c r="G329" s="954" t="s">
        <v>64</v>
      </c>
      <c r="H329" s="954" t="s">
        <v>69</v>
      </c>
      <c r="I329" s="955">
        <v>0.8</v>
      </c>
      <c r="J329" s="948">
        <v>230.0</v>
      </c>
      <c r="K329" s="949">
        <v>0.010009287431711367</v>
      </c>
      <c r="L329" s="950" t="str">
        <f t="shared" si="1"/>
        <v/>
      </c>
      <c r="M329" s="736"/>
      <c r="N329" s="736"/>
      <c r="O329" s="736"/>
    </row>
    <row r="330">
      <c r="A330" s="951" t="s">
        <v>1703</v>
      </c>
      <c r="B330" s="952" t="s">
        <v>60</v>
      </c>
      <c r="C330" s="953">
        <v>42705.0</v>
      </c>
      <c r="D330" s="954" t="s">
        <v>118</v>
      </c>
      <c r="E330" s="948" t="s">
        <v>63</v>
      </c>
      <c r="F330" s="954"/>
      <c r="G330" s="954"/>
      <c r="H330" s="954"/>
      <c r="I330" s="955"/>
      <c r="J330" s="948">
        <v>205.0</v>
      </c>
      <c r="K330" s="949">
        <v>0.027993129585249354</v>
      </c>
      <c r="L330" s="950" t="str">
        <f t="shared" si="1"/>
        <v>yes</v>
      </c>
      <c r="M330" s="736"/>
      <c r="N330" s="736"/>
      <c r="O330" s="736"/>
    </row>
    <row r="331">
      <c r="A331" s="951" t="s">
        <v>1703</v>
      </c>
      <c r="B331" s="952" t="s">
        <v>60</v>
      </c>
      <c r="C331" s="953">
        <v>42705.0</v>
      </c>
      <c r="D331" s="954" t="s">
        <v>118</v>
      </c>
      <c r="E331" s="948" t="s">
        <v>63</v>
      </c>
      <c r="F331" s="954"/>
      <c r="G331" s="954"/>
      <c r="H331" s="954"/>
      <c r="I331" s="955"/>
      <c r="J331" s="948">
        <v>207.0</v>
      </c>
      <c r="K331" s="949">
        <v>0.029206060347759744</v>
      </c>
      <c r="L331" s="950" t="str">
        <f t="shared" si="1"/>
        <v/>
      </c>
      <c r="M331" s="736"/>
      <c r="N331" s="736"/>
      <c r="O331" s="736"/>
    </row>
    <row r="332">
      <c r="A332" s="951" t="s">
        <v>519</v>
      </c>
      <c r="B332" s="952" t="s">
        <v>56</v>
      </c>
      <c r="C332" s="953">
        <v>42704.0</v>
      </c>
      <c r="D332" s="954" t="s">
        <v>305</v>
      </c>
      <c r="E332" s="948" t="s">
        <v>63</v>
      </c>
      <c r="F332" s="954" t="s">
        <v>69</v>
      </c>
      <c r="G332" s="954" t="s">
        <v>69</v>
      </c>
      <c r="H332" s="954" t="s">
        <v>68</v>
      </c>
      <c r="I332" s="955">
        <v>0.8</v>
      </c>
      <c r="J332" s="948">
        <v>170.0</v>
      </c>
      <c r="K332" s="949">
        <v>0.03894557026788403</v>
      </c>
      <c r="L332" s="950" t="str">
        <f t="shared" si="1"/>
        <v/>
      </c>
      <c r="M332" s="736"/>
      <c r="N332" s="736"/>
      <c r="O332" s="736"/>
    </row>
    <row r="333">
      <c r="A333" s="951" t="s">
        <v>601</v>
      </c>
      <c r="B333" s="952" t="s">
        <v>56</v>
      </c>
      <c r="C333" s="953">
        <v>42704.0</v>
      </c>
      <c r="D333" s="954" t="s">
        <v>79</v>
      </c>
      <c r="E333" s="948" t="s">
        <v>63</v>
      </c>
      <c r="F333" s="954" t="s">
        <v>69</v>
      </c>
      <c r="G333" s="954" t="s">
        <v>69</v>
      </c>
      <c r="H333" s="954" t="s">
        <v>68</v>
      </c>
      <c r="I333" s="955">
        <v>0.9</v>
      </c>
      <c r="J333" s="948">
        <v>199.0</v>
      </c>
      <c r="K333" s="949">
        <v>0.03008738604408423</v>
      </c>
      <c r="L333" s="950" t="str">
        <f t="shared" si="1"/>
        <v>yes</v>
      </c>
      <c r="M333" s="736"/>
      <c r="N333" s="736"/>
      <c r="O333" s="736"/>
    </row>
    <row r="334">
      <c r="A334" s="951" t="s">
        <v>1336</v>
      </c>
      <c r="B334" s="952" t="s">
        <v>60</v>
      </c>
      <c r="C334" s="953">
        <v>42702.0</v>
      </c>
      <c r="D334" s="954" t="s">
        <v>59</v>
      </c>
      <c r="E334" s="948" t="s">
        <v>63</v>
      </c>
      <c r="F334" s="954" t="s">
        <v>64</v>
      </c>
      <c r="G334" s="954" t="s">
        <v>69</v>
      </c>
      <c r="H334" s="954" t="s">
        <v>68</v>
      </c>
      <c r="I334" s="955">
        <v>0.9</v>
      </c>
      <c r="J334" s="948">
        <v>205.0</v>
      </c>
      <c r="K334" s="949">
        <v>0.009413372046332302</v>
      </c>
      <c r="L334" s="950" t="str">
        <f t="shared" si="1"/>
        <v/>
      </c>
      <c r="M334" s="736"/>
      <c r="N334" s="736"/>
      <c r="O334" s="736"/>
    </row>
    <row r="335">
      <c r="A335" s="951" t="s">
        <v>126</v>
      </c>
      <c r="B335" s="952" t="s">
        <v>60</v>
      </c>
      <c r="C335" s="953">
        <v>42702.0</v>
      </c>
      <c r="D335" s="954" t="s">
        <v>79</v>
      </c>
      <c r="E335" s="948" t="s">
        <v>63</v>
      </c>
      <c r="F335" s="954" t="s">
        <v>65</v>
      </c>
      <c r="G335" s="954" t="s">
        <v>127</v>
      </c>
      <c r="H335" s="954" t="s">
        <v>69</v>
      </c>
      <c r="I335" s="955">
        <v>1.0</v>
      </c>
      <c r="J335" s="948">
        <v>212.0</v>
      </c>
      <c r="K335" s="949">
        <v>-0.018579070261045327</v>
      </c>
      <c r="L335" s="950" t="str">
        <f t="shared" si="1"/>
        <v/>
      </c>
      <c r="M335" s="736"/>
      <c r="N335" s="736"/>
      <c r="O335" s="736"/>
    </row>
    <row r="336">
      <c r="A336" s="951" t="s">
        <v>640</v>
      </c>
      <c r="B336" s="952" t="s">
        <v>60</v>
      </c>
      <c r="C336" s="953">
        <v>42702.0</v>
      </c>
      <c r="D336" s="954" t="s">
        <v>59</v>
      </c>
      <c r="E336" s="948" t="s">
        <v>63</v>
      </c>
      <c r="F336" s="954" t="s">
        <v>127</v>
      </c>
      <c r="G336" s="954" t="s">
        <v>69</v>
      </c>
      <c r="H336" s="954" t="s">
        <v>64</v>
      </c>
      <c r="I336" s="955">
        <v>0.9</v>
      </c>
      <c r="J336" s="948">
        <v>215.0</v>
      </c>
      <c r="K336" s="949">
        <v>0.0013205512225921145</v>
      </c>
      <c r="L336" s="950" t="str">
        <f t="shared" si="1"/>
        <v/>
      </c>
      <c r="M336" s="736"/>
      <c r="N336" s="736"/>
      <c r="O336" s="736"/>
    </row>
    <row r="337">
      <c r="A337" s="951" t="s">
        <v>1741</v>
      </c>
      <c r="B337" s="952" t="s">
        <v>60</v>
      </c>
      <c r="C337" s="953">
        <v>42702.0</v>
      </c>
      <c r="D337" s="954" t="s">
        <v>86</v>
      </c>
      <c r="E337" s="948" t="s">
        <v>63</v>
      </c>
      <c r="F337" s="954" t="s">
        <v>65</v>
      </c>
      <c r="G337" s="954" t="s">
        <v>64</v>
      </c>
      <c r="H337" s="954" t="s">
        <v>66</v>
      </c>
      <c r="I337" s="955">
        <v>0.8</v>
      </c>
      <c r="J337" s="948">
        <v>206.0</v>
      </c>
      <c r="K337" s="949">
        <v>0.015200970609432707</v>
      </c>
      <c r="L337" s="950" t="str">
        <f t="shared" si="1"/>
        <v/>
      </c>
      <c r="M337" s="736"/>
      <c r="N337" s="736"/>
      <c r="O337" s="736"/>
    </row>
    <row r="338">
      <c r="A338" s="951" t="s">
        <v>169</v>
      </c>
      <c r="B338" s="952" t="s">
        <v>55</v>
      </c>
      <c r="C338" s="953">
        <v>42702.0</v>
      </c>
      <c r="D338" s="954" t="s">
        <v>59</v>
      </c>
      <c r="E338" s="948" t="s">
        <v>63</v>
      </c>
      <c r="F338" s="954" t="s">
        <v>64</v>
      </c>
      <c r="G338" s="954" t="s">
        <v>69</v>
      </c>
      <c r="H338" s="954" t="s">
        <v>69</v>
      </c>
      <c r="I338" s="955">
        <v>0.9</v>
      </c>
      <c r="J338" s="948">
        <v>243.0</v>
      </c>
      <c r="K338" s="949">
        <v>-0.031166627981565442</v>
      </c>
      <c r="L338" s="950" t="str">
        <f t="shared" si="1"/>
        <v/>
      </c>
      <c r="M338" s="736"/>
      <c r="N338" s="736"/>
      <c r="O338" s="736"/>
    </row>
    <row r="339">
      <c r="A339" s="951" t="s">
        <v>1784</v>
      </c>
      <c r="B339" s="952" t="s">
        <v>60</v>
      </c>
      <c r="C339" s="953">
        <v>42701.0</v>
      </c>
      <c r="D339" s="954" t="s">
        <v>59</v>
      </c>
      <c r="E339" s="948" t="s">
        <v>63</v>
      </c>
      <c r="F339" s="954"/>
      <c r="G339" s="954"/>
      <c r="H339" s="954"/>
      <c r="I339" s="955"/>
      <c r="J339" s="948">
        <v>194.0</v>
      </c>
      <c r="K339" s="949">
        <v>0.005343547488029787</v>
      </c>
      <c r="L339" s="950" t="str">
        <f t="shared" si="1"/>
        <v/>
      </c>
      <c r="M339" s="736"/>
      <c r="N339" s="736"/>
      <c r="O339" s="736"/>
    </row>
    <row r="340">
      <c r="A340" s="951" t="s">
        <v>1883</v>
      </c>
      <c r="B340" s="952" t="s">
        <v>60</v>
      </c>
      <c r="C340" s="953">
        <v>42701.0</v>
      </c>
      <c r="D340" s="954" t="s">
        <v>305</v>
      </c>
      <c r="E340" s="948" t="s">
        <v>63</v>
      </c>
      <c r="F340" s="954" t="s">
        <v>127</v>
      </c>
      <c r="G340" s="954" t="s">
        <v>69</v>
      </c>
      <c r="H340" s="954" t="s">
        <v>68</v>
      </c>
      <c r="I340" s="955">
        <v>0.9</v>
      </c>
      <c r="J340" s="948">
        <v>220.0</v>
      </c>
      <c r="K340" s="949">
        <v>0.008448886035635428</v>
      </c>
      <c r="L340" s="950" t="str">
        <f t="shared" si="1"/>
        <v>yes</v>
      </c>
      <c r="M340" s="736"/>
      <c r="N340" s="736"/>
      <c r="O340" s="736"/>
    </row>
    <row r="341">
      <c r="A341" s="951" t="s">
        <v>84</v>
      </c>
      <c r="B341" s="952" t="s">
        <v>60</v>
      </c>
      <c r="C341" s="953">
        <v>42701.0</v>
      </c>
      <c r="D341" s="954" t="s">
        <v>59</v>
      </c>
      <c r="E341" s="948" t="s">
        <v>63</v>
      </c>
      <c r="F341" s="954" t="s">
        <v>127</v>
      </c>
      <c r="G341" s="954" t="s">
        <v>69</v>
      </c>
      <c r="H341" s="954" t="s">
        <v>68</v>
      </c>
      <c r="I341" s="955">
        <v>0.9</v>
      </c>
      <c r="J341" s="948">
        <v>215.0</v>
      </c>
      <c r="K341" s="949">
        <v>-0.0031566386657675416</v>
      </c>
      <c r="L341" s="950" t="str">
        <f t="shared" si="1"/>
        <v>yes</v>
      </c>
      <c r="M341" s="736"/>
      <c r="N341" s="736"/>
      <c r="O341" s="736"/>
    </row>
    <row r="342">
      <c r="A342" s="951" t="s">
        <v>593</v>
      </c>
      <c r="B342" s="952" t="s">
        <v>56</v>
      </c>
      <c r="C342" s="953">
        <v>42699.0</v>
      </c>
      <c r="D342" s="954" t="s">
        <v>59</v>
      </c>
      <c r="E342" s="948" t="s">
        <v>195</v>
      </c>
      <c r="F342" s="954" t="s">
        <v>64</v>
      </c>
      <c r="G342" s="954" t="s">
        <v>69</v>
      </c>
      <c r="H342" s="954" t="s">
        <v>66</v>
      </c>
      <c r="I342" s="955">
        <v>0.6</v>
      </c>
      <c r="J342" s="948">
        <v>193.0</v>
      </c>
      <c r="K342" s="949">
        <v>-0.03097680211829712</v>
      </c>
      <c r="L342" s="950" t="str">
        <f t="shared" si="1"/>
        <v>yes</v>
      </c>
      <c r="M342" s="736"/>
      <c r="N342" s="736"/>
      <c r="O342" s="736"/>
    </row>
    <row r="343">
      <c r="A343" s="951" t="s">
        <v>1784</v>
      </c>
      <c r="B343" s="952" t="s">
        <v>60</v>
      </c>
      <c r="C343" s="953">
        <v>42698.0</v>
      </c>
      <c r="D343" s="954" t="s">
        <v>59</v>
      </c>
      <c r="E343" s="948" t="s">
        <v>63</v>
      </c>
      <c r="F343" s="954" t="s">
        <v>80</v>
      </c>
      <c r="G343" s="954" t="s">
        <v>69</v>
      </c>
      <c r="H343" s="954" t="s">
        <v>68</v>
      </c>
      <c r="I343" s="955">
        <v>0.9</v>
      </c>
      <c r="J343" s="948">
        <v>194.0</v>
      </c>
      <c r="K343" s="949">
        <v>0.005318807693443062</v>
      </c>
      <c r="L343" s="950" t="str">
        <f t="shared" si="1"/>
        <v/>
      </c>
      <c r="M343" s="736"/>
      <c r="N343" s="736"/>
      <c r="O343" s="736"/>
    </row>
    <row r="344">
      <c r="A344" s="951" t="s">
        <v>1783</v>
      </c>
      <c r="B344" s="952" t="s">
        <v>60</v>
      </c>
      <c r="C344" s="953">
        <v>42698.0</v>
      </c>
      <c r="D344" s="954" t="s">
        <v>59</v>
      </c>
      <c r="E344" s="948" t="s">
        <v>63</v>
      </c>
      <c r="F344" s="954" t="s">
        <v>67</v>
      </c>
      <c r="G344" s="954" t="s">
        <v>69</v>
      </c>
      <c r="H344" s="954" t="s">
        <v>69</v>
      </c>
      <c r="I344" s="955">
        <v>0.9</v>
      </c>
      <c r="J344" s="948">
        <v>226.0</v>
      </c>
      <c r="K344" s="949">
        <v>0.005595364089139299</v>
      </c>
      <c r="L344" s="950" t="str">
        <f t="shared" si="1"/>
        <v/>
      </c>
      <c r="M344" s="736"/>
      <c r="N344" s="736"/>
      <c r="O344" s="736"/>
    </row>
    <row r="345">
      <c r="A345" s="951" t="s">
        <v>1637</v>
      </c>
      <c r="B345" s="952" t="s">
        <v>60</v>
      </c>
      <c r="C345" s="953">
        <v>42698.0</v>
      </c>
      <c r="D345" s="954" t="s">
        <v>118</v>
      </c>
      <c r="E345" s="948" t="s">
        <v>63</v>
      </c>
      <c r="F345" s="954" t="s">
        <v>67</v>
      </c>
      <c r="G345" s="954" t="s">
        <v>64</v>
      </c>
      <c r="H345" s="954" t="s">
        <v>69</v>
      </c>
      <c r="I345" s="955">
        <v>0.8</v>
      </c>
      <c r="J345" s="948">
        <v>203.0</v>
      </c>
      <c r="K345" s="949">
        <v>0.02198344895507698</v>
      </c>
      <c r="L345" s="950" t="str">
        <f t="shared" si="1"/>
        <v/>
      </c>
      <c r="M345" s="736"/>
      <c r="N345" s="736"/>
      <c r="O345" s="736"/>
    </row>
    <row r="346">
      <c r="A346" s="951" t="s">
        <v>1895</v>
      </c>
      <c r="B346" s="952" t="s">
        <v>60</v>
      </c>
      <c r="C346" s="953">
        <v>42697.0</v>
      </c>
      <c r="D346" s="954" t="s">
        <v>86</v>
      </c>
      <c r="E346" s="948" t="s">
        <v>63</v>
      </c>
      <c r="F346" s="954" t="s">
        <v>69</v>
      </c>
      <c r="G346" s="954" t="s">
        <v>64</v>
      </c>
      <c r="H346" s="954" t="s">
        <v>66</v>
      </c>
      <c r="I346" s="955">
        <v>0.9</v>
      </c>
      <c r="J346" s="948">
        <v>203.0</v>
      </c>
      <c r="K346" s="949">
        <v>0.01866412988999122</v>
      </c>
      <c r="L346" s="950" t="str">
        <f t="shared" si="1"/>
        <v>yes</v>
      </c>
      <c r="M346" s="736"/>
      <c r="N346" s="736"/>
      <c r="O346" s="736"/>
    </row>
    <row r="347">
      <c r="A347" s="951" t="s">
        <v>1615</v>
      </c>
      <c r="B347" s="952" t="s">
        <v>60</v>
      </c>
      <c r="C347" s="953">
        <v>42697.0</v>
      </c>
      <c r="D347" s="954" t="s">
        <v>629</v>
      </c>
      <c r="E347" s="948" t="s">
        <v>63</v>
      </c>
      <c r="F347" s="954" t="s">
        <v>65</v>
      </c>
      <c r="G347" s="954" t="s">
        <v>65</v>
      </c>
      <c r="H347" s="954" t="s">
        <v>66</v>
      </c>
      <c r="I347" s="955">
        <v>0.9</v>
      </c>
      <c r="J347" s="948">
        <v>189.0</v>
      </c>
      <c r="K347" s="949">
        <v>0.0011155035646781553</v>
      </c>
      <c r="L347" s="950" t="str">
        <f t="shared" si="1"/>
        <v/>
      </c>
      <c r="M347" s="736"/>
      <c r="N347" s="736"/>
      <c r="O347" s="736"/>
    </row>
    <row r="348">
      <c r="A348" s="951" t="s">
        <v>623</v>
      </c>
      <c r="B348" s="952" t="s">
        <v>60</v>
      </c>
      <c r="C348" s="953">
        <v>42697.0</v>
      </c>
      <c r="D348" s="954" t="s">
        <v>59</v>
      </c>
      <c r="E348" s="948" t="s">
        <v>63</v>
      </c>
      <c r="F348" s="954" t="s">
        <v>67</v>
      </c>
      <c r="G348" s="954" t="s">
        <v>69</v>
      </c>
      <c r="H348" s="954" t="s">
        <v>66</v>
      </c>
      <c r="I348" s="955">
        <v>0.9</v>
      </c>
      <c r="J348" s="948">
        <v>182.0</v>
      </c>
      <c r="K348" s="949">
        <v>0.007310523576060435</v>
      </c>
      <c r="L348" s="950" t="str">
        <f t="shared" si="1"/>
        <v/>
      </c>
      <c r="M348" s="736"/>
      <c r="N348" s="736"/>
      <c r="O348" s="736"/>
    </row>
    <row r="349">
      <c r="A349" s="951" t="s">
        <v>663</v>
      </c>
      <c r="B349" s="952" t="s">
        <v>638</v>
      </c>
      <c r="C349" s="953">
        <v>42694.0</v>
      </c>
      <c r="D349" s="954" t="s">
        <v>59</v>
      </c>
      <c r="E349" s="948" t="s">
        <v>63</v>
      </c>
      <c r="F349" s="954" t="s">
        <v>67</v>
      </c>
      <c r="G349" s="954" t="s">
        <v>66</v>
      </c>
      <c r="H349" s="954" t="s">
        <v>68</v>
      </c>
      <c r="I349" s="955">
        <v>0.7</v>
      </c>
      <c r="J349" s="948">
        <v>235.0</v>
      </c>
      <c r="K349" s="949">
        <v>-0.006690458133216226</v>
      </c>
      <c r="L349" s="950" t="str">
        <f t="shared" si="1"/>
        <v>yes</v>
      </c>
      <c r="M349" s="736"/>
      <c r="N349" s="736"/>
      <c r="O349" s="736"/>
    </row>
    <row r="350">
      <c r="A350" s="951" t="s">
        <v>1642</v>
      </c>
      <c r="B350" s="952" t="s">
        <v>60</v>
      </c>
      <c r="C350" s="953">
        <v>42693.0</v>
      </c>
      <c r="D350" s="954" t="s">
        <v>118</v>
      </c>
      <c r="E350" s="948" t="s">
        <v>63</v>
      </c>
      <c r="F350" s="954" t="s">
        <v>65</v>
      </c>
      <c r="G350" s="954" t="s">
        <v>69</v>
      </c>
      <c r="H350" s="954" t="s">
        <v>69</v>
      </c>
      <c r="I350" s="955">
        <v>0.9</v>
      </c>
      <c r="J350" s="948">
        <v>219.0</v>
      </c>
      <c r="K350" s="949">
        <v>0.02334862840945162</v>
      </c>
      <c r="L350" s="950" t="str">
        <f t="shared" si="1"/>
        <v/>
      </c>
      <c r="M350" s="736"/>
      <c r="N350" s="736"/>
      <c r="O350" s="736"/>
    </row>
    <row r="351">
      <c r="A351" s="951" t="s">
        <v>1726</v>
      </c>
      <c r="B351" s="952" t="s">
        <v>60</v>
      </c>
      <c r="C351" s="953">
        <v>42692.0</v>
      </c>
      <c r="D351" s="954" t="s">
        <v>305</v>
      </c>
      <c r="E351" s="948" t="s">
        <v>63</v>
      </c>
      <c r="F351" s="954" t="s">
        <v>64</v>
      </c>
      <c r="G351" s="954" t="s">
        <v>64</v>
      </c>
      <c r="H351" s="954" t="s">
        <v>69</v>
      </c>
      <c r="I351" s="955">
        <v>0.8</v>
      </c>
      <c r="J351" s="948">
        <v>229.0</v>
      </c>
      <c r="K351" s="949">
        <v>0.009728402262741853</v>
      </c>
      <c r="L351" s="950" t="str">
        <f t="shared" si="1"/>
        <v/>
      </c>
      <c r="M351" s="736"/>
      <c r="N351" s="736"/>
      <c r="O351" s="736"/>
    </row>
    <row r="352">
      <c r="A352" s="951" t="s">
        <v>1741</v>
      </c>
      <c r="B352" s="952" t="s">
        <v>60</v>
      </c>
      <c r="C352" s="953">
        <v>42692.0</v>
      </c>
      <c r="D352" s="954" t="s">
        <v>86</v>
      </c>
      <c r="E352" s="948" t="s">
        <v>63</v>
      </c>
      <c r="F352" s="954" t="s">
        <v>65</v>
      </c>
      <c r="G352" s="954" t="s">
        <v>64</v>
      </c>
      <c r="H352" s="954" t="s">
        <v>66</v>
      </c>
      <c r="I352" s="955">
        <v>0.8</v>
      </c>
      <c r="J352" s="948">
        <v>206.0</v>
      </c>
      <c r="K352" s="949">
        <v>0.02665970646688287</v>
      </c>
      <c r="L352" s="950" t="str">
        <f t="shared" si="1"/>
        <v/>
      </c>
      <c r="M352" s="736"/>
      <c r="N352" s="736"/>
      <c r="O352" s="736"/>
    </row>
    <row r="353">
      <c r="A353" s="951" t="s">
        <v>1703</v>
      </c>
      <c r="B353" s="952" t="s">
        <v>60</v>
      </c>
      <c r="C353" s="953">
        <v>42691.0</v>
      </c>
      <c r="D353" s="954" t="s">
        <v>118</v>
      </c>
      <c r="E353" s="948" t="s">
        <v>63</v>
      </c>
      <c r="F353" s="954"/>
      <c r="G353" s="954"/>
      <c r="H353" s="954"/>
      <c r="I353" s="955"/>
      <c r="J353" s="948">
        <v>203.0</v>
      </c>
      <c r="K353" s="949">
        <v>0.029859562361163605</v>
      </c>
      <c r="L353" s="950" t="str">
        <f t="shared" si="1"/>
        <v/>
      </c>
      <c r="M353" s="736"/>
      <c r="N353" s="736"/>
      <c r="O353" s="736"/>
    </row>
    <row r="354">
      <c r="A354" s="951" t="s">
        <v>1784</v>
      </c>
      <c r="B354" s="952" t="s">
        <v>60</v>
      </c>
      <c r="C354" s="953">
        <v>42688.0</v>
      </c>
      <c r="D354" s="954" t="s">
        <v>59</v>
      </c>
      <c r="E354" s="948" t="s">
        <v>63</v>
      </c>
      <c r="F354" s="954" t="s">
        <v>80</v>
      </c>
      <c r="G354" s="954" t="s">
        <v>66</v>
      </c>
      <c r="H354" s="954" t="s">
        <v>68</v>
      </c>
      <c r="I354" s="955">
        <v>0.9</v>
      </c>
      <c r="J354" s="948">
        <v>193.0</v>
      </c>
      <c r="K354" s="949">
        <v>0.007634457754971624</v>
      </c>
      <c r="L354" s="950" t="str">
        <f t="shared" si="1"/>
        <v/>
      </c>
      <c r="M354" s="736"/>
      <c r="N354" s="736"/>
      <c r="O354" s="736"/>
    </row>
    <row r="355">
      <c r="A355" s="951" t="s">
        <v>1611</v>
      </c>
      <c r="B355" s="952" t="s">
        <v>60</v>
      </c>
      <c r="C355" s="953">
        <v>42686.0</v>
      </c>
      <c r="D355" s="954" t="s">
        <v>79</v>
      </c>
      <c r="E355" s="948" t="s">
        <v>63</v>
      </c>
      <c r="F355" s="954" t="s">
        <v>69</v>
      </c>
      <c r="G355" s="954" t="s">
        <v>69</v>
      </c>
      <c r="H355" s="954" t="s">
        <v>68</v>
      </c>
      <c r="I355" s="955">
        <v>0.9</v>
      </c>
      <c r="J355" s="948">
        <v>200.0</v>
      </c>
      <c r="K355" s="949">
        <v>0.002460518670578171</v>
      </c>
      <c r="L355" s="950" t="str">
        <f t="shared" si="1"/>
        <v/>
      </c>
      <c r="M355" s="736"/>
      <c r="N355" s="736"/>
      <c r="O355" s="736"/>
    </row>
    <row r="356">
      <c r="A356" s="951" t="s">
        <v>1013</v>
      </c>
      <c r="B356" s="952" t="s">
        <v>60</v>
      </c>
      <c r="C356" s="953">
        <v>42685.0</v>
      </c>
      <c r="D356" s="954" t="s">
        <v>59</v>
      </c>
      <c r="E356" s="948" t="s">
        <v>63</v>
      </c>
      <c r="F356" s="954" t="s">
        <v>64</v>
      </c>
      <c r="G356" s="954" t="s">
        <v>64</v>
      </c>
      <c r="H356" s="954" t="s">
        <v>69</v>
      </c>
      <c r="I356" s="955">
        <v>0.9</v>
      </c>
      <c r="J356" s="948">
        <v>221.0</v>
      </c>
      <c r="K356" s="949">
        <v>0.001967453105309769</v>
      </c>
      <c r="L356" s="950" t="str">
        <f t="shared" si="1"/>
        <v/>
      </c>
      <c r="M356" s="736"/>
      <c r="N356" s="736"/>
      <c r="O356" s="736"/>
    </row>
    <row r="357">
      <c r="A357" s="951" t="s">
        <v>1628</v>
      </c>
      <c r="B357" s="952" t="s">
        <v>60</v>
      </c>
      <c r="C357" s="953">
        <v>42685.0</v>
      </c>
      <c r="D357" s="954" t="s">
        <v>305</v>
      </c>
      <c r="E357" s="948" t="s">
        <v>63</v>
      </c>
      <c r="F357" s="954" t="s">
        <v>65</v>
      </c>
      <c r="G357" s="954" t="s">
        <v>65</v>
      </c>
      <c r="H357" s="954" t="s">
        <v>68</v>
      </c>
      <c r="I357" s="955">
        <v>0.8</v>
      </c>
      <c r="J357" s="948">
        <v>214.0</v>
      </c>
      <c r="K357" s="949">
        <v>0.011278969335753786</v>
      </c>
      <c r="L357" s="950" t="str">
        <f t="shared" si="1"/>
        <v/>
      </c>
      <c r="M357" s="736"/>
      <c r="N357" s="736"/>
      <c r="O357" s="736"/>
    </row>
    <row r="358">
      <c r="A358" s="951" t="s">
        <v>143</v>
      </c>
      <c r="B358" s="952" t="s">
        <v>56</v>
      </c>
      <c r="C358" s="953">
        <v>42685.0</v>
      </c>
      <c r="D358" s="954" t="s">
        <v>59</v>
      </c>
      <c r="E358" s="948" t="s">
        <v>63</v>
      </c>
      <c r="F358" s="954" t="s">
        <v>67</v>
      </c>
      <c r="G358" s="954" t="s">
        <v>65</v>
      </c>
      <c r="H358" s="954" t="s">
        <v>64</v>
      </c>
      <c r="I358" s="955">
        <v>0.8</v>
      </c>
      <c r="J358" s="948">
        <v>203.0</v>
      </c>
      <c r="K358" s="949">
        <v>0.0041217257807213414</v>
      </c>
      <c r="L358" s="950" t="str">
        <f t="shared" si="1"/>
        <v/>
      </c>
      <c r="M358" s="736"/>
      <c r="N358" s="736"/>
      <c r="O358" s="736"/>
    </row>
    <row r="359">
      <c r="A359" s="951" t="s">
        <v>1882</v>
      </c>
      <c r="B359" s="952" t="s">
        <v>60</v>
      </c>
      <c r="C359" s="953">
        <v>42684.0</v>
      </c>
      <c r="D359" s="954" t="s">
        <v>118</v>
      </c>
      <c r="E359" s="948" t="s">
        <v>63</v>
      </c>
      <c r="F359" s="954" t="s">
        <v>64</v>
      </c>
      <c r="G359" s="954" t="s">
        <v>69</v>
      </c>
      <c r="H359" s="954" t="s">
        <v>68</v>
      </c>
      <c r="I359" s="955">
        <v>0.8</v>
      </c>
      <c r="J359" s="948">
        <v>201.0</v>
      </c>
      <c r="K359" s="949">
        <v>0.0038550033871825873</v>
      </c>
      <c r="L359" s="950" t="str">
        <f t="shared" si="1"/>
        <v>yes</v>
      </c>
      <c r="M359" s="736"/>
      <c r="N359" s="736"/>
      <c r="O359" s="736"/>
    </row>
    <row r="360">
      <c r="A360" s="951" t="s">
        <v>1618</v>
      </c>
      <c r="B360" s="952" t="s">
        <v>60</v>
      </c>
      <c r="C360" s="953">
        <v>42683.0</v>
      </c>
      <c r="D360" s="954" t="s">
        <v>90</v>
      </c>
      <c r="E360" s="948" t="s">
        <v>63</v>
      </c>
      <c r="F360" s="954" t="s">
        <v>67</v>
      </c>
      <c r="G360" s="954" t="s">
        <v>69</v>
      </c>
      <c r="H360" s="954" t="s">
        <v>69</v>
      </c>
      <c r="I360" s="955">
        <v>0.9</v>
      </c>
      <c r="J360" s="948">
        <v>220.0</v>
      </c>
      <c r="K360" s="949">
        <v>-0.011726617891314683</v>
      </c>
      <c r="L360" s="950" t="str">
        <f t="shared" si="1"/>
        <v>yes</v>
      </c>
      <c r="M360" s="736"/>
      <c r="N360" s="736"/>
      <c r="O360" s="736"/>
    </row>
    <row r="361">
      <c r="A361" s="951" t="s">
        <v>279</v>
      </c>
      <c r="B361" s="952" t="s">
        <v>60</v>
      </c>
      <c r="C361" s="953">
        <v>42681.0</v>
      </c>
      <c r="D361" s="954" t="s">
        <v>59</v>
      </c>
      <c r="E361" s="948" t="s">
        <v>195</v>
      </c>
      <c r="F361" s="954" t="s">
        <v>64</v>
      </c>
      <c r="G361" s="954" t="s">
        <v>69</v>
      </c>
      <c r="H361" s="954" t="s">
        <v>66</v>
      </c>
      <c r="I361" s="955">
        <v>0.9</v>
      </c>
      <c r="J361" s="948">
        <v>234.0</v>
      </c>
      <c r="K361" s="949">
        <v>0.013238139782997482</v>
      </c>
      <c r="L361" s="950" t="str">
        <f t="shared" si="1"/>
        <v/>
      </c>
      <c r="M361" s="736"/>
      <c r="N361" s="736"/>
      <c r="O361" s="736"/>
    </row>
    <row r="362">
      <c r="A362" s="951" t="s">
        <v>1775</v>
      </c>
      <c r="B362" s="952" t="s">
        <v>60</v>
      </c>
      <c r="C362" s="953">
        <v>42680.0</v>
      </c>
      <c r="D362" s="954" t="s">
        <v>305</v>
      </c>
      <c r="E362" s="948" t="s">
        <v>63</v>
      </c>
      <c r="F362" s="954" t="s">
        <v>64</v>
      </c>
      <c r="G362" s="954" t="s">
        <v>69</v>
      </c>
      <c r="H362" s="954" t="s">
        <v>68</v>
      </c>
      <c r="I362" s="955">
        <v>0.9</v>
      </c>
      <c r="J362" s="948">
        <v>236.0</v>
      </c>
      <c r="K362" s="949">
        <v>-0.010402454695992991</v>
      </c>
      <c r="L362" s="950" t="str">
        <f t="shared" si="1"/>
        <v/>
      </c>
      <c r="M362" s="736"/>
      <c r="N362" s="736"/>
      <c r="O362" s="736"/>
    </row>
    <row r="363">
      <c r="A363" s="951" t="s">
        <v>1695</v>
      </c>
      <c r="B363" s="952" t="s">
        <v>60</v>
      </c>
      <c r="C363" s="953">
        <v>42678.0</v>
      </c>
      <c r="D363" s="954" t="s">
        <v>57</v>
      </c>
      <c r="E363" s="948" t="s">
        <v>63</v>
      </c>
      <c r="F363" s="954" t="s">
        <v>66</v>
      </c>
      <c r="G363" s="954" t="s">
        <v>69</v>
      </c>
      <c r="H363" s="954" t="s">
        <v>68</v>
      </c>
      <c r="I363" s="955">
        <v>0.7</v>
      </c>
      <c r="J363" s="948">
        <v>225.0</v>
      </c>
      <c r="K363" s="949">
        <v>0.011127961037362577</v>
      </c>
      <c r="L363" s="950" t="str">
        <f t="shared" si="1"/>
        <v/>
      </c>
      <c r="M363" s="736"/>
      <c r="N363" s="736"/>
      <c r="O363" s="736"/>
    </row>
    <row r="364">
      <c r="A364" s="951" t="s">
        <v>1752</v>
      </c>
      <c r="B364" s="952" t="s">
        <v>60</v>
      </c>
      <c r="C364" s="953">
        <v>42678.0</v>
      </c>
      <c r="D364" s="954" t="s">
        <v>59</v>
      </c>
      <c r="E364" s="948" t="s">
        <v>63</v>
      </c>
      <c r="F364" s="954" t="s">
        <v>64</v>
      </c>
      <c r="G364" s="954" t="s">
        <v>64</v>
      </c>
      <c r="H364" s="954" t="s">
        <v>69</v>
      </c>
      <c r="I364" s="955">
        <v>0.9</v>
      </c>
      <c r="J364" s="948">
        <v>205.0</v>
      </c>
      <c r="K364" s="949">
        <v>0.009682619777870438</v>
      </c>
      <c r="L364" s="950" t="str">
        <f t="shared" si="1"/>
        <v>yes</v>
      </c>
      <c r="M364" s="736"/>
      <c r="N364" s="736"/>
      <c r="O364" s="736"/>
    </row>
    <row r="365">
      <c r="A365" s="951" t="s">
        <v>210</v>
      </c>
      <c r="B365" s="952" t="s">
        <v>55</v>
      </c>
      <c r="C365" s="953">
        <v>42678.0</v>
      </c>
      <c r="D365" s="954" t="s">
        <v>79</v>
      </c>
      <c r="E365" s="948" t="s">
        <v>63</v>
      </c>
      <c r="F365" s="954" t="s">
        <v>65</v>
      </c>
      <c r="G365" s="954" t="s">
        <v>69</v>
      </c>
      <c r="H365" s="954" t="s">
        <v>66</v>
      </c>
      <c r="I365" s="955">
        <v>0.8</v>
      </c>
      <c r="J365" s="948">
        <v>212.0</v>
      </c>
      <c r="K365" s="949">
        <v>-0.012298447220930764</v>
      </c>
      <c r="L365" s="950" t="str">
        <f t="shared" si="1"/>
        <v/>
      </c>
      <c r="M365" s="736"/>
      <c r="N365" s="736"/>
      <c r="O365" s="736"/>
    </row>
    <row r="366">
      <c r="A366" s="951" t="s">
        <v>143</v>
      </c>
      <c r="B366" s="952" t="s">
        <v>56</v>
      </c>
      <c r="C366" s="953">
        <v>42678.0</v>
      </c>
      <c r="D366" s="954" t="s">
        <v>59</v>
      </c>
      <c r="E366" s="948" t="s">
        <v>63</v>
      </c>
      <c r="F366" s="954" t="s">
        <v>67</v>
      </c>
      <c r="G366" s="954" t="s">
        <v>65</v>
      </c>
      <c r="H366" s="954" t="s">
        <v>64</v>
      </c>
      <c r="I366" s="955">
        <v>0.8</v>
      </c>
      <c r="J366" s="948">
        <v>198.0</v>
      </c>
      <c r="K366" s="949">
        <v>0.003230641037250459</v>
      </c>
      <c r="L366" s="950" t="str">
        <f t="shared" si="1"/>
        <v/>
      </c>
      <c r="M366" s="736"/>
      <c r="N366" s="736"/>
      <c r="O366" s="736"/>
    </row>
    <row r="367">
      <c r="A367" s="951" t="s">
        <v>579</v>
      </c>
      <c r="B367" s="952" t="s">
        <v>56</v>
      </c>
      <c r="C367" s="953">
        <v>42678.0</v>
      </c>
      <c r="D367" s="954" t="s">
        <v>79</v>
      </c>
      <c r="E367" s="948" t="s">
        <v>63</v>
      </c>
      <c r="F367" s="954" t="s">
        <v>69</v>
      </c>
      <c r="G367" s="954" t="s">
        <v>64</v>
      </c>
      <c r="H367" s="954" t="s">
        <v>68</v>
      </c>
      <c r="I367" s="955">
        <v>0.8</v>
      </c>
      <c r="J367" s="948">
        <v>203.0</v>
      </c>
      <c r="K367" s="949">
        <v>-0.007476606040145217</v>
      </c>
      <c r="L367" s="950" t="str">
        <f t="shared" si="1"/>
        <v>yes</v>
      </c>
      <c r="M367" s="736"/>
      <c r="N367" s="736"/>
      <c r="O367" s="736"/>
    </row>
    <row r="368">
      <c r="A368" s="951" t="s">
        <v>1615</v>
      </c>
      <c r="B368" s="952" t="s">
        <v>60</v>
      </c>
      <c r="C368" s="953">
        <v>42677.0</v>
      </c>
      <c r="D368" s="954" t="s">
        <v>629</v>
      </c>
      <c r="E368" s="948" t="s">
        <v>63</v>
      </c>
      <c r="F368" s="954"/>
      <c r="G368" s="954"/>
      <c r="H368" s="954"/>
      <c r="I368" s="955">
        <v>0.9</v>
      </c>
      <c r="J368" s="948">
        <v>188.0</v>
      </c>
      <c r="K368" s="949">
        <v>0.013527227808299291</v>
      </c>
      <c r="L368" s="950" t="str">
        <f t="shared" si="1"/>
        <v/>
      </c>
      <c r="M368" s="736"/>
      <c r="N368" s="736"/>
      <c r="O368" s="736"/>
    </row>
    <row r="369">
      <c r="A369" s="951" t="s">
        <v>574</v>
      </c>
      <c r="B369" s="952" t="s">
        <v>56</v>
      </c>
      <c r="C369" s="953">
        <v>42677.0</v>
      </c>
      <c r="D369" s="954" t="s">
        <v>250</v>
      </c>
      <c r="E369" s="948" t="s">
        <v>63</v>
      </c>
      <c r="F369" s="954" t="s">
        <v>65</v>
      </c>
      <c r="G369" s="954" t="s">
        <v>65</v>
      </c>
      <c r="H369" s="954" t="s">
        <v>68</v>
      </c>
      <c r="I369" s="955">
        <v>0.9</v>
      </c>
      <c r="J369" s="948">
        <v>181.0</v>
      </c>
      <c r="K369" s="949">
        <v>0.00127601716686776</v>
      </c>
      <c r="L369" s="950" t="str">
        <f t="shared" si="1"/>
        <v>yes</v>
      </c>
      <c r="M369" s="736"/>
      <c r="N369" s="736"/>
      <c r="O369" s="736"/>
    </row>
    <row r="370">
      <c r="A370" s="951" t="s">
        <v>587</v>
      </c>
      <c r="B370" s="952" t="s">
        <v>56</v>
      </c>
      <c r="C370" s="953">
        <v>42677.0</v>
      </c>
      <c r="D370" s="954" t="s">
        <v>59</v>
      </c>
      <c r="E370" s="948" t="s">
        <v>63</v>
      </c>
      <c r="F370" s="954" t="s">
        <v>64</v>
      </c>
      <c r="G370" s="954" t="s">
        <v>64</v>
      </c>
      <c r="H370" s="954" t="s">
        <v>68</v>
      </c>
      <c r="I370" s="955">
        <v>0.6</v>
      </c>
      <c r="J370" s="948">
        <v>194.0</v>
      </c>
      <c r="K370" s="949">
        <v>0.014545071387436659</v>
      </c>
      <c r="L370" s="950" t="str">
        <f t="shared" si="1"/>
        <v/>
      </c>
      <c r="M370" s="736"/>
      <c r="N370" s="736"/>
      <c r="O370" s="736"/>
    </row>
    <row r="371">
      <c r="A371" s="951" t="s">
        <v>1731</v>
      </c>
      <c r="B371" s="952" t="s">
        <v>60</v>
      </c>
      <c r="C371" s="953">
        <v>42676.0</v>
      </c>
      <c r="D371" s="954" t="s">
        <v>90</v>
      </c>
      <c r="E371" s="948" t="s">
        <v>63</v>
      </c>
      <c r="F371" s="954" t="s">
        <v>65</v>
      </c>
      <c r="G371" s="954" t="s">
        <v>69</v>
      </c>
      <c r="H371" s="954" t="s">
        <v>66</v>
      </c>
      <c r="I371" s="955">
        <v>0.9</v>
      </c>
      <c r="J371" s="948">
        <v>185.0</v>
      </c>
      <c r="K371" s="949">
        <v>0.004352719035406238</v>
      </c>
      <c r="L371" s="950" t="str">
        <f t="shared" si="1"/>
        <v>yes</v>
      </c>
      <c r="M371" s="736"/>
      <c r="N371" s="736"/>
      <c r="O371" s="736"/>
    </row>
    <row r="372">
      <c r="A372" s="951" t="s">
        <v>1726</v>
      </c>
      <c r="B372" s="952" t="s">
        <v>60</v>
      </c>
      <c r="C372" s="953">
        <v>42676.0</v>
      </c>
      <c r="D372" s="954" t="s">
        <v>305</v>
      </c>
      <c r="E372" s="948" t="s">
        <v>63</v>
      </c>
      <c r="F372" s="954" t="s">
        <v>64</v>
      </c>
      <c r="G372" s="954" t="s">
        <v>64</v>
      </c>
      <c r="H372" s="954" t="s">
        <v>69</v>
      </c>
      <c r="I372" s="955">
        <v>0.8</v>
      </c>
      <c r="J372" s="948">
        <v>229.0</v>
      </c>
      <c r="K372" s="949">
        <v>0.009132599864072888</v>
      </c>
      <c r="L372" s="950" t="str">
        <f t="shared" si="1"/>
        <v/>
      </c>
      <c r="M372" s="736"/>
      <c r="N372" s="736"/>
      <c r="O372" s="736"/>
    </row>
    <row r="373">
      <c r="A373" s="951" t="s">
        <v>657</v>
      </c>
      <c r="B373" s="952" t="s">
        <v>638</v>
      </c>
      <c r="C373" s="953">
        <v>42676.0</v>
      </c>
      <c r="D373" s="954" t="s">
        <v>86</v>
      </c>
      <c r="E373" s="948" t="s">
        <v>63</v>
      </c>
      <c r="F373" s="954" t="s">
        <v>127</v>
      </c>
      <c r="G373" s="954" t="s">
        <v>64</v>
      </c>
      <c r="H373" s="954" t="s">
        <v>69</v>
      </c>
      <c r="I373" s="955">
        <v>0.9</v>
      </c>
      <c r="J373" s="948">
        <v>214.0</v>
      </c>
      <c r="K373" s="949">
        <v>0.016515296274241087</v>
      </c>
      <c r="L373" s="950" t="str">
        <f t="shared" si="1"/>
        <v>yes</v>
      </c>
      <c r="M373" s="736"/>
      <c r="N373" s="736"/>
      <c r="O373" s="736"/>
    </row>
    <row r="374">
      <c r="A374" s="951" t="s">
        <v>203</v>
      </c>
      <c r="B374" s="952" t="s">
        <v>55</v>
      </c>
      <c r="C374" s="953">
        <v>42674.0</v>
      </c>
      <c r="D374" s="954" t="s">
        <v>86</v>
      </c>
      <c r="E374" s="948" t="s">
        <v>63</v>
      </c>
      <c r="F374" s="954" t="s">
        <v>64</v>
      </c>
      <c r="G374" s="954" t="s">
        <v>69</v>
      </c>
      <c r="H374" s="954" t="s">
        <v>68</v>
      </c>
      <c r="I374" s="955">
        <v>0.9</v>
      </c>
      <c r="J374" s="948">
        <v>214.0</v>
      </c>
      <c r="K374" s="949">
        <v>0.028160518670578116</v>
      </c>
      <c r="L374" s="950" t="str">
        <f t="shared" si="1"/>
        <v>yes</v>
      </c>
      <c r="M374" s="736"/>
      <c r="N374" s="736"/>
      <c r="O374" s="736"/>
    </row>
    <row r="375">
      <c r="A375" s="951" t="s">
        <v>1814</v>
      </c>
      <c r="B375" s="952" t="s">
        <v>60</v>
      </c>
      <c r="C375" s="953">
        <v>42673.0</v>
      </c>
      <c r="D375" s="954" t="s">
        <v>305</v>
      </c>
      <c r="E375" s="948" t="s">
        <v>63</v>
      </c>
      <c r="F375" s="954" t="s">
        <v>65</v>
      </c>
      <c r="G375" s="954" t="s">
        <v>69</v>
      </c>
      <c r="H375" s="954" t="s">
        <v>66</v>
      </c>
      <c r="I375" s="955">
        <v>0.8</v>
      </c>
      <c r="J375" s="948">
        <v>195.0</v>
      </c>
      <c r="K375" s="949">
        <v>0.03888810757123118</v>
      </c>
      <c r="L375" s="950" t="str">
        <f t="shared" si="1"/>
        <v>yes</v>
      </c>
      <c r="M375" s="736"/>
      <c r="N375" s="736"/>
      <c r="O375" s="736"/>
    </row>
    <row r="376">
      <c r="A376" s="951" t="s">
        <v>1795</v>
      </c>
      <c r="B376" s="952" t="s">
        <v>60</v>
      </c>
      <c r="C376" s="953">
        <v>42672.0</v>
      </c>
      <c r="D376" s="954" t="s">
        <v>59</v>
      </c>
      <c r="E376" s="948" t="s">
        <v>63</v>
      </c>
      <c r="F376" s="954"/>
      <c r="G376" s="954"/>
      <c r="H376" s="954"/>
      <c r="I376" s="955"/>
      <c r="J376" s="948">
        <v>218.0</v>
      </c>
      <c r="K376" s="949">
        <v>0.028413153619782472</v>
      </c>
      <c r="L376" s="950" t="str">
        <f t="shared" si="1"/>
        <v/>
      </c>
      <c r="M376" s="736"/>
      <c r="N376" s="736"/>
      <c r="O376" s="736"/>
    </row>
    <row r="377">
      <c r="A377" s="951" t="s">
        <v>761</v>
      </c>
      <c r="B377" s="952" t="s">
        <v>60</v>
      </c>
      <c r="C377" s="953">
        <v>42672.0</v>
      </c>
      <c r="D377" s="954" t="s">
        <v>90</v>
      </c>
      <c r="E377" s="948" t="s">
        <v>63</v>
      </c>
      <c r="F377" s="954" t="s">
        <v>65</v>
      </c>
      <c r="G377" s="954" t="s">
        <v>64</v>
      </c>
      <c r="H377" s="954" t="s">
        <v>66</v>
      </c>
      <c r="I377" s="955">
        <v>0.7</v>
      </c>
      <c r="J377" s="948">
        <v>229.0</v>
      </c>
      <c r="K377" s="949">
        <v>-0.024111877967478046</v>
      </c>
      <c r="L377" s="950" t="str">
        <f t="shared" si="1"/>
        <v/>
      </c>
      <c r="M377" s="736"/>
      <c r="N377" s="736"/>
      <c r="O377" s="736"/>
    </row>
    <row r="378">
      <c r="A378" s="951" t="s">
        <v>1814</v>
      </c>
      <c r="B378" s="952" t="s">
        <v>60</v>
      </c>
      <c r="C378" s="953">
        <v>42671.0</v>
      </c>
      <c r="D378" s="954" t="s">
        <v>59</v>
      </c>
      <c r="E378" s="948" t="s">
        <v>63</v>
      </c>
      <c r="F378" s="954" t="s">
        <v>66</v>
      </c>
      <c r="G378" s="954" t="s">
        <v>69</v>
      </c>
      <c r="H378" s="954" t="s">
        <v>68</v>
      </c>
      <c r="I378" s="955">
        <v>0.8</v>
      </c>
      <c r="J378" s="948">
        <v>213.0</v>
      </c>
      <c r="K378" s="949">
        <v>-7.601524668934267E-4</v>
      </c>
      <c r="L378" s="950" t="str">
        <f t="shared" si="1"/>
        <v/>
      </c>
      <c r="M378" s="736"/>
      <c r="N378" s="736"/>
      <c r="O378" s="736"/>
    </row>
    <row r="379">
      <c r="A379" s="951" t="s">
        <v>1741</v>
      </c>
      <c r="B379" s="952" t="s">
        <v>60</v>
      </c>
      <c r="C379" s="953">
        <v>42670.0</v>
      </c>
      <c r="D379" s="954" t="s">
        <v>86</v>
      </c>
      <c r="E379" s="948" t="s">
        <v>63</v>
      </c>
      <c r="F379" s="954" t="s">
        <v>65</v>
      </c>
      <c r="G379" s="954" t="s">
        <v>64</v>
      </c>
      <c r="H379" s="954" t="s">
        <v>66</v>
      </c>
      <c r="I379" s="955">
        <v>0.8</v>
      </c>
      <c r="J379" s="948">
        <v>206.0</v>
      </c>
      <c r="K379" s="949">
        <v>0.026241503683795075</v>
      </c>
      <c r="L379" s="950" t="str">
        <f t="shared" si="1"/>
        <v/>
      </c>
      <c r="M379" s="736"/>
      <c r="N379" s="736"/>
      <c r="O379" s="736"/>
    </row>
    <row r="380">
      <c r="A380" s="951" t="s">
        <v>221</v>
      </c>
      <c r="B380" s="952" t="s">
        <v>56</v>
      </c>
      <c r="C380" s="953">
        <v>42670.0</v>
      </c>
      <c r="D380" s="954" t="s">
        <v>86</v>
      </c>
      <c r="E380" s="948" t="s">
        <v>63</v>
      </c>
      <c r="F380" s="954" t="s">
        <v>65</v>
      </c>
      <c r="G380" s="954" t="s">
        <v>65</v>
      </c>
      <c r="H380" s="954" t="s">
        <v>68</v>
      </c>
      <c r="I380" s="955">
        <v>0.9</v>
      </c>
      <c r="J380" s="948">
        <v>198.0</v>
      </c>
      <c r="K380" s="949">
        <v>0.02337277791528858</v>
      </c>
      <c r="L380" s="950" t="str">
        <f t="shared" si="1"/>
        <v>yes</v>
      </c>
      <c r="M380" s="736"/>
      <c r="N380" s="736"/>
      <c r="O380" s="736"/>
    </row>
    <row r="381">
      <c r="A381" s="951" t="s">
        <v>1762</v>
      </c>
      <c r="B381" s="952" t="s">
        <v>60</v>
      </c>
      <c r="C381" s="953">
        <v>42668.0</v>
      </c>
      <c r="D381" s="954" t="s">
        <v>59</v>
      </c>
      <c r="E381" s="948" t="s">
        <v>63</v>
      </c>
      <c r="F381" s="954" t="s">
        <v>64</v>
      </c>
      <c r="G381" s="954" t="s">
        <v>69</v>
      </c>
      <c r="H381" s="954" t="s">
        <v>68</v>
      </c>
      <c r="I381" s="955">
        <v>0.6</v>
      </c>
      <c r="J381" s="948">
        <v>220.0</v>
      </c>
      <c r="K381" s="949">
        <v>0.005004879945400997</v>
      </c>
      <c r="L381" s="950" t="str">
        <f t="shared" si="1"/>
        <v/>
      </c>
      <c r="M381" s="736"/>
      <c r="N381" s="736"/>
      <c r="O381" s="736"/>
    </row>
    <row r="382">
      <c r="A382" s="951" t="s">
        <v>1741</v>
      </c>
      <c r="B382" s="952" t="s">
        <v>60</v>
      </c>
      <c r="C382" s="953">
        <v>42668.0</v>
      </c>
      <c r="D382" s="954" t="s">
        <v>86</v>
      </c>
      <c r="E382" s="948" t="s">
        <v>63</v>
      </c>
      <c r="F382" s="954" t="s">
        <v>65</v>
      </c>
      <c r="G382" s="954" t="s">
        <v>64</v>
      </c>
      <c r="H382" s="954" t="s">
        <v>66</v>
      </c>
      <c r="I382" s="955">
        <v>0.8</v>
      </c>
      <c r="J382" s="948">
        <v>206.0</v>
      </c>
      <c r="K382" s="949">
        <v>0.025906484166977828</v>
      </c>
      <c r="L382" s="950" t="str">
        <f t="shared" si="1"/>
        <v/>
      </c>
      <c r="M382" s="736"/>
      <c r="N382" s="736"/>
      <c r="O382" s="736"/>
    </row>
    <row r="383">
      <c r="A383" s="951" t="s">
        <v>428</v>
      </c>
      <c r="B383" s="952" t="s">
        <v>56</v>
      </c>
      <c r="C383" s="953">
        <v>42668.0</v>
      </c>
      <c r="D383" s="954" t="s">
        <v>86</v>
      </c>
      <c r="E383" s="948" t="s">
        <v>63</v>
      </c>
      <c r="F383" s="954" t="s">
        <v>64</v>
      </c>
      <c r="G383" s="954" t="s">
        <v>69</v>
      </c>
      <c r="H383" s="954" t="s">
        <v>66</v>
      </c>
      <c r="I383" s="955">
        <v>0.9</v>
      </c>
      <c r="J383" s="948">
        <v>201.0</v>
      </c>
      <c r="K383" s="949">
        <v>0.028893741469792067</v>
      </c>
      <c r="L383" s="950" t="str">
        <f t="shared" si="1"/>
        <v>yes</v>
      </c>
      <c r="M383" s="736"/>
      <c r="N383" s="736"/>
      <c r="O383" s="736"/>
    </row>
    <row r="384">
      <c r="A384" s="951" t="s">
        <v>1447</v>
      </c>
      <c r="B384" s="952" t="s">
        <v>60</v>
      </c>
      <c r="C384" s="953">
        <v>42667.0</v>
      </c>
      <c r="D384" s="954" t="s">
        <v>59</v>
      </c>
      <c r="E384" s="948" t="s">
        <v>63</v>
      </c>
      <c r="F384" s="954" t="s">
        <v>64</v>
      </c>
      <c r="G384" s="954" t="s">
        <v>69</v>
      </c>
      <c r="H384" s="954" t="s">
        <v>68</v>
      </c>
      <c r="I384" s="955">
        <v>0.9</v>
      </c>
      <c r="J384" s="948">
        <v>222.0</v>
      </c>
      <c r="K384" s="949">
        <v>0.0029344921218981135</v>
      </c>
      <c r="L384" s="950" t="str">
        <f t="shared" si="1"/>
        <v/>
      </c>
      <c r="M384" s="736"/>
      <c r="N384" s="736"/>
      <c r="O384" s="736"/>
    </row>
    <row r="385">
      <c r="A385" s="951" t="s">
        <v>1784</v>
      </c>
      <c r="B385" s="952" t="s">
        <v>60</v>
      </c>
      <c r="C385" s="953">
        <v>42666.0</v>
      </c>
      <c r="D385" s="954" t="s">
        <v>59</v>
      </c>
      <c r="E385" s="948" t="s">
        <v>63</v>
      </c>
      <c r="F385" s="954"/>
      <c r="G385" s="954"/>
      <c r="H385" s="954"/>
      <c r="I385" s="955"/>
      <c r="J385" s="948">
        <v>220.0</v>
      </c>
      <c r="K385" s="949">
        <v>0.009889075457548802</v>
      </c>
      <c r="L385" s="950" t="str">
        <f t="shared" si="1"/>
        <v/>
      </c>
      <c r="M385" s="736"/>
      <c r="N385" s="736"/>
      <c r="O385" s="736"/>
    </row>
    <row r="386">
      <c r="A386" s="951" t="s">
        <v>300</v>
      </c>
      <c r="B386" s="952" t="s">
        <v>60</v>
      </c>
      <c r="C386" s="953">
        <v>42666.0</v>
      </c>
      <c r="D386" s="954" t="s">
        <v>59</v>
      </c>
      <c r="E386" s="948" t="s">
        <v>195</v>
      </c>
      <c r="F386" s="954" t="s">
        <v>69</v>
      </c>
      <c r="G386" s="954" t="s">
        <v>69</v>
      </c>
      <c r="H386" s="954" t="s">
        <v>69</v>
      </c>
      <c r="I386" s="955">
        <v>0.9</v>
      </c>
      <c r="J386" s="948">
        <v>226.0</v>
      </c>
      <c r="K386" s="949">
        <v>-0.002709333533139957</v>
      </c>
      <c r="L386" s="950" t="str">
        <f t="shared" si="1"/>
        <v/>
      </c>
      <c r="M386" s="736"/>
      <c r="N386" s="736"/>
      <c r="O386" s="736"/>
    </row>
    <row r="387">
      <c r="A387" s="951" t="s">
        <v>1776</v>
      </c>
      <c r="B387" s="952" t="s">
        <v>60</v>
      </c>
      <c r="C387" s="953">
        <v>42666.0</v>
      </c>
      <c r="D387" s="954" t="s">
        <v>86</v>
      </c>
      <c r="E387" s="948" t="s">
        <v>63</v>
      </c>
      <c r="F387" s="954" t="s">
        <v>65</v>
      </c>
      <c r="G387" s="954" t="s">
        <v>69</v>
      </c>
      <c r="H387" s="954" t="s">
        <v>66</v>
      </c>
      <c r="I387" s="955">
        <v>0.8</v>
      </c>
      <c r="J387" s="948">
        <v>215.0</v>
      </c>
      <c r="K387" s="949">
        <v>-0.02467318204429869</v>
      </c>
      <c r="L387" s="950" t="str">
        <f t="shared" si="1"/>
        <v>yes</v>
      </c>
      <c r="M387" s="736"/>
      <c r="N387" s="736"/>
      <c r="O387" s="736"/>
    </row>
    <row r="388">
      <c r="A388" s="951" t="s">
        <v>1799</v>
      </c>
      <c r="B388" s="952" t="s">
        <v>60</v>
      </c>
      <c r="C388" s="953">
        <v>42663.0</v>
      </c>
      <c r="D388" s="954" t="s">
        <v>950</v>
      </c>
      <c r="E388" s="948" t="s">
        <v>63</v>
      </c>
      <c r="F388" s="954" t="s">
        <v>80</v>
      </c>
      <c r="G388" s="954" t="s">
        <v>69</v>
      </c>
      <c r="H388" s="954" t="s">
        <v>69</v>
      </c>
      <c r="I388" s="955">
        <v>0.9</v>
      </c>
      <c r="J388" s="948">
        <v>261.0</v>
      </c>
      <c r="K388" s="949">
        <v>0.0020599313274539677</v>
      </c>
      <c r="L388" s="950" t="str">
        <f t="shared" si="1"/>
        <v>yes</v>
      </c>
      <c r="M388" s="736"/>
      <c r="N388" s="736"/>
      <c r="O388" s="736"/>
    </row>
    <row r="389">
      <c r="A389" s="951" t="s">
        <v>1717</v>
      </c>
      <c r="B389" s="952" t="s">
        <v>60</v>
      </c>
      <c r="C389" s="953">
        <v>42663.0</v>
      </c>
      <c r="D389" s="954" t="s">
        <v>59</v>
      </c>
      <c r="E389" s="948" t="s">
        <v>63</v>
      </c>
      <c r="F389" s="954" t="s">
        <v>65</v>
      </c>
      <c r="G389" s="954" t="s">
        <v>69</v>
      </c>
      <c r="H389" s="954" t="s">
        <v>66</v>
      </c>
      <c r="I389" s="955">
        <v>0.9</v>
      </c>
      <c r="J389" s="948">
        <v>215.0</v>
      </c>
      <c r="K389" s="949">
        <v>0.036405921524449325</v>
      </c>
      <c r="L389" s="950" t="str">
        <f t="shared" si="1"/>
        <v>yes</v>
      </c>
      <c r="M389" s="736"/>
      <c r="N389" s="736"/>
      <c r="O389" s="736"/>
    </row>
    <row r="390">
      <c r="A390" s="951" t="s">
        <v>565</v>
      </c>
      <c r="B390" s="952" t="s">
        <v>56</v>
      </c>
      <c r="C390" s="953">
        <v>42663.0</v>
      </c>
      <c r="D390" s="954" t="s">
        <v>86</v>
      </c>
      <c r="E390" s="948" t="s">
        <v>63</v>
      </c>
      <c r="F390" s="954" t="s">
        <v>65</v>
      </c>
      <c r="G390" s="954" t="s">
        <v>69</v>
      </c>
      <c r="H390" s="954" t="s">
        <v>68</v>
      </c>
      <c r="I390" s="955">
        <v>0.5</v>
      </c>
      <c r="J390" s="948">
        <v>186.0</v>
      </c>
      <c r="K390" s="949">
        <v>0.045378318445281396</v>
      </c>
      <c r="L390" s="950" t="str">
        <f t="shared" si="1"/>
        <v>yes</v>
      </c>
      <c r="M390" s="736"/>
      <c r="N390" s="736"/>
      <c r="O390" s="736"/>
    </row>
    <row r="391">
      <c r="A391" s="951" t="s">
        <v>569</v>
      </c>
      <c r="B391" s="952" t="s">
        <v>56</v>
      </c>
      <c r="C391" s="953">
        <v>42663.0</v>
      </c>
      <c r="D391" s="954" t="s">
        <v>109</v>
      </c>
      <c r="E391" s="948" t="s">
        <v>63</v>
      </c>
      <c r="F391" s="954" t="s">
        <v>69</v>
      </c>
      <c r="G391" s="954" t="s">
        <v>67</v>
      </c>
      <c r="H391" s="954" t="s">
        <v>68</v>
      </c>
      <c r="I391" s="955">
        <v>0.9</v>
      </c>
      <c r="J391" s="948">
        <v>176.0</v>
      </c>
      <c r="K391" s="949">
        <v>0.0236397806996963</v>
      </c>
      <c r="L391" s="950" t="str">
        <f t="shared" si="1"/>
        <v>yes</v>
      </c>
      <c r="M391" s="736"/>
      <c r="N391" s="736"/>
      <c r="O391" s="736"/>
    </row>
    <row r="392">
      <c r="A392" s="951" t="s">
        <v>1741</v>
      </c>
      <c r="B392" s="952" t="s">
        <v>60</v>
      </c>
      <c r="C392" s="953">
        <v>42661.0</v>
      </c>
      <c r="D392" s="954" t="s">
        <v>86</v>
      </c>
      <c r="E392" s="948" t="s">
        <v>63</v>
      </c>
      <c r="F392" s="954" t="s">
        <v>65</v>
      </c>
      <c r="G392" s="954" t="s">
        <v>64</v>
      </c>
      <c r="H392" s="954" t="s">
        <v>66</v>
      </c>
      <c r="I392" s="955">
        <v>0.8</v>
      </c>
      <c r="J392" s="948">
        <v>206.0</v>
      </c>
      <c r="K392" s="949">
        <v>0.030455115212414396</v>
      </c>
      <c r="L392" s="950" t="str">
        <f t="shared" si="1"/>
        <v/>
      </c>
      <c r="M392" s="736"/>
      <c r="N392" s="736"/>
      <c r="O392" s="736"/>
    </row>
    <row r="393">
      <c r="A393" s="951" t="s">
        <v>1883</v>
      </c>
      <c r="B393" s="952" t="s">
        <v>60</v>
      </c>
      <c r="C393" s="953">
        <v>42659.0</v>
      </c>
      <c r="D393" s="954" t="s">
        <v>305</v>
      </c>
      <c r="E393" s="948" t="s">
        <v>63</v>
      </c>
      <c r="F393" s="954" t="s">
        <v>64</v>
      </c>
      <c r="G393" s="954" t="s">
        <v>69</v>
      </c>
      <c r="H393" s="954" t="s">
        <v>68</v>
      </c>
      <c r="I393" s="955">
        <v>0.8</v>
      </c>
      <c r="J393" s="948">
        <v>214.0</v>
      </c>
      <c r="K393" s="949">
        <v>0.013013782558955134</v>
      </c>
      <c r="L393" s="950" t="str">
        <f t="shared" si="1"/>
        <v/>
      </c>
      <c r="M393" s="736"/>
      <c r="N393" s="736"/>
      <c r="O393" s="736"/>
    </row>
    <row r="394">
      <c r="A394" s="951" t="s">
        <v>138</v>
      </c>
      <c r="B394" s="952" t="s">
        <v>55</v>
      </c>
      <c r="C394" s="953">
        <v>42659.0</v>
      </c>
      <c r="D394" s="954" t="s">
        <v>86</v>
      </c>
      <c r="E394" s="948" t="s">
        <v>63</v>
      </c>
      <c r="F394" s="954" t="s">
        <v>64</v>
      </c>
      <c r="G394" s="954" t="s">
        <v>64</v>
      </c>
      <c r="H394" s="954" t="s">
        <v>68</v>
      </c>
      <c r="I394" s="955">
        <v>0.9</v>
      </c>
      <c r="J394" s="948">
        <v>212.0</v>
      </c>
      <c r="K394" s="949">
        <v>0.023506366227031283</v>
      </c>
      <c r="L394" s="950" t="str">
        <f t="shared" si="1"/>
        <v/>
      </c>
      <c r="M394" s="736"/>
      <c r="N394" s="736"/>
      <c r="O394" s="736"/>
    </row>
    <row r="395">
      <c r="A395" s="951" t="s">
        <v>1883</v>
      </c>
      <c r="B395" s="952" t="s">
        <v>60</v>
      </c>
      <c r="C395" s="953">
        <v>42658.0</v>
      </c>
      <c r="D395" s="954" t="s">
        <v>305</v>
      </c>
      <c r="E395" s="948" t="s">
        <v>63</v>
      </c>
      <c r="F395" s="954" t="s">
        <v>64</v>
      </c>
      <c r="G395" s="954" t="s">
        <v>69</v>
      </c>
      <c r="H395" s="954" t="s">
        <v>68</v>
      </c>
      <c r="I395" s="955">
        <v>0.8</v>
      </c>
      <c r="J395" s="948">
        <v>214.0</v>
      </c>
      <c r="K395" s="949">
        <v>8.549760901646053E-4</v>
      </c>
      <c r="L395" s="950" t="str">
        <f t="shared" si="1"/>
        <v/>
      </c>
      <c r="M395" s="736"/>
      <c r="N395" s="736"/>
      <c r="O395" s="736"/>
    </row>
    <row r="396">
      <c r="A396" s="951" t="s">
        <v>1615</v>
      </c>
      <c r="B396" s="952" t="s">
        <v>60</v>
      </c>
      <c r="C396" s="953">
        <v>42658.0</v>
      </c>
      <c r="D396" s="954" t="s">
        <v>629</v>
      </c>
      <c r="E396" s="948" t="s">
        <v>63</v>
      </c>
      <c r="F396" s="954"/>
      <c r="G396" s="954"/>
      <c r="H396" s="954"/>
      <c r="I396" s="955">
        <v>0.9</v>
      </c>
      <c r="J396" s="948">
        <v>187.0</v>
      </c>
      <c r="K396" s="949">
        <v>0.005507264510704379</v>
      </c>
      <c r="L396" s="950" t="str">
        <f t="shared" si="1"/>
        <v/>
      </c>
      <c r="M396" s="736"/>
      <c r="N396" s="736"/>
      <c r="O396" s="736"/>
    </row>
    <row r="397">
      <c r="A397" s="951" t="s">
        <v>1628</v>
      </c>
      <c r="B397" s="952" t="s">
        <v>60</v>
      </c>
      <c r="C397" s="953">
        <v>42656.0</v>
      </c>
      <c r="D397" s="954" t="s">
        <v>305</v>
      </c>
      <c r="E397" s="948" t="s">
        <v>63</v>
      </c>
      <c r="F397" s="954" t="s">
        <v>65</v>
      </c>
      <c r="G397" s="954" t="s">
        <v>69</v>
      </c>
      <c r="H397" s="954" t="s">
        <v>68</v>
      </c>
      <c r="I397" s="955"/>
      <c r="J397" s="948">
        <v>213.0</v>
      </c>
      <c r="K397" s="949">
        <v>-0.001564912465754409</v>
      </c>
      <c r="L397" s="950" t="str">
        <f t="shared" si="1"/>
        <v/>
      </c>
      <c r="M397" s="736"/>
      <c r="N397" s="736"/>
      <c r="O397" s="736"/>
    </row>
    <row r="398">
      <c r="A398" s="951" t="s">
        <v>1741</v>
      </c>
      <c r="B398" s="952" t="s">
        <v>60</v>
      </c>
      <c r="C398" s="953">
        <v>42655.0</v>
      </c>
      <c r="D398" s="954" t="s">
        <v>86</v>
      </c>
      <c r="E398" s="948" t="s">
        <v>63</v>
      </c>
      <c r="F398" s="954" t="s">
        <v>65</v>
      </c>
      <c r="G398" s="954" t="s">
        <v>64</v>
      </c>
      <c r="H398" s="954" t="s">
        <v>66</v>
      </c>
      <c r="I398" s="955">
        <v>0.8</v>
      </c>
      <c r="J398" s="948">
        <v>206.0</v>
      </c>
      <c r="K398" s="949">
        <v>0.023248350809130902</v>
      </c>
      <c r="L398" s="950" t="str">
        <f t="shared" si="1"/>
        <v/>
      </c>
      <c r="M398" s="736"/>
      <c r="N398" s="736"/>
      <c r="O398" s="736"/>
    </row>
    <row r="399">
      <c r="A399" s="951" t="s">
        <v>194</v>
      </c>
      <c r="B399" s="952" t="s">
        <v>55</v>
      </c>
      <c r="C399" s="953">
        <v>42655.0</v>
      </c>
      <c r="D399" s="954" t="s">
        <v>109</v>
      </c>
      <c r="E399" s="948" t="s">
        <v>63</v>
      </c>
      <c r="F399" s="954" t="s">
        <v>69</v>
      </c>
      <c r="G399" s="954" t="s">
        <v>64</v>
      </c>
      <c r="H399" s="954" t="s">
        <v>68</v>
      </c>
      <c r="I399" s="955">
        <v>0.8</v>
      </c>
      <c r="J399" s="948">
        <v>190.0</v>
      </c>
      <c r="K399" s="949">
        <v>-0.04648946101398732</v>
      </c>
      <c r="L399" s="950" t="str">
        <f t="shared" si="1"/>
        <v/>
      </c>
      <c r="M399" s="736"/>
      <c r="N399" s="736"/>
      <c r="O399" s="736"/>
    </row>
    <row r="400">
      <c r="A400" s="951" t="s">
        <v>556</v>
      </c>
      <c r="B400" s="952" t="s">
        <v>56</v>
      </c>
      <c r="C400" s="953">
        <v>42655.0</v>
      </c>
      <c r="D400" s="954" t="s">
        <v>109</v>
      </c>
      <c r="E400" s="948" t="s">
        <v>63</v>
      </c>
      <c r="F400" s="954" t="s">
        <v>69</v>
      </c>
      <c r="G400" s="954" t="s">
        <v>65</v>
      </c>
      <c r="H400" s="954" t="s">
        <v>69</v>
      </c>
      <c r="I400" s="955">
        <v>0.9</v>
      </c>
      <c r="J400" s="948">
        <v>199.0</v>
      </c>
      <c r="K400" s="949">
        <v>-0.05750794595574138</v>
      </c>
      <c r="L400" s="950" t="str">
        <f t="shared" si="1"/>
        <v>yes</v>
      </c>
      <c r="M400" s="736"/>
      <c r="N400" s="736"/>
      <c r="O400" s="736"/>
    </row>
    <row r="401">
      <c r="A401" s="951" t="s">
        <v>623</v>
      </c>
      <c r="B401" s="952" t="s">
        <v>60</v>
      </c>
      <c r="C401" s="953">
        <v>42654.0</v>
      </c>
      <c r="D401" s="954" t="s">
        <v>59</v>
      </c>
      <c r="E401" s="948" t="s">
        <v>63</v>
      </c>
      <c r="F401" s="954" t="s">
        <v>65</v>
      </c>
      <c r="G401" s="954" t="s">
        <v>69</v>
      </c>
      <c r="H401" s="954" t="s">
        <v>69</v>
      </c>
      <c r="I401" s="955">
        <v>0.9</v>
      </c>
      <c r="J401" s="948">
        <v>182.0</v>
      </c>
      <c r="K401" s="949">
        <v>0.01339838751898137</v>
      </c>
      <c r="L401" s="950" t="str">
        <f t="shared" si="1"/>
        <v/>
      </c>
      <c r="M401" s="736"/>
      <c r="N401" s="736"/>
      <c r="O401" s="736"/>
    </row>
    <row r="402">
      <c r="A402" s="951" t="s">
        <v>1741</v>
      </c>
      <c r="B402" s="952" t="s">
        <v>60</v>
      </c>
      <c r="C402" s="953">
        <v>42654.0</v>
      </c>
      <c r="D402" s="954" t="s">
        <v>86</v>
      </c>
      <c r="E402" s="948" t="s">
        <v>63</v>
      </c>
      <c r="F402" s="954" t="s">
        <v>65</v>
      </c>
      <c r="G402" s="954" t="s">
        <v>64</v>
      </c>
      <c r="H402" s="954" t="s">
        <v>66</v>
      </c>
      <c r="I402" s="955">
        <v>0.8</v>
      </c>
      <c r="J402" s="948">
        <v>206.0</v>
      </c>
      <c r="K402" s="949">
        <v>0.02779029441661829</v>
      </c>
      <c r="L402" s="950" t="str">
        <f t="shared" si="1"/>
        <v/>
      </c>
      <c r="M402" s="736"/>
      <c r="N402" s="736"/>
      <c r="O402" s="736"/>
    </row>
    <row r="403">
      <c r="A403" s="951" t="s">
        <v>519</v>
      </c>
      <c r="B403" s="952" t="s">
        <v>56</v>
      </c>
      <c r="C403" s="953">
        <v>42654.0</v>
      </c>
      <c r="D403" s="954" t="s">
        <v>305</v>
      </c>
      <c r="E403" s="948" t="s">
        <v>63</v>
      </c>
      <c r="F403" s="954" t="s">
        <v>69</v>
      </c>
      <c r="G403" s="954" t="s">
        <v>66</v>
      </c>
      <c r="H403" s="954" t="s">
        <v>68</v>
      </c>
      <c r="I403" s="955">
        <v>0.8</v>
      </c>
      <c r="J403" s="948">
        <v>168.0</v>
      </c>
      <c r="K403" s="949">
        <v>0.029127564467652634</v>
      </c>
      <c r="L403" s="950" t="str">
        <f t="shared" si="1"/>
        <v/>
      </c>
      <c r="M403" s="736"/>
      <c r="N403" s="736"/>
      <c r="O403" s="736"/>
    </row>
    <row r="404">
      <c r="A404" s="951" t="s">
        <v>1741</v>
      </c>
      <c r="B404" s="952" t="s">
        <v>60</v>
      </c>
      <c r="C404" s="953">
        <v>42653.0</v>
      </c>
      <c r="D404" s="954" t="s">
        <v>86</v>
      </c>
      <c r="E404" s="948" t="s">
        <v>63</v>
      </c>
      <c r="F404" s="954" t="s">
        <v>65</v>
      </c>
      <c r="G404" s="954" t="s">
        <v>64</v>
      </c>
      <c r="H404" s="954" t="s">
        <v>66</v>
      </c>
      <c r="I404" s="955">
        <v>0.8</v>
      </c>
      <c r="J404" s="948">
        <v>206.0</v>
      </c>
      <c r="K404" s="949">
        <v>0.02523909764129917</v>
      </c>
      <c r="L404" s="950" t="str">
        <f t="shared" si="1"/>
        <v/>
      </c>
      <c r="M404" s="736"/>
      <c r="N404" s="736"/>
      <c r="O404" s="736"/>
    </row>
    <row r="405">
      <c r="A405" s="951" t="s">
        <v>1615</v>
      </c>
      <c r="B405" s="952" t="s">
        <v>60</v>
      </c>
      <c r="C405" s="953">
        <v>42651.0</v>
      </c>
      <c r="D405" s="954" t="s">
        <v>629</v>
      </c>
      <c r="E405" s="948" t="s">
        <v>63</v>
      </c>
      <c r="F405" s="954"/>
      <c r="G405" s="954"/>
      <c r="H405" s="954"/>
      <c r="I405" s="955">
        <v>0.9</v>
      </c>
      <c r="J405" s="948">
        <v>188.0</v>
      </c>
      <c r="K405" s="949">
        <v>0.0021104170280189516</v>
      </c>
      <c r="L405" s="950" t="str">
        <f t="shared" si="1"/>
        <v/>
      </c>
      <c r="M405" s="736"/>
      <c r="N405" s="736"/>
      <c r="O405" s="736"/>
    </row>
    <row r="406">
      <c r="A406" s="951" t="s">
        <v>1726</v>
      </c>
      <c r="B406" s="952" t="s">
        <v>60</v>
      </c>
      <c r="C406" s="953">
        <v>42650.0</v>
      </c>
      <c r="D406" s="954" t="s">
        <v>305</v>
      </c>
      <c r="E406" s="948" t="s">
        <v>63</v>
      </c>
      <c r="F406" s="954" t="s">
        <v>69</v>
      </c>
      <c r="G406" s="954" t="s">
        <v>69</v>
      </c>
      <c r="H406" s="954" t="s">
        <v>69</v>
      </c>
      <c r="I406" s="955">
        <v>0.8</v>
      </c>
      <c r="J406" s="948">
        <v>234.0</v>
      </c>
      <c r="K406" s="949">
        <v>-0.0012904076085920035</v>
      </c>
      <c r="L406" s="950" t="str">
        <f t="shared" si="1"/>
        <v/>
      </c>
      <c r="M406" s="736"/>
      <c r="N406" s="736"/>
      <c r="O406" s="736"/>
    </row>
    <row r="407">
      <c r="A407" s="951" t="s">
        <v>1637</v>
      </c>
      <c r="B407" s="952" t="s">
        <v>60</v>
      </c>
      <c r="C407" s="953">
        <v>42650.0</v>
      </c>
      <c r="D407" s="954" t="s">
        <v>118</v>
      </c>
      <c r="E407" s="948" t="s">
        <v>63</v>
      </c>
      <c r="F407" s="954" t="s">
        <v>127</v>
      </c>
      <c r="G407" s="954" t="s">
        <v>64</v>
      </c>
      <c r="H407" s="954" t="s">
        <v>65</v>
      </c>
      <c r="I407" s="955">
        <v>0.8</v>
      </c>
      <c r="J407" s="948">
        <v>203.0</v>
      </c>
      <c r="K407" s="949">
        <v>0.02014292310468191</v>
      </c>
      <c r="L407" s="950" t="str">
        <f t="shared" si="1"/>
        <v/>
      </c>
      <c r="M407" s="736"/>
      <c r="N407" s="736"/>
      <c r="O407" s="736"/>
    </row>
    <row r="408">
      <c r="A408" s="951" t="s">
        <v>1873</v>
      </c>
      <c r="B408" s="952" t="s">
        <v>60</v>
      </c>
      <c r="C408" s="953">
        <v>42649.0</v>
      </c>
      <c r="D408" s="954" t="s">
        <v>109</v>
      </c>
      <c r="E408" s="948" t="s">
        <v>63</v>
      </c>
      <c r="F408" s="954" t="s">
        <v>69</v>
      </c>
      <c r="G408" s="954" t="s">
        <v>69</v>
      </c>
      <c r="H408" s="954" t="s">
        <v>68</v>
      </c>
      <c r="I408" s="955">
        <v>0.9</v>
      </c>
      <c r="J408" s="948">
        <v>195.0</v>
      </c>
      <c r="K408" s="949">
        <v>-0.03047483736883716</v>
      </c>
      <c r="L408" s="950" t="str">
        <f t="shared" si="1"/>
        <v/>
      </c>
      <c r="M408" s="736"/>
      <c r="N408" s="736"/>
      <c r="O408" s="736"/>
    </row>
    <row r="409">
      <c r="A409" s="951" t="s">
        <v>161</v>
      </c>
      <c r="B409" s="952" t="s">
        <v>56</v>
      </c>
      <c r="C409" s="953">
        <v>42649.0</v>
      </c>
      <c r="D409" s="954" t="s">
        <v>59</v>
      </c>
      <c r="E409" s="948" t="s">
        <v>63</v>
      </c>
      <c r="F409" s="954" t="s">
        <v>64</v>
      </c>
      <c r="G409" s="954" t="s">
        <v>69</v>
      </c>
      <c r="H409" s="954" t="s">
        <v>69</v>
      </c>
      <c r="I409" s="955">
        <v>0.9</v>
      </c>
      <c r="J409" s="948">
        <v>185.0</v>
      </c>
      <c r="K409" s="949">
        <v>-0.011590930193205895</v>
      </c>
      <c r="L409" s="950" t="str">
        <f t="shared" si="1"/>
        <v/>
      </c>
      <c r="M409" s="736"/>
      <c r="N409" s="736"/>
      <c r="O409" s="736"/>
    </row>
    <row r="410">
      <c r="A410" s="951" t="s">
        <v>1703</v>
      </c>
      <c r="B410" s="952" t="s">
        <v>60</v>
      </c>
      <c r="C410" s="953">
        <v>42648.0</v>
      </c>
      <c r="D410" s="954" t="s">
        <v>118</v>
      </c>
      <c r="E410" s="948" t="s">
        <v>63</v>
      </c>
      <c r="F410" s="954"/>
      <c r="G410" s="954"/>
      <c r="H410" s="954"/>
      <c r="I410" s="955"/>
      <c r="J410" s="948">
        <v>201.0</v>
      </c>
      <c r="K410" s="949">
        <v>0.026762569765028554</v>
      </c>
      <c r="L410" s="950" t="str">
        <f t="shared" si="1"/>
        <v/>
      </c>
      <c r="M410" s="736"/>
      <c r="N410" s="736"/>
      <c r="O410" s="736"/>
    </row>
    <row r="411">
      <c r="A411" s="951" t="s">
        <v>361</v>
      </c>
      <c r="B411" s="952" t="s">
        <v>60</v>
      </c>
      <c r="C411" s="953">
        <v>42647.0</v>
      </c>
      <c r="D411" s="954" t="s">
        <v>59</v>
      </c>
      <c r="E411" s="948" t="s">
        <v>63</v>
      </c>
      <c r="F411" s="954" t="s">
        <v>69</v>
      </c>
      <c r="G411" s="954" t="s">
        <v>69</v>
      </c>
      <c r="H411" s="954" t="s">
        <v>69</v>
      </c>
      <c r="I411" s="955">
        <v>0.7</v>
      </c>
      <c r="J411" s="948">
        <v>223.0</v>
      </c>
      <c r="K411" s="949">
        <v>0.009762519805387448</v>
      </c>
      <c r="L411" s="950" t="str">
        <f t="shared" si="1"/>
        <v/>
      </c>
      <c r="M411" s="736"/>
      <c r="N411" s="736"/>
      <c r="O411" s="736"/>
    </row>
    <row r="412">
      <c r="A412" s="951" t="s">
        <v>1628</v>
      </c>
      <c r="B412" s="952" t="s">
        <v>60</v>
      </c>
      <c r="C412" s="953">
        <v>42646.0</v>
      </c>
      <c r="D412" s="954" t="s">
        <v>305</v>
      </c>
      <c r="E412" s="948" t="s">
        <v>63</v>
      </c>
      <c r="F412" s="954" t="s">
        <v>65</v>
      </c>
      <c r="G412" s="954" t="s">
        <v>69</v>
      </c>
      <c r="H412" s="954" t="s">
        <v>68</v>
      </c>
      <c r="I412" s="955"/>
      <c r="J412" s="948">
        <v>216.0</v>
      </c>
      <c r="K412" s="949">
        <v>0.006011019269616558</v>
      </c>
      <c r="L412" s="950" t="str">
        <f t="shared" si="1"/>
        <v/>
      </c>
      <c r="M412" s="736"/>
      <c r="N412" s="736"/>
      <c r="O412" s="736"/>
    </row>
    <row r="413">
      <c r="A413" s="951" t="s">
        <v>1890</v>
      </c>
      <c r="B413" s="952" t="s">
        <v>60</v>
      </c>
      <c r="C413" s="953">
        <v>42644.0</v>
      </c>
      <c r="D413" s="954" t="s">
        <v>870</v>
      </c>
      <c r="E413" s="948" t="s">
        <v>63</v>
      </c>
      <c r="F413" s="954" t="s">
        <v>67</v>
      </c>
      <c r="G413" s="954" t="s">
        <v>64</v>
      </c>
      <c r="H413" s="954" t="s">
        <v>67</v>
      </c>
      <c r="I413" s="955">
        <v>0.9</v>
      </c>
      <c r="J413" s="948">
        <v>218.0</v>
      </c>
      <c r="K413" s="949">
        <v>0.005858603972236365</v>
      </c>
      <c r="L413" s="950" t="str">
        <f t="shared" si="1"/>
        <v/>
      </c>
      <c r="M413" s="736"/>
      <c r="N413" s="736"/>
      <c r="O413" s="736"/>
    </row>
    <row r="414">
      <c r="A414" s="951" t="s">
        <v>856</v>
      </c>
      <c r="B414" s="952" t="s">
        <v>56</v>
      </c>
      <c r="C414" s="953">
        <v>42644.0</v>
      </c>
      <c r="D414" s="954" t="s">
        <v>109</v>
      </c>
      <c r="E414" s="948" t="s">
        <v>63</v>
      </c>
      <c r="F414" s="954"/>
      <c r="G414" s="954"/>
      <c r="H414" s="954"/>
      <c r="I414" s="955"/>
      <c r="J414" s="948">
        <v>170.0</v>
      </c>
      <c r="K414" s="949">
        <v>-0.019852476707436284</v>
      </c>
      <c r="L414" s="950" t="str">
        <f t="shared" si="1"/>
        <v>yes</v>
      </c>
      <c r="M414" s="736"/>
      <c r="N414" s="736"/>
      <c r="O414" s="736"/>
    </row>
    <row r="415">
      <c r="A415" s="951" t="s">
        <v>1715</v>
      </c>
      <c r="B415" s="952" t="s">
        <v>60</v>
      </c>
      <c r="C415" s="953">
        <v>42642.0</v>
      </c>
      <c r="D415" s="954" t="s">
        <v>59</v>
      </c>
      <c r="E415" s="948" t="s">
        <v>63</v>
      </c>
      <c r="F415" s="954" t="s">
        <v>64</v>
      </c>
      <c r="G415" s="954" t="s">
        <v>69</v>
      </c>
      <c r="H415" s="954" t="s">
        <v>69</v>
      </c>
      <c r="I415" s="955">
        <v>0.8</v>
      </c>
      <c r="J415" s="948">
        <v>203.0</v>
      </c>
      <c r="K415" s="949">
        <v>0.014036205356320774</v>
      </c>
      <c r="L415" s="950" t="str">
        <f t="shared" si="1"/>
        <v>yes</v>
      </c>
      <c r="M415" s="736"/>
      <c r="N415" s="736"/>
      <c r="O415" s="736"/>
    </row>
    <row r="416">
      <c r="A416" s="951" t="s">
        <v>623</v>
      </c>
      <c r="B416" s="952" t="s">
        <v>60</v>
      </c>
      <c r="C416" s="953">
        <v>42640.0</v>
      </c>
      <c r="D416" s="954" t="s">
        <v>59</v>
      </c>
      <c r="E416" s="948" t="s">
        <v>63</v>
      </c>
      <c r="F416" s="954" t="s">
        <v>65</v>
      </c>
      <c r="G416" s="954" t="s">
        <v>69</v>
      </c>
      <c r="H416" s="954" t="s">
        <v>69</v>
      </c>
      <c r="I416" s="955">
        <v>0.9</v>
      </c>
      <c r="J416" s="948">
        <v>182.0</v>
      </c>
      <c r="K416" s="949">
        <v>0.012947634538859165</v>
      </c>
      <c r="L416" s="950" t="str">
        <f t="shared" si="1"/>
        <v/>
      </c>
      <c r="M416" s="736"/>
      <c r="N416" s="736"/>
      <c r="O416" s="736"/>
    </row>
    <row r="417">
      <c r="A417" s="951" t="s">
        <v>449</v>
      </c>
      <c r="B417" s="952" t="s">
        <v>60</v>
      </c>
      <c r="C417" s="953">
        <v>42639.0</v>
      </c>
      <c r="D417" s="954" t="s">
        <v>59</v>
      </c>
      <c r="E417" s="948" t="s">
        <v>63</v>
      </c>
      <c r="F417" s="954" t="s">
        <v>80</v>
      </c>
      <c r="G417" s="954" t="s">
        <v>69</v>
      </c>
      <c r="H417" s="954" t="s">
        <v>66</v>
      </c>
      <c r="I417" s="955">
        <v>0.7</v>
      </c>
      <c r="J417" s="948">
        <v>185.0</v>
      </c>
      <c r="K417" s="949">
        <v>0.006600649202559761</v>
      </c>
      <c r="L417" s="950" t="str">
        <f t="shared" si="1"/>
        <v/>
      </c>
      <c r="M417" s="736"/>
      <c r="N417" s="736"/>
      <c r="O417" s="736"/>
    </row>
    <row r="418">
      <c r="A418" s="951" t="s">
        <v>1727</v>
      </c>
      <c r="B418" s="952" t="s">
        <v>60</v>
      </c>
      <c r="C418" s="953">
        <v>42639.0</v>
      </c>
      <c r="D418" s="954" t="s">
        <v>305</v>
      </c>
      <c r="E418" s="948" t="s">
        <v>63</v>
      </c>
      <c r="F418" s="954" t="s">
        <v>67</v>
      </c>
      <c r="G418" s="954" t="s">
        <v>69</v>
      </c>
      <c r="H418" s="954" t="s">
        <v>69</v>
      </c>
      <c r="I418" s="955"/>
      <c r="J418" s="948">
        <v>220.0</v>
      </c>
      <c r="K418" s="949">
        <v>-0.00395111396436465</v>
      </c>
      <c r="L418" s="950" t="str">
        <f t="shared" si="1"/>
        <v/>
      </c>
      <c r="M418" s="736"/>
      <c r="N418" s="736"/>
      <c r="O418" s="736"/>
    </row>
    <row r="419">
      <c r="A419" s="951" t="s">
        <v>454</v>
      </c>
      <c r="B419" s="952" t="s">
        <v>56</v>
      </c>
      <c r="C419" s="953">
        <v>42639.0</v>
      </c>
      <c r="D419" s="954" t="s">
        <v>316</v>
      </c>
      <c r="E419" s="948" t="s">
        <v>63</v>
      </c>
      <c r="F419" s="954" t="s">
        <v>69</v>
      </c>
      <c r="G419" s="954" t="s">
        <v>69</v>
      </c>
      <c r="H419" s="954" t="s">
        <v>68</v>
      </c>
      <c r="I419" s="955">
        <v>0.9</v>
      </c>
      <c r="J419" s="948">
        <v>211.0</v>
      </c>
      <c r="K419" s="949">
        <v>-0.026005007711426775</v>
      </c>
      <c r="L419" s="950" t="str">
        <f t="shared" si="1"/>
        <v>yes</v>
      </c>
      <c r="M419" s="736"/>
      <c r="N419" s="736"/>
      <c r="O419" s="736"/>
    </row>
    <row r="420">
      <c r="A420" s="951" t="s">
        <v>761</v>
      </c>
      <c r="B420" s="952" t="s">
        <v>60</v>
      </c>
      <c r="C420" s="953">
        <v>42638.0</v>
      </c>
      <c r="D420" s="954" t="s">
        <v>90</v>
      </c>
      <c r="E420" s="948" t="s">
        <v>63</v>
      </c>
      <c r="F420" s="954" t="s">
        <v>65</v>
      </c>
      <c r="G420" s="954" t="s">
        <v>64</v>
      </c>
      <c r="H420" s="954" t="s">
        <v>66</v>
      </c>
      <c r="I420" s="955">
        <v>0.7</v>
      </c>
      <c r="J420" s="948">
        <v>229.0</v>
      </c>
      <c r="K420" s="949">
        <v>-0.02481321900515654</v>
      </c>
      <c r="L420" s="950" t="str">
        <f t="shared" si="1"/>
        <v/>
      </c>
      <c r="M420" s="736"/>
      <c r="N420" s="736"/>
      <c r="O420" s="736"/>
    </row>
    <row r="421">
      <c r="A421" s="951" t="s">
        <v>761</v>
      </c>
      <c r="B421" s="952" t="s">
        <v>60</v>
      </c>
      <c r="C421" s="953">
        <v>42637.0</v>
      </c>
      <c r="D421" s="954" t="s">
        <v>90</v>
      </c>
      <c r="E421" s="948" t="s">
        <v>63</v>
      </c>
      <c r="F421" s="954" t="s">
        <v>65</v>
      </c>
      <c r="G421" s="954" t="s">
        <v>64</v>
      </c>
      <c r="H421" s="954" t="s">
        <v>66</v>
      </c>
      <c r="I421" s="955">
        <v>0.7</v>
      </c>
      <c r="J421" s="948">
        <v>229.0</v>
      </c>
      <c r="K421" s="949">
        <v>-0.029919289979969843</v>
      </c>
      <c r="L421" s="950" t="str">
        <f t="shared" si="1"/>
        <v/>
      </c>
      <c r="M421" s="736"/>
      <c r="N421" s="736"/>
      <c r="O421" s="736"/>
    </row>
    <row r="422">
      <c r="A422" s="951" t="s">
        <v>1784</v>
      </c>
      <c r="B422" s="952" t="s">
        <v>60</v>
      </c>
      <c r="C422" s="953">
        <v>42636.0</v>
      </c>
      <c r="D422" s="954" t="s">
        <v>59</v>
      </c>
      <c r="E422" s="948" t="s">
        <v>63</v>
      </c>
      <c r="F422" s="954" t="s">
        <v>80</v>
      </c>
      <c r="G422" s="954" t="s">
        <v>69</v>
      </c>
      <c r="H422" s="954"/>
      <c r="I422" s="955">
        <v>0.9</v>
      </c>
      <c r="J422" s="948">
        <v>220.0</v>
      </c>
      <c r="K422" s="949">
        <v>0.011284412788341691</v>
      </c>
      <c r="L422" s="950" t="str">
        <f t="shared" si="1"/>
        <v/>
      </c>
      <c r="M422" s="736"/>
      <c r="N422" s="736"/>
      <c r="O422" s="736"/>
    </row>
    <row r="423">
      <c r="A423" s="951" t="s">
        <v>1723</v>
      </c>
      <c r="B423" s="952" t="s">
        <v>60</v>
      </c>
      <c r="C423" s="953">
        <v>42636.0</v>
      </c>
      <c r="D423" s="954" t="s">
        <v>79</v>
      </c>
      <c r="E423" s="948" t="s">
        <v>63</v>
      </c>
      <c r="F423" s="954" t="s">
        <v>65</v>
      </c>
      <c r="G423" s="954" t="s">
        <v>69</v>
      </c>
      <c r="H423" s="954" t="s">
        <v>66</v>
      </c>
      <c r="I423" s="955">
        <v>0.9</v>
      </c>
      <c r="J423" s="948">
        <v>169.0</v>
      </c>
      <c r="K423" s="949">
        <v>0.02010016682426996</v>
      </c>
      <c r="L423" s="950" t="str">
        <f t="shared" si="1"/>
        <v>yes</v>
      </c>
      <c r="M423" s="736"/>
      <c r="N423" s="736"/>
      <c r="O423" s="736"/>
    </row>
    <row r="424">
      <c r="A424" s="951" t="s">
        <v>1741</v>
      </c>
      <c r="B424" s="952" t="s">
        <v>60</v>
      </c>
      <c r="C424" s="953">
        <v>42634.0</v>
      </c>
      <c r="D424" s="954" t="s">
        <v>86</v>
      </c>
      <c r="E424" s="948" t="s">
        <v>63</v>
      </c>
      <c r="F424" s="954" t="s">
        <v>65</v>
      </c>
      <c r="G424" s="954" t="s">
        <v>64</v>
      </c>
      <c r="H424" s="954" t="s">
        <v>66</v>
      </c>
      <c r="I424" s="955">
        <v>0.8</v>
      </c>
      <c r="J424" s="948">
        <v>206.0</v>
      </c>
      <c r="K424" s="949">
        <v>0.02257590563610634</v>
      </c>
      <c r="L424" s="950" t="str">
        <f t="shared" si="1"/>
        <v/>
      </c>
      <c r="M424" s="736"/>
      <c r="N424" s="736"/>
      <c r="O424" s="736"/>
    </row>
    <row r="425">
      <c r="A425" s="951" t="s">
        <v>1703</v>
      </c>
      <c r="B425" s="952" t="s">
        <v>60</v>
      </c>
      <c r="C425" s="953">
        <v>42633.0</v>
      </c>
      <c r="D425" s="954" t="s">
        <v>118</v>
      </c>
      <c r="E425" s="948" t="s">
        <v>63</v>
      </c>
      <c r="F425" s="954"/>
      <c r="G425" s="954"/>
      <c r="H425" s="954"/>
      <c r="I425" s="955"/>
      <c r="J425" s="948">
        <v>202.0</v>
      </c>
      <c r="K425" s="949">
        <v>0.03107471358893643</v>
      </c>
      <c r="L425" s="950" t="str">
        <f t="shared" si="1"/>
        <v/>
      </c>
      <c r="M425" s="736"/>
      <c r="N425" s="736"/>
      <c r="O425" s="736"/>
    </row>
    <row r="426">
      <c r="A426" s="951" t="s">
        <v>1336</v>
      </c>
      <c r="B426" s="952" t="s">
        <v>60</v>
      </c>
      <c r="C426" s="953">
        <v>42632.0</v>
      </c>
      <c r="D426" s="954" t="s">
        <v>59</v>
      </c>
      <c r="E426" s="948" t="s">
        <v>63</v>
      </c>
      <c r="F426" s="954" t="s">
        <v>69</v>
      </c>
      <c r="G426" s="954" t="s">
        <v>64</v>
      </c>
      <c r="H426" s="954" t="s">
        <v>66</v>
      </c>
      <c r="I426" s="955">
        <v>0.8</v>
      </c>
      <c r="J426" s="948">
        <v>205.0</v>
      </c>
      <c r="K426" s="949">
        <v>0.009007515027280477</v>
      </c>
      <c r="L426" s="950" t="str">
        <f t="shared" si="1"/>
        <v/>
      </c>
      <c r="M426" s="736"/>
      <c r="N426" s="736"/>
      <c r="O426" s="736"/>
    </row>
    <row r="427">
      <c r="A427" s="951" t="s">
        <v>126</v>
      </c>
      <c r="B427" s="952" t="s">
        <v>60</v>
      </c>
      <c r="C427" s="953">
        <v>42628.0</v>
      </c>
      <c r="D427" s="954" t="s">
        <v>79</v>
      </c>
      <c r="E427" s="948" t="s">
        <v>63</v>
      </c>
      <c r="F427" s="954" t="s">
        <v>65</v>
      </c>
      <c r="G427" s="954" t="s">
        <v>127</v>
      </c>
      <c r="H427" s="954" t="s">
        <v>69</v>
      </c>
      <c r="I427" s="955">
        <v>1.0</v>
      </c>
      <c r="J427" s="948">
        <v>212.0</v>
      </c>
      <c r="K427" s="949">
        <v>-7.80363948460483E-5</v>
      </c>
      <c r="L427" s="950" t="str">
        <f t="shared" si="1"/>
        <v/>
      </c>
      <c r="M427" s="736"/>
      <c r="N427" s="736"/>
      <c r="O427" s="736"/>
    </row>
    <row r="428">
      <c r="A428" s="951" t="s">
        <v>1685</v>
      </c>
      <c r="B428" s="952" t="s">
        <v>60</v>
      </c>
      <c r="C428" s="953">
        <v>42627.0</v>
      </c>
      <c r="D428" s="954" t="s">
        <v>319</v>
      </c>
      <c r="E428" s="948" t="s">
        <v>63</v>
      </c>
      <c r="F428" s="954" t="s">
        <v>69</v>
      </c>
      <c r="G428" s="954" t="s">
        <v>69</v>
      </c>
      <c r="H428" s="954" t="s">
        <v>69</v>
      </c>
      <c r="I428" s="955">
        <v>0.8</v>
      </c>
      <c r="J428" s="948">
        <v>204.0</v>
      </c>
      <c r="K428" s="949">
        <v>0.001152422853844759</v>
      </c>
      <c r="L428" s="950" t="str">
        <f t="shared" si="1"/>
        <v>yes</v>
      </c>
      <c r="M428" s="736"/>
      <c r="N428" s="736"/>
      <c r="O428" s="736"/>
    </row>
    <row r="429">
      <c r="A429" s="951" t="s">
        <v>545</v>
      </c>
      <c r="B429" s="952" t="s">
        <v>56</v>
      </c>
      <c r="C429" s="953">
        <v>42626.0</v>
      </c>
      <c r="D429" s="954" t="s">
        <v>59</v>
      </c>
      <c r="E429" s="948" t="s">
        <v>63</v>
      </c>
      <c r="F429" s="954" t="s">
        <v>67</v>
      </c>
      <c r="G429" s="954" t="s">
        <v>64</v>
      </c>
      <c r="H429" s="954" t="s">
        <v>69</v>
      </c>
      <c r="I429" s="955">
        <v>0.9</v>
      </c>
      <c r="J429" s="948">
        <v>199.0</v>
      </c>
      <c r="K429" s="949">
        <v>-0.003581490697874612</v>
      </c>
      <c r="L429" s="950" t="str">
        <f t="shared" si="1"/>
        <v>yes</v>
      </c>
      <c r="M429" s="736"/>
      <c r="N429" s="736"/>
      <c r="O429" s="736"/>
    </row>
    <row r="430">
      <c r="A430" s="951" t="s">
        <v>376</v>
      </c>
      <c r="B430" s="952" t="s">
        <v>60</v>
      </c>
      <c r="C430" s="953">
        <v>42625.0</v>
      </c>
      <c r="D430" s="954" t="s">
        <v>59</v>
      </c>
      <c r="E430" s="948" t="s">
        <v>63</v>
      </c>
      <c r="F430" s="954" t="s">
        <v>64</v>
      </c>
      <c r="G430" s="954" t="s">
        <v>64</v>
      </c>
      <c r="H430" s="954" t="s">
        <v>68</v>
      </c>
      <c r="I430" s="955">
        <v>0.9</v>
      </c>
      <c r="J430" s="948">
        <v>200.0</v>
      </c>
      <c r="K430" s="949">
        <v>-0.008590711296668885</v>
      </c>
      <c r="L430" s="950" t="str">
        <f t="shared" si="1"/>
        <v/>
      </c>
      <c r="M430" s="736"/>
      <c r="N430" s="736"/>
      <c r="O430" s="736"/>
    </row>
    <row r="431">
      <c r="A431" s="951" t="s">
        <v>1878</v>
      </c>
      <c r="B431" s="952" t="s">
        <v>60</v>
      </c>
      <c r="C431" s="953">
        <v>42625.0</v>
      </c>
      <c r="D431" s="954" t="s">
        <v>86</v>
      </c>
      <c r="E431" s="948" t="s">
        <v>63</v>
      </c>
      <c r="F431" s="954" t="s">
        <v>67</v>
      </c>
      <c r="G431" s="954" t="s">
        <v>64</v>
      </c>
      <c r="H431" s="954" t="s">
        <v>64</v>
      </c>
      <c r="I431" s="955">
        <v>0.9</v>
      </c>
      <c r="J431" s="948">
        <v>230.0</v>
      </c>
      <c r="K431" s="949">
        <v>0.014180607656151367</v>
      </c>
      <c r="L431" s="950" t="str">
        <f t="shared" si="1"/>
        <v>yes</v>
      </c>
      <c r="M431" s="736"/>
      <c r="N431" s="736"/>
      <c r="O431" s="736"/>
    </row>
    <row r="432">
      <c r="A432" s="951" t="s">
        <v>1741</v>
      </c>
      <c r="B432" s="952" t="s">
        <v>60</v>
      </c>
      <c r="C432" s="953">
        <v>42625.0</v>
      </c>
      <c r="D432" s="954" t="s">
        <v>86</v>
      </c>
      <c r="E432" s="948" t="s">
        <v>63</v>
      </c>
      <c r="F432" s="954" t="s">
        <v>65</v>
      </c>
      <c r="G432" s="954" t="s">
        <v>64</v>
      </c>
      <c r="H432" s="954" t="s">
        <v>66</v>
      </c>
      <c r="I432" s="955">
        <v>0.8</v>
      </c>
      <c r="J432" s="948">
        <v>206.0</v>
      </c>
      <c r="K432" s="949">
        <v>0.019718335197698167</v>
      </c>
      <c r="L432" s="950" t="str">
        <f t="shared" si="1"/>
        <v/>
      </c>
      <c r="M432" s="736"/>
      <c r="N432" s="736"/>
      <c r="O432" s="736"/>
    </row>
    <row r="433">
      <c r="A433" s="951" t="s">
        <v>1836</v>
      </c>
      <c r="B433" s="952" t="s">
        <v>60</v>
      </c>
      <c r="C433" s="953">
        <v>42624.0</v>
      </c>
      <c r="D433" s="954" t="s">
        <v>86</v>
      </c>
      <c r="E433" s="948" t="s">
        <v>63</v>
      </c>
      <c r="F433" s="954" t="s">
        <v>64</v>
      </c>
      <c r="G433" s="954" t="s">
        <v>69</v>
      </c>
      <c r="H433" s="954" t="s">
        <v>66</v>
      </c>
      <c r="I433" s="955">
        <v>0.9</v>
      </c>
      <c r="J433" s="948">
        <v>220.0</v>
      </c>
      <c r="K433" s="949">
        <v>0.03553873495229498</v>
      </c>
      <c r="L433" s="950" t="str">
        <f t="shared" si="1"/>
        <v>yes</v>
      </c>
      <c r="M433" s="736"/>
      <c r="N433" s="736"/>
      <c r="O433" s="736"/>
    </row>
    <row r="434">
      <c r="A434" s="951" t="s">
        <v>541</v>
      </c>
      <c r="B434" s="952" t="s">
        <v>60</v>
      </c>
      <c r="C434" s="953">
        <v>42624.0</v>
      </c>
      <c r="D434" s="954" t="s">
        <v>57</v>
      </c>
      <c r="E434" s="948" t="s">
        <v>63</v>
      </c>
      <c r="F434" s="954" t="s">
        <v>69</v>
      </c>
      <c r="G434" s="954" t="s">
        <v>67</v>
      </c>
      <c r="H434" s="954" t="s">
        <v>64</v>
      </c>
      <c r="I434" s="955">
        <v>0.9</v>
      </c>
      <c r="J434" s="948">
        <v>224.0</v>
      </c>
      <c r="K434" s="949">
        <v>0.007651727047616186</v>
      </c>
      <c r="L434" s="950" t="str">
        <f t="shared" si="1"/>
        <v/>
      </c>
      <c r="M434" s="736"/>
      <c r="N434" s="736"/>
      <c r="O434" s="736"/>
    </row>
    <row r="435">
      <c r="A435" s="951" t="s">
        <v>92</v>
      </c>
      <c r="B435" s="952" t="s">
        <v>55</v>
      </c>
      <c r="C435" s="953">
        <v>42623.0</v>
      </c>
      <c r="D435" s="954" t="s">
        <v>59</v>
      </c>
      <c r="E435" s="948" t="s">
        <v>63</v>
      </c>
      <c r="F435" s="954" t="s">
        <v>64</v>
      </c>
      <c r="G435" s="954" t="s">
        <v>66</v>
      </c>
      <c r="H435" s="954" t="s">
        <v>68</v>
      </c>
      <c r="I435" s="955">
        <v>0.9</v>
      </c>
      <c r="J435" s="948">
        <v>204.0</v>
      </c>
      <c r="K435" s="949">
        <v>0.025246741772975367</v>
      </c>
      <c r="L435" s="950" t="str">
        <f t="shared" si="1"/>
        <v/>
      </c>
      <c r="M435" s="736"/>
      <c r="N435" s="736"/>
      <c r="O435" s="736"/>
    </row>
    <row r="436">
      <c r="A436" s="951" t="s">
        <v>761</v>
      </c>
      <c r="B436" s="952" t="s">
        <v>60</v>
      </c>
      <c r="C436" s="953">
        <v>42622.0</v>
      </c>
      <c r="D436" s="954" t="s">
        <v>90</v>
      </c>
      <c r="E436" s="948" t="s">
        <v>63</v>
      </c>
      <c r="F436" s="954" t="s">
        <v>65</v>
      </c>
      <c r="G436" s="954" t="s">
        <v>64</v>
      </c>
      <c r="H436" s="954" t="s">
        <v>66</v>
      </c>
      <c r="I436" s="955">
        <v>0.7</v>
      </c>
      <c r="J436" s="948">
        <v>230.0</v>
      </c>
      <c r="K436" s="949">
        <v>-0.027662059923474147</v>
      </c>
      <c r="L436" s="950" t="str">
        <f t="shared" si="1"/>
        <v/>
      </c>
      <c r="M436" s="736"/>
      <c r="N436" s="736"/>
      <c r="O436" s="736"/>
    </row>
    <row r="437">
      <c r="A437" s="951" t="s">
        <v>1781</v>
      </c>
      <c r="B437" s="952" t="s">
        <v>60</v>
      </c>
      <c r="C437" s="953">
        <v>42621.0</v>
      </c>
      <c r="D437" s="954" t="s">
        <v>118</v>
      </c>
      <c r="E437" s="948" t="s">
        <v>63</v>
      </c>
      <c r="F437" s="954" t="s">
        <v>64</v>
      </c>
      <c r="G437" s="954" t="s">
        <v>65</v>
      </c>
      <c r="H437" s="954" t="s">
        <v>69</v>
      </c>
      <c r="I437" s="955">
        <v>0.8</v>
      </c>
      <c r="J437" s="948">
        <v>181.0</v>
      </c>
      <c r="K437" s="949">
        <v>0.0017316598319605525</v>
      </c>
      <c r="L437" s="950" t="str">
        <f t="shared" si="1"/>
        <v>yes</v>
      </c>
      <c r="M437" s="736"/>
      <c r="N437" s="736"/>
      <c r="O437" s="736"/>
    </row>
    <row r="438">
      <c r="A438" s="951" t="s">
        <v>169</v>
      </c>
      <c r="B438" s="952" t="s">
        <v>55</v>
      </c>
      <c r="C438" s="953">
        <v>42621.0</v>
      </c>
      <c r="D438" s="954" t="s">
        <v>59</v>
      </c>
      <c r="E438" s="948" t="s">
        <v>63</v>
      </c>
      <c r="F438" s="954" t="s">
        <v>64</v>
      </c>
      <c r="G438" s="954" t="s">
        <v>69</v>
      </c>
      <c r="H438" s="954" t="s">
        <v>69</v>
      </c>
      <c r="I438" s="955">
        <v>0.9</v>
      </c>
      <c r="J438" s="948">
        <v>215.12</v>
      </c>
      <c r="K438" s="949">
        <v>-0.0041829411382466875</v>
      </c>
      <c r="L438" s="950" t="str">
        <f t="shared" si="1"/>
        <v/>
      </c>
      <c r="M438" s="736"/>
      <c r="N438" s="736"/>
      <c r="O438" s="736"/>
    </row>
    <row r="439">
      <c r="A439" s="951" t="s">
        <v>1902</v>
      </c>
      <c r="B439" s="952" t="s">
        <v>60</v>
      </c>
      <c r="C439" s="953">
        <v>42620.0</v>
      </c>
      <c r="D439" s="954" t="s">
        <v>118</v>
      </c>
      <c r="E439" s="948" t="s">
        <v>63</v>
      </c>
      <c r="F439" s="954"/>
      <c r="G439" s="954"/>
      <c r="H439" s="954"/>
      <c r="I439" s="955"/>
      <c r="J439" s="948">
        <v>221.0</v>
      </c>
      <c r="K439" s="949">
        <v>0.016515957461178288</v>
      </c>
      <c r="L439" s="950" t="str">
        <f t="shared" si="1"/>
        <v>yes</v>
      </c>
      <c r="M439" s="736"/>
      <c r="N439" s="736"/>
      <c r="O439" s="736"/>
    </row>
    <row r="440">
      <c r="A440" s="951" t="s">
        <v>1874</v>
      </c>
      <c r="B440" s="952" t="s">
        <v>60</v>
      </c>
      <c r="C440" s="953">
        <v>42620.0</v>
      </c>
      <c r="D440" s="954" t="s">
        <v>118</v>
      </c>
      <c r="E440" s="948" t="s">
        <v>63</v>
      </c>
      <c r="F440" s="954" t="s">
        <v>65</v>
      </c>
      <c r="G440" s="954" t="s">
        <v>67</v>
      </c>
      <c r="H440" s="954" t="s">
        <v>66</v>
      </c>
      <c r="I440" s="955">
        <v>0.9</v>
      </c>
      <c r="J440" s="948">
        <v>218.0</v>
      </c>
      <c r="K440" s="949">
        <v>0.031016664020493412</v>
      </c>
      <c r="L440" s="950" t="str">
        <f t="shared" si="1"/>
        <v/>
      </c>
      <c r="M440" s="736"/>
      <c r="N440" s="736"/>
      <c r="O440" s="736"/>
    </row>
    <row r="441">
      <c r="A441" s="951" t="s">
        <v>1726</v>
      </c>
      <c r="B441" s="952" t="s">
        <v>60</v>
      </c>
      <c r="C441" s="953">
        <v>42620.0</v>
      </c>
      <c r="D441" s="954" t="s">
        <v>305</v>
      </c>
      <c r="E441" s="948" t="s">
        <v>63</v>
      </c>
      <c r="F441" s="954" t="s">
        <v>69</v>
      </c>
      <c r="G441" s="954" t="s">
        <v>69</v>
      </c>
      <c r="H441" s="954" t="s">
        <v>69</v>
      </c>
      <c r="I441" s="955">
        <v>0.8</v>
      </c>
      <c r="J441" s="948">
        <v>234.0</v>
      </c>
      <c r="K441" s="949">
        <v>-0.006101986277943339</v>
      </c>
      <c r="L441" s="950" t="str">
        <f t="shared" si="1"/>
        <v/>
      </c>
      <c r="M441" s="736"/>
      <c r="N441" s="736"/>
      <c r="O441" s="736"/>
    </row>
    <row r="442">
      <c r="A442" s="951" t="s">
        <v>171</v>
      </c>
      <c r="B442" s="952" t="s">
        <v>60</v>
      </c>
      <c r="C442" s="953">
        <v>42620.0</v>
      </c>
      <c r="D442" s="954" t="s">
        <v>59</v>
      </c>
      <c r="E442" s="948" t="s">
        <v>63</v>
      </c>
      <c r="F442" s="954" t="s">
        <v>69</v>
      </c>
      <c r="G442" s="954" t="s">
        <v>69</v>
      </c>
      <c r="H442" s="954" t="s">
        <v>69</v>
      </c>
      <c r="I442" s="955">
        <v>0.9</v>
      </c>
      <c r="J442" s="948">
        <v>203.0</v>
      </c>
      <c r="K442" s="949">
        <v>-0.005118774556070349</v>
      </c>
      <c r="L442" s="950" t="str">
        <f t="shared" si="1"/>
        <v>yes</v>
      </c>
      <c r="M442" s="736"/>
      <c r="N442" s="736"/>
      <c r="O442" s="736"/>
    </row>
    <row r="443">
      <c r="A443" s="951" t="s">
        <v>1830</v>
      </c>
      <c r="B443" s="952" t="s">
        <v>60</v>
      </c>
      <c r="C443" s="953">
        <v>42619.0</v>
      </c>
      <c r="D443" s="954" t="s">
        <v>305</v>
      </c>
      <c r="E443" s="948" t="s">
        <v>63</v>
      </c>
      <c r="F443" s="954" t="s">
        <v>127</v>
      </c>
      <c r="G443" s="954" t="s">
        <v>64</v>
      </c>
      <c r="H443" s="954" t="s">
        <v>65</v>
      </c>
      <c r="I443" s="955">
        <v>0.8</v>
      </c>
      <c r="J443" s="948">
        <v>218.0</v>
      </c>
      <c r="K443" s="949">
        <v>0.028933109236748078</v>
      </c>
      <c r="L443" s="950" t="str">
        <f t="shared" si="1"/>
        <v>yes</v>
      </c>
      <c r="M443" s="736"/>
      <c r="N443" s="736"/>
      <c r="O443" s="736"/>
    </row>
    <row r="444">
      <c r="A444" s="951" t="s">
        <v>1493</v>
      </c>
      <c r="B444" s="952" t="s">
        <v>60</v>
      </c>
      <c r="C444" s="953">
        <v>42619.0</v>
      </c>
      <c r="D444" s="954" t="s">
        <v>59</v>
      </c>
      <c r="E444" s="948" t="s">
        <v>63</v>
      </c>
      <c r="F444" s="954" t="s">
        <v>67</v>
      </c>
      <c r="G444" s="954" t="s">
        <v>64</v>
      </c>
      <c r="H444" s="954" t="s">
        <v>66</v>
      </c>
      <c r="I444" s="955">
        <v>0.8</v>
      </c>
      <c r="J444" s="948">
        <v>211.0</v>
      </c>
      <c r="K444" s="949">
        <v>-0.014623321418358648</v>
      </c>
      <c r="L444" s="950" t="str">
        <f t="shared" si="1"/>
        <v/>
      </c>
      <c r="M444" s="736"/>
      <c r="N444" s="736"/>
      <c r="O444" s="736"/>
    </row>
    <row r="445">
      <c r="A445" s="951" t="s">
        <v>449</v>
      </c>
      <c r="B445" s="952" t="s">
        <v>60</v>
      </c>
      <c r="C445" s="953">
        <v>42619.0</v>
      </c>
      <c r="D445" s="954" t="s">
        <v>59</v>
      </c>
      <c r="E445" s="948" t="s">
        <v>63</v>
      </c>
      <c r="F445" s="954" t="s">
        <v>80</v>
      </c>
      <c r="G445" s="954" t="s">
        <v>69</v>
      </c>
      <c r="H445" s="954" t="s">
        <v>66</v>
      </c>
      <c r="I445" s="955">
        <v>0.7</v>
      </c>
      <c r="J445" s="948">
        <v>185.0</v>
      </c>
      <c r="K445" s="949">
        <v>0.020930813158487993</v>
      </c>
      <c r="L445" s="950" t="str">
        <f t="shared" si="1"/>
        <v/>
      </c>
      <c r="M445" s="736"/>
      <c r="N445" s="736"/>
      <c r="O445" s="736"/>
    </row>
    <row r="446">
      <c r="A446" s="951" t="s">
        <v>161</v>
      </c>
      <c r="B446" s="952" t="s">
        <v>56</v>
      </c>
      <c r="C446" s="953">
        <v>42619.0</v>
      </c>
      <c r="D446" s="954" t="s">
        <v>59</v>
      </c>
      <c r="E446" s="948" t="s">
        <v>63</v>
      </c>
      <c r="F446" s="954" t="s">
        <v>64</v>
      </c>
      <c r="G446" s="954" t="s">
        <v>69</v>
      </c>
      <c r="H446" s="954" t="s">
        <v>69</v>
      </c>
      <c r="I446" s="955">
        <v>0.9</v>
      </c>
      <c r="J446" s="948">
        <v>185.0</v>
      </c>
      <c r="K446" s="949">
        <v>-0.008168845989651508</v>
      </c>
      <c r="L446" s="950" t="str">
        <f t="shared" si="1"/>
        <v/>
      </c>
      <c r="M446" s="736"/>
      <c r="N446" s="736"/>
      <c r="O446" s="736"/>
    </row>
    <row r="447">
      <c r="A447" s="951" t="s">
        <v>1703</v>
      </c>
      <c r="B447" s="952" t="s">
        <v>60</v>
      </c>
      <c r="C447" s="953">
        <v>42618.0</v>
      </c>
      <c r="D447" s="954" t="s">
        <v>118</v>
      </c>
      <c r="E447" s="948" t="s">
        <v>63</v>
      </c>
      <c r="F447" s="954" t="s">
        <v>67</v>
      </c>
      <c r="G447" s="954" t="s">
        <v>68</v>
      </c>
      <c r="H447" s="954" t="s">
        <v>68</v>
      </c>
      <c r="I447" s="955">
        <v>0.9</v>
      </c>
      <c r="J447" s="948">
        <v>205.0</v>
      </c>
      <c r="K447" s="949">
        <v>0.023673194917913087</v>
      </c>
      <c r="L447" s="950" t="str">
        <f t="shared" si="1"/>
        <v/>
      </c>
      <c r="M447" s="736"/>
      <c r="N447" s="736"/>
      <c r="O447" s="736"/>
    </row>
    <row r="448">
      <c r="A448" s="951" t="s">
        <v>1827</v>
      </c>
      <c r="B448" s="952" t="s">
        <v>60</v>
      </c>
      <c r="C448" s="953">
        <v>42616.0</v>
      </c>
      <c r="D448" s="954" t="s">
        <v>305</v>
      </c>
      <c r="E448" s="948" t="s">
        <v>63</v>
      </c>
      <c r="F448" s="954" t="s">
        <v>64</v>
      </c>
      <c r="G448" s="954" t="s">
        <v>69</v>
      </c>
      <c r="H448" s="954" t="s">
        <v>64</v>
      </c>
      <c r="I448" s="955">
        <v>0.9</v>
      </c>
      <c r="J448" s="948">
        <v>220.0</v>
      </c>
      <c r="K448" s="949">
        <v>0.009055918247645955</v>
      </c>
      <c r="L448" s="950" t="str">
        <f t="shared" si="1"/>
        <v/>
      </c>
      <c r="M448" s="736"/>
      <c r="N448" s="736"/>
      <c r="O448" s="736"/>
    </row>
    <row r="449">
      <c r="A449" s="951" t="s">
        <v>1823</v>
      </c>
      <c r="B449" s="952" t="s">
        <v>60</v>
      </c>
      <c r="C449" s="953">
        <v>42616.0</v>
      </c>
      <c r="D449" s="954" t="s">
        <v>59</v>
      </c>
      <c r="E449" s="948" t="s">
        <v>63</v>
      </c>
      <c r="F449" s="954" t="s">
        <v>67</v>
      </c>
      <c r="G449" s="954" t="s">
        <v>69</v>
      </c>
      <c r="H449" s="954" t="s">
        <v>66</v>
      </c>
      <c r="I449" s="955">
        <v>0.9</v>
      </c>
      <c r="J449" s="948">
        <v>195.0</v>
      </c>
      <c r="K449" s="949">
        <v>-8.463399490632462E-5</v>
      </c>
      <c r="L449" s="950" t="str">
        <f t="shared" si="1"/>
        <v>yes</v>
      </c>
      <c r="M449" s="736"/>
      <c r="N449" s="736"/>
      <c r="O449" s="736"/>
    </row>
    <row r="450">
      <c r="A450" s="951" t="s">
        <v>1890</v>
      </c>
      <c r="B450" s="952" t="s">
        <v>60</v>
      </c>
      <c r="C450" s="953">
        <v>42614.0</v>
      </c>
      <c r="D450" s="954" t="s">
        <v>118</v>
      </c>
      <c r="E450" s="948" t="s">
        <v>63</v>
      </c>
      <c r="F450" s="954" t="s">
        <v>65</v>
      </c>
      <c r="G450" s="954" t="s">
        <v>69</v>
      </c>
      <c r="H450" s="954"/>
      <c r="I450" s="955">
        <v>0.9</v>
      </c>
      <c r="J450" s="948">
        <v>174.0</v>
      </c>
      <c r="K450" s="949">
        <v>-0.022637754596668613</v>
      </c>
      <c r="L450" s="950" t="str">
        <f t="shared" si="1"/>
        <v/>
      </c>
      <c r="M450" s="736"/>
      <c r="N450" s="736"/>
      <c r="O450" s="736"/>
    </row>
    <row r="451">
      <c r="A451" s="951" t="s">
        <v>279</v>
      </c>
      <c r="B451" s="952" t="s">
        <v>60</v>
      </c>
      <c r="C451" s="953">
        <v>42612.0</v>
      </c>
      <c r="D451" s="954" t="s">
        <v>59</v>
      </c>
      <c r="E451" s="948" t="s">
        <v>195</v>
      </c>
      <c r="F451" s="954" t="s">
        <v>65</v>
      </c>
      <c r="G451" s="954" t="s">
        <v>69</v>
      </c>
      <c r="H451" s="954" t="s">
        <v>69</v>
      </c>
      <c r="I451" s="955">
        <v>0.9</v>
      </c>
      <c r="J451" s="948">
        <v>235.0</v>
      </c>
      <c r="K451" s="949">
        <v>0.022330427470074632</v>
      </c>
      <c r="L451" s="950" t="str">
        <f t="shared" si="1"/>
        <v/>
      </c>
      <c r="M451" s="736"/>
      <c r="N451" s="736"/>
      <c r="O451" s="736"/>
    </row>
    <row r="452">
      <c r="A452" s="951" t="s">
        <v>1642</v>
      </c>
      <c r="B452" s="952" t="s">
        <v>60</v>
      </c>
      <c r="C452" s="953">
        <v>42612.0</v>
      </c>
      <c r="D452" s="954" t="s">
        <v>118</v>
      </c>
      <c r="E452" s="948" t="s">
        <v>63</v>
      </c>
      <c r="F452" s="954"/>
      <c r="G452" s="954"/>
      <c r="H452" s="954"/>
      <c r="I452" s="955"/>
      <c r="J452" s="948">
        <v>198.0</v>
      </c>
      <c r="K452" s="949">
        <v>0.013046289622958063</v>
      </c>
      <c r="L452" s="950" t="str">
        <f t="shared" si="1"/>
        <v/>
      </c>
      <c r="M452" s="736"/>
      <c r="N452" s="736"/>
      <c r="O452" s="736"/>
    </row>
    <row r="453">
      <c r="A453" s="951" t="s">
        <v>1858</v>
      </c>
      <c r="B453" s="952" t="s">
        <v>60</v>
      </c>
      <c r="C453" s="953">
        <v>42611.0</v>
      </c>
      <c r="D453" s="954" t="s">
        <v>305</v>
      </c>
      <c r="E453" s="948" t="s">
        <v>63</v>
      </c>
      <c r="F453" s="954"/>
      <c r="G453" s="954"/>
      <c r="H453" s="954"/>
      <c r="I453" s="955"/>
      <c r="J453" s="948">
        <v>218.0</v>
      </c>
      <c r="K453" s="949">
        <v>0.028908793803880672</v>
      </c>
      <c r="L453" s="950" t="str">
        <f t="shared" si="1"/>
        <v>yes</v>
      </c>
      <c r="M453" s="736"/>
      <c r="N453" s="736"/>
      <c r="O453" s="736"/>
    </row>
    <row r="454">
      <c r="A454" s="951" t="s">
        <v>1637</v>
      </c>
      <c r="B454" s="952" t="s">
        <v>60</v>
      </c>
      <c r="C454" s="953">
        <v>42609.0</v>
      </c>
      <c r="D454" s="954" t="s">
        <v>118</v>
      </c>
      <c r="E454" s="948" t="s">
        <v>63</v>
      </c>
      <c r="F454" s="954" t="s">
        <v>127</v>
      </c>
      <c r="G454" s="954" t="s">
        <v>64</v>
      </c>
      <c r="H454" s="954" t="s">
        <v>65</v>
      </c>
      <c r="I454" s="955">
        <v>0.8</v>
      </c>
      <c r="J454" s="948">
        <v>206.0</v>
      </c>
      <c r="K454" s="949">
        <v>0.021437316618280078</v>
      </c>
      <c r="L454" s="950" t="str">
        <f t="shared" si="1"/>
        <v/>
      </c>
      <c r="M454" s="736"/>
      <c r="N454" s="736"/>
      <c r="O454" s="736"/>
    </row>
    <row r="455">
      <c r="A455" s="951" t="s">
        <v>339</v>
      </c>
      <c r="B455" s="952" t="s">
        <v>60</v>
      </c>
      <c r="C455" s="953">
        <v>42607.0</v>
      </c>
      <c r="D455" s="954" t="s">
        <v>59</v>
      </c>
      <c r="E455" s="948" t="s">
        <v>63</v>
      </c>
      <c r="F455" s="954"/>
      <c r="G455" s="954"/>
      <c r="H455" s="954"/>
      <c r="I455" s="955"/>
      <c r="J455" s="948">
        <v>253.0</v>
      </c>
      <c r="K455" s="949">
        <v>-0.005029037855911245</v>
      </c>
      <c r="L455" s="950" t="str">
        <f t="shared" si="1"/>
        <v>yes</v>
      </c>
      <c r="M455" s="736"/>
      <c r="N455" s="736"/>
      <c r="O455" s="736"/>
    </row>
    <row r="456">
      <c r="A456" s="951" t="s">
        <v>78</v>
      </c>
      <c r="B456" s="952" t="s">
        <v>56</v>
      </c>
      <c r="C456" s="953">
        <v>42606.0</v>
      </c>
      <c r="D456" s="954" t="s">
        <v>79</v>
      </c>
      <c r="E456" s="948" t="s">
        <v>63</v>
      </c>
      <c r="F456" s="954" t="s">
        <v>80</v>
      </c>
      <c r="G456" s="954" t="s">
        <v>69</v>
      </c>
      <c r="H456" s="954" t="s">
        <v>66</v>
      </c>
      <c r="I456" s="955">
        <v>0.9</v>
      </c>
      <c r="J456" s="948">
        <v>196.0</v>
      </c>
      <c r="K456" s="949">
        <v>-0.004885872164912208</v>
      </c>
      <c r="L456" s="950" t="str">
        <f t="shared" si="1"/>
        <v/>
      </c>
      <c r="M456" s="736"/>
      <c r="N456" s="736"/>
      <c r="O456" s="736"/>
    </row>
    <row r="457">
      <c r="A457" s="951" t="s">
        <v>548</v>
      </c>
      <c r="B457" s="952" t="s">
        <v>60</v>
      </c>
      <c r="C457" s="953">
        <v>42605.0</v>
      </c>
      <c r="D457" s="954" t="s">
        <v>79</v>
      </c>
      <c r="E457" s="948" t="s">
        <v>63</v>
      </c>
      <c r="F457" s="954" t="s">
        <v>65</v>
      </c>
      <c r="G457" s="954" t="s">
        <v>64</v>
      </c>
      <c r="H457" s="954" t="s">
        <v>64</v>
      </c>
      <c r="I457" s="955">
        <v>0.9</v>
      </c>
      <c r="J457" s="948">
        <v>225.0</v>
      </c>
      <c r="K457" s="949">
        <v>0.019243648876224873</v>
      </c>
      <c r="L457" s="950" t="str">
        <f t="shared" si="1"/>
        <v/>
      </c>
      <c r="M457" s="736"/>
      <c r="N457" s="736"/>
      <c r="O457" s="736"/>
    </row>
    <row r="458">
      <c r="A458" s="951" t="s">
        <v>1900</v>
      </c>
      <c r="B458" s="952" t="s">
        <v>60</v>
      </c>
      <c r="C458" s="953">
        <v>42605.0</v>
      </c>
      <c r="D458" s="954" t="s">
        <v>79</v>
      </c>
      <c r="E458" s="948" t="s">
        <v>63</v>
      </c>
      <c r="F458" s="954" t="s">
        <v>67</v>
      </c>
      <c r="G458" s="954" t="s">
        <v>65</v>
      </c>
      <c r="H458" s="954" t="s">
        <v>66</v>
      </c>
      <c r="I458" s="955">
        <v>0.8</v>
      </c>
      <c r="J458" s="948">
        <v>212.0</v>
      </c>
      <c r="K458" s="949">
        <v>0.007547761750666293</v>
      </c>
      <c r="L458" s="950" t="str">
        <f t="shared" si="1"/>
        <v>yes</v>
      </c>
      <c r="M458" s="736"/>
      <c r="N458" s="736"/>
      <c r="O458" s="736"/>
    </row>
    <row r="459">
      <c r="A459" s="951" t="s">
        <v>328</v>
      </c>
      <c r="B459" s="952" t="s">
        <v>60</v>
      </c>
      <c r="C459" s="953">
        <v>42604.0</v>
      </c>
      <c r="D459" s="954" t="s">
        <v>59</v>
      </c>
      <c r="E459" s="948" t="s">
        <v>63</v>
      </c>
      <c r="F459" s="954" t="s">
        <v>65</v>
      </c>
      <c r="G459" s="954" t="s">
        <v>69</v>
      </c>
      <c r="H459" s="954" t="s">
        <v>66</v>
      </c>
      <c r="I459" s="955">
        <v>0.8</v>
      </c>
      <c r="J459" s="948">
        <v>210.0</v>
      </c>
      <c r="K459" s="949">
        <v>0.005017229255583344</v>
      </c>
      <c r="L459" s="950" t="str">
        <f t="shared" si="1"/>
        <v/>
      </c>
      <c r="M459" s="736"/>
      <c r="N459" s="736"/>
      <c r="O459" s="736"/>
    </row>
    <row r="460">
      <c r="A460" s="951" t="s">
        <v>1127</v>
      </c>
      <c r="B460" s="952" t="s">
        <v>60</v>
      </c>
      <c r="C460" s="953">
        <v>42604.0</v>
      </c>
      <c r="D460" s="954" t="s">
        <v>86</v>
      </c>
      <c r="E460" s="948" t="s">
        <v>63</v>
      </c>
      <c r="F460" s="954" t="s">
        <v>67</v>
      </c>
      <c r="G460" s="954" t="s">
        <v>64</v>
      </c>
      <c r="H460" s="954" t="s">
        <v>66</v>
      </c>
      <c r="I460" s="955">
        <v>0.9</v>
      </c>
      <c r="J460" s="948">
        <v>211.0</v>
      </c>
      <c r="K460" s="949">
        <v>0.018733741249429836</v>
      </c>
      <c r="L460" s="950" t="str">
        <f t="shared" si="1"/>
        <v/>
      </c>
      <c r="M460" s="736"/>
      <c r="N460" s="736"/>
      <c r="O460" s="736"/>
    </row>
    <row r="461">
      <c r="A461" s="951" t="s">
        <v>1855</v>
      </c>
      <c r="B461" s="952" t="s">
        <v>60</v>
      </c>
      <c r="C461" s="953">
        <v>42603.0</v>
      </c>
      <c r="D461" s="954" t="s">
        <v>90</v>
      </c>
      <c r="E461" s="948" t="s">
        <v>195</v>
      </c>
      <c r="F461" s="954" t="s">
        <v>69</v>
      </c>
      <c r="G461" s="954" t="s">
        <v>69</v>
      </c>
      <c r="H461" s="954" t="s">
        <v>66</v>
      </c>
      <c r="I461" s="955">
        <v>0.8</v>
      </c>
      <c r="J461" s="948">
        <v>221.0</v>
      </c>
      <c r="K461" s="949">
        <v>-0.02295739085681492</v>
      </c>
      <c r="L461" s="950" t="str">
        <f t="shared" si="1"/>
        <v>yes</v>
      </c>
      <c r="M461" s="736"/>
      <c r="N461" s="736"/>
      <c r="O461" s="736"/>
    </row>
    <row r="462">
      <c r="A462" s="951" t="s">
        <v>227</v>
      </c>
      <c r="B462" s="952" t="s">
        <v>56</v>
      </c>
      <c r="C462" s="953">
        <v>42601.0</v>
      </c>
      <c r="D462" s="954" t="s">
        <v>59</v>
      </c>
      <c r="E462" s="948" t="s">
        <v>63</v>
      </c>
      <c r="F462" s="954" t="s">
        <v>65</v>
      </c>
      <c r="G462" s="954" t="s">
        <v>64</v>
      </c>
      <c r="H462" s="954" t="s">
        <v>64</v>
      </c>
      <c r="I462" s="955">
        <v>0.8</v>
      </c>
      <c r="J462" s="948">
        <v>194.0</v>
      </c>
      <c r="K462" s="949">
        <v>0.010358835321331306</v>
      </c>
      <c r="L462" s="950" t="str">
        <f t="shared" si="1"/>
        <v>yes</v>
      </c>
      <c r="M462" s="736"/>
      <c r="N462" s="736"/>
      <c r="O462" s="736"/>
    </row>
    <row r="463">
      <c r="A463" s="951" t="s">
        <v>536</v>
      </c>
      <c r="B463" s="952" t="s">
        <v>56</v>
      </c>
      <c r="C463" s="953">
        <v>42601.0</v>
      </c>
      <c r="D463" s="954" t="s">
        <v>86</v>
      </c>
      <c r="E463" s="948" t="s">
        <v>63</v>
      </c>
      <c r="F463" s="954" t="s">
        <v>64</v>
      </c>
      <c r="G463" s="954" t="s">
        <v>64</v>
      </c>
      <c r="H463" s="954" t="s">
        <v>66</v>
      </c>
      <c r="I463" s="955">
        <v>0.9</v>
      </c>
      <c r="J463" s="948">
        <v>212.0</v>
      </c>
      <c r="K463" s="949">
        <v>0.015179165723938848</v>
      </c>
      <c r="L463" s="950" t="str">
        <f t="shared" si="1"/>
        <v>yes</v>
      </c>
      <c r="M463" s="736"/>
      <c r="N463" s="736"/>
      <c r="O463" s="736"/>
    </row>
    <row r="464">
      <c r="A464" s="951" t="s">
        <v>1703</v>
      </c>
      <c r="B464" s="952" t="s">
        <v>60</v>
      </c>
      <c r="C464" s="953">
        <v>42599.0</v>
      </c>
      <c r="D464" s="954" t="s">
        <v>118</v>
      </c>
      <c r="E464" s="948" t="s">
        <v>63</v>
      </c>
      <c r="F464" s="954"/>
      <c r="G464" s="954"/>
      <c r="H464" s="954"/>
      <c r="I464" s="955"/>
      <c r="J464" s="948">
        <v>209.0</v>
      </c>
      <c r="K464" s="949">
        <v>0.021850653921553165</v>
      </c>
      <c r="L464" s="950" t="str">
        <f t="shared" si="1"/>
        <v/>
      </c>
      <c r="M464" s="736"/>
      <c r="N464" s="736"/>
      <c r="O464" s="736"/>
    </row>
    <row r="465">
      <c r="A465" s="951" t="s">
        <v>1095</v>
      </c>
      <c r="B465" s="952" t="s">
        <v>60</v>
      </c>
      <c r="C465" s="953">
        <v>42599.0</v>
      </c>
      <c r="D465" s="954" t="s">
        <v>59</v>
      </c>
      <c r="E465" s="948" t="s">
        <v>63</v>
      </c>
      <c r="F465" s="954" t="s">
        <v>69</v>
      </c>
      <c r="G465" s="954" t="s">
        <v>66</v>
      </c>
      <c r="H465" s="954" t="s">
        <v>68</v>
      </c>
      <c r="I465" s="955">
        <v>0.7</v>
      </c>
      <c r="J465" s="948">
        <v>193.0</v>
      </c>
      <c r="K465" s="949">
        <v>0.014976211934458195</v>
      </c>
      <c r="L465" s="950" t="str">
        <f t="shared" si="1"/>
        <v>yes</v>
      </c>
      <c r="M465" s="736"/>
      <c r="N465" s="736"/>
      <c r="O465" s="736"/>
    </row>
    <row r="466">
      <c r="A466" s="951" t="s">
        <v>1661</v>
      </c>
      <c r="B466" s="952" t="s">
        <v>60</v>
      </c>
      <c r="C466" s="953">
        <v>42597.0</v>
      </c>
      <c r="D466" s="954" t="s">
        <v>59</v>
      </c>
      <c r="E466" s="948" t="s">
        <v>63</v>
      </c>
      <c r="F466" s="954" t="s">
        <v>65</v>
      </c>
      <c r="G466" s="954" t="s">
        <v>64</v>
      </c>
      <c r="H466" s="954" t="s">
        <v>69</v>
      </c>
      <c r="I466" s="955">
        <v>0.9</v>
      </c>
      <c r="J466" s="948">
        <v>229.0</v>
      </c>
      <c r="K466" s="949">
        <v>0.004582619777870445</v>
      </c>
      <c r="L466" s="950" t="str">
        <f t="shared" si="1"/>
        <v>yes</v>
      </c>
      <c r="M466" s="736"/>
      <c r="N466" s="736"/>
      <c r="O466" s="736"/>
    </row>
    <row r="467">
      <c r="A467" s="951" t="s">
        <v>1741</v>
      </c>
      <c r="B467" s="952" t="s">
        <v>60</v>
      </c>
      <c r="C467" s="953">
        <v>42596.0</v>
      </c>
      <c r="D467" s="954" t="s">
        <v>86</v>
      </c>
      <c r="E467" s="948" t="s">
        <v>63</v>
      </c>
      <c r="F467" s="954" t="s">
        <v>65</v>
      </c>
      <c r="G467" s="954" t="s">
        <v>64</v>
      </c>
      <c r="H467" s="954" t="s">
        <v>66</v>
      </c>
      <c r="I467" s="955">
        <v>0.8</v>
      </c>
      <c r="J467" s="948">
        <v>206.0</v>
      </c>
      <c r="K467" s="949">
        <v>0.013674910099661486</v>
      </c>
      <c r="L467" s="950" t="str">
        <f t="shared" si="1"/>
        <v/>
      </c>
      <c r="M467" s="736"/>
      <c r="N467" s="736"/>
      <c r="O467" s="736"/>
    </row>
    <row r="468">
      <c r="A468" s="951" t="s">
        <v>1128</v>
      </c>
      <c r="B468" s="952" t="s">
        <v>60</v>
      </c>
      <c r="C468" s="953">
        <v>42595.0</v>
      </c>
      <c r="D468" s="954" t="s">
        <v>59</v>
      </c>
      <c r="E468" s="948" t="s">
        <v>63</v>
      </c>
      <c r="F468" s="954"/>
      <c r="G468" s="954"/>
      <c r="H468" s="954"/>
      <c r="I468" s="955"/>
      <c r="J468" s="948">
        <v>200.0</v>
      </c>
      <c r="K468" s="949">
        <v>0.01648048851812145</v>
      </c>
      <c r="L468" s="950" t="str">
        <f t="shared" si="1"/>
        <v/>
      </c>
      <c r="M468" s="736"/>
      <c r="N468" s="736"/>
      <c r="O468" s="736"/>
    </row>
    <row r="469">
      <c r="A469" s="951" t="s">
        <v>1726</v>
      </c>
      <c r="B469" s="952" t="s">
        <v>60</v>
      </c>
      <c r="C469" s="953">
        <v>42594.0</v>
      </c>
      <c r="D469" s="954" t="s">
        <v>305</v>
      </c>
      <c r="E469" s="948" t="s">
        <v>63</v>
      </c>
      <c r="F469" s="954" t="s">
        <v>69</v>
      </c>
      <c r="G469" s="954" t="s">
        <v>69</v>
      </c>
      <c r="H469" s="954" t="s">
        <v>69</v>
      </c>
      <c r="I469" s="955">
        <v>0.8</v>
      </c>
      <c r="J469" s="948">
        <v>236.0</v>
      </c>
      <c r="K469" s="949">
        <v>-0.01177430913350086</v>
      </c>
      <c r="L469" s="950" t="str">
        <f t="shared" si="1"/>
        <v/>
      </c>
      <c r="M469" s="736"/>
      <c r="N469" s="736"/>
      <c r="O469" s="736"/>
    </row>
    <row r="470">
      <c r="A470" s="951" t="s">
        <v>376</v>
      </c>
      <c r="B470" s="952" t="s">
        <v>60</v>
      </c>
      <c r="C470" s="953">
        <v>42593.0</v>
      </c>
      <c r="D470" s="954" t="s">
        <v>59</v>
      </c>
      <c r="E470" s="948" t="s">
        <v>63</v>
      </c>
      <c r="F470" s="954" t="s">
        <v>64</v>
      </c>
      <c r="G470" s="954" t="s">
        <v>64</v>
      </c>
      <c r="H470" s="954" t="s">
        <v>68</v>
      </c>
      <c r="I470" s="955">
        <v>0.9</v>
      </c>
      <c r="J470" s="948">
        <v>200.0</v>
      </c>
      <c r="K470" s="949">
        <v>-0.019041455456258793</v>
      </c>
      <c r="L470" s="950" t="str">
        <f t="shared" si="1"/>
        <v/>
      </c>
      <c r="M470" s="736"/>
      <c r="N470" s="736"/>
      <c r="O470" s="736"/>
    </row>
    <row r="471">
      <c r="A471" s="951" t="s">
        <v>1336</v>
      </c>
      <c r="B471" s="952" t="s">
        <v>60</v>
      </c>
      <c r="C471" s="953">
        <v>42592.0</v>
      </c>
      <c r="D471" s="954" t="s">
        <v>59</v>
      </c>
      <c r="E471" s="948" t="s">
        <v>63</v>
      </c>
      <c r="F471" s="954" t="s">
        <v>64</v>
      </c>
      <c r="G471" s="954" t="s">
        <v>69</v>
      </c>
      <c r="H471" s="954" t="s">
        <v>66</v>
      </c>
      <c r="I471" s="955">
        <v>0.8</v>
      </c>
      <c r="J471" s="948">
        <v>207.0</v>
      </c>
      <c r="K471" s="949">
        <v>0.007137552309612549</v>
      </c>
      <c r="L471" s="950" t="str">
        <f t="shared" si="1"/>
        <v/>
      </c>
      <c r="M471" s="736"/>
      <c r="N471" s="736"/>
      <c r="O471" s="736"/>
    </row>
    <row r="472">
      <c r="A472" s="951" t="s">
        <v>58</v>
      </c>
      <c r="B472" s="952" t="s">
        <v>60</v>
      </c>
      <c r="C472" s="953">
        <v>42591.0</v>
      </c>
      <c r="D472" s="954" t="s">
        <v>59</v>
      </c>
      <c r="E472" s="948" t="s">
        <v>63</v>
      </c>
      <c r="F472" s="954" t="s">
        <v>65</v>
      </c>
      <c r="G472" s="954" t="s">
        <v>67</v>
      </c>
      <c r="H472" s="954" t="s">
        <v>66</v>
      </c>
      <c r="I472" s="955">
        <v>0.8</v>
      </c>
      <c r="J472" s="948">
        <v>218.0</v>
      </c>
      <c r="K472" s="949">
        <v>-0.009475620302904386</v>
      </c>
      <c r="L472" s="950" t="str">
        <f t="shared" si="1"/>
        <v/>
      </c>
      <c r="M472" s="736"/>
      <c r="N472" s="736"/>
      <c r="O472" s="736"/>
    </row>
    <row r="473">
      <c r="A473" s="951" t="s">
        <v>449</v>
      </c>
      <c r="B473" s="952" t="s">
        <v>60</v>
      </c>
      <c r="C473" s="953">
        <v>42591.0</v>
      </c>
      <c r="D473" s="954" t="s">
        <v>59</v>
      </c>
      <c r="E473" s="948" t="s">
        <v>63</v>
      </c>
      <c r="F473" s="954" t="s">
        <v>80</v>
      </c>
      <c r="G473" s="954" t="s">
        <v>69</v>
      </c>
      <c r="H473" s="954" t="s">
        <v>66</v>
      </c>
      <c r="I473" s="955">
        <v>0.8</v>
      </c>
      <c r="J473" s="948">
        <v>186.0</v>
      </c>
      <c r="K473" s="949">
        <v>0.012783465773598679</v>
      </c>
      <c r="L473" s="950" t="str">
        <f t="shared" si="1"/>
        <v/>
      </c>
      <c r="M473" s="736"/>
      <c r="N473" s="736"/>
      <c r="O473" s="736"/>
    </row>
    <row r="474">
      <c r="A474" s="951" t="s">
        <v>1703</v>
      </c>
      <c r="B474" s="952" t="s">
        <v>60</v>
      </c>
      <c r="C474" s="953">
        <v>42591.0</v>
      </c>
      <c r="D474" s="954" t="s">
        <v>118</v>
      </c>
      <c r="E474" s="948" t="s">
        <v>63</v>
      </c>
      <c r="F474" s="954"/>
      <c r="G474" s="954"/>
      <c r="H474" s="954"/>
      <c r="I474" s="955"/>
      <c r="J474" s="948">
        <v>210.0</v>
      </c>
      <c r="K474" s="949">
        <v>0.026680607656151434</v>
      </c>
      <c r="L474" s="950" t="str">
        <f t="shared" si="1"/>
        <v/>
      </c>
      <c r="M474" s="736"/>
      <c r="N474" s="736"/>
      <c r="O474" s="736"/>
    </row>
    <row r="475">
      <c r="A475" s="951" t="s">
        <v>761</v>
      </c>
      <c r="B475" s="952" t="s">
        <v>60</v>
      </c>
      <c r="C475" s="953">
        <v>42588.0</v>
      </c>
      <c r="D475" s="954" t="s">
        <v>90</v>
      </c>
      <c r="E475" s="948" t="s">
        <v>63</v>
      </c>
      <c r="F475" s="954" t="s">
        <v>65</v>
      </c>
      <c r="G475" s="954" t="s">
        <v>64</v>
      </c>
      <c r="H475" s="954" t="s">
        <v>66</v>
      </c>
      <c r="I475" s="955">
        <v>0.7</v>
      </c>
      <c r="J475" s="948">
        <v>231.0</v>
      </c>
      <c r="K475" s="949">
        <v>-0.03575941027358587</v>
      </c>
      <c r="L475" s="950" t="str">
        <f t="shared" si="1"/>
        <v/>
      </c>
      <c r="M475" s="736"/>
      <c r="N475" s="736"/>
      <c r="O475" s="736"/>
    </row>
    <row r="476">
      <c r="A476" s="951" t="s">
        <v>623</v>
      </c>
      <c r="B476" s="952" t="s">
        <v>60</v>
      </c>
      <c r="C476" s="953">
        <v>42587.0</v>
      </c>
      <c r="D476" s="954" t="s">
        <v>59</v>
      </c>
      <c r="E476" s="948" t="s">
        <v>63</v>
      </c>
      <c r="F476" s="954" t="s">
        <v>65</v>
      </c>
      <c r="G476" s="954" t="s">
        <v>69</v>
      </c>
      <c r="H476" s="954" t="s">
        <v>69</v>
      </c>
      <c r="I476" s="955">
        <v>0.9</v>
      </c>
      <c r="J476" s="948">
        <v>182.0</v>
      </c>
      <c r="K476" s="949">
        <v>0.001313185515761428</v>
      </c>
      <c r="L476" s="950" t="str">
        <f t="shared" si="1"/>
        <v/>
      </c>
      <c r="M476" s="736"/>
      <c r="N476" s="736"/>
      <c r="O476" s="736"/>
    </row>
    <row r="477">
      <c r="A477" s="951" t="s">
        <v>1628</v>
      </c>
      <c r="B477" s="952" t="s">
        <v>60</v>
      </c>
      <c r="C477" s="953">
        <v>42587.0</v>
      </c>
      <c r="D477" s="954" t="s">
        <v>305</v>
      </c>
      <c r="E477" s="948" t="s">
        <v>63</v>
      </c>
      <c r="F477" s="954" t="s">
        <v>65</v>
      </c>
      <c r="G477" s="954" t="s">
        <v>64</v>
      </c>
      <c r="H477" s="954" t="s">
        <v>68</v>
      </c>
      <c r="I477" s="955"/>
      <c r="J477" s="948">
        <v>215.0</v>
      </c>
      <c r="K477" s="949">
        <v>0.01665049392502793</v>
      </c>
      <c r="L477" s="950" t="str">
        <f t="shared" si="1"/>
        <v/>
      </c>
      <c r="M477" s="736"/>
      <c r="N477" s="736"/>
      <c r="O477" s="736"/>
    </row>
    <row r="478">
      <c r="A478" s="951" t="s">
        <v>1625</v>
      </c>
      <c r="B478" s="952" t="s">
        <v>60</v>
      </c>
      <c r="C478" s="953">
        <v>42586.0</v>
      </c>
      <c r="D478" s="954" t="s">
        <v>59</v>
      </c>
      <c r="E478" s="948" t="s">
        <v>63</v>
      </c>
      <c r="F478" s="954" t="s">
        <v>64</v>
      </c>
      <c r="G478" s="954" t="s">
        <v>64</v>
      </c>
      <c r="H478" s="954" t="s">
        <v>69</v>
      </c>
      <c r="I478" s="955">
        <v>0.8</v>
      </c>
      <c r="J478" s="948">
        <v>223.0</v>
      </c>
      <c r="K478" s="949">
        <v>-0.005257151748934263</v>
      </c>
      <c r="L478" s="950" t="str">
        <f t="shared" si="1"/>
        <v>yes</v>
      </c>
      <c r="M478" s="736"/>
      <c r="N478" s="736"/>
      <c r="O478" s="736"/>
    </row>
    <row r="479">
      <c r="A479" s="951" t="s">
        <v>1013</v>
      </c>
      <c r="B479" s="952" t="s">
        <v>60</v>
      </c>
      <c r="C479" s="953">
        <v>42586.0</v>
      </c>
      <c r="D479" s="954" t="s">
        <v>59</v>
      </c>
      <c r="E479" s="948" t="s">
        <v>63</v>
      </c>
      <c r="F479" s="954" t="s">
        <v>64</v>
      </c>
      <c r="G479" s="954" t="s">
        <v>64</v>
      </c>
      <c r="H479" s="954" t="s">
        <v>66</v>
      </c>
      <c r="I479" s="955">
        <v>0.8</v>
      </c>
      <c r="J479" s="948">
        <v>220.0</v>
      </c>
      <c r="K479" s="949">
        <v>0.02212442385688851</v>
      </c>
      <c r="L479" s="950" t="str">
        <f t="shared" si="1"/>
        <v/>
      </c>
      <c r="M479" s="736"/>
      <c r="N479" s="736"/>
      <c r="O479" s="736"/>
    </row>
    <row r="480">
      <c r="A480" s="951" t="s">
        <v>1882</v>
      </c>
      <c r="B480" s="952" t="s">
        <v>60</v>
      </c>
      <c r="C480" s="953">
        <v>42586.0</v>
      </c>
      <c r="D480" s="954" t="s">
        <v>118</v>
      </c>
      <c r="E480" s="948" t="s">
        <v>63</v>
      </c>
      <c r="F480" s="954" t="s">
        <v>64</v>
      </c>
      <c r="G480" s="954" t="s">
        <v>69</v>
      </c>
      <c r="H480" s="954" t="s">
        <v>68</v>
      </c>
      <c r="I480" s="955">
        <v>0.8</v>
      </c>
      <c r="J480" s="948">
        <v>204.0</v>
      </c>
      <c r="K480" s="949">
        <v>0.0024426091431850594</v>
      </c>
      <c r="L480" s="950" t="str">
        <f t="shared" si="1"/>
        <v/>
      </c>
      <c r="M480" s="736"/>
      <c r="N480" s="736"/>
      <c r="O480" s="736"/>
    </row>
    <row r="481">
      <c r="A481" s="951" t="s">
        <v>1611</v>
      </c>
      <c r="B481" s="952" t="s">
        <v>60</v>
      </c>
      <c r="C481" s="953">
        <v>42583.0</v>
      </c>
      <c r="D481" s="954" t="s">
        <v>79</v>
      </c>
      <c r="E481" s="948" t="s">
        <v>63</v>
      </c>
      <c r="F481" s="954" t="s">
        <v>69</v>
      </c>
      <c r="G481" s="954" t="s">
        <v>69</v>
      </c>
      <c r="H481" s="954" t="s">
        <v>68</v>
      </c>
      <c r="I481" s="955">
        <v>0.9</v>
      </c>
      <c r="J481" s="948">
        <v>201.0</v>
      </c>
      <c r="K481" s="949">
        <v>0.008153898491396916</v>
      </c>
      <c r="L481" s="950" t="str">
        <f t="shared" si="1"/>
        <v/>
      </c>
      <c r="M481" s="736"/>
      <c r="N481" s="736"/>
      <c r="O481" s="736"/>
    </row>
    <row r="482">
      <c r="A482" s="951" t="s">
        <v>761</v>
      </c>
      <c r="B482" s="952" t="s">
        <v>60</v>
      </c>
      <c r="C482" s="953">
        <v>42582.0</v>
      </c>
      <c r="D482" s="954" t="s">
        <v>90</v>
      </c>
      <c r="E482" s="948" t="s">
        <v>63</v>
      </c>
      <c r="F482" s="954" t="s">
        <v>65</v>
      </c>
      <c r="G482" s="954" t="s">
        <v>64</v>
      </c>
      <c r="H482" s="954" t="s">
        <v>66</v>
      </c>
      <c r="I482" s="955">
        <v>0.7</v>
      </c>
      <c r="J482" s="948">
        <v>231.0</v>
      </c>
      <c r="K482" s="949">
        <v>-0.03630625853020797</v>
      </c>
      <c r="L482" s="950" t="str">
        <f t="shared" si="1"/>
        <v/>
      </c>
      <c r="M482" s="736"/>
      <c r="N482" s="736"/>
      <c r="O482" s="736"/>
    </row>
    <row r="483">
      <c r="A483" s="951" t="s">
        <v>761</v>
      </c>
      <c r="B483" s="952" t="s">
        <v>60</v>
      </c>
      <c r="C483" s="953">
        <v>42582.0</v>
      </c>
      <c r="D483" s="954" t="s">
        <v>90</v>
      </c>
      <c r="E483" s="948" t="s">
        <v>63</v>
      </c>
      <c r="F483" s="954" t="s">
        <v>65</v>
      </c>
      <c r="G483" s="954" t="s">
        <v>64</v>
      </c>
      <c r="H483" s="954" t="s">
        <v>66</v>
      </c>
      <c r="I483" s="955">
        <v>0.7</v>
      </c>
      <c r="J483" s="948">
        <v>231.0</v>
      </c>
      <c r="K483" s="949">
        <v>-0.03864944705856288</v>
      </c>
      <c r="L483" s="950" t="str">
        <f t="shared" si="1"/>
        <v/>
      </c>
      <c r="M483" s="736"/>
      <c r="N483" s="736"/>
      <c r="O483" s="736"/>
    </row>
    <row r="484">
      <c r="A484" s="951" t="s">
        <v>761</v>
      </c>
      <c r="B484" s="952" t="s">
        <v>60</v>
      </c>
      <c r="C484" s="953">
        <v>42582.0</v>
      </c>
      <c r="D484" s="954" t="s">
        <v>90</v>
      </c>
      <c r="E484" s="948" t="s">
        <v>63</v>
      </c>
      <c r="F484" s="954" t="s">
        <v>65</v>
      </c>
      <c r="G484" s="954" t="s">
        <v>64</v>
      </c>
      <c r="H484" s="954" t="s">
        <v>66</v>
      </c>
      <c r="I484" s="955">
        <v>0.7</v>
      </c>
      <c r="J484" s="948">
        <v>231.0</v>
      </c>
      <c r="K484" s="949">
        <v>-0.03359220287570508</v>
      </c>
      <c r="L484" s="950" t="str">
        <f t="shared" si="1"/>
        <v/>
      </c>
      <c r="M484" s="736"/>
      <c r="N484" s="736"/>
      <c r="O484" s="736"/>
    </row>
    <row r="485">
      <c r="A485" s="951" t="s">
        <v>348</v>
      </c>
      <c r="B485" s="952" t="s">
        <v>60</v>
      </c>
      <c r="C485" s="953">
        <v>42582.0</v>
      </c>
      <c r="D485" s="954" t="s">
        <v>59</v>
      </c>
      <c r="E485" s="948" t="s">
        <v>195</v>
      </c>
      <c r="F485" s="954" t="s">
        <v>64</v>
      </c>
      <c r="G485" s="954" t="s">
        <v>69</v>
      </c>
      <c r="H485" s="954" t="s">
        <v>69</v>
      </c>
      <c r="I485" s="955">
        <v>0.9</v>
      </c>
      <c r="J485" s="948">
        <v>266.0</v>
      </c>
      <c r="K485" s="949">
        <v>-0.007191794064030144</v>
      </c>
      <c r="L485" s="950" t="str">
        <f t="shared" si="1"/>
        <v>yes</v>
      </c>
      <c r="M485" s="736"/>
      <c r="N485" s="736"/>
      <c r="O485" s="736"/>
    </row>
    <row r="486">
      <c r="A486" s="951" t="s">
        <v>1741</v>
      </c>
      <c r="B486" s="952" t="s">
        <v>60</v>
      </c>
      <c r="C486" s="953">
        <v>42582.0</v>
      </c>
      <c r="D486" s="954" t="s">
        <v>86</v>
      </c>
      <c r="E486" s="948" t="s">
        <v>63</v>
      </c>
      <c r="F486" s="954" t="s">
        <v>65</v>
      </c>
      <c r="G486" s="954" t="s">
        <v>64</v>
      </c>
      <c r="H486" s="954" t="s">
        <v>66</v>
      </c>
      <c r="I486" s="955">
        <v>0.8</v>
      </c>
      <c r="J486" s="948">
        <v>206.0</v>
      </c>
      <c r="K486" s="949">
        <v>0.012904355356501807</v>
      </c>
      <c r="L486" s="950" t="str">
        <f t="shared" si="1"/>
        <v/>
      </c>
      <c r="M486" s="736"/>
      <c r="N486" s="736"/>
      <c r="O486" s="736"/>
    </row>
    <row r="487">
      <c r="A487" s="951" t="s">
        <v>1632</v>
      </c>
      <c r="B487" s="952" t="s">
        <v>60</v>
      </c>
      <c r="C487" s="953">
        <v>42581.0</v>
      </c>
      <c r="D487" s="954" t="s">
        <v>619</v>
      </c>
      <c r="E487" s="948" t="s">
        <v>63</v>
      </c>
      <c r="F487" s="954" t="s">
        <v>64</v>
      </c>
      <c r="G487" s="954" t="s">
        <v>65</v>
      </c>
      <c r="H487" s="954" t="s">
        <v>69</v>
      </c>
      <c r="I487" s="955">
        <v>0.7</v>
      </c>
      <c r="J487" s="948">
        <v>244.0</v>
      </c>
      <c r="K487" s="949">
        <v>0.0031257623156252246</v>
      </c>
      <c r="L487" s="950" t="str">
        <f t="shared" si="1"/>
        <v/>
      </c>
      <c r="M487" s="736"/>
      <c r="N487" s="736"/>
      <c r="O487" s="736"/>
    </row>
    <row r="488">
      <c r="A488" s="951" t="s">
        <v>1890</v>
      </c>
      <c r="B488" s="952" t="s">
        <v>60</v>
      </c>
      <c r="C488" s="953">
        <v>42581.0</v>
      </c>
      <c r="D488" s="954" t="s">
        <v>118</v>
      </c>
      <c r="E488" s="948" t="s">
        <v>63</v>
      </c>
      <c r="F488" s="954"/>
      <c r="G488" s="954"/>
      <c r="H488" s="954"/>
      <c r="I488" s="955"/>
      <c r="J488" s="948">
        <v>186.0</v>
      </c>
      <c r="K488" s="949">
        <v>-0.002170295702540015</v>
      </c>
      <c r="L488" s="950" t="str">
        <f t="shared" si="1"/>
        <v/>
      </c>
      <c r="M488" s="736"/>
      <c r="N488" s="736"/>
      <c r="O488" s="736"/>
    </row>
    <row r="489">
      <c r="A489" s="951" t="s">
        <v>519</v>
      </c>
      <c r="B489" s="952" t="s">
        <v>56</v>
      </c>
      <c r="C489" s="953">
        <v>42581.0</v>
      </c>
      <c r="D489" s="954" t="s">
        <v>305</v>
      </c>
      <c r="E489" s="948" t="s">
        <v>63</v>
      </c>
      <c r="F489" s="954" t="s">
        <v>66</v>
      </c>
      <c r="G489" s="954" t="s">
        <v>68</v>
      </c>
      <c r="H489" s="954" t="s">
        <v>68</v>
      </c>
      <c r="I489" s="955">
        <v>0.8</v>
      </c>
      <c r="J489" s="948">
        <v>171.0</v>
      </c>
      <c r="K489" s="949">
        <v>0.013435539412958164</v>
      </c>
      <c r="L489" s="950" t="str">
        <f t="shared" si="1"/>
        <v/>
      </c>
      <c r="M489" s="736"/>
      <c r="N489" s="736"/>
      <c r="O489" s="736"/>
    </row>
    <row r="490">
      <c r="A490" s="951" t="s">
        <v>1637</v>
      </c>
      <c r="B490" s="952" t="s">
        <v>60</v>
      </c>
      <c r="C490" s="953">
        <v>42579.0</v>
      </c>
      <c r="D490" s="954" t="s">
        <v>118</v>
      </c>
      <c r="E490" s="948" t="s">
        <v>63</v>
      </c>
      <c r="F490" s="954" t="s">
        <v>127</v>
      </c>
      <c r="G490" s="954" t="s">
        <v>64</v>
      </c>
      <c r="H490" s="954" t="s">
        <v>69</v>
      </c>
      <c r="I490" s="955">
        <v>0.8</v>
      </c>
      <c r="J490" s="948">
        <v>209.0</v>
      </c>
      <c r="K490" s="949">
        <v>0.020116374746896204</v>
      </c>
      <c r="L490" s="950" t="str">
        <f t="shared" si="1"/>
        <v/>
      </c>
      <c r="M490" s="736"/>
      <c r="N490" s="736"/>
      <c r="O490" s="736"/>
    </row>
    <row r="491">
      <c r="A491" s="951" t="s">
        <v>1336</v>
      </c>
      <c r="B491" s="952" t="s">
        <v>60</v>
      </c>
      <c r="C491" s="953">
        <v>42576.0</v>
      </c>
      <c r="D491" s="954" t="s">
        <v>59</v>
      </c>
      <c r="E491" s="948" t="s">
        <v>63</v>
      </c>
      <c r="F491" s="954" t="s">
        <v>64</v>
      </c>
      <c r="G491" s="954" t="s">
        <v>69</v>
      </c>
      <c r="H491" s="954" t="s">
        <v>66</v>
      </c>
      <c r="I491" s="955">
        <v>0.8</v>
      </c>
      <c r="J491" s="948">
        <v>207.0</v>
      </c>
      <c r="K491" s="949">
        <v>0.007940286983553868</v>
      </c>
      <c r="L491" s="950" t="str">
        <f t="shared" si="1"/>
        <v/>
      </c>
      <c r="M491" s="736"/>
      <c r="N491" s="736"/>
      <c r="O491" s="736"/>
    </row>
    <row r="492">
      <c r="A492" s="951" t="s">
        <v>1607</v>
      </c>
      <c r="B492" s="952" t="s">
        <v>60</v>
      </c>
      <c r="C492" s="953">
        <v>42576.0</v>
      </c>
      <c r="D492" s="954" t="s">
        <v>79</v>
      </c>
      <c r="E492" s="948" t="s">
        <v>63</v>
      </c>
      <c r="F492" s="954" t="s">
        <v>69</v>
      </c>
      <c r="G492" s="954" t="s">
        <v>69</v>
      </c>
      <c r="H492" s="954" t="s">
        <v>69</v>
      </c>
      <c r="I492" s="955">
        <v>0.8</v>
      </c>
      <c r="J492" s="948">
        <v>235.0</v>
      </c>
      <c r="K492" s="949">
        <v>0.009536205356320826</v>
      </c>
      <c r="L492" s="950" t="str">
        <f t="shared" si="1"/>
        <v>yes</v>
      </c>
      <c r="M492" s="736"/>
      <c r="N492" s="736"/>
      <c r="O492" s="736"/>
    </row>
    <row r="493">
      <c r="A493" s="951" t="s">
        <v>1726</v>
      </c>
      <c r="B493" s="952" t="s">
        <v>60</v>
      </c>
      <c r="C493" s="953">
        <v>42569.0</v>
      </c>
      <c r="D493" s="954" t="s">
        <v>305</v>
      </c>
      <c r="E493" s="948" t="s">
        <v>63</v>
      </c>
      <c r="F493" s="954" t="s">
        <v>69</v>
      </c>
      <c r="G493" s="954" t="s">
        <v>69</v>
      </c>
      <c r="H493" s="954" t="s">
        <v>69</v>
      </c>
      <c r="I493" s="955">
        <v>0.8</v>
      </c>
      <c r="J493" s="948">
        <v>236.0</v>
      </c>
      <c r="K493" s="949">
        <v>-0.008664834394308207</v>
      </c>
      <c r="L493" s="950" t="str">
        <f t="shared" si="1"/>
        <v/>
      </c>
      <c r="M493" s="736"/>
      <c r="N493" s="736"/>
      <c r="O493" s="736"/>
    </row>
    <row r="494">
      <c r="A494" s="951" t="s">
        <v>1821</v>
      </c>
      <c r="B494" s="952" t="s">
        <v>60</v>
      </c>
      <c r="C494" s="953">
        <v>42568.0</v>
      </c>
      <c r="D494" s="954" t="s">
        <v>305</v>
      </c>
      <c r="E494" s="948" t="s">
        <v>63</v>
      </c>
      <c r="F494" s="954" t="s">
        <v>67</v>
      </c>
      <c r="G494" s="954" t="s">
        <v>67</v>
      </c>
      <c r="H494" s="954" t="s">
        <v>64</v>
      </c>
      <c r="I494" s="955">
        <v>0.9</v>
      </c>
      <c r="J494" s="948">
        <v>194.0</v>
      </c>
      <c r="K494" s="949">
        <v>0.02457343490089281</v>
      </c>
      <c r="L494" s="950" t="str">
        <f t="shared" si="1"/>
        <v>yes</v>
      </c>
      <c r="M494" s="736"/>
      <c r="N494" s="736"/>
      <c r="O494" s="736"/>
    </row>
    <row r="495">
      <c r="A495" s="951" t="s">
        <v>1762</v>
      </c>
      <c r="B495" s="952" t="s">
        <v>60</v>
      </c>
      <c r="C495" s="953">
        <v>42568.0</v>
      </c>
      <c r="D495" s="954" t="s">
        <v>59</v>
      </c>
      <c r="E495" s="948" t="s">
        <v>63</v>
      </c>
      <c r="F495" s="954" t="s">
        <v>67</v>
      </c>
      <c r="G495" s="954" t="s">
        <v>69</v>
      </c>
      <c r="H495" s="954" t="s">
        <v>68</v>
      </c>
      <c r="I495" s="955">
        <v>0.7</v>
      </c>
      <c r="J495" s="948">
        <v>220.0</v>
      </c>
      <c r="K495" s="949">
        <v>0.003098603316441295</v>
      </c>
      <c r="L495" s="950" t="str">
        <f t="shared" si="1"/>
        <v/>
      </c>
      <c r="M495" s="736"/>
      <c r="N495" s="736"/>
      <c r="O495" s="736"/>
    </row>
    <row r="496">
      <c r="A496" s="951" t="s">
        <v>1703</v>
      </c>
      <c r="B496" s="952" t="s">
        <v>60</v>
      </c>
      <c r="C496" s="953">
        <v>42567.0</v>
      </c>
      <c r="D496" s="954" t="s">
        <v>118</v>
      </c>
      <c r="E496" s="948" t="s">
        <v>63</v>
      </c>
      <c r="F496" s="954" t="s">
        <v>65</v>
      </c>
      <c r="G496" s="954" t="s">
        <v>68</v>
      </c>
      <c r="H496" s="954" t="s">
        <v>68</v>
      </c>
      <c r="I496" s="955">
        <v>0.9</v>
      </c>
      <c r="J496" s="948">
        <v>211.0</v>
      </c>
      <c r="K496" s="949">
        <v>0.020132192734911847</v>
      </c>
      <c r="L496" s="950" t="str">
        <f t="shared" si="1"/>
        <v/>
      </c>
      <c r="M496" s="736"/>
      <c r="N496" s="736"/>
      <c r="O496" s="736"/>
    </row>
    <row r="497">
      <c r="A497" s="951" t="s">
        <v>1882</v>
      </c>
      <c r="B497" s="952" t="s">
        <v>60</v>
      </c>
      <c r="C497" s="953">
        <v>42567.0</v>
      </c>
      <c r="D497" s="954" t="s">
        <v>118</v>
      </c>
      <c r="E497" s="948" t="s">
        <v>63</v>
      </c>
      <c r="F497" s="954" t="s">
        <v>69</v>
      </c>
      <c r="G497" s="954" t="s">
        <v>69</v>
      </c>
      <c r="H497" s="954" t="s">
        <v>68</v>
      </c>
      <c r="I497" s="955">
        <v>0.8</v>
      </c>
      <c r="J497" s="948">
        <v>206.0</v>
      </c>
      <c r="K497" s="949">
        <v>-0.0051951800216721855</v>
      </c>
      <c r="L497" s="950" t="str">
        <f t="shared" si="1"/>
        <v/>
      </c>
      <c r="M497" s="736"/>
      <c r="N497" s="736"/>
      <c r="O497" s="736"/>
    </row>
    <row r="498">
      <c r="A498" s="951" t="s">
        <v>1853</v>
      </c>
      <c r="B498" s="952" t="s">
        <v>60</v>
      </c>
      <c r="C498" s="953">
        <v>42567.0</v>
      </c>
      <c r="D498" s="954" t="s">
        <v>305</v>
      </c>
      <c r="E498" s="948" t="s">
        <v>63</v>
      </c>
      <c r="F498" s="954"/>
      <c r="G498" s="954"/>
      <c r="H498" s="954"/>
      <c r="I498" s="955"/>
      <c r="J498" s="948">
        <v>242.0</v>
      </c>
      <c r="K498" s="949">
        <v>0.005971433040885654</v>
      </c>
      <c r="L498" s="950" t="str">
        <f t="shared" si="1"/>
        <v>yes</v>
      </c>
      <c r="M498" s="736"/>
      <c r="N498" s="736"/>
      <c r="O498" s="736"/>
    </row>
    <row r="499">
      <c r="A499" s="951" t="s">
        <v>1127</v>
      </c>
      <c r="B499" s="952" t="s">
        <v>60</v>
      </c>
      <c r="C499" s="953">
        <v>42567.0</v>
      </c>
      <c r="D499" s="954" t="s">
        <v>86</v>
      </c>
      <c r="E499" s="948" t="s">
        <v>63</v>
      </c>
      <c r="F499" s="954" t="s">
        <v>67</v>
      </c>
      <c r="G499" s="954" t="s">
        <v>64</v>
      </c>
      <c r="H499" s="954" t="s">
        <v>66</v>
      </c>
      <c r="I499" s="955">
        <v>0.9</v>
      </c>
      <c r="J499" s="948">
        <v>211.0</v>
      </c>
      <c r="K499" s="949">
        <v>0.019058127685614656</v>
      </c>
      <c r="L499" s="950" t="str">
        <f t="shared" si="1"/>
        <v/>
      </c>
      <c r="M499" s="736"/>
      <c r="N499" s="736"/>
      <c r="O499" s="736"/>
    </row>
    <row r="500">
      <c r="A500" s="951" t="s">
        <v>519</v>
      </c>
      <c r="B500" s="952" t="s">
        <v>56</v>
      </c>
      <c r="C500" s="953">
        <v>42567.0</v>
      </c>
      <c r="D500" s="954" t="s">
        <v>305</v>
      </c>
      <c r="E500" s="948" t="s">
        <v>63</v>
      </c>
      <c r="F500" s="954" t="s">
        <v>66</v>
      </c>
      <c r="G500" s="954" t="s">
        <v>68</v>
      </c>
      <c r="H500" s="954" t="s">
        <v>68</v>
      </c>
      <c r="I500" s="955">
        <v>0.7</v>
      </c>
      <c r="J500" s="948">
        <v>170.0</v>
      </c>
      <c r="K500" s="949">
        <v>0.011781630273707488</v>
      </c>
      <c r="L500" s="950" t="str">
        <f t="shared" si="1"/>
        <v/>
      </c>
      <c r="M500" s="736"/>
      <c r="N500" s="736"/>
      <c r="O500" s="736"/>
    </row>
    <row r="501">
      <c r="A501" s="951" t="s">
        <v>525</v>
      </c>
      <c r="B501" s="952" t="s">
        <v>56</v>
      </c>
      <c r="C501" s="953">
        <v>42567.0</v>
      </c>
      <c r="D501" s="954" t="s">
        <v>79</v>
      </c>
      <c r="E501" s="948" t="s">
        <v>63</v>
      </c>
      <c r="F501" s="954" t="s">
        <v>69</v>
      </c>
      <c r="G501" s="954" t="s">
        <v>69</v>
      </c>
      <c r="H501" s="954" t="s">
        <v>68</v>
      </c>
      <c r="I501" s="955">
        <v>0.9</v>
      </c>
      <c r="J501" s="948">
        <v>224.0</v>
      </c>
      <c r="K501" s="949">
        <v>0.0018536818581628145</v>
      </c>
      <c r="L501" s="950" t="str">
        <f t="shared" si="1"/>
        <v>yes</v>
      </c>
      <c r="M501" s="736"/>
      <c r="N501" s="736"/>
      <c r="O501" s="736"/>
    </row>
    <row r="502">
      <c r="A502" s="951" t="s">
        <v>126</v>
      </c>
      <c r="B502" s="952" t="s">
        <v>60</v>
      </c>
      <c r="C502" s="953">
        <v>42562.0</v>
      </c>
      <c r="D502" s="954" t="s">
        <v>79</v>
      </c>
      <c r="E502" s="948" t="s">
        <v>63</v>
      </c>
      <c r="F502" s="954" t="s">
        <v>65</v>
      </c>
      <c r="G502" s="954" t="s">
        <v>127</v>
      </c>
      <c r="H502" s="954" t="s">
        <v>69</v>
      </c>
      <c r="I502" s="955">
        <v>1.0</v>
      </c>
      <c r="J502" s="948">
        <v>215.0</v>
      </c>
      <c r="K502" s="949">
        <v>-0.0027393197185574536</v>
      </c>
      <c r="L502" s="950" t="str">
        <f t="shared" si="1"/>
        <v/>
      </c>
      <c r="M502" s="736"/>
      <c r="N502" s="736"/>
      <c r="O502" s="736"/>
    </row>
    <row r="503">
      <c r="A503" s="951" t="s">
        <v>1858</v>
      </c>
      <c r="B503" s="952" t="s">
        <v>60</v>
      </c>
      <c r="C503" s="953">
        <v>42559.0</v>
      </c>
      <c r="D503" s="954" t="s">
        <v>305</v>
      </c>
      <c r="E503" s="948" t="s">
        <v>63</v>
      </c>
      <c r="F503" s="954"/>
      <c r="G503" s="954"/>
      <c r="H503" s="954"/>
      <c r="I503" s="955"/>
      <c r="J503" s="948">
        <v>225.0</v>
      </c>
      <c r="K503" s="949">
        <v>0.024009938601332048</v>
      </c>
      <c r="L503" s="950" t="str">
        <f t="shared" si="1"/>
        <v/>
      </c>
      <c r="M503" s="736"/>
      <c r="N503" s="736"/>
      <c r="O503" s="736"/>
    </row>
    <row r="504">
      <c r="A504" s="951" t="s">
        <v>161</v>
      </c>
      <c r="B504" s="952" t="s">
        <v>56</v>
      </c>
      <c r="C504" s="953">
        <v>42559.0</v>
      </c>
      <c r="D504" s="954" t="s">
        <v>59</v>
      </c>
      <c r="E504" s="948" t="s">
        <v>63</v>
      </c>
      <c r="F504" s="954" t="s">
        <v>64</v>
      </c>
      <c r="G504" s="954" t="s">
        <v>69</v>
      </c>
      <c r="H504" s="954" t="s">
        <v>69</v>
      </c>
      <c r="I504" s="955">
        <v>0.9</v>
      </c>
      <c r="J504" s="948">
        <v>185.0</v>
      </c>
      <c r="K504" s="949">
        <v>-0.008685227958497244</v>
      </c>
      <c r="L504" s="950" t="str">
        <f t="shared" si="1"/>
        <v/>
      </c>
      <c r="M504" s="736"/>
      <c r="N504" s="736"/>
      <c r="O504" s="736"/>
    </row>
    <row r="505">
      <c r="A505" s="951" t="s">
        <v>761</v>
      </c>
      <c r="B505" s="952" t="s">
        <v>60</v>
      </c>
      <c r="C505" s="953">
        <v>42553.0</v>
      </c>
      <c r="D505" s="954" t="s">
        <v>90</v>
      </c>
      <c r="E505" s="948" t="s">
        <v>63</v>
      </c>
      <c r="F505" s="954" t="s">
        <v>65</v>
      </c>
      <c r="G505" s="954" t="s">
        <v>64</v>
      </c>
      <c r="H505" s="954" t="s">
        <v>66</v>
      </c>
      <c r="I505" s="955">
        <v>0.7</v>
      </c>
      <c r="J505" s="948">
        <v>232.0</v>
      </c>
      <c r="K505" s="949">
        <v>-0.03729857883769461</v>
      </c>
      <c r="L505" s="950" t="str">
        <f t="shared" si="1"/>
        <v/>
      </c>
      <c r="M505" s="736"/>
      <c r="N505" s="736"/>
      <c r="O505" s="736"/>
    </row>
    <row r="506">
      <c r="A506" s="951" t="s">
        <v>1695</v>
      </c>
      <c r="B506" s="952" t="s">
        <v>60</v>
      </c>
      <c r="C506" s="953">
        <v>42553.0</v>
      </c>
      <c r="D506" s="954" t="s">
        <v>57</v>
      </c>
      <c r="E506" s="948" t="s">
        <v>63</v>
      </c>
      <c r="F506" s="954" t="s">
        <v>66</v>
      </c>
      <c r="G506" s="954" t="s">
        <v>66</v>
      </c>
      <c r="H506" s="954" t="s">
        <v>68</v>
      </c>
      <c r="I506" s="955">
        <v>0.8</v>
      </c>
      <c r="J506" s="948">
        <v>225.0</v>
      </c>
      <c r="K506" s="949">
        <v>0.009026770222196334</v>
      </c>
      <c r="L506" s="950" t="str">
        <f t="shared" si="1"/>
        <v/>
      </c>
      <c r="M506" s="736"/>
      <c r="N506" s="736"/>
      <c r="O506" s="736"/>
    </row>
    <row r="507">
      <c r="A507" s="951" t="s">
        <v>511</v>
      </c>
      <c r="B507" s="952" t="s">
        <v>56</v>
      </c>
      <c r="C507" s="953">
        <v>42552.0</v>
      </c>
      <c r="D507" s="954" t="s">
        <v>305</v>
      </c>
      <c r="E507" s="948" t="s">
        <v>63</v>
      </c>
      <c r="F507" s="954" t="s">
        <v>65</v>
      </c>
      <c r="G507" s="954" t="s">
        <v>66</v>
      </c>
      <c r="H507" s="954" t="s">
        <v>68</v>
      </c>
      <c r="I507" s="955">
        <v>0.8</v>
      </c>
      <c r="J507" s="948">
        <v>200.0</v>
      </c>
      <c r="K507" s="949">
        <v>0.0066687488030746644</v>
      </c>
      <c r="L507" s="950" t="str">
        <f t="shared" si="1"/>
        <v>yes</v>
      </c>
      <c r="M507" s="736"/>
      <c r="N507" s="736"/>
      <c r="O507" s="736"/>
    </row>
    <row r="508">
      <c r="A508" s="951" t="s">
        <v>143</v>
      </c>
      <c r="B508" s="952" t="s">
        <v>56</v>
      </c>
      <c r="C508" s="953">
        <v>42552.0</v>
      </c>
      <c r="D508" s="954" t="s">
        <v>59</v>
      </c>
      <c r="E508" s="948" t="s">
        <v>63</v>
      </c>
      <c r="F508" s="954" t="s">
        <v>67</v>
      </c>
      <c r="G508" s="954" t="s">
        <v>64</v>
      </c>
      <c r="H508" s="954" t="s">
        <v>66</v>
      </c>
      <c r="I508" s="955">
        <v>0.8</v>
      </c>
      <c r="J508" s="948">
        <v>199.0</v>
      </c>
      <c r="K508" s="949">
        <v>0.012453898542288067</v>
      </c>
      <c r="L508" s="950" t="str">
        <f t="shared" si="1"/>
        <v/>
      </c>
      <c r="M508" s="736"/>
      <c r="N508" s="736"/>
      <c r="O508" s="736"/>
    </row>
    <row r="509">
      <c r="A509" s="951" t="s">
        <v>620</v>
      </c>
      <c r="B509" s="952" t="s">
        <v>60</v>
      </c>
      <c r="C509" s="953">
        <v>42550.0</v>
      </c>
      <c r="D509" s="954" t="s">
        <v>86</v>
      </c>
      <c r="E509" s="948" t="s">
        <v>63</v>
      </c>
      <c r="F509" s="954"/>
      <c r="G509" s="954"/>
      <c r="H509" s="954"/>
      <c r="I509" s="955"/>
      <c r="J509" s="948">
        <v>218.0</v>
      </c>
      <c r="K509" s="949">
        <v>0.031762064708832694</v>
      </c>
      <c r="L509" s="950" t="str">
        <f t="shared" si="1"/>
        <v>yes</v>
      </c>
      <c r="M509" s="736"/>
      <c r="N509" s="736"/>
      <c r="O509" s="736"/>
    </row>
    <row r="510">
      <c r="A510" s="951" t="s">
        <v>1741</v>
      </c>
      <c r="B510" s="952" t="s">
        <v>60</v>
      </c>
      <c r="C510" s="953">
        <v>42549.0</v>
      </c>
      <c r="D510" s="954" t="s">
        <v>86</v>
      </c>
      <c r="E510" s="948" t="s">
        <v>63</v>
      </c>
      <c r="F510" s="954" t="s">
        <v>65</v>
      </c>
      <c r="G510" s="954" t="s">
        <v>64</v>
      </c>
      <c r="H510" s="954" t="s">
        <v>66</v>
      </c>
      <c r="I510" s="955">
        <v>0.8</v>
      </c>
      <c r="J510" s="948">
        <v>206.0</v>
      </c>
      <c r="K510" s="949">
        <v>0.007216442249853294</v>
      </c>
      <c r="L510" s="950" t="str">
        <f t="shared" si="1"/>
        <v/>
      </c>
      <c r="M510" s="736"/>
      <c r="N510" s="736"/>
      <c r="O510" s="736"/>
    </row>
    <row r="511">
      <c r="A511" s="951" t="s">
        <v>513</v>
      </c>
      <c r="B511" s="952" t="s">
        <v>60</v>
      </c>
      <c r="C511" s="953">
        <v>42547.0</v>
      </c>
      <c r="D511" s="954" t="s">
        <v>59</v>
      </c>
      <c r="E511" s="948" t="s">
        <v>63</v>
      </c>
      <c r="F511" s="954" t="s">
        <v>64</v>
      </c>
      <c r="G511" s="954" t="s">
        <v>64</v>
      </c>
      <c r="H511" s="954" t="s">
        <v>69</v>
      </c>
      <c r="I511" s="955">
        <v>0.8</v>
      </c>
      <c r="J511" s="948">
        <v>225.0</v>
      </c>
      <c r="K511" s="949">
        <v>0.01991944642717658</v>
      </c>
      <c r="L511" s="950" t="str">
        <f t="shared" si="1"/>
        <v>yes</v>
      </c>
      <c r="M511" s="736"/>
      <c r="N511" s="736"/>
      <c r="O511" s="736"/>
    </row>
    <row r="512">
      <c r="A512" s="951" t="s">
        <v>1637</v>
      </c>
      <c r="B512" s="952" t="s">
        <v>60</v>
      </c>
      <c r="C512" s="953">
        <v>42545.0</v>
      </c>
      <c r="D512" s="954" t="s">
        <v>118</v>
      </c>
      <c r="E512" s="948" t="s">
        <v>63</v>
      </c>
      <c r="F512" s="954" t="s">
        <v>127</v>
      </c>
      <c r="G512" s="954" t="s">
        <v>64</v>
      </c>
      <c r="H512" s="954" t="s">
        <v>69</v>
      </c>
      <c r="I512" s="955">
        <v>0.8</v>
      </c>
      <c r="J512" s="948">
        <v>213.0</v>
      </c>
      <c r="K512" s="949">
        <v>0.02096613928449942</v>
      </c>
      <c r="L512" s="950" t="str">
        <f t="shared" si="1"/>
        <v/>
      </c>
      <c r="M512" s="736"/>
      <c r="N512" s="736"/>
      <c r="O512" s="736"/>
    </row>
    <row r="513">
      <c r="A513" s="951" t="s">
        <v>449</v>
      </c>
      <c r="B513" s="952" t="s">
        <v>60</v>
      </c>
      <c r="C513" s="953">
        <v>42544.0</v>
      </c>
      <c r="D513" s="954" t="s">
        <v>59</v>
      </c>
      <c r="E513" s="948" t="s">
        <v>63</v>
      </c>
      <c r="F513" s="954" t="s">
        <v>80</v>
      </c>
      <c r="G513" s="954" t="s">
        <v>65</v>
      </c>
      <c r="H513" s="954" t="s">
        <v>68</v>
      </c>
      <c r="I513" s="955">
        <v>0.7</v>
      </c>
      <c r="J513" s="948">
        <v>187.0</v>
      </c>
      <c r="K513" s="949">
        <v>0.004000233597950542</v>
      </c>
      <c r="L513" s="950" t="str">
        <f t="shared" si="1"/>
        <v/>
      </c>
      <c r="M513" s="736"/>
      <c r="N513" s="736"/>
      <c r="O513" s="736"/>
    </row>
    <row r="514">
      <c r="A514" s="951" t="s">
        <v>1628</v>
      </c>
      <c r="B514" s="952" t="s">
        <v>60</v>
      </c>
      <c r="C514" s="953">
        <v>42542.0</v>
      </c>
      <c r="D514" s="954" t="s">
        <v>305</v>
      </c>
      <c r="E514" s="948" t="s">
        <v>63</v>
      </c>
      <c r="F514" s="954" t="s">
        <v>65</v>
      </c>
      <c r="G514" s="954" t="s">
        <v>64</v>
      </c>
      <c r="H514" s="954" t="s">
        <v>68</v>
      </c>
      <c r="I514" s="955"/>
      <c r="J514" s="948">
        <v>218.0</v>
      </c>
      <c r="K514" s="949">
        <v>0.016175269726645514</v>
      </c>
      <c r="L514" s="950" t="str">
        <f t="shared" si="1"/>
        <v/>
      </c>
      <c r="M514" s="736"/>
      <c r="N514" s="736"/>
      <c r="O514" s="736"/>
    </row>
    <row r="515">
      <c r="A515" s="951" t="s">
        <v>1741</v>
      </c>
      <c r="B515" s="952" t="s">
        <v>60</v>
      </c>
      <c r="C515" s="953">
        <v>42542.0</v>
      </c>
      <c r="D515" s="954" t="s">
        <v>86</v>
      </c>
      <c r="E515" s="948" t="s">
        <v>63</v>
      </c>
      <c r="F515" s="954" t="s">
        <v>65</v>
      </c>
      <c r="G515" s="954" t="s">
        <v>64</v>
      </c>
      <c r="H515" s="954" t="s">
        <v>66</v>
      </c>
      <c r="I515" s="955">
        <v>0.8</v>
      </c>
      <c r="J515" s="948">
        <v>206.0</v>
      </c>
      <c r="K515" s="949">
        <v>0.004446120411469301</v>
      </c>
      <c r="L515" s="950" t="str">
        <f t="shared" si="1"/>
        <v/>
      </c>
      <c r="M515" s="736"/>
      <c r="N515" s="736"/>
      <c r="O515" s="736"/>
    </row>
    <row r="516">
      <c r="A516" s="951" t="s">
        <v>1650</v>
      </c>
      <c r="B516" s="952" t="s">
        <v>60</v>
      </c>
      <c r="C516" s="953">
        <v>42540.0</v>
      </c>
      <c r="D516" s="954" t="s">
        <v>86</v>
      </c>
      <c r="E516" s="948" t="s">
        <v>63</v>
      </c>
      <c r="F516" s="954" t="s">
        <v>67</v>
      </c>
      <c r="G516" s="954" t="s">
        <v>64</v>
      </c>
      <c r="H516" s="954" t="s">
        <v>64</v>
      </c>
      <c r="I516" s="955">
        <v>0.9</v>
      </c>
      <c r="J516" s="948">
        <v>206.0</v>
      </c>
      <c r="K516" s="949">
        <v>0.014121399155635705</v>
      </c>
      <c r="L516" s="950" t="str">
        <f t="shared" si="1"/>
        <v>yes</v>
      </c>
      <c r="M516" s="736"/>
      <c r="N516" s="736"/>
      <c r="O516" s="736"/>
    </row>
    <row r="517">
      <c r="A517" s="951" t="s">
        <v>279</v>
      </c>
      <c r="B517" s="952" t="s">
        <v>60</v>
      </c>
      <c r="C517" s="953">
        <v>42538.0</v>
      </c>
      <c r="D517" s="954" t="s">
        <v>59</v>
      </c>
      <c r="E517" s="948" t="s">
        <v>195</v>
      </c>
      <c r="F517" s="954"/>
      <c r="G517" s="954"/>
      <c r="H517" s="954"/>
      <c r="I517" s="955"/>
      <c r="J517" s="948">
        <v>235.0</v>
      </c>
      <c r="K517" s="949">
        <v>0.018038429688379987</v>
      </c>
      <c r="L517" s="950" t="str">
        <f t="shared" si="1"/>
        <v/>
      </c>
      <c r="M517" s="736"/>
      <c r="N517" s="736"/>
      <c r="O517" s="736"/>
    </row>
    <row r="518">
      <c r="A518" s="951" t="s">
        <v>1667</v>
      </c>
      <c r="B518" s="952" t="s">
        <v>60</v>
      </c>
      <c r="C518" s="953">
        <v>42538.0</v>
      </c>
      <c r="D518" s="954" t="s">
        <v>870</v>
      </c>
      <c r="E518" s="948" t="s">
        <v>63</v>
      </c>
      <c r="F518" s="954" t="s">
        <v>65</v>
      </c>
      <c r="G518" s="954" t="s">
        <v>64</v>
      </c>
      <c r="H518" s="954" t="s">
        <v>65</v>
      </c>
      <c r="I518" s="955">
        <v>0.8</v>
      </c>
      <c r="J518" s="948">
        <v>187.0</v>
      </c>
      <c r="K518" s="949">
        <v>0.057022960403544154</v>
      </c>
      <c r="L518" s="950" t="str">
        <f t="shared" si="1"/>
        <v/>
      </c>
      <c r="M518" s="736"/>
      <c r="N518" s="736"/>
      <c r="O518" s="736"/>
    </row>
    <row r="519">
      <c r="A519" s="951" t="s">
        <v>449</v>
      </c>
      <c r="B519" s="952" t="s">
        <v>60</v>
      </c>
      <c r="C519" s="953">
        <v>42537.0</v>
      </c>
      <c r="D519" s="954" t="s">
        <v>59</v>
      </c>
      <c r="E519" s="948" t="s">
        <v>63</v>
      </c>
      <c r="F519" s="954" t="s">
        <v>80</v>
      </c>
      <c r="G519" s="954" t="s">
        <v>65</v>
      </c>
      <c r="H519" s="954" t="s">
        <v>68</v>
      </c>
      <c r="I519" s="955">
        <v>0.7</v>
      </c>
      <c r="J519" s="948">
        <v>187.0</v>
      </c>
      <c r="K519" s="949">
        <v>-0.001250730538932765</v>
      </c>
      <c r="L519" s="950" t="str">
        <f t="shared" si="1"/>
        <v/>
      </c>
      <c r="M519" s="736"/>
      <c r="N519" s="736"/>
      <c r="O519" s="736"/>
    </row>
    <row r="520">
      <c r="A520" s="951" t="s">
        <v>1629</v>
      </c>
      <c r="B520" s="952" t="s">
        <v>60</v>
      </c>
      <c r="C520" s="953">
        <v>42537.0</v>
      </c>
      <c r="D520" s="954" t="s">
        <v>870</v>
      </c>
      <c r="E520" s="948" t="s">
        <v>63</v>
      </c>
      <c r="F520" s="954" t="s">
        <v>65</v>
      </c>
      <c r="G520" s="954" t="s">
        <v>64</v>
      </c>
      <c r="H520" s="954" t="s">
        <v>69</v>
      </c>
      <c r="I520" s="955"/>
      <c r="J520" s="948">
        <v>202.0</v>
      </c>
      <c r="K520" s="949">
        <v>0.03179589199733357</v>
      </c>
      <c r="L520" s="950" t="str">
        <f t="shared" si="1"/>
        <v>yes</v>
      </c>
      <c r="M520" s="736"/>
      <c r="N520" s="736"/>
      <c r="O520" s="736"/>
    </row>
    <row r="521">
      <c r="A521" s="951" t="s">
        <v>1874</v>
      </c>
      <c r="B521" s="952" t="s">
        <v>60</v>
      </c>
      <c r="C521" s="953">
        <v>42536.0</v>
      </c>
      <c r="D521" s="954" t="s">
        <v>118</v>
      </c>
      <c r="E521" s="948" t="s">
        <v>63</v>
      </c>
      <c r="F521" s="954" t="s">
        <v>127</v>
      </c>
      <c r="G521" s="954" t="s">
        <v>80</v>
      </c>
      <c r="H521" s="954" t="s">
        <v>66</v>
      </c>
      <c r="I521" s="955">
        <v>1.0</v>
      </c>
      <c r="J521" s="948">
        <v>209.0</v>
      </c>
      <c r="K521" s="949">
        <v>0.03202068851177087</v>
      </c>
      <c r="L521" s="950" t="str">
        <f t="shared" si="1"/>
        <v/>
      </c>
      <c r="M521" s="736"/>
      <c r="N521" s="736"/>
      <c r="O521" s="736"/>
    </row>
    <row r="522">
      <c r="A522" s="951" t="s">
        <v>186</v>
      </c>
      <c r="B522" s="952" t="s">
        <v>60</v>
      </c>
      <c r="C522" s="953">
        <v>42536.0</v>
      </c>
      <c r="D522" s="954" t="s">
        <v>79</v>
      </c>
      <c r="E522" s="948" t="s">
        <v>195</v>
      </c>
      <c r="F522" s="954"/>
      <c r="G522" s="954"/>
      <c r="H522" s="954"/>
      <c r="I522" s="955"/>
      <c r="J522" s="948">
        <v>228.0</v>
      </c>
      <c r="K522" s="949">
        <v>-0.008893237967928402</v>
      </c>
      <c r="L522" s="950" t="str">
        <f t="shared" si="1"/>
        <v>yes</v>
      </c>
      <c r="M522" s="736"/>
      <c r="N522" s="736"/>
      <c r="O522" s="736"/>
    </row>
    <row r="523">
      <c r="A523" s="951" t="s">
        <v>566</v>
      </c>
      <c r="B523" s="952" t="s">
        <v>60</v>
      </c>
      <c r="C523" s="953">
        <v>42533.0</v>
      </c>
      <c r="D523" s="954" t="s">
        <v>59</v>
      </c>
      <c r="E523" s="948" t="s">
        <v>63</v>
      </c>
      <c r="F523" s="954" t="s">
        <v>64</v>
      </c>
      <c r="G523" s="954" t="s">
        <v>69</v>
      </c>
      <c r="H523" s="954" t="s">
        <v>66</v>
      </c>
      <c r="I523" s="955">
        <v>0.9</v>
      </c>
      <c r="J523" s="948">
        <v>220.0</v>
      </c>
      <c r="K523" s="949">
        <v>0.017189518006442084</v>
      </c>
      <c r="L523" s="950" t="str">
        <f t="shared" si="1"/>
        <v>yes</v>
      </c>
      <c r="M523" s="736"/>
      <c r="N523" s="736"/>
      <c r="O523" s="736"/>
    </row>
    <row r="524">
      <c r="A524" s="951" t="s">
        <v>761</v>
      </c>
      <c r="B524" s="952" t="s">
        <v>60</v>
      </c>
      <c r="C524" s="953">
        <v>42532.0</v>
      </c>
      <c r="D524" s="954" t="s">
        <v>90</v>
      </c>
      <c r="E524" s="948" t="s">
        <v>63</v>
      </c>
      <c r="F524" s="954" t="s">
        <v>65</v>
      </c>
      <c r="G524" s="954" t="s">
        <v>64</v>
      </c>
      <c r="H524" s="954" t="s">
        <v>66</v>
      </c>
      <c r="I524" s="955">
        <v>0.7</v>
      </c>
      <c r="J524" s="948">
        <v>233.0</v>
      </c>
      <c r="K524" s="949">
        <v>-0.03855604902506504</v>
      </c>
      <c r="L524" s="950" t="str">
        <f t="shared" si="1"/>
        <v/>
      </c>
      <c r="M524" s="736"/>
      <c r="N524" s="736"/>
      <c r="O524" s="736"/>
    </row>
    <row r="525">
      <c r="A525" s="951" t="s">
        <v>1652</v>
      </c>
      <c r="B525" s="952" t="s">
        <v>60</v>
      </c>
      <c r="C525" s="953">
        <v>42532.0</v>
      </c>
      <c r="D525" s="954" t="s">
        <v>79</v>
      </c>
      <c r="E525" s="948" t="s">
        <v>63</v>
      </c>
      <c r="F525" s="954" t="s">
        <v>65</v>
      </c>
      <c r="G525" s="954" t="s">
        <v>69</v>
      </c>
      <c r="H525" s="954" t="s">
        <v>66</v>
      </c>
      <c r="I525" s="955">
        <v>0.9</v>
      </c>
      <c r="J525" s="948">
        <v>214.0</v>
      </c>
      <c r="K525" s="949">
        <v>0.008240014041600019</v>
      </c>
      <c r="L525" s="950" t="str">
        <f t="shared" si="1"/>
        <v/>
      </c>
      <c r="M525" s="736"/>
      <c r="N525" s="736"/>
      <c r="O525" s="736"/>
    </row>
    <row r="526">
      <c r="A526" s="951" t="s">
        <v>513</v>
      </c>
      <c r="B526" s="952" t="s">
        <v>60</v>
      </c>
      <c r="C526" s="953">
        <v>42532.0</v>
      </c>
      <c r="D526" s="954" t="s">
        <v>59</v>
      </c>
      <c r="E526" s="948" t="s">
        <v>63</v>
      </c>
      <c r="F526" s="954" t="s">
        <v>64</v>
      </c>
      <c r="G526" s="954" t="s">
        <v>69</v>
      </c>
      <c r="H526" s="954" t="s">
        <v>68</v>
      </c>
      <c r="I526" s="955">
        <v>0.8</v>
      </c>
      <c r="J526" s="948">
        <v>226.0</v>
      </c>
      <c r="K526" s="949">
        <v>0.024789518006442135</v>
      </c>
      <c r="L526" s="950" t="str">
        <f t="shared" si="1"/>
        <v/>
      </c>
      <c r="M526" s="736"/>
      <c r="N526" s="736"/>
      <c r="O526" s="736"/>
    </row>
    <row r="527">
      <c r="A527" s="951" t="s">
        <v>548</v>
      </c>
      <c r="B527" s="952" t="s">
        <v>60</v>
      </c>
      <c r="C527" s="953">
        <v>42532.0</v>
      </c>
      <c r="D527" s="954" t="s">
        <v>79</v>
      </c>
      <c r="E527" s="948" t="s">
        <v>63</v>
      </c>
      <c r="F527" s="954" t="s">
        <v>65</v>
      </c>
      <c r="G527" s="954" t="s">
        <v>64</v>
      </c>
      <c r="H527" s="954" t="s">
        <v>64</v>
      </c>
      <c r="I527" s="955">
        <v>0.9</v>
      </c>
      <c r="J527" s="948">
        <v>226.0</v>
      </c>
      <c r="K527" s="949">
        <v>0.012123639783071849</v>
      </c>
      <c r="L527" s="950" t="str">
        <f t="shared" si="1"/>
        <v/>
      </c>
      <c r="M527" s="736"/>
      <c r="N527" s="736"/>
      <c r="O527" s="736"/>
    </row>
    <row r="528">
      <c r="A528" s="951" t="s">
        <v>532</v>
      </c>
      <c r="B528" s="952" t="s">
        <v>56</v>
      </c>
      <c r="C528" s="953">
        <v>42532.0</v>
      </c>
      <c r="D528" s="954" t="s">
        <v>79</v>
      </c>
      <c r="E528" s="948" t="s">
        <v>63</v>
      </c>
      <c r="F528" s="954" t="s">
        <v>69</v>
      </c>
      <c r="G528" s="954" t="s">
        <v>66</v>
      </c>
      <c r="H528" s="954" t="s">
        <v>68</v>
      </c>
      <c r="I528" s="955">
        <v>0.6</v>
      </c>
      <c r="J528" s="948">
        <v>205.0</v>
      </c>
      <c r="K528" s="949">
        <v>-0.03529352237817618</v>
      </c>
      <c r="L528" s="950" t="str">
        <f t="shared" si="1"/>
        <v>yes</v>
      </c>
      <c r="M528" s="736"/>
      <c r="N528" s="736"/>
      <c r="O528" s="736"/>
    </row>
    <row r="529">
      <c r="A529" s="951" t="s">
        <v>761</v>
      </c>
      <c r="B529" s="952" t="s">
        <v>60</v>
      </c>
      <c r="C529" s="953">
        <v>42528.0</v>
      </c>
      <c r="D529" s="954" t="s">
        <v>90</v>
      </c>
      <c r="E529" s="948" t="s">
        <v>63</v>
      </c>
      <c r="F529" s="954" t="s">
        <v>65</v>
      </c>
      <c r="G529" s="954" t="s">
        <v>64</v>
      </c>
      <c r="H529" s="954" t="s">
        <v>66</v>
      </c>
      <c r="I529" s="955">
        <v>0.7</v>
      </c>
      <c r="J529" s="948">
        <v>233.0</v>
      </c>
      <c r="K529" s="949">
        <v>-0.04295490580680472</v>
      </c>
      <c r="L529" s="950" t="str">
        <f t="shared" si="1"/>
        <v/>
      </c>
      <c r="M529" s="736"/>
      <c r="N529" s="736"/>
      <c r="O529" s="736"/>
    </row>
    <row r="530">
      <c r="A530" s="951" t="s">
        <v>508</v>
      </c>
      <c r="B530" s="952" t="s">
        <v>56</v>
      </c>
      <c r="C530" s="953">
        <v>42527.0</v>
      </c>
      <c r="D530" s="954" t="s">
        <v>118</v>
      </c>
      <c r="E530" s="948" t="s">
        <v>63</v>
      </c>
      <c r="F530" s="954" t="s">
        <v>67</v>
      </c>
      <c r="G530" s="954" t="s">
        <v>64</v>
      </c>
      <c r="H530" s="954" t="s">
        <v>69</v>
      </c>
      <c r="I530" s="955">
        <v>0.9</v>
      </c>
      <c r="J530" s="948">
        <v>174.0</v>
      </c>
      <c r="K530" s="949">
        <v>-0.016962931357174527</v>
      </c>
      <c r="L530" s="950" t="str">
        <f t="shared" si="1"/>
        <v>yes</v>
      </c>
      <c r="M530" s="736"/>
      <c r="N530" s="736"/>
      <c r="O530" s="736"/>
    </row>
    <row r="531">
      <c r="A531" s="951" t="s">
        <v>1128</v>
      </c>
      <c r="B531" s="952" t="s">
        <v>60</v>
      </c>
      <c r="C531" s="953">
        <v>42526.0</v>
      </c>
      <c r="D531" s="954" t="s">
        <v>59</v>
      </c>
      <c r="E531" s="948" t="s">
        <v>63</v>
      </c>
      <c r="F531" s="954" t="s">
        <v>80</v>
      </c>
      <c r="G531" s="954" t="s">
        <v>64</v>
      </c>
      <c r="H531" s="954" t="s">
        <v>64</v>
      </c>
      <c r="I531" s="955">
        <v>0.8</v>
      </c>
      <c r="J531" s="948">
        <v>190.0</v>
      </c>
      <c r="K531" s="949">
        <v>0.001473624605386581</v>
      </c>
      <c r="L531" s="950" t="str">
        <f t="shared" si="1"/>
        <v/>
      </c>
      <c r="M531" s="736"/>
      <c r="N531" s="736"/>
      <c r="O531" s="736"/>
    </row>
    <row r="532">
      <c r="A532" s="951" t="s">
        <v>1127</v>
      </c>
      <c r="B532" s="952" t="s">
        <v>60</v>
      </c>
      <c r="C532" s="953">
        <v>42526.0</v>
      </c>
      <c r="D532" s="954" t="s">
        <v>86</v>
      </c>
      <c r="E532" s="948" t="s">
        <v>63</v>
      </c>
      <c r="F532" s="954" t="s">
        <v>67</v>
      </c>
      <c r="G532" s="954" t="s">
        <v>64</v>
      </c>
      <c r="H532" s="954" t="s">
        <v>69</v>
      </c>
      <c r="I532" s="955">
        <v>0.9</v>
      </c>
      <c r="J532" s="948">
        <v>212.0</v>
      </c>
      <c r="K532" s="949">
        <v>0.017223300560592625</v>
      </c>
      <c r="L532" s="950" t="str">
        <f t="shared" si="1"/>
        <v/>
      </c>
      <c r="M532" s="736"/>
      <c r="N532" s="736"/>
      <c r="O532" s="736"/>
    </row>
    <row r="533">
      <c r="A533" s="951" t="s">
        <v>1493</v>
      </c>
      <c r="B533" s="952" t="s">
        <v>60</v>
      </c>
      <c r="C533" s="953">
        <v>42526.0</v>
      </c>
      <c r="D533" s="954" t="s">
        <v>59</v>
      </c>
      <c r="E533" s="948" t="s">
        <v>63</v>
      </c>
      <c r="F533" s="954" t="s">
        <v>64</v>
      </c>
      <c r="G533" s="954" t="s">
        <v>69</v>
      </c>
      <c r="H533" s="954" t="s">
        <v>66</v>
      </c>
      <c r="I533" s="955">
        <v>0.8</v>
      </c>
      <c r="J533" s="948">
        <v>217.0</v>
      </c>
      <c r="K533" s="949">
        <v>-0.018746655061351425</v>
      </c>
      <c r="L533" s="950" t="str">
        <f t="shared" si="1"/>
        <v/>
      </c>
      <c r="M533" s="736"/>
      <c r="N533" s="736"/>
      <c r="O533" s="736"/>
    </row>
    <row r="534">
      <c r="A534" s="951" t="s">
        <v>161</v>
      </c>
      <c r="B534" s="952" t="s">
        <v>56</v>
      </c>
      <c r="C534" s="953">
        <v>42524.0</v>
      </c>
      <c r="D534" s="954" t="s">
        <v>59</v>
      </c>
      <c r="E534" s="948" t="s">
        <v>63</v>
      </c>
      <c r="F534" s="954" t="s">
        <v>64</v>
      </c>
      <c r="G534" s="954" t="s">
        <v>69</v>
      </c>
      <c r="H534" s="954" t="s">
        <v>69</v>
      </c>
      <c r="I534" s="955">
        <v>0.9</v>
      </c>
      <c r="J534" s="948">
        <v>185.0</v>
      </c>
      <c r="K534" s="949">
        <v>-0.005485585474489518</v>
      </c>
      <c r="L534" s="950" t="str">
        <f t="shared" si="1"/>
        <v/>
      </c>
      <c r="M534" s="736"/>
      <c r="N534" s="736"/>
      <c r="O534" s="736"/>
    </row>
    <row r="535">
      <c r="A535" s="951" t="s">
        <v>1847</v>
      </c>
      <c r="B535" s="952" t="s">
        <v>60</v>
      </c>
      <c r="C535" s="953">
        <v>42519.0</v>
      </c>
      <c r="D535" s="954" t="s">
        <v>90</v>
      </c>
      <c r="E535" s="948" t="s">
        <v>63</v>
      </c>
      <c r="F535" s="954" t="s">
        <v>67</v>
      </c>
      <c r="G535" s="954" t="s">
        <v>64</v>
      </c>
      <c r="H535" s="954" t="s">
        <v>69</v>
      </c>
      <c r="I535" s="955">
        <v>0.8</v>
      </c>
      <c r="J535" s="948">
        <v>220.0</v>
      </c>
      <c r="K535" s="949">
        <v>-0.02441717902523488</v>
      </c>
      <c r="L535" s="950" t="str">
        <f t="shared" si="1"/>
        <v>yes</v>
      </c>
      <c r="M535" s="736"/>
      <c r="N535" s="736"/>
      <c r="O535" s="736"/>
    </row>
    <row r="536">
      <c r="A536" s="951" t="s">
        <v>623</v>
      </c>
      <c r="B536" s="952" t="s">
        <v>60</v>
      </c>
      <c r="C536" s="953">
        <v>42519.0</v>
      </c>
      <c r="D536" s="954" t="s">
        <v>59</v>
      </c>
      <c r="E536" s="948" t="s">
        <v>63</v>
      </c>
      <c r="F536" s="954" t="s">
        <v>67</v>
      </c>
      <c r="G536" s="954" t="s">
        <v>69</v>
      </c>
      <c r="H536" s="954"/>
      <c r="I536" s="955">
        <v>0.9</v>
      </c>
      <c r="J536" s="948">
        <v>184.0</v>
      </c>
      <c r="K536" s="949">
        <v>-0.00793881774394245</v>
      </c>
      <c r="L536" s="950" t="str">
        <f t="shared" si="1"/>
        <v/>
      </c>
      <c r="M536" s="736"/>
      <c r="N536" s="736"/>
      <c r="O536" s="736"/>
    </row>
    <row r="537">
      <c r="A537" s="951" t="s">
        <v>1873</v>
      </c>
      <c r="B537" s="952" t="s">
        <v>60</v>
      </c>
      <c r="C537" s="953">
        <v>42517.0</v>
      </c>
      <c r="D537" s="954" t="s">
        <v>109</v>
      </c>
      <c r="E537" s="948" t="s">
        <v>63</v>
      </c>
      <c r="F537" s="954" t="s">
        <v>64</v>
      </c>
      <c r="G537" s="954" t="s">
        <v>69</v>
      </c>
      <c r="H537" s="954" t="s">
        <v>68</v>
      </c>
      <c r="I537" s="955">
        <v>0.9</v>
      </c>
      <c r="J537" s="948">
        <v>199.0</v>
      </c>
      <c r="K537" s="949">
        <v>-0.012000018157121262</v>
      </c>
      <c r="L537" s="950" t="str">
        <f t="shared" si="1"/>
        <v/>
      </c>
      <c r="M537" s="736"/>
      <c r="N537" s="736"/>
      <c r="O537" s="736"/>
    </row>
    <row r="538">
      <c r="A538" s="951" t="s">
        <v>1726</v>
      </c>
      <c r="B538" s="952" t="s">
        <v>60</v>
      </c>
      <c r="C538" s="953">
        <v>42517.0</v>
      </c>
      <c r="D538" s="954" t="s">
        <v>305</v>
      </c>
      <c r="E538" s="948" t="s">
        <v>63</v>
      </c>
      <c r="F538" s="954" t="s">
        <v>69</v>
      </c>
      <c r="G538" s="954" t="s">
        <v>69</v>
      </c>
      <c r="H538" s="954" t="s">
        <v>69</v>
      </c>
      <c r="I538" s="955">
        <v>0.8</v>
      </c>
      <c r="J538" s="948">
        <v>236.0</v>
      </c>
      <c r="K538" s="949">
        <v>-0.013253968424214224</v>
      </c>
      <c r="L538" s="950" t="str">
        <f t="shared" si="1"/>
        <v/>
      </c>
      <c r="M538" s="736"/>
      <c r="N538" s="736"/>
      <c r="O538" s="736"/>
    </row>
    <row r="539">
      <c r="A539" s="951" t="s">
        <v>623</v>
      </c>
      <c r="B539" s="952" t="s">
        <v>60</v>
      </c>
      <c r="C539" s="953">
        <v>42517.0</v>
      </c>
      <c r="D539" s="954" t="s">
        <v>59</v>
      </c>
      <c r="E539" s="948" t="s">
        <v>63</v>
      </c>
      <c r="F539" s="954" t="s">
        <v>67</v>
      </c>
      <c r="G539" s="954" t="s">
        <v>69</v>
      </c>
      <c r="H539" s="954" t="s">
        <v>69</v>
      </c>
      <c r="I539" s="955">
        <v>0.9</v>
      </c>
      <c r="J539" s="948">
        <v>184.0</v>
      </c>
      <c r="K539" s="949">
        <v>-0.0030127617568511678</v>
      </c>
      <c r="L539" s="950" t="str">
        <f t="shared" si="1"/>
        <v/>
      </c>
      <c r="M539" s="736"/>
      <c r="N539" s="736"/>
      <c r="O539" s="736"/>
    </row>
    <row r="540">
      <c r="A540" s="951" t="s">
        <v>1637</v>
      </c>
      <c r="B540" s="952" t="s">
        <v>60</v>
      </c>
      <c r="C540" s="953">
        <v>42510.0</v>
      </c>
      <c r="D540" s="954" t="s">
        <v>118</v>
      </c>
      <c r="E540" s="948" t="s">
        <v>63</v>
      </c>
      <c r="F540" s="954" t="s">
        <v>127</v>
      </c>
      <c r="G540" s="954" t="s">
        <v>64</v>
      </c>
      <c r="H540" s="954" t="s">
        <v>69</v>
      </c>
      <c r="I540" s="955">
        <v>0.8</v>
      </c>
      <c r="J540" s="948">
        <v>216.0</v>
      </c>
      <c r="K540" s="949">
        <v>0.016323380845417956</v>
      </c>
      <c r="L540" s="950" t="str">
        <f t="shared" si="1"/>
        <v/>
      </c>
      <c r="M540" s="736"/>
      <c r="N540" s="736"/>
      <c r="O540" s="736"/>
    </row>
    <row r="541">
      <c r="A541" s="951" t="s">
        <v>1741</v>
      </c>
      <c r="B541" s="952" t="s">
        <v>60</v>
      </c>
      <c r="C541" s="953">
        <v>42510.0</v>
      </c>
      <c r="D541" s="954" t="s">
        <v>86</v>
      </c>
      <c r="E541" s="948" t="s">
        <v>63</v>
      </c>
      <c r="F541" s="954" t="s">
        <v>65</v>
      </c>
      <c r="G541" s="954" t="s">
        <v>64</v>
      </c>
      <c r="H541" s="954" t="s">
        <v>66</v>
      </c>
      <c r="I541" s="955">
        <v>0.8</v>
      </c>
      <c r="J541" s="948">
        <v>206.0</v>
      </c>
      <c r="K541" s="949">
        <v>7.214059599257583E-4</v>
      </c>
      <c r="L541" s="950" t="str">
        <f t="shared" si="1"/>
        <v/>
      </c>
      <c r="M541" s="736"/>
      <c r="N541" s="736"/>
      <c r="O541" s="736"/>
    </row>
    <row r="542">
      <c r="A542" s="951" t="s">
        <v>1703</v>
      </c>
      <c r="B542" s="952" t="s">
        <v>60</v>
      </c>
      <c r="C542" s="953">
        <v>42508.0</v>
      </c>
      <c r="D542" s="954" t="s">
        <v>118</v>
      </c>
      <c r="E542" s="948" t="s">
        <v>63</v>
      </c>
      <c r="F542" s="954"/>
      <c r="G542" s="954"/>
      <c r="H542" s="954"/>
      <c r="I542" s="955"/>
      <c r="J542" s="948">
        <v>218.0</v>
      </c>
      <c r="K542" s="949">
        <v>0.015968694169057995</v>
      </c>
      <c r="L542" s="950" t="str">
        <f t="shared" si="1"/>
        <v/>
      </c>
      <c r="M542" s="736"/>
      <c r="N542" s="736"/>
      <c r="O542" s="736"/>
    </row>
    <row r="543">
      <c r="A543" s="951" t="s">
        <v>126</v>
      </c>
      <c r="B543" s="952" t="s">
        <v>60</v>
      </c>
      <c r="C543" s="953">
        <v>42508.0</v>
      </c>
      <c r="D543" s="954" t="s">
        <v>79</v>
      </c>
      <c r="E543" s="948" t="s">
        <v>63</v>
      </c>
      <c r="F543" s="954" t="s">
        <v>65</v>
      </c>
      <c r="G543" s="954" t="s">
        <v>127</v>
      </c>
      <c r="H543" s="954" t="s">
        <v>69</v>
      </c>
      <c r="I543" s="955">
        <v>1.0</v>
      </c>
      <c r="J543" s="948">
        <v>211.0</v>
      </c>
      <c r="K543" s="949">
        <v>-0.006963618268700733</v>
      </c>
      <c r="L543" s="950" t="str">
        <f t="shared" si="1"/>
        <v/>
      </c>
      <c r="M543" s="736"/>
      <c r="N543" s="736"/>
      <c r="O543" s="736"/>
    </row>
    <row r="544">
      <c r="A544" s="951" t="s">
        <v>78</v>
      </c>
      <c r="B544" s="952" t="s">
        <v>56</v>
      </c>
      <c r="C544" s="953">
        <v>42507.0</v>
      </c>
      <c r="D544" s="954" t="s">
        <v>79</v>
      </c>
      <c r="E544" s="948" t="s">
        <v>63</v>
      </c>
      <c r="F544" s="954" t="s">
        <v>67</v>
      </c>
      <c r="G544" s="954" t="s">
        <v>69</v>
      </c>
      <c r="H544" s="954" t="s">
        <v>66</v>
      </c>
      <c r="I544" s="955">
        <v>0.9</v>
      </c>
      <c r="J544" s="948">
        <v>200.0</v>
      </c>
      <c r="K544" s="949">
        <v>-0.006423584744466249</v>
      </c>
      <c r="L544" s="950" t="str">
        <f t="shared" si="1"/>
        <v/>
      </c>
      <c r="M544" s="736"/>
      <c r="N544" s="736"/>
      <c r="O544" s="736"/>
    </row>
    <row r="545">
      <c r="A545" s="951" t="s">
        <v>1893</v>
      </c>
      <c r="B545" s="952" t="s">
        <v>60</v>
      </c>
      <c r="C545" s="953">
        <v>42504.0</v>
      </c>
      <c r="D545" s="954" t="s">
        <v>118</v>
      </c>
      <c r="E545" s="948" t="s">
        <v>63</v>
      </c>
      <c r="F545" s="954" t="s">
        <v>64</v>
      </c>
      <c r="G545" s="954" t="s">
        <v>69</v>
      </c>
      <c r="H545" s="954" t="s">
        <v>68</v>
      </c>
      <c r="I545" s="955">
        <v>0.7</v>
      </c>
      <c r="J545" s="948">
        <v>179.0</v>
      </c>
      <c r="K545" s="949">
        <v>0.01593029207782648</v>
      </c>
      <c r="L545" s="950" t="str">
        <f t="shared" si="1"/>
        <v>yes</v>
      </c>
      <c r="M545" s="736"/>
      <c r="N545" s="736"/>
      <c r="O545" s="736"/>
    </row>
    <row r="546">
      <c r="A546" s="951" t="s">
        <v>1624</v>
      </c>
      <c r="B546" s="952" t="s">
        <v>60</v>
      </c>
      <c r="C546" s="953">
        <v>42502.0</v>
      </c>
      <c r="D546" s="954" t="s">
        <v>59</v>
      </c>
      <c r="E546" s="948" t="s">
        <v>63</v>
      </c>
      <c r="F546" s="954" t="s">
        <v>65</v>
      </c>
      <c r="G546" s="954" t="s">
        <v>64</v>
      </c>
      <c r="H546" s="954" t="s">
        <v>69</v>
      </c>
      <c r="I546" s="955">
        <v>0.9</v>
      </c>
      <c r="J546" s="948">
        <v>223.0</v>
      </c>
      <c r="K546" s="949">
        <v>-0.0033126888285520684</v>
      </c>
      <c r="L546" s="950" t="str">
        <f t="shared" si="1"/>
        <v/>
      </c>
      <c r="M546" s="736"/>
      <c r="N546" s="736"/>
      <c r="O546" s="736"/>
    </row>
    <row r="547">
      <c r="A547" s="951" t="s">
        <v>1741</v>
      </c>
      <c r="B547" s="952" t="s">
        <v>60</v>
      </c>
      <c r="C547" s="953">
        <v>42502.0</v>
      </c>
      <c r="D547" s="954" t="s">
        <v>86</v>
      </c>
      <c r="E547" s="948" t="s">
        <v>63</v>
      </c>
      <c r="F547" s="954" t="s">
        <v>65</v>
      </c>
      <c r="G547" s="954" t="s">
        <v>64</v>
      </c>
      <c r="H547" s="954" t="s">
        <v>66</v>
      </c>
      <c r="I547" s="955">
        <v>0.8</v>
      </c>
      <c r="J547" s="948">
        <v>205.0</v>
      </c>
      <c r="K547" s="949">
        <v>0.0024697847691778074</v>
      </c>
      <c r="L547" s="950" t="str">
        <f t="shared" si="1"/>
        <v/>
      </c>
      <c r="M547" s="736"/>
      <c r="N547" s="736"/>
      <c r="O547" s="736"/>
    </row>
    <row r="548">
      <c r="A548" s="951" t="s">
        <v>1873</v>
      </c>
      <c r="B548" s="952" t="s">
        <v>60</v>
      </c>
      <c r="C548" s="953">
        <v>42500.0</v>
      </c>
      <c r="D548" s="954" t="s">
        <v>109</v>
      </c>
      <c r="E548" s="948" t="s">
        <v>63</v>
      </c>
      <c r="F548" s="954" t="s">
        <v>64</v>
      </c>
      <c r="G548" s="954" t="s">
        <v>69</v>
      </c>
      <c r="H548" s="954" t="s">
        <v>68</v>
      </c>
      <c r="I548" s="955">
        <v>0.9</v>
      </c>
      <c r="J548" s="948">
        <v>199.0</v>
      </c>
      <c r="K548" s="949">
        <v>0.0051663902636127634</v>
      </c>
      <c r="L548" s="950" t="str">
        <f t="shared" si="1"/>
        <v/>
      </c>
      <c r="M548" s="736"/>
      <c r="N548" s="736"/>
      <c r="O548" s="736"/>
    </row>
    <row r="549">
      <c r="A549" s="951" t="s">
        <v>339</v>
      </c>
      <c r="B549" s="952" t="s">
        <v>60</v>
      </c>
      <c r="C549" s="953">
        <v>42500.0</v>
      </c>
      <c r="D549" s="954" t="s">
        <v>59</v>
      </c>
      <c r="E549" s="948" t="s">
        <v>63</v>
      </c>
      <c r="F549" s="954"/>
      <c r="G549" s="954"/>
      <c r="H549" s="954"/>
      <c r="I549" s="955"/>
      <c r="J549" s="948">
        <v>258.0</v>
      </c>
      <c r="K549" s="949">
        <v>-0.022986506200820322</v>
      </c>
      <c r="L549" s="950" t="str">
        <f t="shared" si="1"/>
        <v/>
      </c>
      <c r="M549" s="736"/>
      <c r="N549" s="736"/>
      <c r="O549" s="736"/>
    </row>
    <row r="550">
      <c r="A550" s="951" t="s">
        <v>499</v>
      </c>
      <c r="B550" s="952" t="s">
        <v>56</v>
      </c>
      <c r="C550" s="953">
        <v>42497.0</v>
      </c>
      <c r="D550" s="954" t="s">
        <v>59</v>
      </c>
      <c r="E550" s="948" t="s">
        <v>63</v>
      </c>
      <c r="F550" s="954" t="s">
        <v>80</v>
      </c>
      <c r="G550" s="954" t="s">
        <v>65</v>
      </c>
      <c r="H550" s="954" t="s">
        <v>68</v>
      </c>
      <c r="I550" s="955">
        <v>0.9</v>
      </c>
      <c r="J550" s="948">
        <v>200.0</v>
      </c>
      <c r="K550" s="949">
        <v>0.0037176338387140406</v>
      </c>
      <c r="L550" s="950" t="str">
        <f t="shared" si="1"/>
        <v>yes</v>
      </c>
      <c r="M550" s="736"/>
      <c r="N550" s="736"/>
      <c r="O550" s="736"/>
    </row>
    <row r="551">
      <c r="A551" s="951" t="s">
        <v>143</v>
      </c>
      <c r="B551" s="952" t="s">
        <v>56</v>
      </c>
      <c r="C551" s="953">
        <v>42496.0</v>
      </c>
      <c r="D551" s="954" t="s">
        <v>59</v>
      </c>
      <c r="E551" s="948" t="s">
        <v>63</v>
      </c>
      <c r="F551" s="954" t="s">
        <v>65</v>
      </c>
      <c r="G551" s="954" t="s">
        <v>65</v>
      </c>
      <c r="H551" s="954" t="s">
        <v>69</v>
      </c>
      <c r="I551" s="955">
        <v>0.8</v>
      </c>
      <c r="J551" s="948">
        <v>206.0</v>
      </c>
      <c r="K551" s="949">
        <v>-0.0013979813343441005</v>
      </c>
      <c r="L551" s="950" t="str">
        <f t="shared" si="1"/>
        <v/>
      </c>
      <c r="M551" s="736"/>
      <c r="N551" s="736"/>
      <c r="O551" s="736"/>
    </row>
    <row r="552">
      <c r="A552" s="951" t="s">
        <v>496</v>
      </c>
      <c r="B552" s="952" t="s">
        <v>56</v>
      </c>
      <c r="C552" s="953">
        <v>42494.0</v>
      </c>
      <c r="D552" s="954" t="s">
        <v>79</v>
      </c>
      <c r="E552" s="948" t="s">
        <v>63</v>
      </c>
      <c r="F552" s="954" t="s">
        <v>64</v>
      </c>
      <c r="G552" s="954" t="s">
        <v>64</v>
      </c>
      <c r="H552" s="954" t="s">
        <v>68</v>
      </c>
      <c r="I552" s="955">
        <v>0.9</v>
      </c>
      <c r="J552" s="948">
        <v>182.0</v>
      </c>
      <c r="K552" s="949">
        <v>0.01606309873601741</v>
      </c>
      <c r="L552" s="950" t="str">
        <f t="shared" si="1"/>
        <v>yes</v>
      </c>
      <c r="M552" s="736"/>
      <c r="N552" s="736"/>
      <c r="O552" s="736"/>
    </row>
    <row r="553">
      <c r="A553" s="951" t="s">
        <v>1850</v>
      </c>
      <c r="B553" s="952" t="s">
        <v>60</v>
      </c>
      <c r="C553" s="953">
        <v>42492.0</v>
      </c>
      <c r="D553" s="954" t="s">
        <v>59</v>
      </c>
      <c r="E553" s="948" t="s">
        <v>63</v>
      </c>
      <c r="F553" s="954" t="s">
        <v>69</v>
      </c>
      <c r="G553" s="954" t="s">
        <v>69</v>
      </c>
      <c r="H553" s="954" t="s">
        <v>69</v>
      </c>
      <c r="I553" s="955">
        <v>0.9</v>
      </c>
      <c r="J553" s="948">
        <v>218.0</v>
      </c>
      <c r="K553" s="949">
        <v>0.01897146126418514</v>
      </c>
      <c r="L553" s="950" t="str">
        <f t="shared" si="1"/>
        <v>yes</v>
      </c>
      <c r="M553" s="736"/>
      <c r="N553" s="736"/>
      <c r="O553" s="736"/>
    </row>
    <row r="554">
      <c r="A554" s="951" t="s">
        <v>1646</v>
      </c>
      <c r="B554" s="952" t="s">
        <v>60</v>
      </c>
      <c r="C554" s="953">
        <v>42492.0</v>
      </c>
      <c r="D554" s="954" t="s">
        <v>86</v>
      </c>
      <c r="E554" s="948" t="s">
        <v>195</v>
      </c>
      <c r="F554" s="954" t="s">
        <v>127</v>
      </c>
      <c r="G554" s="954" t="s">
        <v>66</v>
      </c>
      <c r="H554" s="954" t="s">
        <v>66</v>
      </c>
      <c r="I554" s="955">
        <v>0.9</v>
      </c>
      <c r="J554" s="948">
        <v>224.0</v>
      </c>
      <c r="K554" s="949">
        <v>0.02693939819732738</v>
      </c>
      <c r="L554" s="950" t="str">
        <f t="shared" si="1"/>
        <v>yes</v>
      </c>
      <c r="M554" s="736"/>
      <c r="N554" s="736"/>
      <c r="O554" s="736"/>
    </row>
    <row r="555">
      <c r="A555" s="951" t="s">
        <v>1013</v>
      </c>
      <c r="B555" s="952" t="s">
        <v>60</v>
      </c>
      <c r="C555" s="953">
        <v>42491.0</v>
      </c>
      <c r="D555" s="954" t="s">
        <v>59</v>
      </c>
      <c r="E555" s="948" t="s">
        <v>63</v>
      </c>
      <c r="F555" s="954" t="s">
        <v>65</v>
      </c>
      <c r="G555" s="954" t="s">
        <v>65</v>
      </c>
      <c r="H555" s="954" t="s">
        <v>69</v>
      </c>
      <c r="I555" s="955">
        <v>0.9</v>
      </c>
      <c r="J555" s="948">
        <v>222.0</v>
      </c>
      <c r="K555" s="949">
        <v>-0.001842595845384043</v>
      </c>
      <c r="L555" s="950" t="str">
        <f t="shared" si="1"/>
        <v/>
      </c>
      <c r="M555" s="736"/>
      <c r="N555" s="736"/>
      <c r="O555" s="736"/>
    </row>
    <row r="556">
      <c r="A556" s="951" t="s">
        <v>1637</v>
      </c>
      <c r="B556" s="952" t="s">
        <v>60</v>
      </c>
      <c r="C556" s="953">
        <v>42490.0</v>
      </c>
      <c r="D556" s="954" t="s">
        <v>118</v>
      </c>
      <c r="E556" s="948" t="s">
        <v>63</v>
      </c>
      <c r="F556" s="954" t="s">
        <v>80</v>
      </c>
      <c r="G556" s="954" t="s">
        <v>64</v>
      </c>
      <c r="H556" s="954" t="s">
        <v>69</v>
      </c>
      <c r="I556" s="955">
        <v>0.8</v>
      </c>
      <c r="J556" s="948">
        <v>219.0</v>
      </c>
      <c r="K556" s="949">
        <v>0.015140342871716728</v>
      </c>
      <c r="L556" s="950" t="str">
        <f t="shared" si="1"/>
        <v/>
      </c>
      <c r="M556" s="736"/>
      <c r="N556" s="736"/>
      <c r="O556" s="736"/>
    </row>
    <row r="557">
      <c r="A557" s="951" t="s">
        <v>623</v>
      </c>
      <c r="B557" s="952" t="s">
        <v>60</v>
      </c>
      <c r="C557" s="953">
        <v>42490.0</v>
      </c>
      <c r="D557" s="954" t="s">
        <v>59</v>
      </c>
      <c r="E557" s="948" t="s">
        <v>63</v>
      </c>
      <c r="F557" s="954" t="s">
        <v>67</v>
      </c>
      <c r="G557" s="954" t="s">
        <v>69</v>
      </c>
      <c r="H557" s="954" t="s">
        <v>69</v>
      </c>
      <c r="I557" s="955">
        <v>0.9</v>
      </c>
      <c r="J557" s="948">
        <v>185.0</v>
      </c>
      <c r="K557" s="949">
        <v>-0.006191769150075577</v>
      </c>
      <c r="L557" s="950" t="str">
        <f t="shared" si="1"/>
        <v/>
      </c>
      <c r="M557" s="736"/>
      <c r="N557" s="736"/>
      <c r="O557" s="736"/>
    </row>
    <row r="558">
      <c r="A558" s="951" t="s">
        <v>1741</v>
      </c>
      <c r="B558" s="952" t="s">
        <v>60</v>
      </c>
      <c r="C558" s="953">
        <v>42488.0</v>
      </c>
      <c r="D558" s="954" t="s">
        <v>86</v>
      </c>
      <c r="E558" s="948" t="s">
        <v>63</v>
      </c>
      <c r="F558" s="954" t="s">
        <v>65</v>
      </c>
      <c r="G558" s="954" t="s">
        <v>64</v>
      </c>
      <c r="H558" s="954" t="s">
        <v>66</v>
      </c>
      <c r="I558" s="955">
        <v>0.8</v>
      </c>
      <c r="J558" s="948">
        <v>205.0</v>
      </c>
      <c r="K558" s="949">
        <v>-0.007492964639996824</v>
      </c>
      <c r="L558" s="950" t="str">
        <f t="shared" si="1"/>
        <v/>
      </c>
      <c r="M558" s="736"/>
      <c r="N558" s="736"/>
      <c r="O558" s="736"/>
    </row>
    <row r="559">
      <c r="A559" s="951" t="s">
        <v>454</v>
      </c>
      <c r="B559" s="952" t="s">
        <v>56</v>
      </c>
      <c r="C559" s="953">
        <v>42487.0</v>
      </c>
      <c r="D559" s="954" t="s">
        <v>316</v>
      </c>
      <c r="E559" s="948" t="s">
        <v>63</v>
      </c>
      <c r="F559" s="954" t="s">
        <v>69</v>
      </c>
      <c r="G559" s="954" t="s">
        <v>69</v>
      </c>
      <c r="H559" s="954" t="s">
        <v>68</v>
      </c>
      <c r="I559" s="955">
        <v>0.9</v>
      </c>
      <c r="J559" s="948">
        <v>211.0</v>
      </c>
      <c r="K559" s="949">
        <v>-0.009467492897991536</v>
      </c>
      <c r="L559" s="950" t="str">
        <f t="shared" si="1"/>
        <v/>
      </c>
      <c r="M559" s="736"/>
      <c r="N559" s="736"/>
      <c r="O559" s="736"/>
    </row>
    <row r="560">
      <c r="A560" s="951" t="s">
        <v>361</v>
      </c>
      <c r="B560" s="952" t="s">
        <v>60</v>
      </c>
      <c r="C560" s="953">
        <v>42482.0</v>
      </c>
      <c r="D560" s="954" t="s">
        <v>59</v>
      </c>
      <c r="E560" s="948" t="s">
        <v>63</v>
      </c>
      <c r="F560" s="954" t="s">
        <v>69</v>
      </c>
      <c r="G560" s="954" t="s">
        <v>69</v>
      </c>
      <c r="H560" s="954" t="s">
        <v>69</v>
      </c>
      <c r="I560" s="955">
        <v>0.7</v>
      </c>
      <c r="J560" s="948">
        <v>228.0</v>
      </c>
      <c r="K560" s="949">
        <v>0.00398231592946896</v>
      </c>
      <c r="L560" s="950" t="str">
        <f t="shared" si="1"/>
        <v/>
      </c>
      <c r="M560" s="736"/>
      <c r="N560" s="736"/>
      <c r="O560" s="736"/>
    </row>
    <row r="561">
      <c r="A561" s="951" t="s">
        <v>761</v>
      </c>
      <c r="B561" s="952" t="s">
        <v>60</v>
      </c>
      <c r="C561" s="953">
        <v>42482.0</v>
      </c>
      <c r="D561" s="954" t="s">
        <v>90</v>
      </c>
      <c r="E561" s="948" t="s">
        <v>63</v>
      </c>
      <c r="F561" s="954" t="s">
        <v>65</v>
      </c>
      <c r="G561" s="954" t="s">
        <v>64</v>
      </c>
      <c r="H561" s="954" t="s">
        <v>66</v>
      </c>
      <c r="I561" s="955">
        <v>0.8</v>
      </c>
      <c r="J561" s="948">
        <v>234.0</v>
      </c>
      <c r="K561" s="949">
        <v>-0.048680569195375334</v>
      </c>
      <c r="L561" s="950" t="str">
        <f t="shared" si="1"/>
        <v/>
      </c>
      <c r="M561" s="736"/>
      <c r="N561" s="736"/>
      <c r="O561" s="736"/>
    </row>
    <row r="562">
      <c r="A562" s="951" t="s">
        <v>169</v>
      </c>
      <c r="B562" s="952" t="s">
        <v>55</v>
      </c>
      <c r="C562" s="953">
        <v>42482.0</v>
      </c>
      <c r="D562" s="954" t="s">
        <v>59</v>
      </c>
      <c r="E562" s="948" t="s">
        <v>63</v>
      </c>
      <c r="F562" s="954" t="s">
        <v>66</v>
      </c>
      <c r="G562" s="954" t="s">
        <v>69</v>
      </c>
      <c r="H562" s="954" t="s">
        <v>69</v>
      </c>
      <c r="I562" s="955">
        <v>0.9</v>
      </c>
      <c r="J562" s="948">
        <v>243.0</v>
      </c>
      <c r="K562" s="949">
        <v>-0.004264001801738582</v>
      </c>
      <c r="L562" s="950" t="str">
        <f t="shared" si="1"/>
        <v/>
      </c>
      <c r="M562" s="736"/>
      <c r="N562" s="736"/>
      <c r="O562" s="736"/>
    </row>
    <row r="563">
      <c r="A563" s="951" t="s">
        <v>161</v>
      </c>
      <c r="B563" s="952" t="s">
        <v>56</v>
      </c>
      <c r="C563" s="953">
        <v>42481.0</v>
      </c>
      <c r="D563" s="954" t="s">
        <v>59</v>
      </c>
      <c r="E563" s="948" t="s">
        <v>63</v>
      </c>
      <c r="F563" s="954" t="s">
        <v>64</v>
      </c>
      <c r="G563" s="954" t="s">
        <v>69</v>
      </c>
      <c r="H563" s="954" t="s">
        <v>69</v>
      </c>
      <c r="I563" s="955">
        <v>0.9</v>
      </c>
      <c r="J563" s="948">
        <v>185.0</v>
      </c>
      <c r="K563" s="949">
        <v>-0.006064555722359866</v>
      </c>
      <c r="L563" s="950" t="str">
        <f t="shared" si="1"/>
        <v/>
      </c>
      <c r="M563" s="736"/>
      <c r="N563" s="736"/>
      <c r="O563" s="736"/>
    </row>
    <row r="564">
      <c r="A564" s="951" t="s">
        <v>376</v>
      </c>
      <c r="B564" s="952" t="s">
        <v>60</v>
      </c>
      <c r="C564" s="953">
        <v>42479.0</v>
      </c>
      <c r="D564" s="954" t="s">
        <v>59</v>
      </c>
      <c r="E564" s="948" t="s">
        <v>63</v>
      </c>
      <c r="F564" s="954" t="s">
        <v>69</v>
      </c>
      <c r="G564" s="954" t="s">
        <v>64</v>
      </c>
      <c r="H564" s="954" t="s">
        <v>68</v>
      </c>
      <c r="I564" s="955">
        <v>0.9</v>
      </c>
      <c r="J564" s="948">
        <v>202.0</v>
      </c>
      <c r="K564" s="949">
        <v>-0.02132356681909575</v>
      </c>
      <c r="L564" s="950" t="str">
        <f t="shared" si="1"/>
        <v/>
      </c>
      <c r="M564" s="736"/>
      <c r="N564" s="736"/>
      <c r="O564" s="736"/>
    </row>
    <row r="565">
      <c r="A565" s="951" t="s">
        <v>1703</v>
      </c>
      <c r="B565" s="952" t="s">
        <v>60</v>
      </c>
      <c r="C565" s="953">
        <v>42478.0</v>
      </c>
      <c r="D565" s="954" t="s">
        <v>118</v>
      </c>
      <c r="E565" s="948" t="s">
        <v>63</v>
      </c>
      <c r="F565" s="954"/>
      <c r="G565" s="954"/>
      <c r="H565" s="954"/>
      <c r="I565" s="955"/>
      <c r="J565" s="948">
        <v>220.0</v>
      </c>
      <c r="K565" s="949">
        <v>0.016263892133933644</v>
      </c>
      <c r="L565" s="950" t="str">
        <f t="shared" si="1"/>
        <v/>
      </c>
      <c r="M565" s="736"/>
      <c r="N565" s="736"/>
      <c r="O565" s="736"/>
    </row>
    <row r="566">
      <c r="A566" s="951" t="s">
        <v>1852</v>
      </c>
      <c r="B566" s="952" t="s">
        <v>60</v>
      </c>
      <c r="C566" s="953">
        <v>42477.0</v>
      </c>
      <c r="D566" s="954" t="s">
        <v>86</v>
      </c>
      <c r="E566" s="948" t="s">
        <v>63</v>
      </c>
      <c r="F566" s="954" t="s">
        <v>80</v>
      </c>
      <c r="G566" s="954" t="s">
        <v>65</v>
      </c>
      <c r="H566" s="954" t="s">
        <v>68</v>
      </c>
      <c r="I566" s="955">
        <v>0.8</v>
      </c>
      <c r="J566" s="948">
        <v>223.0</v>
      </c>
      <c r="K566" s="949">
        <v>-0.004890061398667989</v>
      </c>
      <c r="L566" s="950" t="str">
        <f t="shared" si="1"/>
        <v>yes</v>
      </c>
      <c r="M566" s="736"/>
      <c r="N566" s="736"/>
      <c r="O566" s="736"/>
    </row>
    <row r="567">
      <c r="A567" s="951" t="s">
        <v>449</v>
      </c>
      <c r="B567" s="952" t="s">
        <v>60</v>
      </c>
      <c r="C567" s="953">
        <v>42477.0</v>
      </c>
      <c r="D567" s="954" t="s">
        <v>59</v>
      </c>
      <c r="E567" s="948" t="s">
        <v>63</v>
      </c>
      <c r="F567" s="954" t="s">
        <v>80</v>
      </c>
      <c r="G567" s="954" t="s">
        <v>65</v>
      </c>
      <c r="H567" s="954" t="s">
        <v>68</v>
      </c>
      <c r="I567" s="955">
        <v>0.7</v>
      </c>
      <c r="J567" s="948">
        <v>187.0</v>
      </c>
      <c r="K567" s="949">
        <v>0.005028107478717736</v>
      </c>
      <c r="L567" s="950" t="str">
        <f t="shared" si="1"/>
        <v/>
      </c>
      <c r="M567" s="736"/>
      <c r="N567" s="736"/>
      <c r="O567" s="736"/>
    </row>
    <row r="568">
      <c r="A568" s="951" t="s">
        <v>1127</v>
      </c>
      <c r="B568" s="952" t="s">
        <v>60</v>
      </c>
      <c r="C568" s="953">
        <v>42477.0</v>
      </c>
      <c r="D568" s="954" t="s">
        <v>86</v>
      </c>
      <c r="E568" s="948" t="s">
        <v>63</v>
      </c>
      <c r="F568" s="954" t="s">
        <v>67</v>
      </c>
      <c r="G568" s="954" t="s">
        <v>64</v>
      </c>
      <c r="H568" s="954" t="s">
        <v>68</v>
      </c>
      <c r="I568" s="955">
        <v>0.9</v>
      </c>
      <c r="J568" s="948">
        <v>210.0</v>
      </c>
      <c r="K568" s="949">
        <v>0.006936876526209779</v>
      </c>
      <c r="L568" s="950" t="str">
        <f t="shared" si="1"/>
        <v/>
      </c>
      <c r="M568" s="736"/>
      <c r="N568" s="736"/>
      <c r="O568" s="736"/>
    </row>
    <row r="569">
      <c r="A569" s="951" t="s">
        <v>428</v>
      </c>
      <c r="B569" s="952" t="s">
        <v>56</v>
      </c>
      <c r="C569" s="953">
        <v>42477.0</v>
      </c>
      <c r="D569" s="954" t="s">
        <v>86</v>
      </c>
      <c r="E569" s="948" t="s">
        <v>63</v>
      </c>
      <c r="F569" s="954" t="s">
        <v>69</v>
      </c>
      <c r="G569" s="954" t="s">
        <v>69</v>
      </c>
      <c r="H569" s="954" t="s">
        <v>68</v>
      </c>
      <c r="I569" s="955">
        <v>0.9</v>
      </c>
      <c r="J569" s="948">
        <v>204.0</v>
      </c>
      <c r="K569" s="949">
        <v>0.021234116692201432</v>
      </c>
      <c r="L569" s="950" t="str">
        <f t="shared" si="1"/>
        <v/>
      </c>
      <c r="M569" s="736"/>
      <c r="N569" s="736"/>
      <c r="O569" s="736"/>
    </row>
    <row r="570">
      <c r="A570" s="951" t="s">
        <v>513</v>
      </c>
      <c r="B570" s="952" t="s">
        <v>60</v>
      </c>
      <c r="C570" s="953">
        <v>42475.0</v>
      </c>
      <c r="D570" s="954" t="s">
        <v>59</v>
      </c>
      <c r="E570" s="948" t="s">
        <v>63</v>
      </c>
      <c r="F570" s="954" t="s">
        <v>64</v>
      </c>
      <c r="G570" s="954" t="s">
        <v>64</v>
      </c>
      <c r="H570" s="954" t="s">
        <v>68</v>
      </c>
      <c r="I570" s="955">
        <v>0.8</v>
      </c>
      <c r="J570" s="948">
        <v>227.0</v>
      </c>
      <c r="K570" s="949">
        <v>0.02324807843344545</v>
      </c>
      <c r="L570" s="950" t="str">
        <f t="shared" si="1"/>
        <v/>
      </c>
      <c r="M570" s="736"/>
      <c r="N570" s="736"/>
      <c r="O570" s="736"/>
    </row>
    <row r="571">
      <c r="A571" s="951" t="s">
        <v>541</v>
      </c>
      <c r="B571" s="952" t="s">
        <v>60</v>
      </c>
      <c r="C571" s="953">
        <v>42474.0</v>
      </c>
      <c r="D571" s="954" t="s">
        <v>57</v>
      </c>
      <c r="E571" s="948" t="s">
        <v>63</v>
      </c>
      <c r="F571" s="954"/>
      <c r="G571" s="954"/>
      <c r="H571" s="954"/>
      <c r="I571" s="955"/>
      <c r="J571" s="948">
        <v>228.0</v>
      </c>
      <c r="K571" s="949">
        <v>-0.003030614793021913</v>
      </c>
      <c r="L571" s="950" t="str">
        <f t="shared" si="1"/>
        <v/>
      </c>
      <c r="M571" s="736"/>
      <c r="N571" s="736"/>
      <c r="O571" s="736"/>
    </row>
    <row r="572">
      <c r="A572" s="951" t="s">
        <v>1741</v>
      </c>
      <c r="B572" s="952" t="s">
        <v>60</v>
      </c>
      <c r="C572" s="953">
        <v>42472.0</v>
      </c>
      <c r="D572" s="954" t="s">
        <v>86</v>
      </c>
      <c r="E572" s="948" t="s">
        <v>63</v>
      </c>
      <c r="F572" s="954" t="s">
        <v>65</v>
      </c>
      <c r="G572" s="954" t="s">
        <v>64</v>
      </c>
      <c r="H572" s="954" t="s">
        <v>66</v>
      </c>
      <c r="I572" s="955">
        <v>0.8</v>
      </c>
      <c r="J572" s="948">
        <v>205.0</v>
      </c>
      <c r="K572" s="949">
        <v>-0.006226622112855185</v>
      </c>
      <c r="L572" s="950" t="str">
        <f t="shared" si="1"/>
        <v/>
      </c>
      <c r="M572" s="736"/>
      <c r="N572" s="736"/>
      <c r="O572" s="736"/>
    </row>
    <row r="573">
      <c r="A573" s="951" t="s">
        <v>761</v>
      </c>
      <c r="B573" s="952" t="s">
        <v>60</v>
      </c>
      <c r="C573" s="953">
        <v>42470.0</v>
      </c>
      <c r="D573" s="954" t="s">
        <v>90</v>
      </c>
      <c r="E573" s="948" t="s">
        <v>63</v>
      </c>
      <c r="F573" s="954" t="s">
        <v>65</v>
      </c>
      <c r="G573" s="954" t="s">
        <v>64</v>
      </c>
      <c r="H573" s="954" t="s">
        <v>66</v>
      </c>
      <c r="I573" s="955">
        <v>0.8</v>
      </c>
      <c r="J573" s="948">
        <v>235.0</v>
      </c>
      <c r="K573" s="949">
        <v>-0.04698967236487028</v>
      </c>
      <c r="L573" s="950" t="str">
        <f t="shared" si="1"/>
        <v/>
      </c>
      <c r="M573" s="736"/>
      <c r="N573" s="736"/>
      <c r="O573" s="736"/>
    </row>
    <row r="574">
      <c r="A574" s="951" t="s">
        <v>1893</v>
      </c>
      <c r="B574" s="952" t="s">
        <v>60</v>
      </c>
      <c r="C574" s="953">
        <v>42470.0</v>
      </c>
      <c r="D574" s="954" t="s">
        <v>118</v>
      </c>
      <c r="E574" s="948" t="s">
        <v>63</v>
      </c>
      <c r="F574" s="954" t="s">
        <v>64</v>
      </c>
      <c r="G574" s="954" t="s">
        <v>69</v>
      </c>
      <c r="H574" s="954" t="s">
        <v>68</v>
      </c>
      <c r="I574" s="955">
        <v>0.7</v>
      </c>
      <c r="J574" s="948">
        <v>179.0</v>
      </c>
      <c r="K574" s="949">
        <v>-5.506355275075592E-5</v>
      </c>
      <c r="L574" s="950" t="str">
        <f t="shared" si="1"/>
        <v/>
      </c>
      <c r="M574" s="736"/>
      <c r="N574" s="736"/>
      <c r="O574" s="736"/>
    </row>
    <row r="575">
      <c r="A575" s="951" t="s">
        <v>1336</v>
      </c>
      <c r="B575" s="952" t="s">
        <v>60</v>
      </c>
      <c r="C575" s="953">
        <v>42469.0</v>
      </c>
      <c r="D575" s="954" t="s">
        <v>59</v>
      </c>
      <c r="E575" s="948" t="s">
        <v>63</v>
      </c>
      <c r="F575" s="954" t="s">
        <v>69</v>
      </c>
      <c r="G575" s="954" t="s">
        <v>69</v>
      </c>
      <c r="H575" s="954" t="s">
        <v>69</v>
      </c>
      <c r="I575" s="955">
        <v>0.8</v>
      </c>
      <c r="J575" s="948">
        <v>213.0</v>
      </c>
      <c r="K575" s="949">
        <v>-0.012633293775333843</v>
      </c>
      <c r="L575" s="950" t="str">
        <f t="shared" si="1"/>
        <v/>
      </c>
      <c r="M575" s="736"/>
      <c r="N575" s="736"/>
      <c r="O575" s="736"/>
    </row>
    <row r="576">
      <c r="A576" s="951" t="s">
        <v>761</v>
      </c>
      <c r="B576" s="952" t="s">
        <v>60</v>
      </c>
      <c r="C576" s="953">
        <v>42466.0</v>
      </c>
      <c r="D576" s="954" t="s">
        <v>90</v>
      </c>
      <c r="E576" s="948" t="s">
        <v>63</v>
      </c>
      <c r="F576" s="954" t="s">
        <v>65</v>
      </c>
      <c r="G576" s="954" t="s">
        <v>64</v>
      </c>
      <c r="H576" s="954" t="s">
        <v>66</v>
      </c>
      <c r="I576" s="955">
        <v>0.8</v>
      </c>
      <c r="J576" s="948">
        <v>235.0</v>
      </c>
      <c r="K576" s="949">
        <v>-0.04713559387899602</v>
      </c>
      <c r="L576" s="950" t="str">
        <f t="shared" si="1"/>
        <v/>
      </c>
      <c r="M576" s="736"/>
      <c r="N576" s="736"/>
      <c r="O576" s="736"/>
    </row>
    <row r="577">
      <c r="A577" s="951" t="s">
        <v>1628</v>
      </c>
      <c r="B577" s="952" t="s">
        <v>60</v>
      </c>
      <c r="C577" s="953">
        <v>42466.0</v>
      </c>
      <c r="D577" s="954" t="s">
        <v>305</v>
      </c>
      <c r="E577" s="948" t="s">
        <v>63</v>
      </c>
      <c r="F577" s="954" t="s">
        <v>65</v>
      </c>
      <c r="G577" s="954" t="s">
        <v>64</v>
      </c>
      <c r="H577" s="954" t="s">
        <v>68</v>
      </c>
      <c r="I577" s="955">
        <v>0.9</v>
      </c>
      <c r="J577" s="948">
        <v>226.0</v>
      </c>
      <c r="K577" s="949">
        <v>0.007707605961884578</v>
      </c>
      <c r="L577" s="950" t="str">
        <f t="shared" si="1"/>
        <v/>
      </c>
      <c r="M577" s="736"/>
      <c r="N577" s="736"/>
      <c r="O577" s="736"/>
    </row>
    <row r="578">
      <c r="A578" s="951" t="s">
        <v>126</v>
      </c>
      <c r="B578" s="952" t="s">
        <v>60</v>
      </c>
      <c r="C578" s="953">
        <v>42465.0</v>
      </c>
      <c r="D578" s="954" t="s">
        <v>79</v>
      </c>
      <c r="E578" s="948" t="s">
        <v>63</v>
      </c>
      <c r="F578" s="954" t="s">
        <v>65</v>
      </c>
      <c r="G578" s="954" t="s">
        <v>127</v>
      </c>
      <c r="H578" s="954" t="s">
        <v>69</v>
      </c>
      <c r="I578" s="955">
        <v>1.0</v>
      </c>
      <c r="J578" s="948">
        <v>211.0</v>
      </c>
      <c r="K578" s="949">
        <v>-0.005562490785009699</v>
      </c>
      <c r="L578" s="950" t="str">
        <f t="shared" si="1"/>
        <v/>
      </c>
      <c r="M578" s="736"/>
      <c r="N578" s="736"/>
      <c r="O578" s="736"/>
    </row>
    <row r="579">
      <c r="A579" s="951" t="s">
        <v>761</v>
      </c>
      <c r="B579" s="952" t="s">
        <v>60</v>
      </c>
      <c r="C579" s="953">
        <v>42464.0</v>
      </c>
      <c r="D579" s="954" t="s">
        <v>90</v>
      </c>
      <c r="E579" s="948" t="s">
        <v>63</v>
      </c>
      <c r="F579" s="954" t="s">
        <v>65</v>
      </c>
      <c r="G579" s="954" t="s">
        <v>64</v>
      </c>
      <c r="H579" s="954" t="s">
        <v>66</v>
      </c>
      <c r="I579" s="955">
        <v>0.8</v>
      </c>
      <c r="J579" s="948">
        <v>235.0</v>
      </c>
      <c r="K579" s="949">
        <v>-0.047248345883350584</v>
      </c>
      <c r="L579" s="950" t="str">
        <f t="shared" si="1"/>
        <v/>
      </c>
      <c r="M579" s="736"/>
      <c r="N579" s="736"/>
      <c r="O579" s="736"/>
    </row>
    <row r="580">
      <c r="A580" s="951" t="s">
        <v>1826</v>
      </c>
      <c r="B580" s="952" t="s">
        <v>60</v>
      </c>
      <c r="C580" s="953">
        <v>42464.0</v>
      </c>
      <c r="D580" s="954" t="s">
        <v>79</v>
      </c>
      <c r="E580" s="948" t="s">
        <v>63</v>
      </c>
      <c r="F580" s="954" t="s">
        <v>67</v>
      </c>
      <c r="G580" s="954" t="s">
        <v>64</v>
      </c>
      <c r="H580" s="954" t="s">
        <v>66</v>
      </c>
      <c r="I580" s="955">
        <v>0.9</v>
      </c>
      <c r="J580" s="948">
        <v>214.0</v>
      </c>
      <c r="K580" s="949">
        <v>-0.006636203617276237</v>
      </c>
      <c r="L580" s="950" t="str">
        <f t="shared" si="1"/>
        <v>yes</v>
      </c>
      <c r="M580" s="736"/>
      <c r="N580" s="736"/>
      <c r="O580" s="736"/>
    </row>
    <row r="581">
      <c r="A581" s="951" t="s">
        <v>1611</v>
      </c>
      <c r="B581" s="952" t="s">
        <v>60</v>
      </c>
      <c r="C581" s="953">
        <v>42461.0</v>
      </c>
      <c r="D581" s="954" t="s">
        <v>79</v>
      </c>
      <c r="E581" s="948" t="s">
        <v>63</v>
      </c>
      <c r="F581" s="954" t="s">
        <v>69</v>
      </c>
      <c r="G581" s="954" t="s">
        <v>69</v>
      </c>
      <c r="H581" s="954" t="s">
        <v>68</v>
      </c>
      <c r="I581" s="955">
        <v>0.9</v>
      </c>
      <c r="J581" s="948">
        <v>203.0</v>
      </c>
      <c r="K581" s="949">
        <v>0.023840270743707315</v>
      </c>
      <c r="L581" s="950" t="str">
        <f t="shared" si="1"/>
        <v/>
      </c>
      <c r="M581" s="736"/>
      <c r="N581" s="736"/>
      <c r="O581" s="736"/>
    </row>
    <row r="582">
      <c r="A582" s="951" t="s">
        <v>201</v>
      </c>
      <c r="B582" s="952" t="s">
        <v>60</v>
      </c>
      <c r="C582" s="953">
        <v>42461.0</v>
      </c>
      <c r="D582" s="954" t="s">
        <v>79</v>
      </c>
      <c r="E582" s="948" t="s">
        <v>63</v>
      </c>
      <c r="F582" s="954" t="s">
        <v>64</v>
      </c>
      <c r="G582" s="954" t="s">
        <v>69</v>
      </c>
      <c r="H582" s="954" t="s">
        <v>66</v>
      </c>
      <c r="I582" s="955">
        <v>0.8</v>
      </c>
      <c r="J582" s="948">
        <v>171.0</v>
      </c>
      <c r="K582" s="949">
        <v>0.007700064041476162</v>
      </c>
      <c r="L582" s="950" t="str">
        <f t="shared" si="1"/>
        <v>yes</v>
      </c>
      <c r="M582" s="736"/>
      <c r="N582" s="736"/>
      <c r="O582" s="736"/>
    </row>
    <row r="583">
      <c r="A583" s="951" t="s">
        <v>439</v>
      </c>
      <c r="B583" s="952" t="s">
        <v>56</v>
      </c>
      <c r="C583" s="953">
        <v>42461.0</v>
      </c>
      <c r="D583" s="954" t="s">
        <v>79</v>
      </c>
      <c r="E583" s="948" t="s">
        <v>63</v>
      </c>
      <c r="F583" s="954" t="s">
        <v>69</v>
      </c>
      <c r="G583" s="954" t="s">
        <v>69</v>
      </c>
      <c r="H583" s="954" t="s">
        <v>68</v>
      </c>
      <c r="I583" s="955">
        <v>0.9</v>
      </c>
      <c r="J583" s="948">
        <v>200.0</v>
      </c>
      <c r="K583" s="949">
        <v>-0.007308714192992505</v>
      </c>
      <c r="L583" s="950" t="str">
        <f t="shared" si="1"/>
        <v>yes</v>
      </c>
      <c r="M583" s="736"/>
      <c r="N583" s="736"/>
      <c r="O583" s="736"/>
    </row>
    <row r="584">
      <c r="A584" s="951" t="s">
        <v>1128</v>
      </c>
      <c r="B584" s="952" t="s">
        <v>60</v>
      </c>
      <c r="C584" s="953">
        <v>42460.0</v>
      </c>
      <c r="D584" s="954" t="s">
        <v>59</v>
      </c>
      <c r="E584" s="948" t="s">
        <v>63</v>
      </c>
      <c r="F584" s="954"/>
      <c r="G584" s="954"/>
      <c r="H584" s="954"/>
      <c r="I584" s="955"/>
      <c r="J584" s="948">
        <v>210.0</v>
      </c>
      <c r="K584" s="949">
        <v>0.007382394835798833</v>
      </c>
      <c r="L584" s="950" t="str">
        <f t="shared" si="1"/>
        <v/>
      </c>
      <c r="M584" s="736"/>
      <c r="N584" s="736"/>
      <c r="O584" s="736"/>
    </row>
    <row r="585">
      <c r="A585" s="951" t="s">
        <v>1322</v>
      </c>
      <c r="B585" s="952" t="s">
        <v>60</v>
      </c>
      <c r="C585" s="953">
        <v>42459.0</v>
      </c>
      <c r="D585" s="954" t="s">
        <v>86</v>
      </c>
      <c r="E585" s="948" t="s">
        <v>63</v>
      </c>
      <c r="F585" s="954" t="s">
        <v>80</v>
      </c>
      <c r="G585" s="954" t="s">
        <v>69</v>
      </c>
      <c r="H585" s="954" t="s">
        <v>65</v>
      </c>
      <c r="I585" s="955">
        <v>0.5</v>
      </c>
      <c r="J585" s="948">
        <v>256.0</v>
      </c>
      <c r="K585" s="949">
        <v>-0.019997949204170862</v>
      </c>
      <c r="L585" s="950" t="str">
        <f t="shared" si="1"/>
        <v/>
      </c>
      <c r="M585" s="736"/>
      <c r="N585" s="736"/>
      <c r="O585" s="736"/>
    </row>
    <row r="586">
      <c r="A586" s="951" t="s">
        <v>1805</v>
      </c>
      <c r="B586" s="952" t="s">
        <v>60</v>
      </c>
      <c r="C586" s="953">
        <v>42459.0</v>
      </c>
      <c r="D586" s="954" t="s">
        <v>118</v>
      </c>
      <c r="E586" s="948" t="s">
        <v>63</v>
      </c>
      <c r="F586" s="954" t="s">
        <v>80</v>
      </c>
      <c r="G586" s="954" t="s">
        <v>69</v>
      </c>
      <c r="H586" s="954" t="s">
        <v>68</v>
      </c>
      <c r="I586" s="955"/>
      <c r="J586" s="948">
        <v>207.0</v>
      </c>
      <c r="K586" s="949">
        <v>0.024613390763536525</v>
      </c>
      <c r="L586" s="950" t="str">
        <f t="shared" si="1"/>
        <v>yes</v>
      </c>
      <c r="M586" s="736"/>
      <c r="N586" s="736"/>
      <c r="O586" s="736"/>
    </row>
    <row r="587">
      <c r="A587" s="951" t="s">
        <v>161</v>
      </c>
      <c r="B587" s="952" t="s">
        <v>56</v>
      </c>
      <c r="C587" s="953">
        <v>42459.0</v>
      </c>
      <c r="D587" s="954" t="s">
        <v>59</v>
      </c>
      <c r="E587" s="948" t="s">
        <v>63</v>
      </c>
      <c r="F587" s="954" t="s">
        <v>64</v>
      </c>
      <c r="G587" s="954" t="s">
        <v>69</v>
      </c>
      <c r="H587" s="954" t="s">
        <v>69</v>
      </c>
      <c r="I587" s="955">
        <v>0.9</v>
      </c>
      <c r="J587" s="948">
        <v>185.0</v>
      </c>
      <c r="K587" s="949">
        <v>-0.009999574002008349</v>
      </c>
      <c r="L587" s="950" t="str">
        <f t="shared" si="1"/>
        <v/>
      </c>
      <c r="M587" s="736"/>
      <c r="N587" s="736"/>
      <c r="O587" s="736"/>
    </row>
    <row r="588">
      <c r="A588" s="951" t="s">
        <v>548</v>
      </c>
      <c r="B588" s="952" t="s">
        <v>60</v>
      </c>
      <c r="C588" s="953">
        <v>42457.0</v>
      </c>
      <c r="D588" s="954" t="s">
        <v>79</v>
      </c>
      <c r="E588" s="948" t="s">
        <v>63</v>
      </c>
      <c r="F588" s="954" t="s">
        <v>69</v>
      </c>
      <c r="G588" s="954" t="s">
        <v>69</v>
      </c>
      <c r="H588" s="954" t="s">
        <v>69</v>
      </c>
      <c r="I588" s="955">
        <v>0.9</v>
      </c>
      <c r="J588" s="948">
        <v>221.0</v>
      </c>
      <c r="K588" s="949">
        <v>0.003764029972041949</v>
      </c>
      <c r="L588" s="950" t="str">
        <f t="shared" si="1"/>
        <v/>
      </c>
      <c r="M588" s="736"/>
      <c r="N588" s="736"/>
      <c r="O588" s="736"/>
    </row>
    <row r="589">
      <c r="A589" s="951" t="s">
        <v>342</v>
      </c>
      <c r="B589" s="952" t="s">
        <v>60</v>
      </c>
      <c r="C589" s="953">
        <v>42457.0</v>
      </c>
      <c r="D589" s="954" t="s">
        <v>79</v>
      </c>
      <c r="E589" s="948" t="s">
        <v>63</v>
      </c>
      <c r="F589" s="954" t="s">
        <v>67</v>
      </c>
      <c r="G589" s="954" t="s">
        <v>66</v>
      </c>
      <c r="H589" s="954" t="s">
        <v>69</v>
      </c>
      <c r="I589" s="955"/>
      <c r="J589" s="948">
        <v>230.0</v>
      </c>
      <c r="K589" s="949">
        <v>-0.004286745988962393</v>
      </c>
      <c r="L589" s="950" t="str">
        <f t="shared" si="1"/>
        <v>yes</v>
      </c>
      <c r="M589" s="736"/>
      <c r="N589" s="736"/>
      <c r="O589" s="736"/>
    </row>
    <row r="590">
      <c r="A590" s="951" t="s">
        <v>241</v>
      </c>
      <c r="B590" s="952" t="s">
        <v>60</v>
      </c>
      <c r="C590" s="953">
        <v>42457.0</v>
      </c>
      <c r="D590" s="954" t="s">
        <v>59</v>
      </c>
      <c r="E590" s="948" t="s">
        <v>63</v>
      </c>
      <c r="F590" s="954" t="s">
        <v>69</v>
      </c>
      <c r="G590" s="954" t="s">
        <v>69</v>
      </c>
      <c r="H590" s="954" t="s">
        <v>66</v>
      </c>
      <c r="I590" s="955">
        <v>0.8</v>
      </c>
      <c r="J590" s="948">
        <v>221.0</v>
      </c>
      <c r="K590" s="949">
        <v>-0.03134724243699882</v>
      </c>
      <c r="L590" s="950" t="str">
        <f t="shared" si="1"/>
        <v>yes</v>
      </c>
      <c r="M590" s="736"/>
      <c r="N590" s="736"/>
      <c r="O590" s="736"/>
    </row>
    <row r="591">
      <c r="A591" s="951" t="s">
        <v>1628</v>
      </c>
      <c r="B591" s="952" t="s">
        <v>60</v>
      </c>
      <c r="C591" s="953">
        <v>42455.0</v>
      </c>
      <c r="D591" s="954" t="s">
        <v>305</v>
      </c>
      <c r="E591" s="948" t="s">
        <v>63</v>
      </c>
      <c r="F591" s="954" t="s">
        <v>65</v>
      </c>
      <c r="G591" s="954" t="s">
        <v>64</v>
      </c>
      <c r="H591" s="954" t="s">
        <v>68</v>
      </c>
      <c r="I591" s="955">
        <v>0.9</v>
      </c>
      <c r="J591" s="948">
        <v>228.0</v>
      </c>
      <c r="K591" s="949">
        <v>0.010568025732050512</v>
      </c>
      <c r="L591" s="950" t="str">
        <f t="shared" si="1"/>
        <v/>
      </c>
      <c r="M591" s="736"/>
      <c r="N591" s="736"/>
      <c r="O591" s="736"/>
    </row>
    <row r="592">
      <c r="A592" s="951" t="s">
        <v>1637</v>
      </c>
      <c r="B592" s="952" t="s">
        <v>60</v>
      </c>
      <c r="C592" s="953">
        <v>42454.0</v>
      </c>
      <c r="D592" s="954" t="s">
        <v>118</v>
      </c>
      <c r="E592" s="948" t="s">
        <v>63</v>
      </c>
      <c r="F592" s="954" t="s">
        <v>80</v>
      </c>
      <c r="G592" s="954" t="s">
        <v>64</v>
      </c>
      <c r="H592" s="954" t="s">
        <v>66</v>
      </c>
      <c r="I592" s="955">
        <v>0.8</v>
      </c>
      <c r="J592" s="948">
        <v>224.0</v>
      </c>
      <c r="K592" s="949">
        <v>0.022059479506727597</v>
      </c>
      <c r="L592" s="950" t="str">
        <f t="shared" si="1"/>
        <v/>
      </c>
      <c r="M592" s="736"/>
      <c r="N592" s="736"/>
      <c r="O592" s="736"/>
    </row>
    <row r="593">
      <c r="A593" s="951" t="s">
        <v>1882</v>
      </c>
      <c r="B593" s="952" t="s">
        <v>60</v>
      </c>
      <c r="C593" s="953">
        <v>42454.0</v>
      </c>
      <c r="D593" s="954" t="s">
        <v>118</v>
      </c>
      <c r="E593" s="948" t="s">
        <v>63</v>
      </c>
      <c r="F593" s="954"/>
      <c r="G593" s="954" t="s">
        <v>69</v>
      </c>
      <c r="H593" s="954" t="s">
        <v>68</v>
      </c>
      <c r="I593" s="955">
        <v>0.8</v>
      </c>
      <c r="J593" s="948">
        <v>223.0</v>
      </c>
      <c r="K593" s="949">
        <v>0.01724513350293122</v>
      </c>
      <c r="L593" s="950" t="str">
        <f t="shared" si="1"/>
        <v/>
      </c>
      <c r="M593" s="736"/>
      <c r="N593" s="736"/>
      <c r="O593" s="736"/>
    </row>
    <row r="594">
      <c r="A594" s="951" t="s">
        <v>1786</v>
      </c>
      <c r="B594" s="952" t="s">
        <v>60</v>
      </c>
      <c r="C594" s="953">
        <v>42454.0</v>
      </c>
      <c r="D594" s="954" t="s">
        <v>59</v>
      </c>
      <c r="E594" s="948" t="s">
        <v>63</v>
      </c>
      <c r="F594" s="954" t="s">
        <v>69</v>
      </c>
      <c r="G594" s="954" t="s">
        <v>69</v>
      </c>
      <c r="H594" s="954" t="s">
        <v>66</v>
      </c>
      <c r="I594" s="955">
        <v>0.8</v>
      </c>
      <c r="J594" s="948">
        <v>222.0</v>
      </c>
      <c r="K594" s="949">
        <v>-0.019352714113395675</v>
      </c>
      <c r="L594" s="950" t="str">
        <f t="shared" si="1"/>
        <v>yes</v>
      </c>
      <c r="M594" s="736"/>
      <c r="N594" s="736"/>
      <c r="O594" s="736"/>
    </row>
    <row r="595">
      <c r="A595" s="951" t="s">
        <v>1823</v>
      </c>
      <c r="B595" s="952" t="s">
        <v>60</v>
      </c>
      <c r="C595" s="953">
        <v>42454.0</v>
      </c>
      <c r="D595" s="954" t="s">
        <v>59</v>
      </c>
      <c r="E595" s="948" t="s">
        <v>63</v>
      </c>
      <c r="F595" s="954" t="s">
        <v>67</v>
      </c>
      <c r="G595" s="954" t="s">
        <v>69</v>
      </c>
      <c r="H595" s="954" t="s">
        <v>66</v>
      </c>
      <c r="I595" s="955">
        <v>0.9</v>
      </c>
      <c r="J595" s="948">
        <v>219.0</v>
      </c>
      <c r="K595" s="949">
        <v>-0.011784779166423842</v>
      </c>
      <c r="L595" s="950" t="str">
        <f t="shared" si="1"/>
        <v/>
      </c>
      <c r="M595" s="736"/>
      <c r="N595" s="736"/>
      <c r="O595" s="736"/>
    </row>
    <row r="596">
      <c r="A596" s="951" t="s">
        <v>1644</v>
      </c>
      <c r="B596" s="952" t="s">
        <v>60</v>
      </c>
      <c r="C596" s="953">
        <v>42452.0</v>
      </c>
      <c r="D596" s="954" t="s">
        <v>59</v>
      </c>
      <c r="E596" s="948" t="s">
        <v>63</v>
      </c>
      <c r="F596" s="954" t="s">
        <v>69</v>
      </c>
      <c r="G596" s="954" t="s">
        <v>69</v>
      </c>
      <c r="H596" s="954" t="s">
        <v>68</v>
      </c>
      <c r="I596" s="955">
        <v>0.8</v>
      </c>
      <c r="J596" s="948">
        <v>220.0</v>
      </c>
      <c r="K596" s="949">
        <v>-0.008887937890250552</v>
      </c>
      <c r="L596" s="950" t="str">
        <f t="shared" si="1"/>
        <v/>
      </c>
      <c r="M596" s="736"/>
      <c r="N596" s="736"/>
      <c r="O596" s="736"/>
    </row>
    <row r="597">
      <c r="A597" s="951" t="s">
        <v>1128</v>
      </c>
      <c r="B597" s="952" t="s">
        <v>60</v>
      </c>
      <c r="C597" s="953">
        <v>42449.0</v>
      </c>
      <c r="D597" s="954" t="s">
        <v>59</v>
      </c>
      <c r="E597" s="948" t="s">
        <v>63</v>
      </c>
      <c r="F597" s="954" t="s">
        <v>67</v>
      </c>
      <c r="G597" s="954" t="s">
        <v>64</v>
      </c>
      <c r="H597" s="954" t="s">
        <v>69</v>
      </c>
      <c r="I597" s="955">
        <v>0.8</v>
      </c>
      <c r="J597" s="948">
        <v>212.0</v>
      </c>
      <c r="K597" s="949">
        <v>8.369741241538442E-4</v>
      </c>
      <c r="L597" s="950" t="str">
        <f t="shared" si="1"/>
        <v/>
      </c>
      <c r="M597" s="736"/>
      <c r="N597" s="736"/>
      <c r="O597" s="736"/>
    </row>
    <row r="598">
      <c r="A598" s="951" t="s">
        <v>449</v>
      </c>
      <c r="B598" s="952" t="s">
        <v>60</v>
      </c>
      <c r="C598" s="953">
        <v>42449.0</v>
      </c>
      <c r="D598" s="954" t="s">
        <v>59</v>
      </c>
      <c r="E598" s="948" t="s">
        <v>63</v>
      </c>
      <c r="F598" s="954" t="s">
        <v>80</v>
      </c>
      <c r="G598" s="954" t="s">
        <v>65</v>
      </c>
      <c r="H598" s="954" t="s">
        <v>66</v>
      </c>
      <c r="I598" s="955">
        <v>0.7</v>
      </c>
      <c r="J598" s="948">
        <v>187.0</v>
      </c>
      <c r="K598" s="949">
        <v>-0.008217631578822382</v>
      </c>
      <c r="L598" s="950" t="str">
        <f t="shared" si="1"/>
        <v/>
      </c>
      <c r="M598" s="736"/>
      <c r="N598" s="736"/>
      <c r="O598" s="736"/>
    </row>
    <row r="599">
      <c r="A599" s="951" t="s">
        <v>1336</v>
      </c>
      <c r="B599" s="952" t="s">
        <v>60</v>
      </c>
      <c r="C599" s="953">
        <v>42448.0</v>
      </c>
      <c r="D599" s="954" t="s">
        <v>59</v>
      </c>
      <c r="E599" s="948" t="s">
        <v>63</v>
      </c>
      <c r="F599" s="954" t="s">
        <v>69</v>
      </c>
      <c r="G599" s="954" t="s">
        <v>69</v>
      </c>
      <c r="H599" s="954" t="s">
        <v>69</v>
      </c>
      <c r="I599" s="955">
        <v>0.8</v>
      </c>
      <c r="J599" s="948">
        <v>214.0</v>
      </c>
      <c r="K599" s="949">
        <v>-0.026953721524387575</v>
      </c>
      <c r="L599" s="950" t="str">
        <f t="shared" si="1"/>
        <v/>
      </c>
      <c r="M599" s="736"/>
      <c r="N599" s="736"/>
      <c r="O599" s="736"/>
    </row>
    <row r="600">
      <c r="A600" s="951" t="s">
        <v>1876</v>
      </c>
      <c r="B600" s="952" t="s">
        <v>60</v>
      </c>
      <c r="C600" s="953">
        <v>42448.0</v>
      </c>
      <c r="D600" s="954" t="s">
        <v>59</v>
      </c>
      <c r="E600" s="948" t="s">
        <v>63</v>
      </c>
      <c r="F600" s="954"/>
      <c r="G600" s="954"/>
      <c r="H600" s="954"/>
      <c r="I600" s="955"/>
      <c r="J600" s="948">
        <v>222.0</v>
      </c>
      <c r="K600" s="949">
        <v>-0.016387875408500063</v>
      </c>
      <c r="L600" s="950" t="str">
        <f t="shared" si="1"/>
        <v>yes</v>
      </c>
      <c r="M600" s="736"/>
      <c r="N600" s="736"/>
      <c r="O600" s="736"/>
    </row>
    <row r="601">
      <c r="A601" s="951" t="s">
        <v>1703</v>
      </c>
      <c r="B601" s="952" t="s">
        <v>60</v>
      </c>
      <c r="C601" s="953">
        <v>42447.0</v>
      </c>
      <c r="D601" s="954" t="s">
        <v>118</v>
      </c>
      <c r="E601" s="948" t="s">
        <v>63</v>
      </c>
      <c r="F601" s="954" t="s">
        <v>69</v>
      </c>
      <c r="G601" s="954" t="s">
        <v>68</v>
      </c>
      <c r="H601" s="954" t="s">
        <v>68</v>
      </c>
      <c r="I601" s="955">
        <v>0.9</v>
      </c>
      <c r="J601" s="948">
        <v>228.0</v>
      </c>
      <c r="K601" s="949">
        <v>0.012458084294189486</v>
      </c>
      <c r="L601" s="950" t="str">
        <f t="shared" si="1"/>
        <v/>
      </c>
      <c r="M601" s="736"/>
      <c r="N601" s="736"/>
      <c r="O601" s="736"/>
    </row>
    <row r="602">
      <c r="A602" s="951" t="s">
        <v>640</v>
      </c>
      <c r="B602" s="952" t="s">
        <v>60</v>
      </c>
      <c r="C602" s="953">
        <v>42447.0</v>
      </c>
      <c r="D602" s="954" t="s">
        <v>59</v>
      </c>
      <c r="E602" s="948" t="s">
        <v>63</v>
      </c>
      <c r="F602" s="954"/>
      <c r="G602" s="954"/>
      <c r="H602" s="954"/>
      <c r="I602" s="955"/>
      <c r="J602" s="948">
        <v>237.0</v>
      </c>
      <c r="K602" s="949">
        <v>0.006550945202232983</v>
      </c>
      <c r="L602" s="950" t="str">
        <f t="shared" si="1"/>
        <v/>
      </c>
      <c r="M602" s="736"/>
      <c r="N602" s="736"/>
      <c r="O602" s="736"/>
    </row>
    <row r="603">
      <c r="A603" s="951" t="s">
        <v>1726</v>
      </c>
      <c r="B603" s="952" t="s">
        <v>60</v>
      </c>
      <c r="C603" s="953">
        <v>42447.0</v>
      </c>
      <c r="D603" s="954" t="s">
        <v>305</v>
      </c>
      <c r="E603" s="948" t="s">
        <v>63</v>
      </c>
      <c r="F603" s="954" t="s">
        <v>69</v>
      </c>
      <c r="G603" s="954" t="s">
        <v>69</v>
      </c>
      <c r="H603" s="954" t="s">
        <v>69</v>
      </c>
      <c r="I603" s="955">
        <v>0.8</v>
      </c>
      <c r="J603" s="948">
        <v>248.0</v>
      </c>
      <c r="K603" s="949">
        <v>-0.004990129201362881</v>
      </c>
      <c r="L603" s="950" t="str">
        <f t="shared" si="1"/>
        <v/>
      </c>
      <c r="M603" s="736"/>
      <c r="N603" s="736"/>
      <c r="O603" s="736"/>
    </row>
    <row r="604">
      <c r="A604" s="951" t="s">
        <v>513</v>
      </c>
      <c r="B604" s="952" t="s">
        <v>60</v>
      </c>
      <c r="C604" s="953">
        <v>42443.0</v>
      </c>
      <c r="D604" s="954" t="s">
        <v>59</v>
      </c>
      <c r="E604" s="948" t="s">
        <v>63</v>
      </c>
      <c r="F604" s="954" t="s">
        <v>65</v>
      </c>
      <c r="G604" s="954" t="s">
        <v>69</v>
      </c>
      <c r="H604" s="954" t="s">
        <v>68</v>
      </c>
      <c r="I604" s="955">
        <v>0.8</v>
      </c>
      <c r="J604" s="948">
        <v>227.0</v>
      </c>
      <c r="K604" s="949">
        <v>0.01773310923674809</v>
      </c>
      <c r="L604" s="950" t="str">
        <f t="shared" si="1"/>
        <v/>
      </c>
      <c r="M604" s="736"/>
      <c r="N604" s="736"/>
      <c r="O604" s="736"/>
    </row>
    <row r="605">
      <c r="A605" s="951" t="s">
        <v>1637</v>
      </c>
      <c r="B605" s="952" t="s">
        <v>60</v>
      </c>
      <c r="C605" s="953">
        <v>42441.0</v>
      </c>
      <c r="D605" s="954" t="s">
        <v>118</v>
      </c>
      <c r="E605" s="948" t="s">
        <v>63</v>
      </c>
      <c r="F605" s="954" t="s">
        <v>80</v>
      </c>
      <c r="G605" s="954" t="s">
        <v>64</v>
      </c>
      <c r="H605" s="954" t="s">
        <v>69</v>
      </c>
      <c r="I605" s="955">
        <v>0.8</v>
      </c>
      <c r="J605" s="948">
        <v>225.0</v>
      </c>
      <c r="K605" s="949">
        <v>0.023596269510287815</v>
      </c>
      <c r="L605" s="950" t="str">
        <f t="shared" si="1"/>
        <v/>
      </c>
      <c r="M605" s="736"/>
      <c r="N605" s="736"/>
      <c r="O605" s="736"/>
    </row>
    <row r="606">
      <c r="A606" s="951" t="s">
        <v>1858</v>
      </c>
      <c r="B606" s="952" t="s">
        <v>60</v>
      </c>
      <c r="C606" s="953">
        <v>42440.0</v>
      </c>
      <c r="D606" s="954" t="s">
        <v>305</v>
      </c>
      <c r="E606" s="948" t="s">
        <v>63</v>
      </c>
      <c r="F606" s="954"/>
      <c r="G606" s="954"/>
      <c r="H606" s="954"/>
      <c r="I606" s="955"/>
      <c r="J606" s="948">
        <v>218.0</v>
      </c>
      <c r="K606" s="949">
        <v>0.026705601157474668</v>
      </c>
      <c r="L606" s="950" t="str">
        <f t="shared" si="1"/>
        <v/>
      </c>
      <c r="M606" s="736"/>
      <c r="N606" s="736"/>
      <c r="O606" s="736"/>
    </row>
    <row r="607">
      <c r="A607" s="951" t="s">
        <v>1829</v>
      </c>
      <c r="B607" s="952" t="s">
        <v>60</v>
      </c>
      <c r="C607" s="953">
        <v>42440.0</v>
      </c>
      <c r="D607" s="954" t="s">
        <v>59</v>
      </c>
      <c r="E607" s="948" t="s">
        <v>63</v>
      </c>
      <c r="F607" s="954" t="s">
        <v>69</v>
      </c>
      <c r="G607" s="954" t="s">
        <v>69</v>
      </c>
      <c r="H607" s="954" t="s">
        <v>66</v>
      </c>
      <c r="I607" s="955">
        <v>0.9</v>
      </c>
      <c r="J607" s="948">
        <v>215.0</v>
      </c>
      <c r="K607" s="949">
        <v>-0.02934047138283724</v>
      </c>
      <c r="L607" s="950" t="str">
        <f t="shared" si="1"/>
        <v>yes</v>
      </c>
      <c r="M607" s="736"/>
      <c r="N607" s="736"/>
      <c r="O607" s="736"/>
    </row>
    <row r="608">
      <c r="A608" s="951" t="s">
        <v>361</v>
      </c>
      <c r="B608" s="952" t="s">
        <v>60</v>
      </c>
      <c r="C608" s="953">
        <v>42438.0</v>
      </c>
      <c r="D608" s="954" t="s">
        <v>59</v>
      </c>
      <c r="E608" s="948" t="s">
        <v>63</v>
      </c>
      <c r="F608" s="954" t="s">
        <v>69</v>
      </c>
      <c r="G608" s="954" t="s">
        <v>69</v>
      </c>
      <c r="H608" s="954" t="s">
        <v>69</v>
      </c>
      <c r="I608" s="955">
        <v>0.7</v>
      </c>
      <c r="J608" s="948">
        <v>228.0</v>
      </c>
      <c r="K608" s="949">
        <v>-0.012274442642862038</v>
      </c>
      <c r="L608" s="950" t="str">
        <f t="shared" si="1"/>
        <v/>
      </c>
      <c r="M608" s="736"/>
      <c r="N608" s="736"/>
      <c r="O608" s="736"/>
    </row>
    <row r="609">
      <c r="A609" s="951" t="s">
        <v>1741</v>
      </c>
      <c r="B609" s="952" t="s">
        <v>60</v>
      </c>
      <c r="C609" s="953">
        <v>42438.0</v>
      </c>
      <c r="D609" s="954" t="s">
        <v>86</v>
      </c>
      <c r="E609" s="948" t="s">
        <v>63</v>
      </c>
      <c r="F609" s="954" t="s">
        <v>65</v>
      </c>
      <c r="G609" s="954" t="s">
        <v>64</v>
      </c>
      <c r="H609" s="954" t="s">
        <v>66</v>
      </c>
      <c r="I609" s="955">
        <v>0.8</v>
      </c>
      <c r="J609" s="948">
        <v>205.0</v>
      </c>
      <c r="K609" s="949">
        <v>-0.017980606833851498</v>
      </c>
      <c r="L609" s="950" t="str">
        <f t="shared" si="1"/>
        <v/>
      </c>
      <c r="M609" s="736"/>
      <c r="N609" s="736"/>
      <c r="O609" s="736"/>
    </row>
    <row r="610">
      <c r="A610" s="951" t="s">
        <v>161</v>
      </c>
      <c r="B610" s="952" t="s">
        <v>56</v>
      </c>
      <c r="C610" s="953">
        <v>42437.0</v>
      </c>
      <c r="D610" s="954" t="s">
        <v>59</v>
      </c>
      <c r="E610" s="948" t="s">
        <v>63</v>
      </c>
      <c r="F610" s="954" t="s">
        <v>64</v>
      </c>
      <c r="G610" s="954" t="s">
        <v>69</v>
      </c>
      <c r="H610" s="954" t="s">
        <v>69</v>
      </c>
      <c r="I610" s="955">
        <v>0.9</v>
      </c>
      <c r="J610" s="948">
        <v>185.0</v>
      </c>
      <c r="K610" s="949">
        <v>-0.010221014974168385</v>
      </c>
      <c r="L610" s="950" t="str">
        <f t="shared" si="1"/>
        <v/>
      </c>
      <c r="M610" s="736"/>
      <c r="N610" s="736"/>
      <c r="O610" s="736"/>
    </row>
    <row r="611">
      <c r="A611" s="951" t="s">
        <v>1692</v>
      </c>
      <c r="B611" s="952" t="s">
        <v>60</v>
      </c>
      <c r="C611" s="953">
        <v>42436.0</v>
      </c>
      <c r="D611" s="954" t="s">
        <v>59</v>
      </c>
      <c r="E611" s="948" t="s">
        <v>63</v>
      </c>
      <c r="F611" s="954" t="s">
        <v>64</v>
      </c>
      <c r="G611" s="954" t="s">
        <v>66</v>
      </c>
      <c r="H611" s="954" t="s">
        <v>66</v>
      </c>
      <c r="I611" s="955">
        <v>0.8</v>
      </c>
      <c r="J611" s="948">
        <v>211.0</v>
      </c>
      <c r="K611" s="949">
        <v>-0.038230650923705256</v>
      </c>
      <c r="L611" s="950" t="str">
        <f t="shared" si="1"/>
        <v/>
      </c>
      <c r="M611" s="736"/>
      <c r="N611" s="736"/>
      <c r="O611" s="736"/>
    </row>
    <row r="612">
      <c r="A612" s="951" t="s">
        <v>1493</v>
      </c>
      <c r="B612" s="952" t="s">
        <v>60</v>
      </c>
      <c r="C612" s="953">
        <v>42434.0</v>
      </c>
      <c r="D612" s="954" t="s">
        <v>59</v>
      </c>
      <c r="E612" s="948" t="s">
        <v>63</v>
      </c>
      <c r="F612" s="954" t="s">
        <v>65</v>
      </c>
      <c r="G612" s="954" t="s">
        <v>64</v>
      </c>
      <c r="H612" s="954" t="s">
        <v>69</v>
      </c>
      <c r="I612" s="955">
        <v>0.8</v>
      </c>
      <c r="J612" s="948">
        <v>220.0</v>
      </c>
      <c r="K612" s="949">
        <v>-0.025821964794264463</v>
      </c>
      <c r="L612" s="950" t="str">
        <f t="shared" si="1"/>
        <v/>
      </c>
      <c r="M612" s="736"/>
      <c r="N612" s="736"/>
      <c r="O612" s="736"/>
    </row>
    <row r="613">
      <c r="A613" s="951" t="s">
        <v>1836</v>
      </c>
      <c r="B613" s="952" t="s">
        <v>60</v>
      </c>
      <c r="C613" s="953">
        <v>42433.0</v>
      </c>
      <c r="D613" s="954" t="s">
        <v>86</v>
      </c>
      <c r="E613" s="948" t="s">
        <v>63</v>
      </c>
      <c r="F613" s="954"/>
      <c r="G613" s="954"/>
      <c r="H613" s="954"/>
      <c r="I613" s="955">
        <v>0.9</v>
      </c>
      <c r="J613" s="948">
        <v>248.0</v>
      </c>
      <c r="K613" s="949">
        <v>0.003945774406455493</v>
      </c>
      <c r="L613" s="950" t="str">
        <f t="shared" si="1"/>
        <v/>
      </c>
      <c r="M613" s="736"/>
      <c r="N613" s="736"/>
      <c r="O613" s="736"/>
    </row>
    <row r="614">
      <c r="A614" s="951" t="s">
        <v>1726</v>
      </c>
      <c r="B614" s="952" t="s">
        <v>60</v>
      </c>
      <c r="C614" s="953">
        <v>42433.0</v>
      </c>
      <c r="D614" s="954" t="s">
        <v>305</v>
      </c>
      <c r="E614" s="948" t="s">
        <v>63</v>
      </c>
      <c r="F614" s="954" t="s">
        <v>69</v>
      </c>
      <c r="G614" s="954" t="s">
        <v>69</v>
      </c>
      <c r="H614" s="954" t="s">
        <v>69</v>
      </c>
      <c r="I614" s="955">
        <v>0.8</v>
      </c>
      <c r="J614" s="948">
        <v>248.0</v>
      </c>
      <c r="K614" s="949">
        <v>-0.026016942407043997</v>
      </c>
      <c r="L614" s="950" t="str">
        <f t="shared" si="1"/>
        <v/>
      </c>
      <c r="M614" s="736"/>
      <c r="N614" s="736"/>
      <c r="O614" s="736"/>
    </row>
    <row r="615">
      <c r="A615" s="951" t="s">
        <v>1627</v>
      </c>
      <c r="B615" s="952" t="s">
        <v>60</v>
      </c>
      <c r="C615" s="953">
        <v>42433.0</v>
      </c>
      <c r="D615" s="954" t="s">
        <v>118</v>
      </c>
      <c r="E615" s="948" t="s">
        <v>63</v>
      </c>
      <c r="F615" s="954"/>
      <c r="G615" s="954"/>
      <c r="H615" s="954"/>
      <c r="I615" s="955"/>
      <c r="J615" s="948">
        <v>218.0</v>
      </c>
      <c r="K615" s="949">
        <v>-0.007527768318795647</v>
      </c>
      <c r="L615" s="950" t="str">
        <f t="shared" si="1"/>
        <v>yes</v>
      </c>
      <c r="M615" s="736"/>
      <c r="N615" s="736"/>
      <c r="O615" s="736"/>
    </row>
    <row r="616">
      <c r="A616" s="951" t="s">
        <v>1691</v>
      </c>
      <c r="B616" s="952" t="s">
        <v>60</v>
      </c>
      <c r="C616" s="953">
        <v>42431.0</v>
      </c>
      <c r="D616" s="954" t="s">
        <v>86</v>
      </c>
      <c r="E616" s="948" t="s">
        <v>63</v>
      </c>
      <c r="F616" s="954" t="s">
        <v>65</v>
      </c>
      <c r="G616" s="954" t="s">
        <v>64</v>
      </c>
      <c r="H616" s="954" t="s">
        <v>69</v>
      </c>
      <c r="I616" s="955">
        <v>0.8</v>
      </c>
      <c r="J616" s="948">
        <v>214.0</v>
      </c>
      <c r="K616" s="949">
        <v>0.011106299088963989</v>
      </c>
      <c r="L616" s="950" t="str">
        <f t="shared" si="1"/>
        <v>yes</v>
      </c>
      <c r="M616" s="736"/>
      <c r="N616" s="736"/>
      <c r="O616" s="736"/>
    </row>
    <row r="617">
      <c r="A617" s="951" t="s">
        <v>339</v>
      </c>
      <c r="B617" s="952" t="s">
        <v>60</v>
      </c>
      <c r="C617" s="953">
        <v>42428.0</v>
      </c>
      <c r="D617" s="954" t="s">
        <v>59</v>
      </c>
      <c r="E617" s="948" t="s">
        <v>63</v>
      </c>
      <c r="F617" s="954" t="s">
        <v>69</v>
      </c>
      <c r="G617" s="954" t="s">
        <v>64</v>
      </c>
      <c r="H617" s="954" t="s">
        <v>68</v>
      </c>
      <c r="I617" s="955">
        <v>0.8</v>
      </c>
      <c r="J617" s="948">
        <v>258.0</v>
      </c>
      <c r="K617" s="949">
        <v>-0.025185142111548653</v>
      </c>
      <c r="L617" s="950" t="str">
        <f t="shared" si="1"/>
        <v/>
      </c>
      <c r="M617" s="736"/>
      <c r="N617" s="736"/>
      <c r="O617" s="736"/>
    </row>
    <row r="618">
      <c r="A618" s="951" t="s">
        <v>138</v>
      </c>
      <c r="B618" s="952" t="s">
        <v>55</v>
      </c>
      <c r="C618" s="953">
        <v>42428.0</v>
      </c>
      <c r="D618" s="954" t="s">
        <v>86</v>
      </c>
      <c r="E618" s="948" t="s">
        <v>63</v>
      </c>
      <c r="F618" s="954" t="s">
        <v>64</v>
      </c>
      <c r="G618" s="954" t="s">
        <v>69</v>
      </c>
      <c r="H618" s="954" t="s">
        <v>68</v>
      </c>
      <c r="I618" s="955">
        <v>0.9</v>
      </c>
      <c r="J618" s="948">
        <v>209.0</v>
      </c>
      <c r="K618" s="949">
        <v>0.004705390034185242</v>
      </c>
      <c r="L618" s="950" t="str">
        <f t="shared" si="1"/>
        <v/>
      </c>
      <c r="M618" s="736"/>
      <c r="N618" s="736"/>
      <c r="O618" s="736"/>
    </row>
    <row r="619">
      <c r="A619" s="951" t="s">
        <v>1876</v>
      </c>
      <c r="B619" s="952" t="s">
        <v>60</v>
      </c>
      <c r="C619" s="953">
        <v>42427.0</v>
      </c>
      <c r="D619" s="954" t="s">
        <v>59</v>
      </c>
      <c r="E619" s="948" t="s">
        <v>63</v>
      </c>
      <c r="F619" s="954"/>
      <c r="G619" s="954"/>
      <c r="H619" s="954"/>
      <c r="I619" s="955"/>
      <c r="J619" s="948">
        <v>222.0</v>
      </c>
      <c r="K619" s="949">
        <v>-0.03267373279619956</v>
      </c>
      <c r="L619" s="950" t="str">
        <f t="shared" si="1"/>
        <v/>
      </c>
      <c r="M619" s="736"/>
      <c r="N619" s="736"/>
      <c r="O619" s="736"/>
    </row>
    <row r="620">
      <c r="A620" s="951" t="s">
        <v>1748</v>
      </c>
      <c r="B620" s="952" t="s">
        <v>60</v>
      </c>
      <c r="C620" s="953">
        <v>42427.0</v>
      </c>
      <c r="D620" s="954" t="s">
        <v>59</v>
      </c>
      <c r="E620" s="948" t="s">
        <v>63</v>
      </c>
      <c r="F620" s="954" t="s">
        <v>69</v>
      </c>
      <c r="G620" s="954" t="s">
        <v>64</v>
      </c>
      <c r="H620" s="954" t="s">
        <v>68</v>
      </c>
      <c r="I620" s="955">
        <v>0.8</v>
      </c>
      <c r="J620" s="948">
        <v>227.0</v>
      </c>
      <c r="K620" s="949">
        <v>-0.004596634809268529</v>
      </c>
      <c r="L620" s="950" t="str">
        <f t="shared" si="1"/>
        <v>yes</v>
      </c>
      <c r="M620" s="736"/>
      <c r="N620" s="736"/>
      <c r="O620" s="736"/>
    </row>
    <row r="621">
      <c r="A621" s="951" t="s">
        <v>339</v>
      </c>
      <c r="B621" s="952" t="s">
        <v>60</v>
      </c>
      <c r="C621" s="953">
        <v>42427.0</v>
      </c>
      <c r="D621" s="954" t="s">
        <v>59</v>
      </c>
      <c r="E621" s="948" t="s">
        <v>63</v>
      </c>
      <c r="F621" s="954" t="s">
        <v>69</v>
      </c>
      <c r="G621" s="954" t="s">
        <v>64</v>
      </c>
      <c r="H621" s="954" t="s">
        <v>68</v>
      </c>
      <c r="I621" s="955">
        <v>0.8</v>
      </c>
      <c r="J621" s="948">
        <v>258.0</v>
      </c>
      <c r="K621" s="949">
        <v>-0.0278699536622522</v>
      </c>
      <c r="L621" s="950" t="str">
        <f t="shared" si="1"/>
        <v/>
      </c>
      <c r="M621" s="736"/>
      <c r="N621" s="736"/>
      <c r="O621" s="736"/>
    </row>
    <row r="622">
      <c r="A622" s="951" t="s">
        <v>1703</v>
      </c>
      <c r="B622" s="952" t="s">
        <v>60</v>
      </c>
      <c r="C622" s="953">
        <v>42423.0</v>
      </c>
      <c r="D622" s="954" t="s">
        <v>118</v>
      </c>
      <c r="E622" s="948" t="s">
        <v>63</v>
      </c>
      <c r="F622" s="954"/>
      <c r="G622" s="954"/>
      <c r="H622" s="954"/>
      <c r="I622" s="955"/>
      <c r="J622" s="948">
        <v>230.0</v>
      </c>
      <c r="K622" s="949">
        <v>0.009220901359582756</v>
      </c>
      <c r="L622" s="950" t="str">
        <f t="shared" si="1"/>
        <v/>
      </c>
      <c r="M622" s="736"/>
      <c r="N622" s="736"/>
      <c r="O622" s="736"/>
    </row>
    <row r="623">
      <c r="A623" s="951" t="s">
        <v>1818</v>
      </c>
      <c r="B623" s="952" t="s">
        <v>60</v>
      </c>
      <c r="C623" s="953">
        <v>42422.0</v>
      </c>
      <c r="D623" s="954" t="s">
        <v>86</v>
      </c>
      <c r="E623" s="948" t="s">
        <v>63</v>
      </c>
      <c r="F623" s="954" t="s">
        <v>64</v>
      </c>
      <c r="G623" s="954" t="s">
        <v>69</v>
      </c>
      <c r="H623" s="954" t="s">
        <v>69</v>
      </c>
      <c r="I623" s="955">
        <v>0.9</v>
      </c>
      <c r="J623" s="948">
        <v>269.0</v>
      </c>
      <c r="K623" s="949">
        <v>-0.001284666507838761</v>
      </c>
      <c r="L623" s="950" t="str">
        <f t="shared" si="1"/>
        <v>yes</v>
      </c>
      <c r="M623" s="736"/>
      <c r="N623" s="736"/>
      <c r="O623" s="736"/>
    </row>
    <row r="624">
      <c r="A624" s="951" t="s">
        <v>449</v>
      </c>
      <c r="B624" s="952" t="s">
        <v>60</v>
      </c>
      <c r="C624" s="953">
        <v>42420.0</v>
      </c>
      <c r="D624" s="954" t="s">
        <v>59</v>
      </c>
      <c r="E624" s="948" t="s">
        <v>63</v>
      </c>
      <c r="F624" s="954" t="s">
        <v>67</v>
      </c>
      <c r="G624" s="954" t="s">
        <v>65</v>
      </c>
      <c r="H624" s="954" t="s">
        <v>66</v>
      </c>
      <c r="I624" s="955">
        <v>0.8</v>
      </c>
      <c r="J624" s="948">
        <v>186.0</v>
      </c>
      <c r="K624" s="949">
        <v>-0.0198085526181635</v>
      </c>
      <c r="L624" s="950" t="str">
        <f t="shared" si="1"/>
        <v/>
      </c>
      <c r="M624" s="736"/>
      <c r="N624" s="736"/>
      <c r="O624" s="736"/>
    </row>
    <row r="625">
      <c r="A625" s="951" t="s">
        <v>761</v>
      </c>
      <c r="B625" s="952" t="s">
        <v>60</v>
      </c>
      <c r="C625" s="953">
        <v>42420.0</v>
      </c>
      <c r="D625" s="954" t="s">
        <v>90</v>
      </c>
      <c r="E625" s="948" t="s">
        <v>63</v>
      </c>
      <c r="F625" s="954" t="s">
        <v>65</v>
      </c>
      <c r="G625" s="954" t="s">
        <v>64</v>
      </c>
      <c r="H625" s="954" t="s">
        <v>66</v>
      </c>
      <c r="I625" s="955">
        <v>0.7</v>
      </c>
      <c r="J625" s="948">
        <v>235.0</v>
      </c>
      <c r="K625" s="949">
        <v>-0.05188538005934906</v>
      </c>
      <c r="L625" s="950" t="str">
        <f t="shared" si="1"/>
        <v/>
      </c>
      <c r="M625" s="736"/>
      <c r="N625" s="736"/>
      <c r="O625" s="736"/>
    </row>
    <row r="626">
      <c r="A626" s="951" t="s">
        <v>566</v>
      </c>
      <c r="B626" s="952" t="s">
        <v>60</v>
      </c>
      <c r="C626" s="953">
        <v>42420.0</v>
      </c>
      <c r="D626" s="954" t="s">
        <v>59</v>
      </c>
      <c r="E626" s="948" t="s">
        <v>63</v>
      </c>
      <c r="F626" s="954"/>
      <c r="G626" s="954"/>
      <c r="H626" s="954"/>
      <c r="I626" s="955"/>
      <c r="J626" s="948">
        <v>218.0</v>
      </c>
      <c r="K626" s="949">
        <v>-0.0029925784316813253</v>
      </c>
      <c r="L626" s="950" t="str">
        <f t="shared" si="1"/>
        <v/>
      </c>
      <c r="M626" s="736"/>
      <c r="N626" s="736"/>
      <c r="O626" s="736"/>
    </row>
    <row r="627">
      <c r="A627" s="951" t="s">
        <v>1693</v>
      </c>
      <c r="B627" s="952" t="s">
        <v>60</v>
      </c>
      <c r="C627" s="953">
        <v>42419.0</v>
      </c>
      <c r="D627" s="954" t="s">
        <v>59</v>
      </c>
      <c r="E627" s="948" t="s">
        <v>63</v>
      </c>
      <c r="F627" s="954" t="s">
        <v>67</v>
      </c>
      <c r="G627" s="954" t="s">
        <v>64</v>
      </c>
      <c r="H627" s="954" t="s">
        <v>68</v>
      </c>
      <c r="I627" s="955">
        <v>0.9</v>
      </c>
      <c r="J627" s="948">
        <v>222.0</v>
      </c>
      <c r="K627" s="949">
        <v>-0.01081048199355783</v>
      </c>
      <c r="L627" s="950" t="str">
        <f t="shared" si="1"/>
        <v/>
      </c>
      <c r="M627" s="736"/>
      <c r="N627" s="736"/>
      <c r="O627" s="736"/>
    </row>
    <row r="628">
      <c r="A628" s="951" t="s">
        <v>761</v>
      </c>
      <c r="B628" s="952" t="s">
        <v>60</v>
      </c>
      <c r="C628" s="953">
        <v>42419.0</v>
      </c>
      <c r="D628" s="954" t="s">
        <v>90</v>
      </c>
      <c r="E628" s="948" t="s">
        <v>63</v>
      </c>
      <c r="F628" s="954" t="s">
        <v>65</v>
      </c>
      <c r="G628" s="954" t="s">
        <v>64</v>
      </c>
      <c r="H628" s="954" t="s">
        <v>66</v>
      </c>
      <c r="I628" s="955">
        <v>0.7</v>
      </c>
      <c r="J628" s="948">
        <v>235.0</v>
      </c>
      <c r="K628" s="949">
        <v>-0.054499175012096</v>
      </c>
      <c r="L628" s="950" t="str">
        <f t="shared" si="1"/>
        <v/>
      </c>
      <c r="M628" s="736"/>
      <c r="N628" s="736"/>
      <c r="O628" s="736"/>
    </row>
    <row r="629">
      <c r="A629" s="951" t="s">
        <v>126</v>
      </c>
      <c r="B629" s="952" t="s">
        <v>60</v>
      </c>
      <c r="C629" s="953">
        <v>42416.0</v>
      </c>
      <c r="D629" s="954" t="s">
        <v>79</v>
      </c>
      <c r="E629" s="948" t="s">
        <v>63</v>
      </c>
      <c r="F629" s="954" t="s">
        <v>65</v>
      </c>
      <c r="G629" s="954" t="s">
        <v>127</v>
      </c>
      <c r="H629" s="954" t="s">
        <v>69</v>
      </c>
      <c r="I629" s="955">
        <v>1.0</v>
      </c>
      <c r="J629" s="948">
        <v>211.0</v>
      </c>
      <c r="K629" s="949">
        <v>-0.029935639114821</v>
      </c>
      <c r="L629" s="950" t="str">
        <f t="shared" si="1"/>
        <v/>
      </c>
      <c r="M629" s="736"/>
      <c r="N629" s="736"/>
      <c r="O629" s="736"/>
    </row>
    <row r="630">
      <c r="A630" s="951" t="s">
        <v>1868</v>
      </c>
      <c r="B630" s="952" t="s">
        <v>60</v>
      </c>
      <c r="C630" s="953">
        <v>42415.0</v>
      </c>
      <c r="D630" s="954" t="s">
        <v>59</v>
      </c>
      <c r="E630" s="948" t="s">
        <v>63</v>
      </c>
      <c r="F630" s="954" t="s">
        <v>64</v>
      </c>
      <c r="G630" s="954" t="s">
        <v>66</v>
      </c>
      <c r="H630" s="954" t="s">
        <v>66</v>
      </c>
      <c r="I630" s="955">
        <v>0.8</v>
      </c>
      <c r="J630" s="948">
        <v>220.0</v>
      </c>
      <c r="K630" s="949">
        <v>-0.04287118703604842</v>
      </c>
      <c r="L630" s="950" t="str">
        <f t="shared" si="1"/>
        <v>yes</v>
      </c>
      <c r="M630" s="736"/>
      <c r="N630" s="736"/>
      <c r="O630" s="736"/>
    </row>
    <row r="631">
      <c r="A631" s="951" t="s">
        <v>1856</v>
      </c>
      <c r="B631" s="952" t="s">
        <v>60</v>
      </c>
      <c r="C631" s="953">
        <v>42415.0</v>
      </c>
      <c r="D631" s="954" t="s">
        <v>90</v>
      </c>
      <c r="E631" s="948" t="s">
        <v>63</v>
      </c>
      <c r="F631" s="954" t="s">
        <v>65</v>
      </c>
      <c r="G631" s="954" t="s">
        <v>69</v>
      </c>
      <c r="H631" s="954" t="s">
        <v>68</v>
      </c>
      <c r="I631" s="955">
        <v>0.8</v>
      </c>
      <c r="J631" s="948">
        <v>208.0</v>
      </c>
      <c r="K631" s="949">
        <v>-0.010875024192818938</v>
      </c>
      <c r="L631" s="950" t="str">
        <f t="shared" si="1"/>
        <v>yes</v>
      </c>
      <c r="M631" s="736"/>
      <c r="N631" s="736"/>
      <c r="O631" s="736"/>
    </row>
    <row r="632">
      <c r="A632" s="951" t="s">
        <v>181</v>
      </c>
      <c r="B632" s="952" t="s">
        <v>60</v>
      </c>
      <c r="C632" s="953">
        <v>42415.0</v>
      </c>
      <c r="D632" s="954" t="s">
        <v>59</v>
      </c>
      <c r="E632" s="948" t="s">
        <v>63</v>
      </c>
      <c r="F632" s="954" t="s">
        <v>69</v>
      </c>
      <c r="G632" s="954" t="s">
        <v>66</v>
      </c>
      <c r="H632" s="954" t="s">
        <v>66</v>
      </c>
      <c r="I632" s="955">
        <v>0.9</v>
      </c>
      <c r="J632" s="948">
        <v>229.0</v>
      </c>
      <c r="K632" s="949">
        <v>-0.018652636247686982</v>
      </c>
      <c r="L632" s="950" t="str">
        <f t="shared" si="1"/>
        <v>yes</v>
      </c>
      <c r="M632" s="736"/>
      <c r="N632" s="736"/>
      <c r="O632" s="736"/>
    </row>
    <row r="633">
      <c r="A633" s="951" t="s">
        <v>181</v>
      </c>
      <c r="B633" s="952" t="s">
        <v>60</v>
      </c>
      <c r="C633" s="953">
        <v>42415.0</v>
      </c>
      <c r="D633" s="954" t="s">
        <v>59</v>
      </c>
      <c r="E633" s="948" t="s">
        <v>63</v>
      </c>
      <c r="F633" s="954" t="s">
        <v>69</v>
      </c>
      <c r="G633" s="954" t="s">
        <v>69</v>
      </c>
      <c r="H633" s="954" t="s">
        <v>69</v>
      </c>
      <c r="I633" s="955">
        <v>0.9</v>
      </c>
      <c r="J633" s="948">
        <v>224.0</v>
      </c>
      <c r="K633" s="949">
        <v>0.0120905677431562</v>
      </c>
      <c r="L633" s="950" t="str">
        <f t="shared" si="1"/>
        <v/>
      </c>
      <c r="M633" s="736"/>
      <c r="N633" s="736"/>
      <c r="O633" s="736"/>
    </row>
    <row r="634">
      <c r="A634" s="951" t="s">
        <v>541</v>
      </c>
      <c r="B634" s="952" t="s">
        <v>60</v>
      </c>
      <c r="C634" s="953">
        <v>42414.0</v>
      </c>
      <c r="D634" s="954" t="s">
        <v>57</v>
      </c>
      <c r="E634" s="948" t="s">
        <v>63</v>
      </c>
      <c r="F634" s="954" t="s">
        <v>69</v>
      </c>
      <c r="G634" s="954" t="s">
        <v>67</v>
      </c>
      <c r="H634" s="954" t="s">
        <v>64</v>
      </c>
      <c r="I634" s="955">
        <v>0.9</v>
      </c>
      <c r="J634" s="948">
        <v>225.0</v>
      </c>
      <c r="K634" s="949">
        <v>-2.473169373941042E-4</v>
      </c>
      <c r="L634" s="950" t="str">
        <f t="shared" si="1"/>
        <v/>
      </c>
      <c r="M634" s="736"/>
      <c r="N634" s="736"/>
      <c r="O634" s="736"/>
    </row>
    <row r="635">
      <c r="A635" s="951" t="s">
        <v>541</v>
      </c>
      <c r="B635" s="952" t="s">
        <v>60</v>
      </c>
      <c r="C635" s="953">
        <v>42414.0</v>
      </c>
      <c r="D635" s="954" t="s">
        <v>57</v>
      </c>
      <c r="E635" s="948" t="s">
        <v>63</v>
      </c>
      <c r="F635" s="954" t="s">
        <v>69</v>
      </c>
      <c r="G635" s="954" t="s">
        <v>67</v>
      </c>
      <c r="H635" s="954" t="s">
        <v>64</v>
      </c>
      <c r="I635" s="955">
        <v>0.9</v>
      </c>
      <c r="J635" s="948">
        <v>225.0</v>
      </c>
      <c r="K635" s="949">
        <v>0.007533024966585811</v>
      </c>
      <c r="L635" s="950" t="str">
        <f t="shared" si="1"/>
        <v/>
      </c>
      <c r="M635" s="736"/>
      <c r="N635" s="736"/>
      <c r="O635" s="736"/>
    </row>
    <row r="636">
      <c r="A636" s="951" t="s">
        <v>407</v>
      </c>
      <c r="B636" s="952" t="s">
        <v>56</v>
      </c>
      <c r="C636" s="953">
        <v>42413.0</v>
      </c>
      <c r="D636" s="954" t="s">
        <v>316</v>
      </c>
      <c r="E636" s="948" t="s">
        <v>63</v>
      </c>
      <c r="F636" s="954" t="s">
        <v>64</v>
      </c>
      <c r="G636" s="954" t="s">
        <v>69</v>
      </c>
      <c r="H636" s="954" t="s">
        <v>66</v>
      </c>
      <c r="I636" s="955">
        <v>0.5</v>
      </c>
      <c r="J636" s="948">
        <v>195.0</v>
      </c>
      <c r="K636" s="949">
        <v>0.015465128568527775</v>
      </c>
      <c r="L636" s="950" t="str">
        <f t="shared" si="1"/>
        <v>yes</v>
      </c>
      <c r="M636" s="736"/>
      <c r="N636" s="736"/>
      <c r="O636" s="736"/>
    </row>
    <row r="637">
      <c r="A637" s="951" t="s">
        <v>1127</v>
      </c>
      <c r="B637" s="952" t="s">
        <v>60</v>
      </c>
      <c r="C637" s="953">
        <v>42412.0</v>
      </c>
      <c r="D637" s="954" t="s">
        <v>86</v>
      </c>
      <c r="E637" s="948" t="s">
        <v>63</v>
      </c>
      <c r="F637" s="954" t="s">
        <v>67</v>
      </c>
      <c r="G637" s="954" t="s">
        <v>69</v>
      </c>
      <c r="H637" s="954" t="s">
        <v>66</v>
      </c>
      <c r="I637" s="955">
        <v>0.9</v>
      </c>
      <c r="J637" s="948">
        <v>211.0</v>
      </c>
      <c r="K637" s="949">
        <v>0.002786343135649294</v>
      </c>
      <c r="L637" s="950" t="str">
        <f t="shared" si="1"/>
        <v/>
      </c>
      <c r="M637" s="736"/>
      <c r="N637" s="736"/>
      <c r="O637" s="736"/>
    </row>
    <row r="638">
      <c r="A638" s="951" t="s">
        <v>147</v>
      </c>
      <c r="B638" s="952" t="s">
        <v>60</v>
      </c>
      <c r="C638" s="953">
        <v>42410.0</v>
      </c>
      <c r="D638" s="954" t="s">
        <v>79</v>
      </c>
      <c r="E638" s="948" t="s">
        <v>63</v>
      </c>
      <c r="F638" s="954" t="s">
        <v>67</v>
      </c>
      <c r="G638" s="954"/>
      <c r="H638" s="954" t="s">
        <v>66</v>
      </c>
      <c r="I638" s="955"/>
      <c r="J638" s="948">
        <v>233.0</v>
      </c>
      <c r="K638" s="949">
        <v>-0.005118563051670244</v>
      </c>
      <c r="L638" s="950" t="str">
        <f t="shared" si="1"/>
        <v>yes</v>
      </c>
      <c r="M638" s="736"/>
      <c r="N638" s="736"/>
      <c r="O638" s="736"/>
    </row>
    <row r="639">
      <c r="A639" s="951" t="s">
        <v>1825</v>
      </c>
      <c r="B639" s="952" t="s">
        <v>60</v>
      </c>
      <c r="C639" s="953">
        <v>42408.0</v>
      </c>
      <c r="D639" s="954" t="s">
        <v>86</v>
      </c>
      <c r="E639" s="948" t="s">
        <v>63</v>
      </c>
      <c r="F639" s="954" t="s">
        <v>64</v>
      </c>
      <c r="G639" s="954" t="s">
        <v>66</v>
      </c>
      <c r="H639" s="954" t="s">
        <v>66</v>
      </c>
      <c r="I639" s="955">
        <v>0.9</v>
      </c>
      <c r="J639" s="948">
        <v>220.0</v>
      </c>
      <c r="K639" s="949">
        <v>0.008324976113682658</v>
      </c>
      <c r="L639" s="950" t="str">
        <f t="shared" si="1"/>
        <v/>
      </c>
      <c r="M639" s="736"/>
      <c r="N639" s="736"/>
      <c r="O639" s="736"/>
    </row>
    <row r="640">
      <c r="A640" s="951" t="s">
        <v>620</v>
      </c>
      <c r="B640" s="952" t="s">
        <v>60</v>
      </c>
      <c r="C640" s="953">
        <v>42405.0</v>
      </c>
      <c r="D640" s="954" t="s">
        <v>59</v>
      </c>
      <c r="E640" s="948" t="s">
        <v>195</v>
      </c>
      <c r="F640" s="954" t="s">
        <v>64</v>
      </c>
      <c r="G640" s="954" t="s">
        <v>69</v>
      </c>
      <c r="H640" s="954" t="s">
        <v>69</v>
      </c>
      <c r="I640" s="955">
        <v>0.9</v>
      </c>
      <c r="J640" s="948">
        <v>218.0</v>
      </c>
      <c r="K640" s="949">
        <v>-0.012149861767753123</v>
      </c>
      <c r="L640" s="950" t="str">
        <f t="shared" si="1"/>
        <v/>
      </c>
      <c r="M640" s="736"/>
      <c r="N640" s="736"/>
      <c r="O640" s="736"/>
    </row>
    <row r="641">
      <c r="A641" s="951" t="s">
        <v>1726</v>
      </c>
      <c r="B641" s="952" t="s">
        <v>60</v>
      </c>
      <c r="C641" s="953">
        <v>42405.0</v>
      </c>
      <c r="D641" s="954" t="s">
        <v>305</v>
      </c>
      <c r="E641" s="948" t="s">
        <v>63</v>
      </c>
      <c r="F641" s="954" t="s">
        <v>64</v>
      </c>
      <c r="G641" s="954" t="s">
        <v>64</v>
      </c>
      <c r="H641" s="954" t="s">
        <v>69</v>
      </c>
      <c r="I641" s="955">
        <v>0.8</v>
      </c>
      <c r="J641" s="948">
        <v>249.0</v>
      </c>
      <c r="K641" s="949">
        <v>-0.017227454646367435</v>
      </c>
      <c r="L641" s="950" t="str">
        <f t="shared" si="1"/>
        <v/>
      </c>
      <c r="M641" s="736"/>
      <c r="N641" s="736"/>
      <c r="O641" s="736"/>
    </row>
    <row r="642">
      <c r="A642" s="951" t="s">
        <v>1783</v>
      </c>
      <c r="B642" s="952" t="s">
        <v>60</v>
      </c>
      <c r="C642" s="953">
        <v>42405.0</v>
      </c>
      <c r="D642" s="954" t="s">
        <v>59</v>
      </c>
      <c r="E642" s="948" t="s">
        <v>63</v>
      </c>
      <c r="F642" s="954" t="s">
        <v>65</v>
      </c>
      <c r="G642" s="954" t="s">
        <v>69</v>
      </c>
      <c r="H642" s="954" t="s">
        <v>69</v>
      </c>
      <c r="I642" s="955">
        <v>0.8</v>
      </c>
      <c r="J642" s="948">
        <v>228.0</v>
      </c>
      <c r="K642" s="949">
        <v>6.761874321815631E-4</v>
      </c>
      <c r="L642" s="950" t="str">
        <f t="shared" si="1"/>
        <v/>
      </c>
      <c r="M642" s="736"/>
      <c r="N642" s="736"/>
      <c r="O642" s="736"/>
    </row>
    <row r="643">
      <c r="A643" s="951" t="s">
        <v>1703</v>
      </c>
      <c r="B643" s="952" t="s">
        <v>60</v>
      </c>
      <c r="C643" s="953">
        <v>42404.0</v>
      </c>
      <c r="D643" s="954" t="s">
        <v>118</v>
      </c>
      <c r="E643" s="948" t="s">
        <v>63</v>
      </c>
      <c r="F643" s="954" t="s">
        <v>66</v>
      </c>
      <c r="G643" s="954" t="s">
        <v>68</v>
      </c>
      <c r="H643" s="954" t="s">
        <v>68</v>
      </c>
      <c r="I643" s="955">
        <v>0.9</v>
      </c>
      <c r="J643" s="948">
        <v>232.0</v>
      </c>
      <c r="K643" s="949">
        <v>0.007372715495340132</v>
      </c>
      <c r="L643" s="950" t="str">
        <f t="shared" si="1"/>
        <v/>
      </c>
      <c r="M643" s="736"/>
      <c r="N643" s="736"/>
      <c r="O643" s="736"/>
    </row>
    <row r="644">
      <c r="A644" s="951" t="s">
        <v>623</v>
      </c>
      <c r="B644" s="952" t="s">
        <v>60</v>
      </c>
      <c r="C644" s="953">
        <v>42403.0</v>
      </c>
      <c r="D644" s="954" t="s">
        <v>59</v>
      </c>
      <c r="E644" s="948" t="s">
        <v>63</v>
      </c>
      <c r="F644" s="954" t="s">
        <v>67</v>
      </c>
      <c r="G644" s="954" t="s">
        <v>69</v>
      </c>
      <c r="H644" s="954" t="s">
        <v>69</v>
      </c>
      <c r="I644" s="955">
        <v>0.9</v>
      </c>
      <c r="J644" s="948">
        <v>186.0</v>
      </c>
      <c r="K644" s="949">
        <v>-0.01638492117974022</v>
      </c>
      <c r="L644" s="950" t="str">
        <f t="shared" si="1"/>
        <v/>
      </c>
      <c r="M644" s="736"/>
      <c r="N644" s="736"/>
      <c r="O644" s="736"/>
    </row>
    <row r="645">
      <c r="A645" s="951" t="s">
        <v>328</v>
      </c>
      <c r="B645" s="952" t="s">
        <v>60</v>
      </c>
      <c r="C645" s="953">
        <v>42402.0</v>
      </c>
      <c r="D645" s="954" t="s">
        <v>59</v>
      </c>
      <c r="E645" s="948" t="s">
        <v>63</v>
      </c>
      <c r="F645" s="954" t="s">
        <v>69</v>
      </c>
      <c r="G645" s="954" t="s">
        <v>69</v>
      </c>
      <c r="H645" s="954" t="s">
        <v>66</v>
      </c>
      <c r="I645" s="955">
        <v>0.8</v>
      </c>
      <c r="J645" s="948">
        <v>211.0</v>
      </c>
      <c r="K645" s="949">
        <v>-0.004549861767753072</v>
      </c>
      <c r="L645" s="950" t="str">
        <f t="shared" si="1"/>
        <v/>
      </c>
      <c r="M645" s="736"/>
      <c r="N645" s="736"/>
      <c r="O645" s="736"/>
    </row>
    <row r="646">
      <c r="A646" s="951" t="s">
        <v>465</v>
      </c>
      <c r="B646" s="952" t="s">
        <v>56</v>
      </c>
      <c r="C646" s="953">
        <v>42400.0</v>
      </c>
      <c r="D646" s="954" t="s">
        <v>109</v>
      </c>
      <c r="E646" s="948" t="s">
        <v>63</v>
      </c>
      <c r="F646" s="954" t="s">
        <v>64</v>
      </c>
      <c r="G646" s="954" t="s">
        <v>69</v>
      </c>
      <c r="H646" s="954" t="s">
        <v>66</v>
      </c>
      <c r="I646" s="955">
        <v>0.8</v>
      </c>
      <c r="J646" s="948">
        <v>181.0</v>
      </c>
      <c r="K646" s="949">
        <v>-0.022430342253848656</v>
      </c>
      <c r="L646" s="950" t="str">
        <f t="shared" si="1"/>
        <v>yes</v>
      </c>
      <c r="M646" s="736"/>
      <c r="N646" s="736"/>
      <c r="O646" s="736"/>
    </row>
    <row r="647">
      <c r="A647" s="951" t="s">
        <v>640</v>
      </c>
      <c r="B647" s="952" t="s">
        <v>60</v>
      </c>
      <c r="C647" s="953">
        <v>42398.0</v>
      </c>
      <c r="D647" s="954" t="s">
        <v>59</v>
      </c>
      <c r="E647" s="948" t="s">
        <v>63</v>
      </c>
      <c r="F647" s="954"/>
      <c r="G647" s="954"/>
      <c r="H647" s="954"/>
      <c r="I647" s="955"/>
      <c r="J647" s="948">
        <v>218.0</v>
      </c>
      <c r="K647" s="949">
        <v>-0.011278567931416683</v>
      </c>
      <c r="L647" s="950" t="str">
        <f t="shared" si="1"/>
        <v/>
      </c>
      <c r="M647" s="736"/>
      <c r="N647" s="736"/>
      <c r="O647" s="736"/>
    </row>
    <row r="648">
      <c r="A648" s="951" t="s">
        <v>227</v>
      </c>
      <c r="B648" s="952" t="s">
        <v>56</v>
      </c>
      <c r="C648" s="953">
        <v>42398.0</v>
      </c>
      <c r="D648" s="954" t="s">
        <v>59</v>
      </c>
      <c r="E648" s="948" t="s">
        <v>63</v>
      </c>
      <c r="F648" s="954" t="s">
        <v>65</v>
      </c>
      <c r="G648" s="954" t="s">
        <v>65</v>
      </c>
      <c r="H648" s="954" t="s">
        <v>64</v>
      </c>
      <c r="I648" s="955">
        <v>0.8</v>
      </c>
      <c r="J648" s="948">
        <v>193.0</v>
      </c>
      <c r="K648" s="949">
        <v>-0.00431122990621613</v>
      </c>
      <c r="L648" s="950" t="str">
        <f t="shared" si="1"/>
        <v/>
      </c>
      <c r="M648" s="736"/>
      <c r="N648" s="736"/>
      <c r="O648" s="736"/>
    </row>
    <row r="649">
      <c r="A649" s="951" t="s">
        <v>1681</v>
      </c>
      <c r="B649" s="952" t="s">
        <v>60</v>
      </c>
      <c r="C649" s="953">
        <v>42397.0</v>
      </c>
      <c r="D649" s="954" t="s">
        <v>79</v>
      </c>
      <c r="E649" s="948" t="s">
        <v>63</v>
      </c>
      <c r="F649" s="954" t="s">
        <v>67</v>
      </c>
      <c r="G649" s="954" t="s">
        <v>69</v>
      </c>
      <c r="H649" s="954" t="s">
        <v>69</v>
      </c>
      <c r="I649" s="955">
        <v>0.9</v>
      </c>
      <c r="J649" s="948">
        <v>261.0</v>
      </c>
      <c r="K649" s="949">
        <v>0.003606866378929041</v>
      </c>
      <c r="L649" s="950" t="str">
        <f t="shared" si="1"/>
        <v>yes</v>
      </c>
      <c r="M649" s="736"/>
      <c r="N649" s="736"/>
      <c r="O649" s="736"/>
    </row>
    <row r="650">
      <c r="A650" s="951" t="s">
        <v>1852</v>
      </c>
      <c r="B650" s="952" t="s">
        <v>60</v>
      </c>
      <c r="C650" s="953">
        <v>42394.0</v>
      </c>
      <c r="D650" s="954" t="s">
        <v>86</v>
      </c>
      <c r="E650" s="948" t="s">
        <v>63</v>
      </c>
      <c r="F650" s="954" t="s">
        <v>80</v>
      </c>
      <c r="G650" s="954" t="s">
        <v>67</v>
      </c>
      <c r="H650" s="954" t="s">
        <v>66</v>
      </c>
      <c r="I650" s="955">
        <v>0.8</v>
      </c>
      <c r="J650" s="948">
        <v>230.0</v>
      </c>
      <c r="K650" s="949">
        <v>-0.04512899836615192</v>
      </c>
      <c r="L650" s="950" t="str">
        <f t="shared" si="1"/>
        <v/>
      </c>
      <c r="M650" s="736"/>
      <c r="N650" s="736"/>
      <c r="O650" s="736"/>
    </row>
    <row r="651">
      <c r="A651" s="951" t="s">
        <v>513</v>
      </c>
      <c r="B651" s="952" t="s">
        <v>60</v>
      </c>
      <c r="C651" s="953">
        <v>42393.0</v>
      </c>
      <c r="D651" s="954" t="s">
        <v>59</v>
      </c>
      <c r="E651" s="948" t="s">
        <v>63</v>
      </c>
      <c r="F651" s="954" t="s">
        <v>65</v>
      </c>
      <c r="G651" s="954" t="s">
        <v>69</v>
      </c>
      <c r="H651" s="954" t="s">
        <v>68</v>
      </c>
      <c r="I651" s="955">
        <v>0.8</v>
      </c>
      <c r="J651" s="948">
        <v>226.0</v>
      </c>
      <c r="K651" s="949">
        <v>0.017734486848139497</v>
      </c>
      <c r="L651" s="950" t="str">
        <f t="shared" si="1"/>
        <v/>
      </c>
      <c r="M651" s="736"/>
      <c r="N651" s="736"/>
      <c r="O651" s="736"/>
    </row>
    <row r="652">
      <c r="A652" s="951" t="s">
        <v>1745</v>
      </c>
      <c r="B652" s="952" t="s">
        <v>60</v>
      </c>
      <c r="C652" s="953">
        <v>42393.0</v>
      </c>
      <c r="D652" s="954" t="s">
        <v>86</v>
      </c>
      <c r="E652" s="948" t="s">
        <v>63</v>
      </c>
      <c r="F652" s="954" t="s">
        <v>65</v>
      </c>
      <c r="G652" s="954" t="s">
        <v>64</v>
      </c>
      <c r="H652" s="954" t="s">
        <v>64</v>
      </c>
      <c r="I652" s="955">
        <v>0.8</v>
      </c>
      <c r="J652" s="948">
        <v>222.0</v>
      </c>
      <c r="K652" s="949">
        <v>0.004708793803880562</v>
      </c>
      <c r="L652" s="950" t="str">
        <f t="shared" si="1"/>
        <v>yes</v>
      </c>
      <c r="M652" s="736"/>
      <c r="N652" s="736"/>
      <c r="O652" s="736"/>
    </row>
    <row r="653">
      <c r="A653" s="951" t="s">
        <v>84</v>
      </c>
      <c r="B653" s="952" t="s">
        <v>60</v>
      </c>
      <c r="C653" s="953">
        <v>42393.0</v>
      </c>
      <c r="D653" s="954" t="s">
        <v>59</v>
      </c>
      <c r="E653" s="948" t="s">
        <v>63</v>
      </c>
      <c r="F653" s="954"/>
      <c r="G653" s="954"/>
      <c r="H653" s="954"/>
      <c r="I653" s="955"/>
      <c r="J653" s="948">
        <v>230.0</v>
      </c>
      <c r="K653" s="949">
        <v>-0.0034527141133956496</v>
      </c>
      <c r="L653" s="950" t="str">
        <f t="shared" si="1"/>
        <v/>
      </c>
      <c r="M653" s="736"/>
      <c r="N653" s="736"/>
      <c r="O653" s="736"/>
    </row>
    <row r="654">
      <c r="A654" s="951" t="s">
        <v>126</v>
      </c>
      <c r="B654" s="952" t="s">
        <v>60</v>
      </c>
      <c r="C654" s="953">
        <v>42389.0</v>
      </c>
      <c r="D654" s="954" t="s">
        <v>79</v>
      </c>
      <c r="E654" s="948" t="s">
        <v>63</v>
      </c>
      <c r="F654" s="954" t="s">
        <v>65</v>
      </c>
      <c r="G654" s="954" t="s">
        <v>127</v>
      </c>
      <c r="H654" s="954" t="s">
        <v>69</v>
      </c>
      <c r="I654" s="955">
        <v>1.0</v>
      </c>
      <c r="J654" s="948">
        <v>214.0</v>
      </c>
      <c r="K654" s="949">
        <v>-0.033324283613002104</v>
      </c>
      <c r="L654" s="950" t="str">
        <f t="shared" si="1"/>
        <v/>
      </c>
      <c r="M654" s="736"/>
      <c r="N654" s="736"/>
      <c r="O654" s="736"/>
    </row>
    <row r="655">
      <c r="A655" s="951" t="s">
        <v>376</v>
      </c>
      <c r="B655" s="952" t="s">
        <v>60</v>
      </c>
      <c r="C655" s="953">
        <v>42383.0</v>
      </c>
      <c r="D655" s="954" t="s">
        <v>59</v>
      </c>
      <c r="E655" s="948" t="s">
        <v>63</v>
      </c>
      <c r="F655" s="954" t="s">
        <v>64</v>
      </c>
      <c r="G655" s="954" t="s">
        <v>64</v>
      </c>
      <c r="H655" s="954" t="s">
        <v>68</v>
      </c>
      <c r="I655" s="955">
        <v>0.9</v>
      </c>
      <c r="J655" s="948">
        <v>201.0</v>
      </c>
      <c r="K655" s="949">
        <v>-0.03325663866576756</v>
      </c>
      <c r="L655" s="950" t="str">
        <f t="shared" si="1"/>
        <v/>
      </c>
      <c r="M655" s="736"/>
      <c r="N655" s="736"/>
      <c r="O655" s="736"/>
    </row>
    <row r="656">
      <c r="A656" s="951" t="s">
        <v>1637</v>
      </c>
      <c r="B656" s="952" t="s">
        <v>60</v>
      </c>
      <c r="C656" s="953">
        <v>42383.0</v>
      </c>
      <c r="D656" s="954" t="s">
        <v>118</v>
      </c>
      <c r="E656" s="948" t="s">
        <v>63</v>
      </c>
      <c r="F656" s="954" t="s">
        <v>67</v>
      </c>
      <c r="G656" s="954" t="s">
        <v>64</v>
      </c>
      <c r="H656" s="954" t="s">
        <v>69</v>
      </c>
      <c r="I656" s="955">
        <v>0.9</v>
      </c>
      <c r="J656" s="948">
        <v>226.0</v>
      </c>
      <c r="K656" s="949">
        <v>0.01394810515833722</v>
      </c>
      <c r="L656" s="950" t="str">
        <f t="shared" si="1"/>
        <v/>
      </c>
      <c r="M656" s="736"/>
      <c r="N656" s="736"/>
      <c r="O656" s="736"/>
    </row>
    <row r="657">
      <c r="A657" s="951" t="s">
        <v>1617</v>
      </c>
      <c r="B657" s="952" t="s">
        <v>60</v>
      </c>
      <c r="C657" s="953">
        <v>42382.0</v>
      </c>
      <c r="D657" s="954" t="s">
        <v>59</v>
      </c>
      <c r="E657" s="948" t="s">
        <v>63</v>
      </c>
      <c r="F657" s="954" t="s">
        <v>64</v>
      </c>
      <c r="G657" s="954" t="s">
        <v>69</v>
      </c>
      <c r="H657" s="954" t="s">
        <v>69</v>
      </c>
      <c r="I657" s="955">
        <v>0.8</v>
      </c>
      <c r="J657" s="948">
        <v>247.0</v>
      </c>
      <c r="K657" s="949">
        <v>-0.020329199693214894</v>
      </c>
      <c r="L657" s="950" t="str">
        <f t="shared" si="1"/>
        <v>yes</v>
      </c>
      <c r="M657" s="736"/>
      <c r="N657" s="736"/>
      <c r="O657" s="736"/>
    </row>
    <row r="658">
      <c r="A658" s="951" t="s">
        <v>147</v>
      </c>
      <c r="B658" s="952" t="s">
        <v>60</v>
      </c>
      <c r="C658" s="953">
        <v>42381.0</v>
      </c>
      <c r="D658" s="954" t="s">
        <v>79</v>
      </c>
      <c r="E658" s="948" t="s">
        <v>63</v>
      </c>
      <c r="F658" s="954" t="s">
        <v>67</v>
      </c>
      <c r="G658" s="954" t="s">
        <v>67</v>
      </c>
      <c r="H658" s="954" t="s">
        <v>67</v>
      </c>
      <c r="I658" s="955">
        <v>0.8</v>
      </c>
      <c r="J658" s="948">
        <v>233.0</v>
      </c>
      <c r="K658" s="949">
        <v>-0.010936960692287556</v>
      </c>
      <c r="L658" s="950" t="str">
        <f t="shared" si="1"/>
        <v/>
      </c>
      <c r="M658" s="736"/>
      <c r="N658" s="736"/>
      <c r="O658" s="736"/>
    </row>
    <row r="659">
      <c r="A659" s="951" t="s">
        <v>1803</v>
      </c>
      <c r="B659" s="952" t="s">
        <v>60</v>
      </c>
      <c r="C659" s="953">
        <v>42379.0</v>
      </c>
      <c r="D659" s="954" t="s">
        <v>59</v>
      </c>
      <c r="E659" s="948" t="s">
        <v>63</v>
      </c>
      <c r="F659" s="954" t="s">
        <v>64</v>
      </c>
      <c r="G659" s="954" t="s">
        <v>65</v>
      </c>
      <c r="H659" s="954" t="s">
        <v>64</v>
      </c>
      <c r="I659" s="955">
        <v>0.8</v>
      </c>
      <c r="J659" s="948">
        <v>240.0</v>
      </c>
      <c r="K659" s="949">
        <v>0.007750153249968972</v>
      </c>
      <c r="L659" s="950" t="str">
        <f t="shared" si="1"/>
        <v>yes</v>
      </c>
      <c r="M659" s="736"/>
      <c r="N659" s="736"/>
      <c r="O659" s="736"/>
    </row>
    <row r="660">
      <c r="A660" s="951" t="s">
        <v>237</v>
      </c>
      <c r="B660" s="952" t="s">
        <v>60</v>
      </c>
      <c r="C660" s="953">
        <v>42379.0</v>
      </c>
      <c r="D660" s="954" t="s">
        <v>57</v>
      </c>
      <c r="E660" s="948" t="s">
        <v>63</v>
      </c>
      <c r="F660" s="954" t="s">
        <v>65</v>
      </c>
      <c r="G660" s="954" t="s">
        <v>69</v>
      </c>
      <c r="H660" s="954" t="s">
        <v>66</v>
      </c>
      <c r="I660" s="955">
        <v>0.8</v>
      </c>
      <c r="J660" s="948">
        <v>224.0</v>
      </c>
      <c r="K660" s="949">
        <v>-0.0029124507111963904</v>
      </c>
      <c r="L660" s="950" t="str">
        <f t="shared" si="1"/>
        <v>yes</v>
      </c>
      <c r="M660" s="736"/>
      <c r="N660" s="736"/>
      <c r="O660" s="736"/>
    </row>
    <row r="661">
      <c r="A661" s="951" t="s">
        <v>1726</v>
      </c>
      <c r="B661" s="952" t="s">
        <v>60</v>
      </c>
      <c r="C661" s="953">
        <v>42377.0</v>
      </c>
      <c r="D661" s="954" t="s">
        <v>316</v>
      </c>
      <c r="E661" s="948" t="s">
        <v>63</v>
      </c>
      <c r="F661" s="954" t="s">
        <v>69</v>
      </c>
      <c r="G661" s="954" t="s">
        <v>69</v>
      </c>
      <c r="H661" s="954" t="s">
        <v>69</v>
      </c>
      <c r="I661" s="955">
        <v>0.8</v>
      </c>
      <c r="J661" s="948">
        <v>250.0</v>
      </c>
      <c r="K661" s="949">
        <v>-0.022318094151815515</v>
      </c>
      <c r="L661" s="950" t="str">
        <f t="shared" si="1"/>
        <v/>
      </c>
      <c r="M661" s="736"/>
      <c r="N661" s="736"/>
      <c r="O661" s="736"/>
    </row>
    <row r="662">
      <c r="A662" s="951" t="s">
        <v>423</v>
      </c>
      <c r="B662" s="952" t="s">
        <v>56</v>
      </c>
      <c r="C662" s="953">
        <v>42377.0</v>
      </c>
      <c r="D662" s="954" t="s">
        <v>79</v>
      </c>
      <c r="E662" s="948" t="s">
        <v>195</v>
      </c>
      <c r="F662" s="954" t="s">
        <v>69</v>
      </c>
      <c r="G662" s="954" t="s">
        <v>69</v>
      </c>
      <c r="H662" s="954" t="s">
        <v>66</v>
      </c>
      <c r="I662" s="955">
        <v>0.8</v>
      </c>
      <c r="J662" s="948">
        <v>226.0</v>
      </c>
      <c r="K662" s="949">
        <v>-0.0013873995716235932</v>
      </c>
      <c r="L662" s="950" t="str">
        <f t="shared" si="1"/>
        <v/>
      </c>
      <c r="M662" s="736"/>
      <c r="N662" s="736"/>
      <c r="O662" s="736"/>
    </row>
    <row r="663">
      <c r="A663" s="951" t="s">
        <v>300</v>
      </c>
      <c r="B663" s="952" t="s">
        <v>60</v>
      </c>
      <c r="C663" s="953">
        <v>42376.0</v>
      </c>
      <c r="D663" s="954" t="s">
        <v>59</v>
      </c>
      <c r="E663" s="948" t="s">
        <v>195</v>
      </c>
      <c r="F663" s="954" t="s">
        <v>69</v>
      </c>
      <c r="G663" s="954" t="s">
        <v>69</v>
      </c>
      <c r="H663" s="954" t="s">
        <v>66</v>
      </c>
      <c r="I663" s="955">
        <v>0.9</v>
      </c>
      <c r="J663" s="948">
        <v>224.0</v>
      </c>
      <c r="K663" s="949">
        <v>-0.012033022197287635</v>
      </c>
      <c r="L663" s="950" t="str">
        <f t="shared" si="1"/>
        <v/>
      </c>
      <c r="M663" s="736"/>
      <c r="N663" s="736"/>
      <c r="O663" s="736"/>
    </row>
    <row r="664">
      <c r="A664" s="951" t="s">
        <v>1796</v>
      </c>
      <c r="B664" s="952" t="s">
        <v>60</v>
      </c>
      <c r="C664" s="953">
        <v>42374.0</v>
      </c>
      <c r="D664" s="954" t="s">
        <v>59</v>
      </c>
      <c r="E664" s="948" t="s">
        <v>63</v>
      </c>
      <c r="F664" s="954"/>
      <c r="G664" s="954"/>
      <c r="H664" s="954"/>
      <c r="I664" s="955"/>
      <c r="J664" s="948">
        <v>218.0</v>
      </c>
      <c r="K664" s="949">
        <v>0.010356288344218756</v>
      </c>
      <c r="L664" s="950" t="str">
        <f t="shared" si="1"/>
        <v>yes</v>
      </c>
      <c r="M664" s="736"/>
      <c r="N664" s="736"/>
      <c r="O664" s="736"/>
    </row>
    <row r="665">
      <c r="A665" s="951" t="s">
        <v>161</v>
      </c>
      <c r="B665" s="952" t="s">
        <v>56</v>
      </c>
      <c r="C665" s="953">
        <v>42374.0</v>
      </c>
      <c r="D665" s="954" t="s">
        <v>59</v>
      </c>
      <c r="E665" s="948" t="s">
        <v>63</v>
      </c>
      <c r="F665" s="954" t="s">
        <v>64</v>
      </c>
      <c r="G665" s="954" t="s">
        <v>69</v>
      </c>
      <c r="H665" s="954" t="s">
        <v>69</v>
      </c>
      <c r="I665" s="955">
        <v>0.9</v>
      </c>
      <c r="J665" s="948">
        <v>185.0</v>
      </c>
      <c r="K665" s="949">
        <v>-0.01458740853564211</v>
      </c>
      <c r="L665" s="950" t="str">
        <f t="shared" si="1"/>
        <v/>
      </c>
      <c r="M665" s="736"/>
      <c r="N665" s="736"/>
      <c r="O665" s="736"/>
    </row>
    <row r="666">
      <c r="A666" s="951" t="s">
        <v>513</v>
      </c>
      <c r="B666" s="952" t="s">
        <v>60</v>
      </c>
      <c r="C666" s="953">
        <v>42373.0</v>
      </c>
      <c r="D666" s="954" t="s">
        <v>59</v>
      </c>
      <c r="E666" s="948" t="s">
        <v>63</v>
      </c>
      <c r="F666" s="954" t="s">
        <v>64</v>
      </c>
      <c r="G666" s="954" t="s">
        <v>64</v>
      </c>
      <c r="H666" s="954" t="s">
        <v>68</v>
      </c>
      <c r="I666" s="955">
        <v>0.8</v>
      </c>
      <c r="J666" s="948">
        <v>225.0</v>
      </c>
      <c r="K666" s="949">
        <v>0.014588365055683838</v>
      </c>
      <c r="L666" s="950" t="str">
        <f t="shared" si="1"/>
        <v/>
      </c>
      <c r="M666" s="736"/>
      <c r="N666" s="736"/>
      <c r="O666" s="736"/>
    </row>
    <row r="667">
      <c r="A667" s="951" t="s">
        <v>1817</v>
      </c>
      <c r="B667" s="952" t="s">
        <v>60</v>
      </c>
      <c r="C667" s="953">
        <v>42372.0</v>
      </c>
      <c r="D667" s="954" t="s">
        <v>79</v>
      </c>
      <c r="E667" s="948" t="s">
        <v>63</v>
      </c>
      <c r="F667" s="954" t="s">
        <v>69</v>
      </c>
      <c r="G667" s="954" t="s">
        <v>66</v>
      </c>
      <c r="H667" s="954" t="s">
        <v>68</v>
      </c>
      <c r="I667" s="955">
        <v>0.6</v>
      </c>
      <c r="J667" s="948">
        <v>210.0</v>
      </c>
      <c r="K667" s="949">
        <v>0.016052577005485902</v>
      </c>
      <c r="L667" s="950" t="str">
        <f t="shared" si="1"/>
        <v>yes</v>
      </c>
      <c r="M667" s="736"/>
      <c r="N667" s="736"/>
      <c r="O667" s="736"/>
    </row>
    <row r="668">
      <c r="A668" s="951" t="s">
        <v>1791</v>
      </c>
      <c r="B668" s="952" t="s">
        <v>60</v>
      </c>
      <c r="C668" s="953">
        <v>42371.0</v>
      </c>
      <c r="D668" s="954" t="s">
        <v>57</v>
      </c>
      <c r="E668" s="948" t="s">
        <v>63</v>
      </c>
      <c r="F668" s="954" t="s">
        <v>64</v>
      </c>
      <c r="G668" s="954" t="s">
        <v>69</v>
      </c>
      <c r="H668" s="954" t="s">
        <v>68</v>
      </c>
      <c r="I668" s="955">
        <v>0.9</v>
      </c>
      <c r="J668" s="948">
        <v>211.0</v>
      </c>
      <c r="K668" s="949">
        <v>-0.02742278194454828</v>
      </c>
      <c r="L668" s="950" t="str">
        <f t="shared" si="1"/>
        <v>yes</v>
      </c>
      <c r="M668" s="736"/>
      <c r="N668" s="736"/>
      <c r="O668" s="736"/>
    </row>
    <row r="669">
      <c r="A669" s="951" t="s">
        <v>169</v>
      </c>
      <c r="B669" s="952" t="s">
        <v>55</v>
      </c>
      <c r="C669" s="953">
        <v>42370.0</v>
      </c>
      <c r="D669" s="954" t="s">
        <v>59</v>
      </c>
      <c r="E669" s="948" t="s">
        <v>63</v>
      </c>
      <c r="F669" s="954" t="s">
        <v>66</v>
      </c>
      <c r="G669" s="954" t="s">
        <v>69</v>
      </c>
      <c r="H669" s="954" t="s">
        <v>69</v>
      </c>
      <c r="I669" s="955">
        <v>0.9</v>
      </c>
      <c r="J669" s="948">
        <v>227.0</v>
      </c>
      <c r="K669" s="949">
        <v>-0.017273663796300354</v>
      </c>
      <c r="L669" s="950" t="str">
        <f t="shared" si="1"/>
        <v/>
      </c>
      <c r="M669" s="736"/>
      <c r="N669" s="736"/>
      <c r="O669" s="736"/>
    </row>
    <row r="670">
      <c r="A670" s="951" t="s">
        <v>207</v>
      </c>
      <c r="B670" s="952" t="s">
        <v>60</v>
      </c>
      <c r="C670" s="953">
        <v>42369.0</v>
      </c>
      <c r="D670" s="954" t="s">
        <v>79</v>
      </c>
      <c r="E670" s="948" t="s">
        <v>63</v>
      </c>
      <c r="F670" s="954" t="s">
        <v>80</v>
      </c>
      <c r="G670" s="954" t="s">
        <v>80</v>
      </c>
      <c r="H670" s="954" t="s">
        <v>64</v>
      </c>
      <c r="I670" s="955">
        <v>0.9</v>
      </c>
      <c r="J670" s="948">
        <v>222.0</v>
      </c>
      <c r="K670" s="949">
        <v>0.030360518670578096</v>
      </c>
      <c r="L670" s="950" t="str">
        <f t="shared" si="1"/>
        <v>yes</v>
      </c>
      <c r="M670" s="736"/>
      <c r="N670" s="736"/>
      <c r="O670" s="736"/>
    </row>
    <row r="671">
      <c r="A671" s="951" t="s">
        <v>1772</v>
      </c>
      <c r="B671" s="952" t="s">
        <v>60</v>
      </c>
      <c r="C671" s="953">
        <v>42369.0</v>
      </c>
      <c r="D671" s="954" t="s">
        <v>118</v>
      </c>
      <c r="E671" s="948" t="s">
        <v>63</v>
      </c>
      <c r="F671" s="954" t="s">
        <v>67</v>
      </c>
      <c r="G671" s="954" t="s">
        <v>69</v>
      </c>
      <c r="H671" s="954" t="s">
        <v>66</v>
      </c>
      <c r="I671" s="955"/>
      <c r="J671" s="948">
        <v>221.0</v>
      </c>
      <c r="K671" s="949">
        <v>0.009132192734911837</v>
      </c>
      <c r="L671" s="950" t="str">
        <f t="shared" si="1"/>
        <v>yes</v>
      </c>
      <c r="M671" s="736"/>
      <c r="N671" s="736"/>
      <c r="O671" s="736"/>
    </row>
    <row r="672">
      <c r="A672" s="951" t="s">
        <v>457</v>
      </c>
      <c r="B672" s="952" t="s">
        <v>60</v>
      </c>
      <c r="C672" s="953">
        <v>42367.0</v>
      </c>
      <c r="D672" s="954" t="s">
        <v>59</v>
      </c>
      <c r="E672" s="948" t="s">
        <v>63</v>
      </c>
      <c r="F672" s="954"/>
      <c r="G672" s="954"/>
      <c r="H672" s="954"/>
      <c r="I672" s="955"/>
      <c r="J672" s="948">
        <v>218.0</v>
      </c>
      <c r="K672" s="949">
        <v>-0.0030960845403440462</v>
      </c>
      <c r="L672" s="950" t="str">
        <f t="shared" si="1"/>
        <v/>
      </c>
      <c r="M672" s="736"/>
      <c r="N672" s="736"/>
      <c r="O672" s="736"/>
    </row>
    <row r="673">
      <c r="A673" s="951" t="s">
        <v>1783</v>
      </c>
      <c r="B673" s="952" t="s">
        <v>60</v>
      </c>
      <c r="C673" s="953">
        <v>42367.0</v>
      </c>
      <c r="D673" s="954" t="s">
        <v>59</v>
      </c>
      <c r="E673" s="948" t="s">
        <v>63</v>
      </c>
      <c r="F673" s="954" t="s">
        <v>65</v>
      </c>
      <c r="G673" s="954" t="s">
        <v>69</v>
      </c>
      <c r="H673" s="954" t="s">
        <v>69</v>
      </c>
      <c r="I673" s="955">
        <v>0.8</v>
      </c>
      <c r="J673" s="948">
        <v>228.0</v>
      </c>
      <c r="K673" s="949">
        <v>-0.01138869788519803</v>
      </c>
      <c r="L673" s="950" t="str">
        <f t="shared" si="1"/>
        <v/>
      </c>
      <c r="M673" s="736"/>
      <c r="N673" s="736"/>
      <c r="O673" s="736"/>
    </row>
    <row r="674">
      <c r="A674" s="951" t="s">
        <v>1607</v>
      </c>
      <c r="B674" s="952" t="s">
        <v>60</v>
      </c>
      <c r="C674" s="953">
        <v>42366.0</v>
      </c>
      <c r="D674" s="954" t="s">
        <v>79</v>
      </c>
      <c r="E674" s="948" t="s">
        <v>63</v>
      </c>
      <c r="F674" s="954" t="s">
        <v>69</v>
      </c>
      <c r="G674" s="954" t="s">
        <v>69</v>
      </c>
      <c r="H674" s="954" t="s">
        <v>69</v>
      </c>
      <c r="I674" s="955">
        <v>0.8</v>
      </c>
      <c r="J674" s="948">
        <v>245.0</v>
      </c>
      <c r="K674" s="949">
        <v>-0.013176472841317288</v>
      </c>
      <c r="L674" s="950" t="str">
        <f t="shared" si="1"/>
        <v/>
      </c>
      <c r="M674" s="736"/>
      <c r="N674" s="736"/>
      <c r="O674" s="736"/>
    </row>
    <row r="675">
      <c r="A675" s="951" t="s">
        <v>212</v>
      </c>
      <c r="B675" s="952" t="s">
        <v>60</v>
      </c>
      <c r="C675" s="953">
        <v>42365.0</v>
      </c>
      <c r="D675" s="954" t="s">
        <v>59</v>
      </c>
      <c r="E675" s="948" t="s">
        <v>195</v>
      </c>
      <c r="F675" s="954" t="s">
        <v>64</v>
      </c>
      <c r="G675" s="954" t="s">
        <v>69</v>
      </c>
      <c r="H675" s="954" t="s">
        <v>69</v>
      </c>
      <c r="I675" s="955">
        <v>0.9</v>
      </c>
      <c r="J675" s="948">
        <v>223.0</v>
      </c>
      <c r="K675" s="949">
        <v>-0.00993259687490411</v>
      </c>
      <c r="L675" s="950" t="str">
        <f t="shared" si="1"/>
        <v>yes</v>
      </c>
      <c r="M675" s="736"/>
      <c r="N675" s="736"/>
      <c r="O675" s="736"/>
    </row>
    <row r="676">
      <c r="A676" s="951" t="s">
        <v>640</v>
      </c>
      <c r="B676" s="952" t="s">
        <v>60</v>
      </c>
      <c r="C676" s="953">
        <v>42365.0</v>
      </c>
      <c r="D676" s="954" t="s">
        <v>59</v>
      </c>
      <c r="E676" s="948" t="s">
        <v>63</v>
      </c>
      <c r="F676" s="954"/>
      <c r="G676" s="954"/>
      <c r="H676" s="954"/>
      <c r="I676" s="955"/>
      <c r="J676" s="948">
        <v>218.0</v>
      </c>
      <c r="K676" s="949">
        <v>-0.0021230108096491618</v>
      </c>
      <c r="L676" s="950" t="str">
        <f t="shared" si="1"/>
        <v/>
      </c>
      <c r="M676" s="736"/>
      <c r="N676" s="736"/>
      <c r="O676" s="736"/>
    </row>
    <row r="677">
      <c r="A677" s="951" t="s">
        <v>454</v>
      </c>
      <c r="B677" s="952" t="s">
        <v>56</v>
      </c>
      <c r="C677" s="953">
        <v>42365.0</v>
      </c>
      <c r="D677" s="954" t="s">
        <v>316</v>
      </c>
      <c r="E677" s="948" t="s">
        <v>63</v>
      </c>
      <c r="F677" s="954" t="s">
        <v>69</v>
      </c>
      <c r="G677" s="954" t="s">
        <v>69</v>
      </c>
      <c r="H677" s="954" t="s">
        <v>68</v>
      </c>
      <c r="I677" s="955">
        <v>0.9</v>
      </c>
      <c r="J677" s="948">
        <v>211.0</v>
      </c>
      <c r="K677" s="949">
        <v>-0.044101731342196526</v>
      </c>
      <c r="L677" s="950" t="str">
        <f t="shared" si="1"/>
        <v/>
      </c>
      <c r="M677" s="736"/>
      <c r="N677" s="736"/>
      <c r="O677" s="736"/>
    </row>
    <row r="678">
      <c r="A678" s="951" t="s">
        <v>623</v>
      </c>
      <c r="B678" s="952" t="s">
        <v>60</v>
      </c>
      <c r="C678" s="953">
        <v>42363.0</v>
      </c>
      <c r="D678" s="954" t="s">
        <v>59</v>
      </c>
      <c r="E678" s="948" t="s">
        <v>63</v>
      </c>
      <c r="F678" s="954" t="s">
        <v>65</v>
      </c>
      <c r="G678" s="954" t="s">
        <v>64</v>
      </c>
      <c r="H678" s="954" t="s">
        <v>69</v>
      </c>
      <c r="I678" s="955">
        <v>0.9</v>
      </c>
      <c r="J678" s="948">
        <v>185.0</v>
      </c>
      <c r="K678" s="949">
        <v>-0.007536103963823315</v>
      </c>
      <c r="L678" s="950" t="str">
        <f t="shared" si="1"/>
        <v/>
      </c>
      <c r="M678" s="736"/>
      <c r="N678" s="736"/>
      <c r="O678" s="736"/>
    </row>
    <row r="679">
      <c r="A679" s="951" t="s">
        <v>548</v>
      </c>
      <c r="B679" s="952" t="s">
        <v>60</v>
      </c>
      <c r="C679" s="953">
        <v>42363.0</v>
      </c>
      <c r="D679" s="954" t="s">
        <v>79</v>
      </c>
      <c r="E679" s="948" t="s">
        <v>63</v>
      </c>
      <c r="F679" s="954" t="s">
        <v>69</v>
      </c>
      <c r="G679" s="954" t="s">
        <v>69</v>
      </c>
      <c r="H679" s="954" t="s">
        <v>69</v>
      </c>
      <c r="I679" s="955">
        <v>0.9</v>
      </c>
      <c r="J679" s="948">
        <v>226.0</v>
      </c>
      <c r="K679" s="949">
        <v>-0.0029764728413171904</v>
      </c>
      <c r="L679" s="950" t="str">
        <f t="shared" si="1"/>
        <v/>
      </c>
      <c r="M679" s="736"/>
      <c r="N679" s="736"/>
      <c r="O679" s="736"/>
    </row>
    <row r="680">
      <c r="A680" s="951" t="s">
        <v>1013</v>
      </c>
      <c r="B680" s="952" t="s">
        <v>60</v>
      </c>
      <c r="C680" s="953">
        <v>42361.0</v>
      </c>
      <c r="D680" s="954" t="s">
        <v>59</v>
      </c>
      <c r="E680" s="948" t="s">
        <v>63</v>
      </c>
      <c r="F680" s="954" t="s">
        <v>64</v>
      </c>
      <c r="G680" s="954" t="s">
        <v>69</v>
      </c>
      <c r="H680" s="954" t="s">
        <v>69</v>
      </c>
      <c r="I680" s="955">
        <v>0.8</v>
      </c>
      <c r="J680" s="948">
        <v>222.0</v>
      </c>
      <c r="K680" s="949">
        <v>-0.0022706082253602933</v>
      </c>
      <c r="L680" s="950" t="str">
        <f t="shared" si="1"/>
        <v/>
      </c>
      <c r="M680" s="736"/>
      <c r="N680" s="736"/>
      <c r="O680" s="736"/>
    </row>
    <row r="681">
      <c r="A681" s="951" t="s">
        <v>1760</v>
      </c>
      <c r="B681" s="952" t="s">
        <v>60</v>
      </c>
      <c r="C681" s="953">
        <v>42359.0</v>
      </c>
      <c r="D681" s="954" t="s">
        <v>118</v>
      </c>
      <c r="E681" s="948" t="s">
        <v>63</v>
      </c>
      <c r="F681" s="954" t="s">
        <v>69</v>
      </c>
      <c r="G681" s="954" t="s">
        <v>64</v>
      </c>
      <c r="H681" s="954" t="s">
        <v>69</v>
      </c>
      <c r="I681" s="955">
        <v>0.9</v>
      </c>
      <c r="J681" s="948">
        <v>233.0</v>
      </c>
      <c r="K681" s="949">
        <v>0.01391565423490071</v>
      </c>
      <c r="L681" s="950" t="str">
        <f t="shared" si="1"/>
        <v/>
      </c>
      <c r="M681" s="736"/>
      <c r="N681" s="736"/>
      <c r="O681" s="736"/>
    </row>
    <row r="682">
      <c r="A682" s="951" t="s">
        <v>1760</v>
      </c>
      <c r="B682" s="952" t="s">
        <v>60</v>
      </c>
      <c r="C682" s="953">
        <v>42359.0</v>
      </c>
      <c r="D682" s="954" t="s">
        <v>118</v>
      </c>
      <c r="E682" s="948" t="s">
        <v>63</v>
      </c>
      <c r="F682" s="954" t="s">
        <v>69</v>
      </c>
      <c r="G682" s="954" t="s">
        <v>64</v>
      </c>
      <c r="H682" s="954" t="s">
        <v>69</v>
      </c>
      <c r="I682" s="955">
        <v>0.9</v>
      </c>
      <c r="J682" s="948">
        <v>220.0</v>
      </c>
      <c r="K682" s="949">
        <v>0.006659202291420363</v>
      </c>
      <c r="L682" s="950" t="str">
        <f t="shared" si="1"/>
        <v/>
      </c>
      <c r="M682" s="736"/>
      <c r="N682" s="736"/>
      <c r="O682" s="736"/>
    </row>
    <row r="683">
      <c r="A683" s="951" t="s">
        <v>541</v>
      </c>
      <c r="B683" s="952" t="s">
        <v>60</v>
      </c>
      <c r="C683" s="953">
        <v>42358.0</v>
      </c>
      <c r="D683" s="954" t="s">
        <v>57</v>
      </c>
      <c r="E683" s="948" t="s">
        <v>63</v>
      </c>
      <c r="F683" s="954" t="s">
        <v>69</v>
      </c>
      <c r="G683" s="954" t="s">
        <v>67</v>
      </c>
      <c r="H683" s="954" t="s">
        <v>69</v>
      </c>
      <c r="I683" s="955">
        <v>0.9</v>
      </c>
      <c r="J683" s="948">
        <v>225.0</v>
      </c>
      <c r="K683" s="949">
        <v>-0.009325678344351496</v>
      </c>
      <c r="L683" s="950" t="str">
        <f t="shared" si="1"/>
        <v/>
      </c>
      <c r="M683" s="736"/>
      <c r="N683" s="736"/>
      <c r="O683" s="736"/>
    </row>
    <row r="684">
      <c r="A684" s="951" t="s">
        <v>1336</v>
      </c>
      <c r="B684" s="952" t="s">
        <v>60</v>
      </c>
      <c r="C684" s="953">
        <v>42358.0</v>
      </c>
      <c r="D684" s="954" t="s">
        <v>59</v>
      </c>
      <c r="E684" s="948" t="s">
        <v>63</v>
      </c>
      <c r="F684" s="954" t="s">
        <v>69</v>
      </c>
      <c r="G684" s="954" t="s">
        <v>69</v>
      </c>
      <c r="H684" s="954" t="s">
        <v>66</v>
      </c>
      <c r="I684" s="955">
        <v>0.8</v>
      </c>
      <c r="J684" s="948">
        <v>209.0</v>
      </c>
      <c r="K684" s="949">
        <v>-0.014085015467426576</v>
      </c>
      <c r="L684" s="950" t="str">
        <f t="shared" si="1"/>
        <v/>
      </c>
      <c r="M684" s="736"/>
      <c r="N684" s="736"/>
      <c r="O684" s="736"/>
    </row>
    <row r="685">
      <c r="A685" s="951" t="s">
        <v>1750</v>
      </c>
      <c r="B685" s="952" t="s">
        <v>60</v>
      </c>
      <c r="C685" s="953">
        <v>42357.0</v>
      </c>
      <c r="D685" s="954" t="s">
        <v>59</v>
      </c>
      <c r="E685" s="948" t="s">
        <v>63</v>
      </c>
      <c r="F685" s="954" t="s">
        <v>67</v>
      </c>
      <c r="G685" s="954" t="s">
        <v>65</v>
      </c>
      <c r="H685" s="954" t="s">
        <v>69</v>
      </c>
      <c r="I685" s="955">
        <v>0.8</v>
      </c>
      <c r="J685" s="948">
        <v>218.0</v>
      </c>
      <c r="K685" s="949">
        <v>0.016171001633848103</v>
      </c>
      <c r="L685" s="950" t="str">
        <f t="shared" si="1"/>
        <v/>
      </c>
      <c r="M685" s="736"/>
      <c r="N685" s="736"/>
      <c r="O685" s="736"/>
    </row>
    <row r="686">
      <c r="A686" s="951" t="s">
        <v>339</v>
      </c>
      <c r="B686" s="952" t="s">
        <v>60</v>
      </c>
      <c r="C686" s="953">
        <v>42357.0</v>
      </c>
      <c r="D686" s="954" t="s">
        <v>59</v>
      </c>
      <c r="E686" s="948" t="s">
        <v>63</v>
      </c>
      <c r="F686" s="954" t="s">
        <v>69</v>
      </c>
      <c r="G686" s="954" t="s">
        <v>64</v>
      </c>
      <c r="H686" s="954" t="s">
        <v>68</v>
      </c>
      <c r="I686" s="955">
        <v>0.8</v>
      </c>
      <c r="J686" s="948">
        <v>258.0</v>
      </c>
      <c r="K686" s="949">
        <v>-0.004568955899505456</v>
      </c>
      <c r="L686" s="950" t="str">
        <f t="shared" si="1"/>
        <v/>
      </c>
      <c r="M686" s="736"/>
      <c r="N686" s="736"/>
      <c r="O686" s="736"/>
    </row>
    <row r="687">
      <c r="A687" s="951" t="s">
        <v>1703</v>
      </c>
      <c r="B687" s="952" t="s">
        <v>60</v>
      </c>
      <c r="C687" s="953">
        <v>42356.0</v>
      </c>
      <c r="D687" s="954" t="s">
        <v>118</v>
      </c>
      <c r="E687" s="948" t="s">
        <v>63</v>
      </c>
      <c r="F687" s="954" t="s">
        <v>68</v>
      </c>
      <c r="G687" s="954" t="s">
        <v>68</v>
      </c>
      <c r="H687" s="954" t="s">
        <v>68</v>
      </c>
      <c r="I687" s="955">
        <v>0.9</v>
      </c>
      <c r="J687" s="948">
        <v>217.0</v>
      </c>
      <c r="K687" s="949">
        <v>-0.002969194196375202</v>
      </c>
      <c r="L687" s="950" t="str">
        <f t="shared" si="1"/>
        <v/>
      </c>
      <c r="M687" s="736"/>
      <c r="N687" s="736"/>
      <c r="O687" s="736"/>
    </row>
    <row r="688">
      <c r="A688" s="951" t="s">
        <v>1739</v>
      </c>
      <c r="B688" s="952" t="s">
        <v>60</v>
      </c>
      <c r="C688" s="953">
        <v>42356.0</v>
      </c>
      <c r="D688" s="954" t="s">
        <v>86</v>
      </c>
      <c r="E688" s="948" t="s">
        <v>63</v>
      </c>
      <c r="F688" s="954" t="s">
        <v>67</v>
      </c>
      <c r="G688" s="954" t="s">
        <v>69</v>
      </c>
      <c r="H688" s="954" t="s">
        <v>68</v>
      </c>
      <c r="I688" s="955">
        <v>0.9</v>
      </c>
      <c r="J688" s="948">
        <v>209.0</v>
      </c>
      <c r="K688" s="949">
        <v>-0.029377280355537883</v>
      </c>
      <c r="L688" s="950" t="str">
        <f t="shared" si="1"/>
        <v>yes</v>
      </c>
      <c r="M688" s="736"/>
      <c r="N688" s="736"/>
      <c r="O688" s="736"/>
    </row>
    <row r="689">
      <c r="A689" s="951" t="s">
        <v>1744</v>
      </c>
      <c r="B689" s="952" t="s">
        <v>60</v>
      </c>
      <c r="C689" s="953">
        <v>42356.0</v>
      </c>
      <c r="D689" s="954" t="s">
        <v>79</v>
      </c>
      <c r="E689" s="948" t="s">
        <v>63</v>
      </c>
      <c r="F689" s="954" t="s">
        <v>65</v>
      </c>
      <c r="G689" s="954" t="s">
        <v>69</v>
      </c>
      <c r="H689" s="954" t="s">
        <v>68</v>
      </c>
      <c r="I689" s="955">
        <v>0.9</v>
      </c>
      <c r="J689" s="948">
        <v>244.0</v>
      </c>
      <c r="K689" s="949">
        <v>-0.010088261912499008</v>
      </c>
      <c r="L689" s="950" t="str">
        <f t="shared" si="1"/>
        <v>yes</v>
      </c>
      <c r="M689" s="736"/>
      <c r="N689" s="736"/>
      <c r="O689" s="736"/>
    </row>
    <row r="690">
      <c r="A690" s="951" t="s">
        <v>541</v>
      </c>
      <c r="B690" s="952" t="s">
        <v>60</v>
      </c>
      <c r="C690" s="953">
        <v>42355.0</v>
      </c>
      <c r="D690" s="954" t="s">
        <v>57</v>
      </c>
      <c r="E690" s="948" t="s">
        <v>63</v>
      </c>
      <c r="F690" s="954" t="s">
        <v>69</v>
      </c>
      <c r="G690" s="954" t="s">
        <v>67</v>
      </c>
      <c r="H690" s="954" t="s">
        <v>69</v>
      </c>
      <c r="I690" s="955">
        <v>0.9</v>
      </c>
      <c r="J690" s="948">
        <v>225.0</v>
      </c>
      <c r="K690" s="949">
        <v>-0.019559355510785248</v>
      </c>
      <c r="L690" s="950" t="str">
        <f t="shared" si="1"/>
        <v/>
      </c>
      <c r="M690" s="736"/>
      <c r="N690" s="736"/>
      <c r="O690" s="736"/>
    </row>
    <row r="691">
      <c r="A691" s="951" t="s">
        <v>1778</v>
      </c>
      <c r="B691" s="952" t="s">
        <v>60</v>
      </c>
      <c r="C691" s="953">
        <v>42355.0</v>
      </c>
      <c r="D691" s="954" t="s">
        <v>59</v>
      </c>
      <c r="E691" s="948" t="s">
        <v>63</v>
      </c>
      <c r="F691" s="954" t="s">
        <v>65</v>
      </c>
      <c r="G691" s="954" t="s">
        <v>64</v>
      </c>
      <c r="H691" s="954" t="s">
        <v>69</v>
      </c>
      <c r="I691" s="955">
        <v>0.9</v>
      </c>
      <c r="J691" s="948">
        <v>222.0</v>
      </c>
      <c r="K691" s="949">
        <v>-0.005688233899209916</v>
      </c>
      <c r="L691" s="950" t="str">
        <f t="shared" si="1"/>
        <v>yes</v>
      </c>
      <c r="M691" s="736"/>
      <c r="N691" s="736"/>
      <c r="O691" s="736"/>
    </row>
    <row r="692">
      <c r="A692" s="951" t="s">
        <v>241</v>
      </c>
      <c r="B692" s="952" t="s">
        <v>60</v>
      </c>
      <c r="C692" s="953">
        <v>42355.0</v>
      </c>
      <c r="D692" s="954" t="s">
        <v>59</v>
      </c>
      <c r="E692" s="948" t="s">
        <v>63</v>
      </c>
      <c r="F692" s="954" t="s">
        <v>69</v>
      </c>
      <c r="G692" s="954" t="s">
        <v>69</v>
      </c>
      <c r="H692" s="954" t="s">
        <v>66</v>
      </c>
      <c r="I692" s="955">
        <v>0.8</v>
      </c>
      <c r="J692" s="948">
        <v>221.0</v>
      </c>
      <c r="K692" s="949">
        <v>-0.041191892072634295</v>
      </c>
      <c r="L692" s="950" t="str">
        <f t="shared" si="1"/>
        <v/>
      </c>
      <c r="M692" s="736"/>
      <c r="N692" s="736"/>
      <c r="O692" s="736"/>
    </row>
    <row r="693">
      <c r="A693" s="951" t="s">
        <v>1715</v>
      </c>
      <c r="B693" s="952" t="s">
        <v>60</v>
      </c>
      <c r="C693" s="953">
        <v>42354.0</v>
      </c>
      <c r="D693" s="954" t="s">
        <v>59</v>
      </c>
      <c r="E693" s="948" t="s">
        <v>63</v>
      </c>
      <c r="F693" s="954" t="s">
        <v>69</v>
      </c>
      <c r="G693" s="954" t="s">
        <v>69</v>
      </c>
      <c r="H693" s="954" t="s">
        <v>68</v>
      </c>
      <c r="I693" s="955">
        <v>0.7</v>
      </c>
      <c r="J693" s="948">
        <v>202.0</v>
      </c>
      <c r="K693" s="949">
        <v>-0.03164072270316198</v>
      </c>
      <c r="L693" s="950" t="str">
        <f t="shared" si="1"/>
        <v/>
      </c>
      <c r="M693" s="736"/>
      <c r="N693" s="736"/>
      <c r="O693" s="736"/>
    </row>
    <row r="694">
      <c r="A694" s="951" t="s">
        <v>1622</v>
      </c>
      <c r="B694" s="952" t="s">
        <v>60</v>
      </c>
      <c r="C694" s="953">
        <v>42354.0</v>
      </c>
      <c r="D694" s="954" t="s">
        <v>870</v>
      </c>
      <c r="E694" s="948" t="s">
        <v>63</v>
      </c>
      <c r="F694" s="954"/>
      <c r="G694" s="954"/>
      <c r="H694" s="954"/>
      <c r="I694" s="955">
        <v>0.8</v>
      </c>
      <c r="J694" s="948">
        <v>189.0</v>
      </c>
      <c r="K694" s="949">
        <v>0.02454873157155435</v>
      </c>
      <c r="L694" s="950" t="str">
        <f t="shared" si="1"/>
        <v>yes</v>
      </c>
      <c r="M694" s="736"/>
      <c r="N694" s="736"/>
      <c r="O694" s="736"/>
    </row>
    <row r="695">
      <c r="A695" s="951" t="s">
        <v>449</v>
      </c>
      <c r="B695" s="952" t="s">
        <v>60</v>
      </c>
      <c r="C695" s="953">
        <v>42354.0</v>
      </c>
      <c r="D695" s="954" t="s">
        <v>59</v>
      </c>
      <c r="E695" s="948" t="s">
        <v>63</v>
      </c>
      <c r="F695" s="954" t="s">
        <v>80</v>
      </c>
      <c r="G695" s="954" t="s">
        <v>69</v>
      </c>
      <c r="H695" s="954" t="s">
        <v>66</v>
      </c>
      <c r="I695" s="955">
        <v>0.7</v>
      </c>
      <c r="J695" s="948">
        <v>186.0</v>
      </c>
      <c r="K695" s="949">
        <v>0.001432341337621379</v>
      </c>
      <c r="L695" s="950" t="str">
        <f t="shared" si="1"/>
        <v/>
      </c>
      <c r="M695" s="736"/>
      <c r="N695" s="736"/>
      <c r="O695" s="736"/>
    </row>
    <row r="696">
      <c r="A696" s="951" t="s">
        <v>1726</v>
      </c>
      <c r="B696" s="952" t="s">
        <v>60</v>
      </c>
      <c r="C696" s="953">
        <v>42354.0</v>
      </c>
      <c r="D696" s="954" t="s">
        <v>316</v>
      </c>
      <c r="E696" s="948" t="s">
        <v>63</v>
      </c>
      <c r="F696" s="954" t="s">
        <v>69</v>
      </c>
      <c r="G696" s="954"/>
      <c r="H696" s="954"/>
      <c r="I696" s="955"/>
      <c r="J696" s="948">
        <v>233.0</v>
      </c>
      <c r="K696" s="949">
        <v>-0.025763177304467644</v>
      </c>
      <c r="L696" s="950" t="str">
        <f t="shared" si="1"/>
        <v/>
      </c>
      <c r="M696" s="736"/>
      <c r="N696" s="736"/>
      <c r="O696" s="736"/>
    </row>
    <row r="697">
      <c r="A697" s="951" t="s">
        <v>541</v>
      </c>
      <c r="B697" s="952" t="s">
        <v>60</v>
      </c>
      <c r="C697" s="953">
        <v>42354.0</v>
      </c>
      <c r="D697" s="954" t="s">
        <v>57</v>
      </c>
      <c r="E697" s="948" t="s">
        <v>63</v>
      </c>
      <c r="F697" s="954" t="s">
        <v>69</v>
      </c>
      <c r="G697" s="954" t="s">
        <v>67</v>
      </c>
      <c r="H697" s="954" t="s">
        <v>69</v>
      </c>
      <c r="I697" s="955">
        <v>0.9</v>
      </c>
      <c r="J697" s="948">
        <v>225.0</v>
      </c>
      <c r="K697" s="949">
        <v>-0.017008996150521205</v>
      </c>
      <c r="L697" s="950" t="str">
        <f t="shared" si="1"/>
        <v/>
      </c>
      <c r="M697" s="736"/>
      <c r="N697" s="736"/>
      <c r="O697" s="736"/>
    </row>
    <row r="698">
      <c r="A698" s="951" t="s">
        <v>1710</v>
      </c>
      <c r="B698" s="952" t="s">
        <v>60</v>
      </c>
      <c r="C698" s="953">
        <v>42353.0</v>
      </c>
      <c r="D698" s="954" t="s">
        <v>59</v>
      </c>
      <c r="E698" s="948" t="s">
        <v>63</v>
      </c>
      <c r="F698" s="954" t="s">
        <v>65</v>
      </c>
      <c r="G698" s="954" t="s">
        <v>65</v>
      </c>
      <c r="H698" s="954" t="s">
        <v>69</v>
      </c>
      <c r="I698" s="955">
        <v>0.9</v>
      </c>
      <c r="J698" s="948">
        <v>222.0</v>
      </c>
      <c r="K698" s="949">
        <v>-0.009463857640514495</v>
      </c>
      <c r="L698" s="950" t="str">
        <f t="shared" si="1"/>
        <v/>
      </c>
      <c r="M698" s="736"/>
      <c r="N698" s="736"/>
      <c r="O698" s="736"/>
    </row>
    <row r="699">
      <c r="A699" s="951" t="s">
        <v>126</v>
      </c>
      <c r="B699" s="952" t="s">
        <v>60</v>
      </c>
      <c r="C699" s="953">
        <v>42352.0</v>
      </c>
      <c r="D699" s="954" t="s">
        <v>79</v>
      </c>
      <c r="E699" s="948" t="s">
        <v>63</v>
      </c>
      <c r="F699" s="954" t="s">
        <v>65</v>
      </c>
      <c r="G699" s="954" t="s">
        <v>127</v>
      </c>
      <c r="H699" s="954" t="s">
        <v>69</v>
      </c>
      <c r="I699" s="955">
        <v>1.0</v>
      </c>
      <c r="J699" s="948">
        <v>214.0</v>
      </c>
      <c r="K699" s="949">
        <v>-0.008873179031851586</v>
      </c>
      <c r="L699" s="950" t="str">
        <f t="shared" si="1"/>
        <v/>
      </c>
      <c r="M699" s="736"/>
      <c r="N699" s="736"/>
      <c r="O699" s="736"/>
    </row>
    <row r="700">
      <c r="A700" s="951" t="s">
        <v>1695</v>
      </c>
      <c r="B700" s="952" t="s">
        <v>60</v>
      </c>
      <c r="C700" s="953">
        <v>42352.0</v>
      </c>
      <c r="D700" s="954" t="s">
        <v>57</v>
      </c>
      <c r="E700" s="948" t="s">
        <v>63</v>
      </c>
      <c r="F700" s="954" t="s">
        <v>69</v>
      </c>
      <c r="G700" s="954" t="s">
        <v>69</v>
      </c>
      <c r="H700" s="954" t="s">
        <v>68</v>
      </c>
      <c r="I700" s="955">
        <v>0.6</v>
      </c>
      <c r="J700" s="948">
        <v>225.0</v>
      </c>
      <c r="K700" s="949">
        <v>-0.05311136960939766</v>
      </c>
      <c r="L700" s="950" t="str">
        <f t="shared" si="1"/>
        <v/>
      </c>
      <c r="M700" s="736"/>
      <c r="N700" s="736"/>
      <c r="O700" s="736"/>
    </row>
    <row r="701">
      <c r="A701" s="951" t="s">
        <v>1682</v>
      </c>
      <c r="B701" s="952" t="s">
        <v>60</v>
      </c>
      <c r="C701" s="953">
        <v>42351.0</v>
      </c>
      <c r="D701" s="954" t="s">
        <v>316</v>
      </c>
      <c r="E701" s="948" t="s">
        <v>63</v>
      </c>
      <c r="F701" s="954" t="s">
        <v>69</v>
      </c>
      <c r="G701" s="954" t="s">
        <v>69</v>
      </c>
      <c r="H701" s="954" t="s">
        <v>69</v>
      </c>
      <c r="I701" s="955">
        <v>0.9</v>
      </c>
      <c r="J701" s="948">
        <v>240.0</v>
      </c>
      <c r="K701" s="949">
        <v>-0.01111166893380744</v>
      </c>
      <c r="L701" s="950" t="str">
        <f t="shared" si="1"/>
        <v>yes</v>
      </c>
      <c r="M701" s="736"/>
      <c r="N701" s="736"/>
      <c r="O701" s="736"/>
    </row>
    <row r="702">
      <c r="A702" s="951" t="s">
        <v>160</v>
      </c>
      <c r="B702" s="952" t="s">
        <v>55</v>
      </c>
      <c r="C702" s="953">
        <v>42351.0</v>
      </c>
      <c r="D702" s="954" t="s">
        <v>86</v>
      </c>
      <c r="E702" s="948" t="s">
        <v>63</v>
      </c>
      <c r="F702" s="954" t="s">
        <v>64</v>
      </c>
      <c r="G702" s="954" t="s">
        <v>64</v>
      </c>
      <c r="H702" s="954" t="s">
        <v>66</v>
      </c>
      <c r="I702" s="955">
        <v>0.9</v>
      </c>
      <c r="J702" s="948">
        <v>195.0</v>
      </c>
      <c r="K702" s="949">
        <v>0.024756013072278926</v>
      </c>
      <c r="L702" s="950" t="str">
        <f t="shared" si="1"/>
        <v>yes</v>
      </c>
      <c r="M702" s="736"/>
      <c r="N702" s="736"/>
      <c r="O702" s="736"/>
    </row>
    <row r="703">
      <c r="A703" s="951" t="s">
        <v>328</v>
      </c>
      <c r="B703" s="952" t="s">
        <v>60</v>
      </c>
      <c r="C703" s="953">
        <v>42350.0</v>
      </c>
      <c r="D703" s="954" t="s">
        <v>59</v>
      </c>
      <c r="E703" s="948" t="s">
        <v>63</v>
      </c>
      <c r="F703" s="954" t="s">
        <v>69</v>
      </c>
      <c r="G703" s="954" t="s">
        <v>66</v>
      </c>
      <c r="H703" s="954" t="s">
        <v>69</v>
      </c>
      <c r="I703" s="955">
        <v>0.8</v>
      </c>
      <c r="J703" s="948">
        <v>210.0</v>
      </c>
      <c r="K703" s="949">
        <v>-0.02636380166148844</v>
      </c>
      <c r="L703" s="950" t="str">
        <f t="shared" si="1"/>
        <v/>
      </c>
      <c r="M703" s="736"/>
      <c r="N703" s="736"/>
      <c r="O703" s="736"/>
    </row>
    <row r="704">
      <c r="A704" s="951" t="s">
        <v>436</v>
      </c>
      <c r="B704" s="952" t="s">
        <v>56</v>
      </c>
      <c r="C704" s="953">
        <v>42350.0</v>
      </c>
      <c r="D704" s="954" t="s">
        <v>59</v>
      </c>
      <c r="E704" s="948" t="s">
        <v>63</v>
      </c>
      <c r="F704" s="954" t="s">
        <v>69</v>
      </c>
      <c r="G704" s="954" t="s">
        <v>66</v>
      </c>
      <c r="H704" s="954" t="s">
        <v>68</v>
      </c>
      <c r="I704" s="955">
        <v>0.9</v>
      </c>
      <c r="J704" s="948">
        <v>199.0</v>
      </c>
      <c r="K704" s="949">
        <v>0.02394048281043759</v>
      </c>
      <c r="L704" s="950" t="str">
        <f t="shared" si="1"/>
        <v>yes</v>
      </c>
      <c r="M704" s="736"/>
      <c r="N704" s="736"/>
      <c r="O704" s="736"/>
    </row>
    <row r="705">
      <c r="A705" s="951" t="s">
        <v>439</v>
      </c>
      <c r="B705" s="952" t="s">
        <v>56</v>
      </c>
      <c r="C705" s="953">
        <v>42350.0</v>
      </c>
      <c r="D705" s="954" t="s">
        <v>79</v>
      </c>
      <c r="E705" s="948" t="s">
        <v>63</v>
      </c>
      <c r="F705" s="954" t="s">
        <v>64</v>
      </c>
      <c r="G705" s="954" t="s">
        <v>69</v>
      </c>
      <c r="H705" s="954" t="s">
        <v>68</v>
      </c>
      <c r="I705" s="955">
        <v>0.7</v>
      </c>
      <c r="J705" s="948">
        <v>198.0</v>
      </c>
      <c r="K705" s="949">
        <v>-0.030852404387262222</v>
      </c>
      <c r="L705" s="950" t="str">
        <f t="shared" si="1"/>
        <v/>
      </c>
      <c r="M705" s="736"/>
      <c r="N705" s="736"/>
      <c r="O705" s="736"/>
    </row>
    <row r="706">
      <c r="A706" s="951" t="s">
        <v>605</v>
      </c>
      <c r="B706" s="952" t="s">
        <v>60</v>
      </c>
      <c r="C706" s="953">
        <v>42349.0</v>
      </c>
      <c r="D706" s="954" t="s">
        <v>59</v>
      </c>
      <c r="E706" s="948" t="s">
        <v>63</v>
      </c>
      <c r="F706" s="954" t="s">
        <v>64</v>
      </c>
      <c r="G706" s="954" t="s">
        <v>69</v>
      </c>
      <c r="H706" s="954" t="s">
        <v>68</v>
      </c>
      <c r="I706" s="955">
        <v>0.7</v>
      </c>
      <c r="J706" s="948">
        <v>198.0</v>
      </c>
      <c r="K706" s="949">
        <v>-0.02894986176775316</v>
      </c>
      <c r="L706" s="950" t="str">
        <f t="shared" si="1"/>
        <v>yes</v>
      </c>
      <c r="M706" s="736"/>
      <c r="N706" s="736"/>
      <c r="O706" s="736"/>
    </row>
    <row r="707">
      <c r="A707" s="951" t="s">
        <v>322</v>
      </c>
      <c r="B707" s="952" t="s">
        <v>56</v>
      </c>
      <c r="C707" s="953">
        <v>42349.0</v>
      </c>
      <c r="D707" s="954" t="s">
        <v>90</v>
      </c>
      <c r="E707" s="948" t="s">
        <v>63</v>
      </c>
      <c r="F707" s="954" t="s">
        <v>65</v>
      </c>
      <c r="G707" s="954" t="s">
        <v>65</v>
      </c>
      <c r="H707" s="954" t="s">
        <v>64</v>
      </c>
      <c r="I707" s="955">
        <v>0.9</v>
      </c>
      <c r="J707" s="948">
        <v>235.0</v>
      </c>
      <c r="K707" s="949">
        <v>-1.908502319444283E-4</v>
      </c>
      <c r="L707" s="950" t="str">
        <f t="shared" si="1"/>
        <v>yes</v>
      </c>
      <c r="M707" s="736"/>
      <c r="N707" s="736"/>
      <c r="O707" s="736"/>
    </row>
    <row r="708">
      <c r="A708" s="951" t="s">
        <v>1647</v>
      </c>
      <c r="B708" s="952" t="s">
        <v>60</v>
      </c>
      <c r="C708" s="953">
        <v>42348.0</v>
      </c>
      <c r="D708" s="954" t="s">
        <v>79</v>
      </c>
      <c r="E708" s="948" t="s">
        <v>63</v>
      </c>
      <c r="F708" s="954" t="s">
        <v>80</v>
      </c>
      <c r="G708" s="954" t="s">
        <v>64</v>
      </c>
      <c r="H708" s="954" t="s">
        <v>69</v>
      </c>
      <c r="I708" s="955">
        <v>0.9</v>
      </c>
      <c r="J708" s="948">
        <v>226.0</v>
      </c>
      <c r="K708" s="949">
        <v>-0.013668850906659369</v>
      </c>
      <c r="L708" s="950" t="str">
        <f t="shared" si="1"/>
        <v/>
      </c>
      <c r="M708" s="736"/>
      <c r="N708" s="736"/>
      <c r="O708" s="736"/>
    </row>
    <row r="709">
      <c r="A709" s="951" t="s">
        <v>147</v>
      </c>
      <c r="B709" s="952" t="s">
        <v>60</v>
      </c>
      <c r="C709" s="953">
        <v>42348.0</v>
      </c>
      <c r="D709" s="954" t="s">
        <v>79</v>
      </c>
      <c r="E709" s="948" t="s">
        <v>63</v>
      </c>
      <c r="F709" s="954" t="s">
        <v>67</v>
      </c>
      <c r="G709" s="954" t="s">
        <v>64</v>
      </c>
      <c r="H709" s="954" t="s">
        <v>64</v>
      </c>
      <c r="I709" s="955">
        <v>0.8</v>
      </c>
      <c r="J709" s="948">
        <v>233.0</v>
      </c>
      <c r="K709" s="949">
        <v>-0.014632647980073243</v>
      </c>
      <c r="L709" s="950" t="str">
        <f t="shared" si="1"/>
        <v/>
      </c>
      <c r="M709" s="736"/>
      <c r="N709" s="736"/>
      <c r="O709" s="736"/>
    </row>
    <row r="710">
      <c r="A710" s="951" t="s">
        <v>541</v>
      </c>
      <c r="B710" s="952" t="s">
        <v>60</v>
      </c>
      <c r="C710" s="953">
        <v>42348.0</v>
      </c>
      <c r="D710" s="954" t="s">
        <v>57</v>
      </c>
      <c r="E710" s="948" t="s">
        <v>63</v>
      </c>
      <c r="F710" s="954" t="s">
        <v>69</v>
      </c>
      <c r="G710" s="954" t="s">
        <v>67</v>
      </c>
      <c r="H710" s="954" t="s">
        <v>66</v>
      </c>
      <c r="I710" s="955">
        <v>0.9</v>
      </c>
      <c r="J710" s="948">
        <v>224.0</v>
      </c>
      <c r="K710" s="949">
        <v>-0.04384610150860302</v>
      </c>
      <c r="L710" s="950" t="str">
        <f t="shared" si="1"/>
        <v/>
      </c>
      <c r="M710" s="736"/>
      <c r="N710" s="736"/>
      <c r="O710" s="736"/>
    </row>
    <row r="711">
      <c r="A711" s="951" t="s">
        <v>407</v>
      </c>
      <c r="B711" s="952" t="s">
        <v>56</v>
      </c>
      <c r="C711" s="953">
        <v>42348.0</v>
      </c>
      <c r="D711" s="954" t="s">
        <v>316</v>
      </c>
      <c r="E711" s="948" t="s">
        <v>63</v>
      </c>
      <c r="F711" s="954" t="s">
        <v>69</v>
      </c>
      <c r="G711" s="954" t="s">
        <v>69</v>
      </c>
      <c r="H711" s="954" t="s">
        <v>66</v>
      </c>
      <c r="I711" s="955">
        <v>0.6</v>
      </c>
      <c r="J711" s="948">
        <v>197.0</v>
      </c>
      <c r="K711" s="949">
        <v>-0.002522357357782057</v>
      </c>
      <c r="L711" s="950" t="str">
        <f t="shared" si="1"/>
        <v/>
      </c>
      <c r="M711" s="736"/>
      <c r="N711" s="736"/>
      <c r="O711" s="736"/>
    </row>
    <row r="712">
      <c r="A712" s="951" t="s">
        <v>418</v>
      </c>
      <c r="B712" s="952" t="s">
        <v>56</v>
      </c>
      <c r="C712" s="953">
        <v>42348.0</v>
      </c>
      <c r="D712" s="954" t="s">
        <v>57</v>
      </c>
      <c r="E712" s="948" t="s">
        <v>63</v>
      </c>
      <c r="F712" s="954" t="s">
        <v>64</v>
      </c>
      <c r="G712" s="954" t="s">
        <v>66</v>
      </c>
      <c r="H712" s="954" t="s">
        <v>64</v>
      </c>
      <c r="I712" s="955">
        <v>0.8</v>
      </c>
      <c r="J712" s="948">
        <v>206.0</v>
      </c>
      <c r="K712" s="949">
        <v>0.018399808844804855</v>
      </c>
      <c r="L712" s="950" t="str">
        <f t="shared" si="1"/>
        <v>yes</v>
      </c>
      <c r="M712" s="736"/>
      <c r="N712" s="736"/>
      <c r="O712" s="736"/>
    </row>
    <row r="713">
      <c r="A713" s="951" t="s">
        <v>314</v>
      </c>
      <c r="B713" s="952" t="s">
        <v>56</v>
      </c>
      <c r="C713" s="953">
        <v>42348.0</v>
      </c>
      <c r="D713" s="954" t="s">
        <v>316</v>
      </c>
      <c r="E713" s="948" t="s">
        <v>63</v>
      </c>
      <c r="F713" s="954"/>
      <c r="G713" s="954"/>
      <c r="H713" s="954"/>
      <c r="I713" s="955"/>
      <c r="J713" s="948">
        <v>198.0</v>
      </c>
      <c r="K713" s="949">
        <v>-0.006758353499750069</v>
      </c>
      <c r="L713" s="950" t="str">
        <f t="shared" si="1"/>
        <v>yes</v>
      </c>
      <c r="M713" s="736"/>
      <c r="N713" s="736"/>
      <c r="O713" s="736"/>
    </row>
    <row r="714">
      <c r="A714" s="951" t="s">
        <v>246</v>
      </c>
      <c r="B714" s="952" t="s">
        <v>60</v>
      </c>
      <c r="C714" s="953">
        <v>42347.0</v>
      </c>
      <c r="D714" s="954" t="s">
        <v>59</v>
      </c>
      <c r="E714" s="948" t="s">
        <v>63</v>
      </c>
      <c r="F714" s="954" t="s">
        <v>65</v>
      </c>
      <c r="G714" s="954" t="s">
        <v>69</v>
      </c>
      <c r="H714" s="954" t="s">
        <v>69</v>
      </c>
      <c r="I714" s="955">
        <v>0.9</v>
      </c>
      <c r="J714" s="948">
        <v>222.0</v>
      </c>
      <c r="K714" s="949">
        <v>-0.008204313755173498</v>
      </c>
      <c r="L714" s="950" t="str">
        <f t="shared" si="1"/>
        <v/>
      </c>
      <c r="M714" s="736"/>
      <c r="N714" s="736"/>
      <c r="O714" s="736"/>
    </row>
    <row r="715">
      <c r="A715" s="951" t="s">
        <v>186</v>
      </c>
      <c r="B715" s="952" t="s">
        <v>60</v>
      </c>
      <c r="C715" s="953">
        <v>42347.0</v>
      </c>
      <c r="D715" s="954" t="s">
        <v>79</v>
      </c>
      <c r="E715" s="948" t="s">
        <v>195</v>
      </c>
      <c r="F715" s="954" t="s">
        <v>67</v>
      </c>
      <c r="G715" s="954" t="s">
        <v>80</v>
      </c>
      <c r="H715" s="954" t="s">
        <v>64</v>
      </c>
      <c r="I715" s="955">
        <v>0.9</v>
      </c>
      <c r="J715" s="948">
        <v>232.0</v>
      </c>
      <c r="K715" s="949">
        <v>-0.014983637648250503</v>
      </c>
      <c r="L715" s="950" t="str">
        <f t="shared" si="1"/>
        <v/>
      </c>
      <c r="M715" s="736"/>
      <c r="N715" s="736"/>
      <c r="O715" s="736"/>
    </row>
    <row r="716">
      <c r="A716" s="951" t="s">
        <v>1662</v>
      </c>
      <c r="B716" s="952" t="s">
        <v>60</v>
      </c>
      <c r="C716" s="953">
        <v>42347.0</v>
      </c>
      <c r="D716" s="954" t="s">
        <v>109</v>
      </c>
      <c r="E716" s="948" t="s">
        <v>63</v>
      </c>
      <c r="F716" s="954" t="s">
        <v>64</v>
      </c>
      <c r="G716" s="954" t="s">
        <v>69</v>
      </c>
      <c r="H716" s="954" t="s">
        <v>64</v>
      </c>
      <c r="I716" s="955">
        <v>0.9</v>
      </c>
      <c r="J716" s="948">
        <v>189.0</v>
      </c>
      <c r="K716" s="949">
        <v>0.07589726976716915</v>
      </c>
      <c r="L716" s="950" t="str">
        <f t="shared" si="1"/>
        <v>yes</v>
      </c>
      <c r="M716" s="736"/>
      <c r="N716" s="736"/>
      <c r="O716" s="736"/>
    </row>
    <row r="717">
      <c r="A717" s="951" t="s">
        <v>395</v>
      </c>
      <c r="B717" s="952" t="s">
        <v>56</v>
      </c>
      <c r="C717" s="953">
        <v>42347.0</v>
      </c>
      <c r="D717" s="954" t="s">
        <v>90</v>
      </c>
      <c r="E717" s="948" t="s">
        <v>63</v>
      </c>
      <c r="F717" s="954" t="s">
        <v>69</v>
      </c>
      <c r="G717" s="954" t="s">
        <v>69</v>
      </c>
      <c r="H717" s="954" t="s">
        <v>68</v>
      </c>
      <c r="I717" s="955">
        <v>0.9</v>
      </c>
      <c r="J717" s="948">
        <v>202.0</v>
      </c>
      <c r="K717" s="949">
        <v>-0.0032654602118670217</v>
      </c>
      <c r="L717" s="950" t="str">
        <f t="shared" si="1"/>
        <v>yes</v>
      </c>
      <c r="M717" s="736"/>
      <c r="N717" s="736"/>
      <c r="O717" s="736"/>
    </row>
    <row r="718">
      <c r="A718" s="951" t="s">
        <v>400</v>
      </c>
      <c r="B718" s="952" t="s">
        <v>56</v>
      </c>
      <c r="C718" s="953">
        <v>42347.0</v>
      </c>
      <c r="D718" s="954" t="s">
        <v>59</v>
      </c>
      <c r="E718" s="948" t="s">
        <v>63</v>
      </c>
      <c r="F718" s="954" t="s">
        <v>69</v>
      </c>
      <c r="G718" s="954" t="s">
        <v>65</v>
      </c>
      <c r="H718" s="954" t="s">
        <v>66</v>
      </c>
      <c r="I718" s="955">
        <v>0.9</v>
      </c>
      <c r="J718" s="948">
        <v>190.0</v>
      </c>
      <c r="K718" s="949">
        <v>-0.012011868865693942</v>
      </c>
      <c r="L718" s="950" t="str">
        <f t="shared" si="1"/>
        <v>yes</v>
      </c>
      <c r="M718" s="736"/>
      <c r="N718" s="736"/>
      <c r="O718" s="736"/>
    </row>
    <row r="719">
      <c r="A719" s="951" t="s">
        <v>363</v>
      </c>
      <c r="B719" s="952" t="s">
        <v>56</v>
      </c>
      <c r="C719" s="953">
        <v>42347.0</v>
      </c>
      <c r="D719" s="954" t="s">
        <v>109</v>
      </c>
      <c r="E719" s="948" t="s">
        <v>63</v>
      </c>
      <c r="F719" s="954" t="s">
        <v>68</v>
      </c>
      <c r="G719" s="954" t="s">
        <v>66</v>
      </c>
      <c r="H719" s="954" t="s">
        <v>66</v>
      </c>
      <c r="I719" s="955">
        <v>0.9</v>
      </c>
      <c r="J719" s="948">
        <v>201.0</v>
      </c>
      <c r="K719" s="949">
        <v>-0.10788047040949567</v>
      </c>
      <c r="L719" s="950" t="str">
        <f t="shared" si="1"/>
        <v>yes</v>
      </c>
      <c r="M719" s="736"/>
      <c r="N719" s="736"/>
      <c r="O719" s="736"/>
    </row>
    <row r="720">
      <c r="A720" s="951" t="s">
        <v>244</v>
      </c>
      <c r="B720" s="952" t="s">
        <v>56</v>
      </c>
      <c r="C720" s="953">
        <v>42347.0</v>
      </c>
      <c r="D720" s="954" t="s">
        <v>109</v>
      </c>
      <c r="E720" s="948" t="s">
        <v>63</v>
      </c>
      <c r="F720" s="954" t="s">
        <v>67</v>
      </c>
      <c r="G720" s="954" t="s">
        <v>69</v>
      </c>
      <c r="H720" s="954" t="s">
        <v>66</v>
      </c>
      <c r="I720" s="955">
        <v>0.9</v>
      </c>
      <c r="J720" s="948">
        <v>161.0</v>
      </c>
      <c r="K720" s="949">
        <v>-0.08697834711733443</v>
      </c>
      <c r="L720" s="950" t="str">
        <f t="shared" si="1"/>
        <v>yes</v>
      </c>
      <c r="M720" s="736"/>
      <c r="N720" s="736"/>
      <c r="O720" s="736"/>
    </row>
    <row r="721">
      <c r="A721" s="951" t="s">
        <v>1611</v>
      </c>
      <c r="B721" s="952" t="s">
        <v>60</v>
      </c>
      <c r="C721" s="953">
        <v>42345.0</v>
      </c>
      <c r="D721" s="954" t="s">
        <v>79</v>
      </c>
      <c r="E721" s="948" t="s">
        <v>63</v>
      </c>
      <c r="F721" s="954" t="s">
        <v>69</v>
      </c>
      <c r="G721" s="954" t="s">
        <v>64</v>
      </c>
      <c r="H721" s="954" t="s">
        <v>68</v>
      </c>
      <c r="I721" s="955">
        <v>0.9</v>
      </c>
      <c r="J721" s="948">
        <v>199.0</v>
      </c>
      <c r="K721" s="949">
        <v>0.00869486917702711</v>
      </c>
      <c r="L721" s="950" t="str">
        <f t="shared" si="1"/>
        <v/>
      </c>
      <c r="M721" s="736"/>
      <c r="N721" s="736"/>
      <c r="O721" s="736"/>
    </row>
    <row r="722">
      <c r="A722" s="951" t="s">
        <v>221</v>
      </c>
      <c r="B722" s="952" t="s">
        <v>56</v>
      </c>
      <c r="C722" s="953">
        <v>42345.0</v>
      </c>
      <c r="D722" s="954" t="s">
        <v>86</v>
      </c>
      <c r="E722" s="948" t="s">
        <v>63</v>
      </c>
      <c r="F722" s="954" t="s">
        <v>65</v>
      </c>
      <c r="G722" s="954" t="s">
        <v>65</v>
      </c>
      <c r="H722" s="954" t="s">
        <v>68</v>
      </c>
      <c r="I722" s="955">
        <v>0.9</v>
      </c>
      <c r="J722" s="948">
        <v>201.0</v>
      </c>
      <c r="K722" s="949">
        <v>0.0050698974904361815</v>
      </c>
      <c r="L722" s="950" t="str">
        <f t="shared" si="1"/>
        <v/>
      </c>
      <c r="M722" s="736"/>
      <c r="N722" s="736"/>
      <c r="O722" s="736"/>
    </row>
    <row r="723">
      <c r="A723" s="951" t="s">
        <v>1493</v>
      </c>
      <c r="B723" s="952" t="s">
        <v>60</v>
      </c>
      <c r="C723" s="953">
        <v>42343.0</v>
      </c>
      <c r="D723" s="954" t="s">
        <v>59</v>
      </c>
      <c r="E723" s="948" t="s">
        <v>63</v>
      </c>
      <c r="F723" s="954" t="s">
        <v>65</v>
      </c>
      <c r="G723" s="954" t="s">
        <v>64</v>
      </c>
      <c r="H723" s="954" t="s">
        <v>66</v>
      </c>
      <c r="I723" s="955">
        <v>0.9</v>
      </c>
      <c r="J723" s="948">
        <v>212.0</v>
      </c>
      <c r="K723" s="949">
        <v>-0.03762661789131472</v>
      </c>
      <c r="L723" s="950" t="str">
        <f t="shared" si="1"/>
        <v/>
      </c>
      <c r="M723" s="736"/>
      <c r="N723" s="736"/>
      <c r="O723" s="736"/>
    </row>
    <row r="724">
      <c r="A724" s="951" t="s">
        <v>145</v>
      </c>
      <c r="B724" s="952" t="s">
        <v>55</v>
      </c>
      <c r="C724" s="953">
        <v>42342.0</v>
      </c>
      <c r="D724" s="954" t="s">
        <v>90</v>
      </c>
      <c r="E724" s="948" t="s">
        <v>63</v>
      </c>
      <c r="F724" s="954" t="s">
        <v>64</v>
      </c>
      <c r="G724" s="954" t="s">
        <v>64</v>
      </c>
      <c r="H724" s="954" t="s">
        <v>66</v>
      </c>
      <c r="I724" s="955">
        <v>0.9</v>
      </c>
      <c r="J724" s="948">
        <v>225.0</v>
      </c>
      <c r="K724" s="949">
        <v>0.030195492743119612</v>
      </c>
      <c r="L724" s="950" t="str">
        <f t="shared" si="1"/>
        <v>yes</v>
      </c>
      <c r="M724" s="736"/>
      <c r="N724" s="736"/>
      <c r="O724" s="736"/>
    </row>
    <row r="725">
      <c r="A725" s="951" t="s">
        <v>149</v>
      </c>
      <c r="B725" s="952" t="s">
        <v>55</v>
      </c>
      <c r="C725" s="953">
        <v>42342.0</v>
      </c>
      <c r="D725" s="954" t="s">
        <v>86</v>
      </c>
      <c r="E725" s="948" t="s">
        <v>63</v>
      </c>
      <c r="F725" s="954" t="s">
        <v>64</v>
      </c>
      <c r="G725" s="954" t="s">
        <v>64</v>
      </c>
      <c r="H725" s="954" t="s">
        <v>68</v>
      </c>
      <c r="I725" s="955">
        <v>0.9</v>
      </c>
      <c r="J725" s="948">
        <v>189.0</v>
      </c>
      <c r="K725" s="949">
        <v>-0.011983747020364532</v>
      </c>
      <c r="L725" s="950" t="str">
        <f t="shared" si="1"/>
        <v>yes</v>
      </c>
      <c r="M725" s="736"/>
      <c r="N725" s="736"/>
      <c r="O725" s="736"/>
    </row>
    <row r="726">
      <c r="A726" s="951" t="s">
        <v>1637</v>
      </c>
      <c r="B726" s="952" t="s">
        <v>60</v>
      </c>
      <c r="C726" s="953">
        <v>42341.0</v>
      </c>
      <c r="D726" s="954" t="s">
        <v>118</v>
      </c>
      <c r="E726" s="948" t="s">
        <v>63</v>
      </c>
      <c r="F726" s="954"/>
      <c r="G726" s="954"/>
      <c r="H726" s="954"/>
      <c r="I726" s="955"/>
      <c r="J726" s="948">
        <v>221.0</v>
      </c>
      <c r="K726" s="949">
        <v>0.019735451104963553</v>
      </c>
      <c r="L726" s="950" t="str">
        <f t="shared" si="1"/>
        <v/>
      </c>
      <c r="M726" s="736"/>
      <c r="N726" s="736"/>
      <c r="O726" s="736"/>
    </row>
    <row r="727">
      <c r="A727" s="951" t="s">
        <v>1623</v>
      </c>
      <c r="B727" s="952" t="s">
        <v>60</v>
      </c>
      <c r="C727" s="953">
        <v>42338.0</v>
      </c>
      <c r="D727" s="954" t="s">
        <v>59</v>
      </c>
      <c r="E727" s="948" t="s">
        <v>63</v>
      </c>
      <c r="F727" s="954" t="s">
        <v>66</v>
      </c>
      <c r="G727" s="954" t="s">
        <v>66</v>
      </c>
      <c r="H727" s="954" t="s">
        <v>68</v>
      </c>
      <c r="I727" s="955">
        <v>0.8</v>
      </c>
      <c r="J727" s="948">
        <v>223.0</v>
      </c>
      <c r="K727" s="949">
        <v>-0.01229158166733002</v>
      </c>
      <c r="L727" s="950" t="str">
        <f t="shared" si="1"/>
        <v>yes</v>
      </c>
      <c r="M727" s="736"/>
      <c r="N727" s="736"/>
      <c r="O727" s="736"/>
    </row>
    <row r="728">
      <c r="A728" s="951" t="s">
        <v>192</v>
      </c>
      <c r="B728" s="952" t="s">
        <v>60</v>
      </c>
      <c r="C728" s="953">
        <v>42338.0</v>
      </c>
      <c r="D728" s="954" t="s">
        <v>79</v>
      </c>
      <c r="E728" s="948" t="s">
        <v>195</v>
      </c>
      <c r="F728" s="954" t="s">
        <v>64</v>
      </c>
      <c r="G728" s="954" t="s">
        <v>69</v>
      </c>
      <c r="H728" s="954" t="s">
        <v>69</v>
      </c>
      <c r="I728" s="955">
        <v>0.8</v>
      </c>
      <c r="J728" s="948">
        <v>246.0</v>
      </c>
      <c r="K728" s="949">
        <v>-0.00999896622085339</v>
      </c>
      <c r="L728" s="950" t="str">
        <f t="shared" si="1"/>
        <v>yes</v>
      </c>
      <c r="M728" s="736"/>
      <c r="N728" s="736"/>
      <c r="O728" s="736"/>
    </row>
    <row r="729">
      <c r="A729" s="951" t="s">
        <v>339</v>
      </c>
      <c r="B729" s="952" t="s">
        <v>60</v>
      </c>
      <c r="C729" s="953">
        <v>42338.0</v>
      </c>
      <c r="D729" s="954" t="s">
        <v>59</v>
      </c>
      <c r="E729" s="948" t="s">
        <v>63</v>
      </c>
      <c r="F729" s="954" t="s">
        <v>69</v>
      </c>
      <c r="G729" s="954" t="s">
        <v>64</v>
      </c>
      <c r="H729" s="954" t="s">
        <v>68</v>
      </c>
      <c r="I729" s="955">
        <v>0.8</v>
      </c>
      <c r="J729" s="948">
        <v>258.0</v>
      </c>
      <c r="K729" s="949">
        <v>-0.01565314474137325</v>
      </c>
      <c r="L729" s="950" t="str">
        <f t="shared" si="1"/>
        <v/>
      </c>
      <c r="M729" s="736"/>
      <c r="N729" s="736"/>
      <c r="O729" s="736"/>
    </row>
    <row r="730">
      <c r="A730" s="951" t="s">
        <v>78</v>
      </c>
      <c r="B730" s="952" t="s">
        <v>56</v>
      </c>
      <c r="C730" s="953">
        <v>42338.0</v>
      </c>
      <c r="D730" s="954" t="s">
        <v>79</v>
      </c>
      <c r="E730" s="948" t="s">
        <v>63</v>
      </c>
      <c r="F730" s="954" t="s">
        <v>67</v>
      </c>
      <c r="G730" s="954" t="s">
        <v>69</v>
      </c>
      <c r="H730" s="954" t="s">
        <v>66</v>
      </c>
      <c r="I730" s="955">
        <v>0.9</v>
      </c>
      <c r="J730" s="948">
        <v>188.0</v>
      </c>
      <c r="K730" s="949">
        <v>-0.0016570913562422573</v>
      </c>
      <c r="L730" s="950" t="str">
        <f t="shared" si="1"/>
        <v/>
      </c>
      <c r="M730" s="736"/>
      <c r="N730" s="736"/>
      <c r="O730" s="736"/>
    </row>
    <row r="731">
      <c r="A731" s="951" t="s">
        <v>1666</v>
      </c>
      <c r="B731" s="952" t="s">
        <v>60</v>
      </c>
      <c r="C731" s="953">
        <v>42337.0</v>
      </c>
      <c r="D731" s="954" t="s">
        <v>86</v>
      </c>
      <c r="E731" s="948" t="s">
        <v>63</v>
      </c>
      <c r="F731" s="954" t="s">
        <v>69</v>
      </c>
      <c r="G731" s="954" t="s">
        <v>69</v>
      </c>
      <c r="H731" s="954" t="s">
        <v>69</v>
      </c>
      <c r="I731" s="955">
        <v>0.7</v>
      </c>
      <c r="J731" s="948">
        <v>209.0</v>
      </c>
      <c r="K731" s="949">
        <v>-0.028006903722102905</v>
      </c>
      <c r="L731" s="950" t="str">
        <f t="shared" si="1"/>
        <v>yes</v>
      </c>
      <c r="M731" s="736"/>
      <c r="N731" s="736"/>
      <c r="O731" s="736"/>
    </row>
    <row r="732">
      <c r="A732" s="951" t="s">
        <v>161</v>
      </c>
      <c r="B732" s="952" t="s">
        <v>56</v>
      </c>
      <c r="C732" s="953">
        <v>42337.0</v>
      </c>
      <c r="D732" s="954" t="s">
        <v>59</v>
      </c>
      <c r="E732" s="948" t="s">
        <v>63</v>
      </c>
      <c r="F732" s="954" t="s">
        <v>64</v>
      </c>
      <c r="G732" s="954" t="s">
        <v>69</v>
      </c>
      <c r="H732" s="954" t="s">
        <v>69</v>
      </c>
      <c r="I732" s="955">
        <v>0.9</v>
      </c>
      <c r="J732" s="948">
        <v>185.0</v>
      </c>
      <c r="K732" s="949">
        <v>-0.011607955934169079</v>
      </c>
      <c r="L732" s="950" t="str">
        <f t="shared" si="1"/>
        <v/>
      </c>
      <c r="M732" s="736"/>
      <c r="N732" s="736"/>
      <c r="O732" s="736"/>
    </row>
    <row r="733">
      <c r="A733" s="951" t="s">
        <v>1617</v>
      </c>
      <c r="B733" s="952" t="s">
        <v>60</v>
      </c>
      <c r="C733" s="953">
        <v>42332.0</v>
      </c>
      <c r="D733" s="954" t="s">
        <v>59</v>
      </c>
      <c r="E733" s="948" t="s">
        <v>63</v>
      </c>
      <c r="F733" s="954" t="s">
        <v>69</v>
      </c>
      <c r="G733" s="954" t="s">
        <v>69</v>
      </c>
      <c r="H733" s="954" t="s">
        <v>69</v>
      </c>
      <c r="I733" s="955">
        <v>0.8</v>
      </c>
      <c r="J733" s="948">
        <v>246.0</v>
      </c>
      <c r="K733" s="949">
        <v>-0.015653028155547144</v>
      </c>
      <c r="L733" s="950" t="str">
        <f t="shared" si="1"/>
        <v/>
      </c>
      <c r="M733" s="736"/>
      <c r="N733" s="736"/>
      <c r="O733" s="736"/>
    </row>
    <row r="734">
      <c r="A734" s="951" t="s">
        <v>1633</v>
      </c>
      <c r="B734" s="952" t="s">
        <v>60</v>
      </c>
      <c r="C734" s="953">
        <v>42332.0</v>
      </c>
      <c r="D734" s="954" t="s">
        <v>86</v>
      </c>
      <c r="E734" s="948" t="s">
        <v>63</v>
      </c>
      <c r="F734" s="954" t="s">
        <v>64</v>
      </c>
      <c r="G734" s="954" t="s">
        <v>65</v>
      </c>
      <c r="H734" s="954" t="s">
        <v>68</v>
      </c>
      <c r="I734" s="955">
        <v>0.9</v>
      </c>
      <c r="J734" s="948">
        <v>210.0</v>
      </c>
      <c r="K734" s="949">
        <v>-0.010875623824966985</v>
      </c>
      <c r="L734" s="950" t="str">
        <f t="shared" si="1"/>
        <v>yes</v>
      </c>
      <c r="M734" s="736"/>
      <c r="N734" s="736"/>
      <c r="O734" s="736"/>
    </row>
    <row r="735">
      <c r="A735" s="951" t="s">
        <v>623</v>
      </c>
      <c r="B735" s="952" t="s">
        <v>60</v>
      </c>
      <c r="C735" s="953">
        <v>42331.0</v>
      </c>
      <c r="D735" s="954" t="s">
        <v>59</v>
      </c>
      <c r="E735" s="948" t="s">
        <v>63</v>
      </c>
      <c r="F735" s="954" t="s">
        <v>65</v>
      </c>
      <c r="G735" s="954" t="s">
        <v>64</v>
      </c>
      <c r="H735" s="954" t="s">
        <v>69</v>
      </c>
      <c r="I735" s="955">
        <v>0.9</v>
      </c>
      <c r="J735" s="948">
        <v>185.0</v>
      </c>
      <c r="K735" s="949">
        <v>-0.031039026175784024</v>
      </c>
      <c r="L735" s="950" t="str">
        <f t="shared" si="1"/>
        <v/>
      </c>
      <c r="M735" s="736"/>
      <c r="N735" s="736"/>
      <c r="O735" s="736"/>
    </row>
    <row r="736">
      <c r="A736" s="951" t="s">
        <v>384</v>
      </c>
      <c r="B736" s="952" t="s">
        <v>56</v>
      </c>
      <c r="C736" s="953">
        <v>42328.0</v>
      </c>
      <c r="D736" s="954" t="s">
        <v>316</v>
      </c>
      <c r="E736" s="948" t="s">
        <v>63</v>
      </c>
      <c r="F736" s="954" t="s">
        <v>69</v>
      </c>
      <c r="G736" s="954" t="s">
        <v>66</v>
      </c>
      <c r="H736" s="954" t="s">
        <v>68</v>
      </c>
      <c r="I736" s="955">
        <v>0.9</v>
      </c>
      <c r="J736" s="948">
        <v>208.0</v>
      </c>
      <c r="K736" s="949">
        <v>-6.136001603711527E-4</v>
      </c>
      <c r="L736" s="950" t="str">
        <f t="shared" si="1"/>
        <v>yes</v>
      </c>
      <c r="M736" s="736"/>
      <c r="N736" s="736"/>
      <c r="O736" s="736"/>
    </row>
    <row r="737">
      <c r="A737" s="951" t="s">
        <v>428</v>
      </c>
      <c r="B737" s="952" t="s">
        <v>56</v>
      </c>
      <c r="C737" s="953">
        <v>42328.0</v>
      </c>
      <c r="D737" s="954" t="s">
        <v>86</v>
      </c>
      <c r="E737" s="948" t="s">
        <v>63</v>
      </c>
      <c r="F737" s="954"/>
      <c r="G737" s="954"/>
      <c r="H737" s="954"/>
      <c r="I737" s="955"/>
      <c r="J737" s="948">
        <v>208.0</v>
      </c>
      <c r="K737" s="949">
        <v>-0.008850887842546618</v>
      </c>
      <c r="L737" s="950" t="str">
        <f t="shared" si="1"/>
        <v/>
      </c>
      <c r="M737" s="736"/>
      <c r="N737" s="736"/>
      <c r="O737" s="736"/>
    </row>
    <row r="738">
      <c r="A738" s="951" t="s">
        <v>450</v>
      </c>
      <c r="B738" s="952" t="s">
        <v>56</v>
      </c>
      <c r="C738" s="953">
        <v>42326.0</v>
      </c>
      <c r="D738" s="954" t="s">
        <v>59</v>
      </c>
      <c r="E738" s="948" t="s">
        <v>63</v>
      </c>
      <c r="F738" s="954" t="s">
        <v>69</v>
      </c>
      <c r="G738" s="954" t="s">
        <v>69</v>
      </c>
      <c r="H738" s="954" t="s">
        <v>68</v>
      </c>
      <c r="I738" s="955">
        <v>0.8</v>
      </c>
      <c r="J738" s="948">
        <v>196.0</v>
      </c>
      <c r="K738" s="949">
        <v>-0.028240300235479854</v>
      </c>
      <c r="L738" s="950" t="str">
        <f t="shared" si="1"/>
        <v>yes</v>
      </c>
      <c r="M738" s="736"/>
      <c r="N738" s="736"/>
      <c r="O738" s="736"/>
    </row>
    <row r="739">
      <c r="A739" s="951" t="s">
        <v>1454</v>
      </c>
      <c r="B739" s="952" t="s">
        <v>60</v>
      </c>
      <c r="C739" s="953">
        <v>42324.0</v>
      </c>
      <c r="D739" s="954" t="s">
        <v>118</v>
      </c>
      <c r="E739" s="948" t="s">
        <v>63</v>
      </c>
      <c r="F739" s="954" t="s">
        <v>65</v>
      </c>
      <c r="G739" s="954" t="s">
        <v>64</v>
      </c>
      <c r="H739" s="954" t="s">
        <v>68</v>
      </c>
      <c r="I739" s="955">
        <v>0.9</v>
      </c>
      <c r="J739" s="948">
        <v>205.0</v>
      </c>
      <c r="K739" s="949">
        <v>-0.02085982671464026</v>
      </c>
      <c r="L739" s="950" t="str">
        <f t="shared" si="1"/>
        <v/>
      </c>
      <c r="M739" s="736"/>
      <c r="N739" s="736"/>
      <c r="O739" s="736"/>
    </row>
    <row r="740">
      <c r="A740" s="951" t="s">
        <v>378</v>
      </c>
      <c r="B740" s="952" t="s">
        <v>56</v>
      </c>
      <c r="C740" s="953">
        <v>42322.0</v>
      </c>
      <c r="D740" s="954" t="s">
        <v>59</v>
      </c>
      <c r="E740" s="948" t="s">
        <v>195</v>
      </c>
      <c r="F740" s="954" t="s">
        <v>69</v>
      </c>
      <c r="G740" s="954" t="s">
        <v>69</v>
      </c>
      <c r="H740" s="954" t="s">
        <v>68</v>
      </c>
      <c r="I740" s="955">
        <v>0.9</v>
      </c>
      <c r="J740" s="948">
        <v>204.0</v>
      </c>
      <c r="K740" s="949">
        <v>-0.009210928739029733</v>
      </c>
      <c r="L740" s="950" t="str">
        <f t="shared" si="1"/>
        <v>yes</v>
      </c>
      <c r="M740" s="736"/>
      <c r="N740" s="736"/>
      <c r="O740" s="736"/>
    </row>
    <row r="741">
      <c r="A741" s="951" t="s">
        <v>361</v>
      </c>
      <c r="B741" s="952" t="s">
        <v>60</v>
      </c>
      <c r="C741" s="953">
        <v>42321.0</v>
      </c>
      <c r="D741" s="954" t="s">
        <v>59</v>
      </c>
      <c r="E741" s="948" t="s">
        <v>63</v>
      </c>
      <c r="F741" s="954" t="s">
        <v>69</v>
      </c>
      <c r="G741" s="954" t="s">
        <v>69</v>
      </c>
      <c r="H741" s="954" t="s">
        <v>69</v>
      </c>
      <c r="I741" s="955">
        <v>0.7</v>
      </c>
      <c r="J741" s="948">
        <v>228.0</v>
      </c>
      <c r="K741" s="949">
        <v>-0.032126855743609184</v>
      </c>
      <c r="L741" s="950" t="str">
        <f t="shared" si="1"/>
        <v/>
      </c>
      <c r="M741" s="736"/>
      <c r="N741" s="736"/>
      <c r="O741" s="736"/>
    </row>
    <row r="742">
      <c r="A742" s="951" t="s">
        <v>155</v>
      </c>
      <c r="B742" s="952" t="s">
        <v>60</v>
      </c>
      <c r="C742" s="953">
        <v>42320.0</v>
      </c>
      <c r="D742" s="954" t="s">
        <v>109</v>
      </c>
      <c r="E742" s="948" t="s">
        <v>63</v>
      </c>
      <c r="F742" s="954" t="s">
        <v>80</v>
      </c>
      <c r="G742" s="954" t="s">
        <v>67</v>
      </c>
      <c r="H742" s="954" t="s">
        <v>69</v>
      </c>
      <c r="I742" s="955">
        <v>0.8</v>
      </c>
      <c r="J742" s="948">
        <v>208.0</v>
      </c>
      <c r="K742" s="949">
        <v>0.06111506632400299</v>
      </c>
      <c r="L742" s="950" t="str">
        <f t="shared" si="1"/>
        <v>yes</v>
      </c>
      <c r="M742" s="736"/>
      <c r="N742" s="736"/>
      <c r="O742" s="736"/>
    </row>
    <row r="743">
      <c r="A743" s="951" t="s">
        <v>1602</v>
      </c>
      <c r="B743" s="952" t="s">
        <v>60</v>
      </c>
      <c r="C743" s="953">
        <v>42320.0</v>
      </c>
      <c r="D743" s="954" t="s">
        <v>59</v>
      </c>
      <c r="E743" s="948" t="s">
        <v>63</v>
      </c>
      <c r="F743" s="954" t="s">
        <v>67</v>
      </c>
      <c r="G743" s="954" t="s">
        <v>64</v>
      </c>
      <c r="H743" s="954" t="s">
        <v>66</v>
      </c>
      <c r="I743" s="955">
        <v>0.8</v>
      </c>
      <c r="J743" s="948">
        <v>209.0</v>
      </c>
      <c r="K743" s="949">
        <v>0.0012149845325734043</v>
      </c>
      <c r="L743" s="950" t="str">
        <f t="shared" si="1"/>
        <v>yes</v>
      </c>
      <c r="M743" s="736"/>
      <c r="N743" s="736"/>
      <c r="O743" s="736"/>
    </row>
    <row r="744">
      <c r="A744" s="951" t="s">
        <v>192</v>
      </c>
      <c r="B744" s="952" t="s">
        <v>60</v>
      </c>
      <c r="C744" s="953">
        <v>42320.0</v>
      </c>
      <c r="D744" s="954" t="s">
        <v>79</v>
      </c>
      <c r="E744" s="948" t="s">
        <v>195</v>
      </c>
      <c r="F744" s="954" t="s">
        <v>69</v>
      </c>
      <c r="G744" s="954" t="s">
        <v>69</v>
      </c>
      <c r="H744" s="954" t="s">
        <v>66</v>
      </c>
      <c r="I744" s="955">
        <v>0.8</v>
      </c>
      <c r="J744" s="948">
        <v>244.0</v>
      </c>
      <c r="K744" s="949">
        <v>-0.01625726461270316</v>
      </c>
      <c r="L744" s="950" t="str">
        <f t="shared" si="1"/>
        <v/>
      </c>
      <c r="M744" s="736"/>
      <c r="N744" s="736"/>
      <c r="O744" s="736"/>
    </row>
    <row r="745">
      <c r="A745" s="951" t="s">
        <v>1607</v>
      </c>
      <c r="B745" s="952" t="s">
        <v>60</v>
      </c>
      <c r="C745" s="953">
        <v>42320.0</v>
      </c>
      <c r="D745" s="954" t="s">
        <v>79</v>
      </c>
      <c r="E745" s="948" t="s">
        <v>63</v>
      </c>
      <c r="F745" s="954" t="s">
        <v>69</v>
      </c>
      <c r="G745" s="954" t="s">
        <v>69</v>
      </c>
      <c r="H745" s="954" t="s">
        <v>69</v>
      </c>
      <c r="I745" s="955">
        <v>0.8</v>
      </c>
      <c r="J745" s="948">
        <v>245.0</v>
      </c>
      <c r="K745" s="949">
        <v>-0.009649861767753065</v>
      </c>
      <c r="L745" s="950" t="str">
        <f t="shared" si="1"/>
        <v/>
      </c>
      <c r="M745" s="736"/>
      <c r="N745" s="736"/>
      <c r="O745" s="736"/>
    </row>
    <row r="746">
      <c r="A746" s="951" t="s">
        <v>246</v>
      </c>
      <c r="B746" s="952" t="s">
        <v>60</v>
      </c>
      <c r="C746" s="953">
        <v>42320.0</v>
      </c>
      <c r="D746" s="954" t="s">
        <v>59</v>
      </c>
      <c r="E746" s="948" t="s">
        <v>63</v>
      </c>
      <c r="F746" s="954" t="s">
        <v>65</v>
      </c>
      <c r="G746" s="954" t="s">
        <v>69</v>
      </c>
      <c r="H746" s="954" t="s">
        <v>66</v>
      </c>
      <c r="I746" s="955">
        <v>0.9</v>
      </c>
      <c r="J746" s="948">
        <v>223.0</v>
      </c>
      <c r="K746" s="949">
        <v>-0.057698022008920935</v>
      </c>
      <c r="L746" s="950" t="str">
        <f t="shared" si="1"/>
        <v/>
      </c>
      <c r="M746" s="736"/>
      <c r="N746" s="736"/>
      <c r="O746" s="736"/>
    </row>
    <row r="747">
      <c r="A747" s="951" t="s">
        <v>212</v>
      </c>
      <c r="B747" s="952" t="s">
        <v>60</v>
      </c>
      <c r="C747" s="953">
        <v>42319.0</v>
      </c>
      <c r="D747" s="954" t="s">
        <v>59</v>
      </c>
      <c r="E747" s="948" t="s">
        <v>195</v>
      </c>
      <c r="F747" s="954" t="s">
        <v>64</v>
      </c>
      <c r="G747" s="954" t="s">
        <v>69</v>
      </c>
      <c r="H747" s="954" t="s">
        <v>66</v>
      </c>
      <c r="I747" s="955">
        <v>0.9</v>
      </c>
      <c r="J747" s="948">
        <v>211.0</v>
      </c>
      <c r="K747" s="949">
        <v>-9.524822414032075E-4</v>
      </c>
      <c r="L747" s="950" t="str">
        <f t="shared" si="1"/>
        <v/>
      </c>
      <c r="M747" s="736"/>
      <c r="N747" s="736"/>
      <c r="O747" s="736"/>
    </row>
    <row r="748">
      <c r="A748" s="951" t="s">
        <v>640</v>
      </c>
      <c r="B748" s="952" t="s">
        <v>60</v>
      </c>
      <c r="C748" s="953">
        <v>42319.0</v>
      </c>
      <c r="D748" s="954" t="s">
        <v>59</v>
      </c>
      <c r="E748" s="948" t="s">
        <v>63</v>
      </c>
      <c r="F748" s="954" t="s">
        <v>80</v>
      </c>
      <c r="G748" s="954" t="s">
        <v>64</v>
      </c>
      <c r="H748" s="954" t="s">
        <v>64</v>
      </c>
      <c r="I748" s="955">
        <v>0.9</v>
      </c>
      <c r="J748" s="948">
        <v>218.0</v>
      </c>
      <c r="K748" s="949">
        <v>-0.005011707613719052</v>
      </c>
      <c r="L748" s="950" t="str">
        <f t="shared" si="1"/>
        <v/>
      </c>
      <c r="M748" s="736"/>
      <c r="N748" s="736"/>
      <c r="O748" s="736"/>
    </row>
    <row r="749">
      <c r="A749" s="951" t="s">
        <v>1611</v>
      </c>
      <c r="B749" s="952" t="s">
        <v>60</v>
      </c>
      <c r="C749" s="953">
        <v>42319.0</v>
      </c>
      <c r="D749" s="954" t="s">
        <v>79</v>
      </c>
      <c r="E749" s="948" t="s">
        <v>63</v>
      </c>
      <c r="F749" s="954" t="s">
        <v>69</v>
      </c>
      <c r="G749" s="954" t="s">
        <v>64</v>
      </c>
      <c r="H749" s="954" t="s">
        <v>68</v>
      </c>
      <c r="I749" s="955">
        <v>0.9</v>
      </c>
      <c r="J749" s="948">
        <v>198.0</v>
      </c>
      <c r="K749" s="949">
        <v>0.01546929889380766</v>
      </c>
      <c r="L749" s="950" t="str">
        <f t="shared" si="1"/>
        <v/>
      </c>
      <c r="M749" s="736"/>
      <c r="N749" s="736"/>
      <c r="O749" s="736"/>
    </row>
    <row r="750">
      <c r="A750" s="951" t="s">
        <v>154</v>
      </c>
      <c r="B750" s="952" t="s">
        <v>55</v>
      </c>
      <c r="C750" s="953">
        <v>42319.0</v>
      </c>
      <c r="D750" s="954" t="s">
        <v>59</v>
      </c>
      <c r="E750" s="948" t="s">
        <v>63</v>
      </c>
      <c r="F750" s="954" t="s">
        <v>65</v>
      </c>
      <c r="G750" s="954" t="s">
        <v>65</v>
      </c>
      <c r="H750" s="954" t="s">
        <v>69</v>
      </c>
      <c r="I750" s="955">
        <v>0.9</v>
      </c>
      <c r="J750" s="948">
        <v>220.0</v>
      </c>
      <c r="K750" s="949">
        <v>0.008140270743707267</v>
      </c>
      <c r="L750" s="950" t="str">
        <f t="shared" si="1"/>
        <v>yes</v>
      </c>
      <c r="M750" s="736"/>
      <c r="N750" s="736"/>
      <c r="O750" s="736"/>
    </row>
    <row r="751">
      <c r="A751" s="951" t="s">
        <v>1593</v>
      </c>
      <c r="B751" s="952" t="s">
        <v>60</v>
      </c>
      <c r="C751" s="953">
        <v>42318.0</v>
      </c>
      <c r="D751" s="954" t="s">
        <v>59</v>
      </c>
      <c r="E751" s="948" t="s">
        <v>63</v>
      </c>
      <c r="F751" s="954" t="s">
        <v>69</v>
      </c>
      <c r="G751" s="954" t="s">
        <v>69</v>
      </c>
      <c r="H751" s="954" t="s">
        <v>66</v>
      </c>
      <c r="I751" s="955">
        <v>0.8</v>
      </c>
      <c r="J751" s="948">
        <v>230.0</v>
      </c>
      <c r="K751" s="949">
        <v>0.019735868660730183</v>
      </c>
      <c r="L751" s="950" t="str">
        <f t="shared" si="1"/>
        <v>yes</v>
      </c>
      <c r="M751" s="736"/>
      <c r="N751" s="736"/>
      <c r="O751" s="736"/>
    </row>
    <row r="752">
      <c r="A752" s="951" t="s">
        <v>1637</v>
      </c>
      <c r="B752" s="952" t="s">
        <v>60</v>
      </c>
      <c r="C752" s="953">
        <v>42318.0</v>
      </c>
      <c r="D752" s="954" t="s">
        <v>118</v>
      </c>
      <c r="E752" s="948" t="s">
        <v>63</v>
      </c>
      <c r="F752" s="954" t="s">
        <v>80</v>
      </c>
      <c r="G752" s="954" t="s">
        <v>64</v>
      </c>
      <c r="H752" s="954" t="s">
        <v>68</v>
      </c>
      <c r="I752" s="955">
        <v>0.9</v>
      </c>
      <c r="J752" s="948">
        <v>223.0</v>
      </c>
      <c r="K752" s="949">
        <v>0.029406872963126385</v>
      </c>
      <c r="L752" s="950" t="str">
        <f t="shared" si="1"/>
        <v/>
      </c>
      <c r="M752" s="736"/>
      <c r="N752" s="736"/>
      <c r="O752" s="736"/>
    </row>
    <row r="753">
      <c r="A753" s="951" t="s">
        <v>1588</v>
      </c>
      <c r="B753" s="952" t="s">
        <v>60</v>
      </c>
      <c r="C753" s="953">
        <v>42317.0</v>
      </c>
      <c r="D753" s="954" t="s">
        <v>86</v>
      </c>
      <c r="E753" s="948" t="s">
        <v>63</v>
      </c>
      <c r="F753" s="954" t="s">
        <v>65</v>
      </c>
      <c r="G753" s="954" t="s">
        <v>69</v>
      </c>
      <c r="H753" s="954" t="s">
        <v>68</v>
      </c>
      <c r="I753" s="955">
        <v>0.8</v>
      </c>
      <c r="J753" s="948">
        <v>206.0</v>
      </c>
      <c r="K753" s="949">
        <v>-0.03843307968283338</v>
      </c>
      <c r="L753" s="950" t="str">
        <f t="shared" si="1"/>
        <v>yes</v>
      </c>
      <c r="M753" s="736"/>
      <c r="N753" s="736"/>
      <c r="O753" s="736"/>
    </row>
    <row r="754">
      <c r="A754" s="951" t="s">
        <v>286</v>
      </c>
      <c r="B754" s="952" t="s">
        <v>56</v>
      </c>
      <c r="C754" s="953">
        <v>42317.0</v>
      </c>
      <c r="D754" s="954" t="s">
        <v>79</v>
      </c>
      <c r="E754" s="948" t="s">
        <v>63</v>
      </c>
      <c r="F754" s="954" t="s">
        <v>64</v>
      </c>
      <c r="G754" s="954" t="s">
        <v>69</v>
      </c>
      <c r="H754" s="954" t="s">
        <v>69</v>
      </c>
      <c r="I754" s="955">
        <v>0.8</v>
      </c>
      <c r="J754" s="948">
        <v>221.0</v>
      </c>
      <c r="K754" s="949">
        <v>0.012043120159419773</v>
      </c>
      <c r="L754" s="950" t="str">
        <f t="shared" si="1"/>
        <v>yes</v>
      </c>
      <c r="M754" s="736"/>
      <c r="N754" s="736"/>
      <c r="O754" s="736"/>
    </row>
    <row r="755">
      <c r="A755" s="951" t="s">
        <v>1581</v>
      </c>
      <c r="B755" s="952" t="s">
        <v>60</v>
      </c>
      <c r="C755" s="953">
        <v>42316.0</v>
      </c>
      <c r="D755" s="954" t="s">
        <v>79</v>
      </c>
      <c r="E755" s="948" t="s">
        <v>63</v>
      </c>
      <c r="F755" s="954" t="s">
        <v>64</v>
      </c>
      <c r="G755" s="954" t="s">
        <v>64</v>
      </c>
      <c r="H755" s="954" t="s">
        <v>66</v>
      </c>
      <c r="I755" s="955">
        <v>0.9</v>
      </c>
      <c r="J755" s="948">
        <v>211.0</v>
      </c>
      <c r="K755" s="949">
        <v>-0.025077245146260863</v>
      </c>
      <c r="L755" s="950" t="str">
        <f t="shared" si="1"/>
        <v>yes</v>
      </c>
      <c r="M755" s="736"/>
      <c r="N755" s="736"/>
      <c r="O755" s="736"/>
    </row>
    <row r="756">
      <c r="A756" s="951" t="s">
        <v>445</v>
      </c>
      <c r="B756" s="952" t="s">
        <v>56</v>
      </c>
      <c r="C756" s="953">
        <v>42316.0</v>
      </c>
      <c r="D756" s="954" t="s">
        <v>90</v>
      </c>
      <c r="E756" s="948" t="s">
        <v>63</v>
      </c>
      <c r="F756" s="954" t="s">
        <v>69</v>
      </c>
      <c r="G756" s="954" t="s">
        <v>69</v>
      </c>
      <c r="H756" s="954" t="s">
        <v>68</v>
      </c>
      <c r="I756" s="955">
        <v>0.9</v>
      </c>
      <c r="J756" s="948">
        <v>205.0</v>
      </c>
      <c r="K756" s="949">
        <v>0.010024004336154246</v>
      </c>
      <c r="L756" s="950" t="str">
        <f t="shared" si="1"/>
        <v>yes</v>
      </c>
      <c r="M756" s="736"/>
      <c r="N756" s="736"/>
      <c r="O756" s="736"/>
    </row>
    <row r="757">
      <c r="A757" s="951" t="s">
        <v>138</v>
      </c>
      <c r="B757" s="952" t="s">
        <v>55</v>
      </c>
      <c r="C757" s="953">
        <v>42315.0</v>
      </c>
      <c r="D757" s="954" t="s">
        <v>86</v>
      </c>
      <c r="E757" s="948" t="s">
        <v>63</v>
      </c>
      <c r="F757" s="954" t="s">
        <v>64</v>
      </c>
      <c r="G757" s="954" t="s">
        <v>69</v>
      </c>
      <c r="H757" s="954" t="s">
        <v>68</v>
      </c>
      <c r="I757" s="955">
        <v>0.9</v>
      </c>
      <c r="J757" s="948">
        <v>209.0</v>
      </c>
      <c r="K757" s="949">
        <v>-5.750238863173607E-4</v>
      </c>
      <c r="L757" s="950" t="str">
        <f t="shared" si="1"/>
        <v/>
      </c>
      <c r="M757" s="736"/>
      <c r="N757" s="736"/>
      <c r="O757" s="736"/>
    </row>
    <row r="758">
      <c r="A758" s="951" t="s">
        <v>761</v>
      </c>
      <c r="B758" s="952" t="s">
        <v>60</v>
      </c>
      <c r="C758" s="953">
        <v>42314.0</v>
      </c>
      <c r="D758" s="954" t="s">
        <v>90</v>
      </c>
      <c r="E758" s="948" t="s">
        <v>63</v>
      </c>
      <c r="F758" s="954" t="s">
        <v>65</v>
      </c>
      <c r="G758" s="954" t="s">
        <v>64</v>
      </c>
      <c r="H758" s="954" t="s">
        <v>68</v>
      </c>
      <c r="I758" s="955">
        <v>0.7</v>
      </c>
      <c r="J758" s="948">
        <v>235.0</v>
      </c>
      <c r="K758" s="949">
        <v>-0.017511450425931163</v>
      </c>
      <c r="L758" s="950" t="str">
        <f t="shared" si="1"/>
        <v/>
      </c>
      <c r="M758" s="736"/>
      <c r="N758" s="736"/>
      <c r="O758" s="736"/>
    </row>
    <row r="759">
      <c r="A759" s="951" t="s">
        <v>761</v>
      </c>
      <c r="B759" s="952" t="s">
        <v>60</v>
      </c>
      <c r="C759" s="953">
        <v>42314.0</v>
      </c>
      <c r="D759" s="954" t="s">
        <v>90</v>
      </c>
      <c r="E759" s="948" t="s">
        <v>63</v>
      </c>
      <c r="F759" s="954" t="s">
        <v>65</v>
      </c>
      <c r="G759" s="954" t="s">
        <v>64</v>
      </c>
      <c r="H759" s="954" t="s">
        <v>68</v>
      </c>
      <c r="I759" s="955">
        <v>0.7</v>
      </c>
      <c r="J759" s="948">
        <v>235.0</v>
      </c>
      <c r="K759" s="949">
        <v>-0.014901150396266938</v>
      </c>
      <c r="L759" s="950" t="str">
        <f t="shared" si="1"/>
        <v/>
      </c>
      <c r="M759" s="736"/>
      <c r="N759" s="736"/>
      <c r="O759" s="736"/>
    </row>
    <row r="760">
      <c r="A760" s="951" t="s">
        <v>1591</v>
      </c>
      <c r="B760" s="952" t="s">
        <v>60</v>
      </c>
      <c r="C760" s="953">
        <v>42314.0</v>
      </c>
      <c r="D760" s="954" t="s">
        <v>86</v>
      </c>
      <c r="E760" s="948" t="s">
        <v>63</v>
      </c>
      <c r="F760" s="954" t="s">
        <v>64</v>
      </c>
      <c r="G760" s="954" t="s">
        <v>64</v>
      </c>
      <c r="H760" s="954" t="s">
        <v>68</v>
      </c>
      <c r="I760" s="955">
        <v>0.8</v>
      </c>
      <c r="J760" s="948">
        <v>204.0</v>
      </c>
      <c r="K760" s="949">
        <v>-0.04599289962565789</v>
      </c>
      <c r="L760" s="950" t="str">
        <f t="shared" si="1"/>
        <v>yes</v>
      </c>
      <c r="M760" s="736"/>
      <c r="N760" s="736"/>
      <c r="O760" s="736"/>
    </row>
    <row r="761">
      <c r="A761" s="951" t="s">
        <v>1336</v>
      </c>
      <c r="B761" s="952" t="s">
        <v>60</v>
      </c>
      <c r="C761" s="953">
        <v>42313.0</v>
      </c>
      <c r="D761" s="954" t="s">
        <v>59</v>
      </c>
      <c r="E761" s="948" t="s">
        <v>63</v>
      </c>
      <c r="F761" s="954" t="s">
        <v>69</v>
      </c>
      <c r="G761" s="954" t="s">
        <v>69</v>
      </c>
      <c r="H761" s="954" t="s">
        <v>66</v>
      </c>
      <c r="I761" s="955">
        <v>0.8</v>
      </c>
      <c r="J761" s="948">
        <v>204.0</v>
      </c>
      <c r="K761" s="949">
        <v>0.0015266878201463108</v>
      </c>
      <c r="L761" s="950" t="str">
        <f t="shared" si="1"/>
        <v/>
      </c>
      <c r="M761" s="736"/>
      <c r="N761" s="736"/>
      <c r="O761" s="736"/>
    </row>
    <row r="762">
      <c r="A762" s="951" t="s">
        <v>1454</v>
      </c>
      <c r="B762" s="952" t="s">
        <v>60</v>
      </c>
      <c r="C762" s="953">
        <v>42313.0</v>
      </c>
      <c r="D762" s="954" t="s">
        <v>118</v>
      </c>
      <c r="E762" s="948" t="s">
        <v>63</v>
      </c>
      <c r="F762" s="954" t="s">
        <v>65</v>
      </c>
      <c r="G762" s="954" t="s">
        <v>69</v>
      </c>
      <c r="H762" s="954" t="s">
        <v>68</v>
      </c>
      <c r="I762" s="955">
        <v>0.9</v>
      </c>
      <c r="J762" s="948">
        <v>205.0</v>
      </c>
      <c r="K762" s="949">
        <v>-0.016453880658360176</v>
      </c>
      <c r="L762" s="950" t="str">
        <f t="shared" si="1"/>
        <v/>
      </c>
      <c r="M762" s="736"/>
      <c r="N762" s="736"/>
      <c r="O762" s="736"/>
    </row>
    <row r="763">
      <c r="A763" s="951" t="s">
        <v>1584</v>
      </c>
      <c r="B763" s="952" t="s">
        <v>60</v>
      </c>
      <c r="C763" s="953">
        <v>42313.0</v>
      </c>
      <c r="D763" s="954" t="s">
        <v>59</v>
      </c>
      <c r="E763" s="948" t="s">
        <v>195</v>
      </c>
      <c r="F763" s="954" t="s">
        <v>64</v>
      </c>
      <c r="G763" s="954" t="s">
        <v>66</v>
      </c>
      <c r="H763" s="954" t="s">
        <v>68</v>
      </c>
      <c r="I763" s="955">
        <v>0.9</v>
      </c>
      <c r="J763" s="948">
        <v>216.0</v>
      </c>
      <c r="K763" s="949">
        <v>0.016959164923415093</v>
      </c>
      <c r="L763" s="950" t="str">
        <f t="shared" si="1"/>
        <v>yes</v>
      </c>
      <c r="M763" s="736"/>
      <c r="N763" s="736"/>
      <c r="O763" s="736"/>
    </row>
    <row r="764">
      <c r="A764" s="951" t="s">
        <v>143</v>
      </c>
      <c r="B764" s="952" t="s">
        <v>56</v>
      </c>
      <c r="C764" s="953">
        <v>42312.0</v>
      </c>
      <c r="D764" s="954" t="s">
        <v>59</v>
      </c>
      <c r="E764" s="948" t="s">
        <v>63</v>
      </c>
      <c r="F764" s="954" t="s">
        <v>65</v>
      </c>
      <c r="G764" s="954" t="s">
        <v>65</v>
      </c>
      <c r="H764" s="954" t="s">
        <v>66</v>
      </c>
      <c r="I764" s="955">
        <v>0.8</v>
      </c>
      <c r="J764" s="948">
        <v>198.0</v>
      </c>
      <c r="K764" s="949">
        <v>-0.003956126039941665</v>
      </c>
      <c r="L764" s="950" t="str">
        <f t="shared" si="1"/>
        <v/>
      </c>
      <c r="M764" s="736"/>
      <c r="N764" s="736"/>
      <c r="O764" s="736"/>
    </row>
    <row r="765">
      <c r="A765" s="951" t="s">
        <v>1454</v>
      </c>
      <c r="B765" s="952" t="s">
        <v>60</v>
      </c>
      <c r="C765" s="953">
        <v>42311.0</v>
      </c>
      <c r="D765" s="954" t="s">
        <v>118</v>
      </c>
      <c r="E765" s="948" t="s">
        <v>63</v>
      </c>
      <c r="F765" s="954" t="s">
        <v>65</v>
      </c>
      <c r="G765" s="954" t="s">
        <v>69</v>
      </c>
      <c r="H765" s="954" t="s">
        <v>68</v>
      </c>
      <c r="I765" s="955">
        <v>0.9</v>
      </c>
      <c r="J765" s="948">
        <v>202.0</v>
      </c>
      <c r="K765" s="949">
        <v>0.022115169563687087</v>
      </c>
      <c r="L765" s="950" t="str">
        <f t="shared" si="1"/>
        <v/>
      </c>
      <c r="M765" s="736"/>
      <c r="N765" s="736"/>
      <c r="O765" s="736"/>
    </row>
    <row r="766">
      <c r="A766" s="951" t="s">
        <v>314</v>
      </c>
      <c r="B766" s="952" t="s">
        <v>56</v>
      </c>
      <c r="C766" s="953">
        <v>42310.0</v>
      </c>
      <c r="D766" s="954" t="s">
        <v>316</v>
      </c>
      <c r="E766" s="948" t="s">
        <v>63</v>
      </c>
      <c r="F766" s="954" t="s">
        <v>127</v>
      </c>
      <c r="G766" s="954" t="s">
        <v>65</v>
      </c>
      <c r="H766" s="954" t="s">
        <v>66</v>
      </c>
      <c r="I766" s="955">
        <v>0.9</v>
      </c>
      <c r="J766" s="948">
        <v>196.0</v>
      </c>
      <c r="K766" s="949">
        <v>-0.01759606172392869</v>
      </c>
      <c r="L766" s="950" t="str">
        <f t="shared" si="1"/>
        <v/>
      </c>
      <c r="M766" s="736"/>
      <c r="N766" s="736"/>
      <c r="O766" s="736"/>
    </row>
    <row r="767">
      <c r="A767" s="951" t="s">
        <v>1458</v>
      </c>
      <c r="B767" s="952" t="s">
        <v>60</v>
      </c>
      <c r="C767" s="953">
        <v>42307.0</v>
      </c>
      <c r="D767" s="954" t="s">
        <v>79</v>
      </c>
      <c r="E767" s="948" t="s">
        <v>63</v>
      </c>
      <c r="F767" s="954" t="s">
        <v>65</v>
      </c>
      <c r="G767" s="954" t="s">
        <v>69</v>
      </c>
      <c r="H767" s="954" t="s">
        <v>69</v>
      </c>
      <c r="I767" s="955">
        <v>0.9</v>
      </c>
      <c r="J767" s="948">
        <v>200.0</v>
      </c>
      <c r="K767" s="949">
        <v>-0.009318289713398764</v>
      </c>
      <c r="L767" s="950" t="str">
        <f t="shared" si="1"/>
        <v>yes</v>
      </c>
      <c r="M767" s="736"/>
      <c r="N767" s="736"/>
      <c r="O767" s="736"/>
    </row>
    <row r="768">
      <c r="A768" s="951" t="s">
        <v>1741</v>
      </c>
      <c r="B768" s="952" t="s">
        <v>60</v>
      </c>
      <c r="C768" s="953">
        <v>42307.0</v>
      </c>
      <c r="D768" s="954" t="s">
        <v>86</v>
      </c>
      <c r="E768" s="948" t="s">
        <v>63</v>
      </c>
      <c r="F768" s="954" t="s">
        <v>65</v>
      </c>
      <c r="G768" s="954" t="s">
        <v>64</v>
      </c>
      <c r="H768" s="954" t="s">
        <v>66</v>
      </c>
      <c r="I768" s="955">
        <v>0.8</v>
      </c>
      <c r="J768" s="948">
        <v>205.0</v>
      </c>
      <c r="K768" s="949">
        <v>-0.04684160322807829</v>
      </c>
      <c r="L768" s="950" t="str">
        <f t="shared" si="1"/>
        <v/>
      </c>
      <c r="M768" s="736"/>
      <c r="N768" s="736"/>
      <c r="O768" s="736"/>
    </row>
    <row r="769">
      <c r="A769" s="951" t="s">
        <v>1554</v>
      </c>
      <c r="B769" s="952" t="s">
        <v>60</v>
      </c>
      <c r="C769" s="953">
        <v>42304.0</v>
      </c>
      <c r="D769" s="954" t="s">
        <v>79</v>
      </c>
      <c r="E769" s="948" t="s">
        <v>63</v>
      </c>
      <c r="F769" s="954" t="s">
        <v>65</v>
      </c>
      <c r="G769" s="954" t="s">
        <v>64</v>
      </c>
      <c r="H769" s="954" t="s">
        <v>68</v>
      </c>
      <c r="I769" s="955">
        <v>0.9</v>
      </c>
      <c r="J769" s="948">
        <v>224.0</v>
      </c>
      <c r="K769" s="949">
        <v>0.03274690866931562</v>
      </c>
      <c r="L769" s="950" t="str">
        <f t="shared" si="1"/>
        <v>yes</v>
      </c>
      <c r="M769" s="736"/>
      <c r="N769" s="736"/>
      <c r="O769" s="736"/>
    </row>
    <row r="770">
      <c r="A770" s="951" t="s">
        <v>92</v>
      </c>
      <c r="B770" s="952" t="s">
        <v>55</v>
      </c>
      <c r="C770" s="953">
        <v>42304.0</v>
      </c>
      <c r="D770" s="954" t="s">
        <v>59</v>
      </c>
      <c r="E770" s="948" t="s">
        <v>63</v>
      </c>
      <c r="F770" s="954" t="s">
        <v>64</v>
      </c>
      <c r="G770" s="954" t="s">
        <v>66</v>
      </c>
      <c r="H770" s="954" t="s">
        <v>68</v>
      </c>
      <c r="I770" s="955">
        <v>0.9</v>
      </c>
      <c r="J770" s="948">
        <v>209.0</v>
      </c>
      <c r="K770" s="949">
        <v>0.012005247612287051</v>
      </c>
      <c r="L770" s="950" t="str">
        <f t="shared" si="1"/>
        <v/>
      </c>
      <c r="M770" s="736"/>
      <c r="N770" s="736"/>
      <c r="O770" s="736"/>
    </row>
    <row r="771">
      <c r="A771" s="951" t="s">
        <v>1551</v>
      </c>
      <c r="B771" s="952" t="s">
        <v>60</v>
      </c>
      <c r="C771" s="953">
        <v>42303.0</v>
      </c>
      <c r="D771" s="954" t="s">
        <v>59</v>
      </c>
      <c r="E771" s="948" t="s">
        <v>63</v>
      </c>
      <c r="F771" s="954" t="s">
        <v>65</v>
      </c>
      <c r="G771" s="954" t="s">
        <v>69</v>
      </c>
      <c r="H771" s="954" t="s">
        <v>66</v>
      </c>
      <c r="I771" s="955">
        <v>0.7</v>
      </c>
      <c r="J771" s="948">
        <v>201.0</v>
      </c>
      <c r="K771" s="949">
        <v>-0.013176472841317288</v>
      </c>
      <c r="L771" s="950" t="str">
        <f t="shared" si="1"/>
        <v>yes</v>
      </c>
      <c r="M771" s="736"/>
      <c r="N771" s="736"/>
      <c r="O771" s="736"/>
    </row>
    <row r="772">
      <c r="A772" s="951" t="s">
        <v>1454</v>
      </c>
      <c r="B772" s="952" t="s">
        <v>60</v>
      </c>
      <c r="C772" s="953">
        <v>42303.0</v>
      </c>
      <c r="D772" s="954" t="s">
        <v>118</v>
      </c>
      <c r="E772" s="948" t="s">
        <v>63</v>
      </c>
      <c r="F772" s="954" t="s">
        <v>65</v>
      </c>
      <c r="G772" s="954" t="s">
        <v>64</v>
      </c>
      <c r="H772" s="954" t="s">
        <v>68</v>
      </c>
      <c r="I772" s="955">
        <v>0.9</v>
      </c>
      <c r="J772" s="948">
        <v>209.0</v>
      </c>
      <c r="K772" s="949">
        <v>0.004133830701590457</v>
      </c>
      <c r="L772" s="950" t="str">
        <f t="shared" si="1"/>
        <v/>
      </c>
      <c r="M772" s="736"/>
      <c r="N772" s="736"/>
      <c r="O772" s="736"/>
    </row>
    <row r="773">
      <c r="A773" s="951" t="s">
        <v>363</v>
      </c>
      <c r="B773" s="952" t="s">
        <v>56</v>
      </c>
      <c r="C773" s="953">
        <v>42302.0</v>
      </c>
      <c r="D773" s="954" t="s">
        <v>109</v>
      </c>
      <c r="E773" s="948" t="s">
        <v>63</v>
      </c>
      <c r="F773" s="954" t="s">
        <v>68</v>
      </c>
      <c r="G773" s="954" t="s">
        <v>66</v>
      </c>
      <c r="H773" s="954" t="s">
        <v>68</v>
      </c>
      <c r="I773" s="955">
        <v>0.8</v>
      </c>
      <c r="J773" s="948">
        <v>201.0</v>
      </c>
      <c r="K773" s="949">
        <v>-0.12876789418565715</v>
      </c>
      <c r="L773" s="950" t="str">
        <f t="shared" si="1"/>
        <v/>
      </c>
      <c r="M773" s="736"/>
      <c r="N773" s="736"/>
      <c r="O773" s="736"/>
    </row>
    <row r="774">
      <c r="A774" s="951" t="s">
        <v>1454</v>
      </c>
      <c r="B774" s="952" t="s">
        <v>60</v>
      </c>
      <c r="C774" s="953">
        <v>42301.0</v>
      </c>
      <c r="D774" s="954" t="s">
        <v>118</v>
      </c>
      <c r="E774" s="948" t="s">
        <v>63</v>
      </c>
      <c r="F774" s="954" t="s">
        <v>64</v>
      </c>
      <c r="G774" s="954" t="s">
        <v>64</v>
      </c>
      <c r="H774" s="954" t="s">
        <v>68</v>
      </c>
      <c r="I774" s="955">
        <v>0.9</v>
      </c>
      <c r="J774" s="948">
        <v>210.0</v>
      </c>
      <c r="K774" s="949">
        <v>-0.021184320580949878</v>
      </c>
      <c r="L774" s="950" t="str">
        <f t="shared" si="1"/>
        <v/>
      </c>
      <c r="M774" s="736"/>
      <c r="N774" s="736"/>
      <c r="O774" s="736"/>
    </row>
    <row r="775">
      <c r="A775" s="951" t="s">
        <v>761</v>
      </c>
      <c r="B775" s="952" t="s">
        <v>60</v>
      </c>
      <c r="C775" s="953">
        <v>42301.0</v>
      </c>
      <c r="D775" s="954" t="s">
        <v>90</v>
      </c>
      <c r="E775" s="948" t="s">
        <v>63</v>
      </c>
      <c r="F775" s="954" t="s">
        <v>65</v>
      </c>
      <c r="G775" s="954" t="s">
        <v>64</v>
      </c>
      <c r="H775" s="954" t="s">
        <v>68</v>
      </c>
      <c r="I775" s="955">
        <v>0.7</v>
      </c>
      <c r="J775" s="948">
        <v>235.0</v>
      </c>
      <c r="K775" s="949">
        <v>-0.013765038034589283</v>
      </c>
      <c r="L775" s="950" t="str">
        <f t="shared" si="1"/>
        <v/>
      </c>
      <c r="M775" s="736"/>
      <c r="N775" s="736"/>
      <c r="O775" s="736"/>
    </row>
    <row r="776">
      <c r="A776" s="951" t="s">
        <v>761</v>
      </c>
      <c r="B776" s="952" t="s">
        <v>60</v>
      </c>
      <c r="C776" s="953">
        <v>42301.0</v>
      </c>
      <c r="D776" s="954" t="s">
        <v>90</v>
      </c>
      <c r="E776" s="948" t="s">
        <v>63</v>
      </c>
      <c r="F776" s="954" t="s">
        <v>65</v>
      </c>
      <c r="G776" s="954" t="s">
        <v>64</v>
      </c>
      <c r="H776" s="954" t="s">
        <v>68</v>
      </c>
      <c r="I776" s="955">
        <v>0.7</v>
      </c>
      <c r="J776" s="948">
        <v>235.0</v>
      </c>
      <c r="K776" s="949">
        <v>-0.01366596402676623</v>
      </c>
      <c r="L776" s="950" t="str">
        <f t="shared" si="1"/>
        <v/>
      </c>
      <c r="M776" s="736"/>
      <c r="N776" s="736"/>
      <c r="O776" s="736"/>
    </row>
    <row r="777">
      <c r="A777" s="951" t="s">
        <v>761</v>
      </c>
      <c r="B777" s="952" t="s">
        <v>60</v>
      </c>
      <c r="C777" s="953">
        <v>42301.0</v>
      </c>
      <c r="D777" s="954" t="s">
        <v>90</v>
      </c>
      <c r="E777" s="948" t="s">
        <v>63</v>
      </c>
      <c r="F777" s="954" t="s">
        <v>65</v>
      </c>
      <c r="G777" s="954" t="s">
        <v>64</v>
      </c>
      <c r="H777" s="954" t="s">
        <v>68</v>
      </c>
      <c r="I777" s="955">
        <v>0.7</v>
      </c>
      <c r="J777" s="948">
        <v>235.0</v>
      </c>
      <c r="K777" s="949">
        <v>-0.010970198823024635</v>
      </c>
      <c r="L777" s="950" t="str">
        <f t="shared" si="1"/>
        <v/>
      </c>
      <c r="M777" s="736"/>
      <c r="N777" s="736"/>
      <c r="O777" s="736"/>
    </row>
    <row r="778">
      <c r="A778" s="951" t="s">
        <v>477</v>
      </c>
      <c r="B778" s="952" t="s">
        <v>60</v>
      </c>
      <c r="C778" s="953">
        <v>42301.0</v>
      </c>
      <c r="D778" s="954" t="s">
        <v>59</v>
      </c>
      <c r="E778" s="948" t="s">
        <v>63</v>
      </c>
      <c r="F778" s="954" t="s">
        <v>65</v>
      </c>
      <c r="G778" s="954" t="s">
        <v>65</v>
      </c>
      <c r="H778" s="954" t="s">
        <v>69</v>
      </c>
      <c r="I778" s="955">
        <v>0.7</v>
      </c>
      <c r="J778" s="948">
        <v>237.0</v>
      </c>
      <c r="K778" s="949">
        <v>0.009483760173017441</v>
      </c>
      <c r="L778" s="950" t="str">
        <f t="shared" si="1"/>
        <v>yes</v>
      </c>
      <c r="M778" s="736"/>
      <c r="N778" s="736"/>
      <c r="O778" s="736"/>
    </row>
    <row r="779">
      <c r="A779" s="951" t="s">
        <v>155</v>
      </c>
      <c r="B779" s="952" t="s">
        <v>60</v>
      </c>
      <c r="C779" s="953">
        <v>42301.0</v>
      </c>
      <c r="D779" s="954" t="s">
        <v>109</v>
      </c>
      <c r="E779" s="948" t="s">
        <v>63</v>
      </c>
      <c r="F779" s="954" t="s">
        <v>80</v>
      </c>
      <c r="G779" s="954" t="s">
        <v>64</v>
      </c>
      <c r="H779" s="954" t="s">
        <v>65</v>
      </c>
      <c r="I779" s="955">
        <v>0.8</v>
      </c>
      <c r="J779" s="948">
        <v>209.0</v>
      </c>
      <c r="K779" s="949">
        <v>-0.008723356130976079</v>
      </c>
      <c r="L779" s="950" t="str">
        <f t="shared" si="1"/>
        <v/>
      </c>
      <c r="M779" s="736"/>
      <c r="N779" s="736"/>
      <c r="O779" s="736"/>
    </row>
    <row r="780">
      <c r="A780" s="951" t="s">
        <v>279</v>
      </c>
      <c r="B780" s="952" t="s">
        <v>60</v>
      </c>
      <c r="C780" s="953">
        <v>42300.0</v>
      </c>
      <c r="D780" s="954" t="s">
        <v>59</v>
      </c>
      <c r="E780" s="948" t="s">
        <v>195</v>
      </c>
      <c r="F780" s="954" t="s">
        <v>64</v>
      </c>
      <c r="G780" s="954" t="s">
        <v>69</v>
      </c>
      <c r="H780" s="954" t="s">
        <v>66</v>
      </c>
      <c r="I780" s="955">
        <v>0.9</v>
      </c>
      <c r="J780" s="948">
        <v>236.0</v>
      </c>
      <c r="K780" s="949">
        <v>0.007198838832610854</v>
      </c>
      <c r="L780" s="950" t="str">
        <f t="shared" si="1"/>
        <v/>
      </c>
      <c r="M780" s="736"/>
      <c r="N780" s="736"/>
      <c r="O780" s="736"/>
    </row>
    <row r="781">
      <c r="A781" s="951" t="s">
        <v>541</v>
      </c>
      <c r="B781" s="952" t="s">
        <v>60</v>
      </c>
      <c r="C781" s="953">
        <v>42300.0</v>
      </c>
      <c r="D781" s="954" t="s">
        <v>57</v>
      </c>
      <c r="E781" s="948" t="s">
        <v>63</v>
      </c>
      <c r="F781" s="954"/>
      <c r="G781" s="954"/>
      <c r="H781" s="954"/>
      <c r="I781" s="955"/>
      <c r="J781" s="948">
        <v>226.0</v>
      </c>
      <c r="K781" s="949">
        <v>-0.015882770744416574</v>
      </c>
      <c r="L781" s="950" t="str">
        <f t="shared" si="1"/>
        <v/>
      </c>
      <c r="M781" s="736"/>
      <c r="N781" s="736"/>
      <c r="O781" s="736"/>
    </row>
    <row r="782">
      <c r="A782" s="951" t="s">
        <v>651</v>
      </c>
      <c r="B782" s="952" t="s">
        <v>638</v>
      </c>
      <c r="C782" s="953">
        <v>42300.0</v>
      </c>
      <c r="D782" s="954" t="s">
        <v>109</v>
      </c>
      <c r="E782" s="948" t="s">
        <v>63</v>
      </c>
      <c r="F782" s="954" t="s">
        <v>66</v>
      </c>
      <c r="G782" s="954" t="s">
        <v>69</v>
      </c>
      <c r="H782" s="954" t="s">
        <v>66</v>
      </c>
      <c r="I782" s="955">
        <v>0.7</v>
      </c>
      <c r="J782" s="948">
        <v>219.0</v>
      </c>
      <c r="K782" s="949">
        <v>0.024484843616523144</v>
      </c>
      <c r="L782" s="950" t="str">
        <f t="shared" si="1"/>
        <v>yes</v>
      </c>
      <c r="M782" s="736"/>
      <c r="N782" s="736"/>
      <c r="O782" s="736"/>
    </row>
    <row r="783">
      <c r="A783" s="951" t="s">
        <v>392</v>
      </c>
      <c r="B783" s="952" t="s">
        <v>60</v>
      </c>
      <c r="C783" s="953">
        <v>42299.0</v>
      </c>
      <c r="D783" s="954" t="s">
        <v>79</v>
      </c>
      <c r="E783" s="948" t="s">
        <v>63</v>
      </c>
      <c r="F783" s="954" t="s">
        <v>69</v>
      </c>
      <c r="G783" s="954" t="s">
        <v>69</v>
      </c>
      <c r="H783" s="954" t="s">
        <v>69</v>
      </c>
      <c r="I783" s="955">
        <v>0.8</v>
      </c>
      <c r="J783" s="948">
        <v>218.0</v>
      </c>
      <c r="K783" s="949">
        <v>-0.009347422994514076</v>
      </c>
      <c r="L783" s="950" t="str">
        <f t="shared" si="1"/>
        <v>yes</v>
      </c>
      <c r="M783" s="736"/>
      <c r="N783" s="736"/>
      <c r="O783" s="736"/>
    </row>
    <row r="784">
      <c r="A784" s="951" t="s">
        <v>125</v>
      </c>
      <c r="B784" s="952" t="s">
        <v>55</v>
      </c>
      <c r="C784" s="953">
        <v>42299.0</v>
      </c>
      <c r="D784" s="954" t="s">
        <v>79</v>
      </c>
      <c r="E784" s="948" t="s">
        <v>63</v>
      </c>
      <c r="F784" s="954" t="s">
        <v>69</v>
      </c>
      <c r="G784" s="954" t="s">
        <v>69</v>
      </c>
      <c r="H784" s="954" t="s">
        <v>69</v>
      </c>
      <c r="I784" s="955">
        <v>0.9</v>
      </c>
      <c r="J784" s="948">
        <v>233.0</v>
      </c>
      <c r="K784" s="949">
        <v>0.014824275484346838</v>
      </c>
      <c r="L784" s="950" t="str">
        <f t="shared" si="1"/>
        <v>yes</v>
      </c>
      <c r="M784" s="736"/>
      <c r="N784" s="736"/>
      <c r="O784" s="736"/>
    </row>
    <row r="785">
      <c r="A785" s="951" t="s">
        <v>161</v>
      </c>
      <c r="B785" s="952" t="s">
        <v>56</v>
      </c>
      <c r="C785" s="953">
        <v>42299.0</v>
      </c>
      <c r="D785" s="954" t="s">
        <v>59</v>
      </c>
      <c r="E785" s="948" t="s">
        <v>63</v>
      </c>
      <c r="F785" s="954" t="s">
        <v>64</v>
      </c>
      <c r="G785" s="954" t="s">
        <v>69</v>
      </c>
      <c r="H785" s="954" t="s">
        <v>69</v>
      </c>
      <c r="I785" s="955">
        <v>0.9</v>
      </c>
      <c r="J785" s="948">
        <v>185.0</v>
      </c>
      <c r="K785" s="949">
        <v>-0.015629646722343904</v>
      </c>
      <c r="L785" s="950" t="str">
        <f t="shared" si="1"/>
        <v/>
      </c>
      <c r="M785" s="736"/>
      <c r="N785" s="736"/>
      <c r="O785" s="736"/>
    </row>
    <row r="786">
      <c r="A786" s="951" t="s">
        <v>1485</v>
      </c>
      <c r="B786" s="952" t="s">
        <v>60</v>
      </c>
      <c r="C786" s="953">
        <v>42298.0</v>
      </c>
      <c r="D786" s="954" t="s">
        <v>79</v>
      </c>
      <c r="E786" s="948" t="s">
        <v>63</v>
      </c>
      <c r="F786" s="954" t="s">
        <v>64</v>
      </c>
      <c r="G786" s="954" t="s">
        <v>69</v>
      </c>
      <c r="H786" s="954" t="s">
        <v>66</v>
      </c>
      <c r="I786" s="955">
        <v>0.7</v>
      </c>
      <c r="J786" s="948">
        <v>195.0</v>
      </c>
      <c r="K786" s="949">
        <v>-0.03527554719447412</v>
      </c>
      <c r="L786" s="950" t="str">
        <f t="shared" si="1"/>
        <v>yes</v>
      </c>
      <c r="M786" s="736"/>
      <c r="N786" s="736"/>
      <c r="O786" s="736"/>
    </row>
    <row r="787">
      <c r="A787" s="951" t="s">
        <v>1491</v>
      </c>
      <c r="B787" s="952" t="s">
        <v>60</v>
      </c>
      <c r="C787" s="953">
        <v>42298.0</v>
      </c>
      <c r="D787" s="954" t="s">
        <v>109</v>
      </c>
      <c r="E787" s="948" t="s">
        <v>63</v>
      </c>
      <c r="F787" s="954" t="s">
        <v>69</v>
      </c>
      <c r="G787" s="954" t="s">
        <v>65</v>
      </c>
      <c r="H787" s="954" t="s">
        <v>64</v>
      </c>
      <c r="I787" s="955">
        <v>0.8</v>
      </c>
      <c r="J787" s="948">
        <v>200.0</v>
      </c>
      <c r="K787" s="949">
        <v>-0.07224799231013113</v>
      </c>
      <c r="L787" s="950" t="str">
        <f t="shared" si="1"/>
        <v>yes</v>
      </c>
      <c r="M787" s="736"/>
      <c r="N787" s="736"/>
      <c r="O787" s="736"/>
    </row>
    <row r="788">
      <c r="A788" s="951" t="s">
        <v>1493</v>
      </c>
      <c r="B788" s="952" t="s">
        <v>60</v>
      </c>
      <c r="C788" s="953">
        <v>42298.0</v>
      </c>
      <c r="D788" s="954" t="s">
        <v>59</v>
      </c>
      <c r="E788" s="948" t="s">
        <v>63</v>
      </c>
      <c r="F788" s="954" t="s">
        <v>64</v>
      </c>
      <c r="G788" s="954" t="s">
        <v>69</v>
      </c>
      <c r="H788" s="954" t="s">
        <v>66</v>
      </c>
      <c r="I788" s="955">
        <v>0.9</v>
      </c>
      <c r="J788" s="948">
        <v>227.0</v>
      </c>
      <c r="K788" s="949">
        <v>-0.021174759788868847</v>
      </c>
      <c r="L788" s="950" t="str">
        <f t="shared" si="1"/>
        <v/>
      </c>
      <c r="M788" s="736"/>
      <c r="N788" s="736"/>
      <c r="O788" s="736"/>
    </row>
    <row r="789">
      <c r="A789" s="951" t="s">
        <v>361</v>
      </c>
      <c r="B789" s="952" t="s">
        <v>60</v>
      </c>
      <c r="C789" s="953">
        <v>42298.0</v>
      </c>
      <c r="D789" s="954" t="s">
        <v>59</v>
      </c>
      <c r="E789" s="948" t="s">
        <v>63</v>
      </c>
      <c r="F789" s="954" t="s">
        <v>69</v>
      </c>
      <c r="G789" s="954" t="s">
        <v>69</v>
      </c>
      <c r="H789" s="954" t="s">
        <v>66</v>
      </c>
      <c r="I789" s="955">
        <v>0.7</v>
      </c>
      <c r="J789" s="948">
        <v>226.0</v>
      </c>
      <c r="K789" s="949">
        <v>-0.022511921865213003</v>
      </c>
      <c r="L789" s="950" t="str">
        <f t="shared" si="1"/>
        <v/>
      </c>
      <c r="M789" s="736"/>
      <c r="N789" s="736"/>
      <c r="O789" s="736"/>
    </row>
    <row r="790">
      <c r="A790" s="951" t="s">
        <v>1503</v>
      </c>
      <c r="B790" s="952" t="s">
        <v>60</v>
      </c>
      <c r="C790" s="953">
        <v>42298.0</v>
      </c>
      <c r="D790" s="954" t="s">
        <v>79</v>
      </c>
      <c r="E790" s="948" t="s">
        <v>63</v>
      </c>
      <c r="F790" s="954" t="s">
        <v>64</v>
      </c>
      <c r="G790" s="954" t="s">
        <v>64</v>
      </c>
      <c r="H790" s="954" t="s">
        <v>68</v>
      </c>
      <c r="I790" s="955">
        <v>0.9</v>
      </c>
      <c r="J790" s="948">
        <v>209.0</v>
      </c>
      <c r="K790" s="949">
        <v>0.006602668229704123</v>
      </c>
      <c r="L790" s="950" t="str">
        <f t="shared" si="1"/>
        <v>yes</v>
      </c>
      <c r="M790" s="736"/>
      <c r="N790" s="736"/>
      <c r="O790" s="736"/>
    </row>
    <row r="791">
      <c r="A791" s="951" t="s">
        <v>640</v>
      </c>
      <c r="B791" s="952" t="s">
        <v>60</v>
      </c>
      <c r="C791" s="953">
        <v>42298.0</v>
      </c>
      <c r="D791" s="954" t="s">
        <v>59</v>
      </c>
      <c r="E791" s="948" t="s">
        <v>63</v>
      </c>
      <c r="F791" s="954" t="s">
        <v>80</v>
      </c>
      <c r="G791" s="954" t="s">
        <v>67</v>
      </c>
      <c r="H791" s="954" t="s">
        <v>64</v>
      </c>
      <c r="I791" s="955">
        <v>0.9</v>
      </c>
      <c r="J791" s="948">
        <v>218.0</v>
      </c>
      <c r="K791" s="949">
        <v>-0.009169280934913204</v>
      </c>
      <c r="L791" s="950" t="str">
        <f t="shared" si="1"/>
        <v/>
      </c>
      <c r="M791" s="736"/>
      <c r="N791" s="736"/>
      <c r="O791" s="736"/>
    </row>
    <row r="792">
      <c r="A792" s="951" t="s">
        <v>1560</v>
      </c>
      <c r="B792" s="952" t="s">
        <v>60</v>
      </c>
      <c r="C792" s="953">
        <v>42298.0</v>
      </c>
      <c r="D792" s="954" t="s">
        <v>59</v>
      </c>
      <c r="E792" s="948" t="s">
        <v>63</v>
      </c>
      <c r="F792" s="954" t="s">
        <v>69</v>
      </c>
      <c r="G792" s="954" t="s">
        <v>69</v>
      </c>
      <c r="H792" s="954" t="s">
        <v>68</v>
      </c>
      <c r="I792" s="955">
        <v>0.9</v>
      </c>
      <c r="J792" s="948">
        <v>228.0</v>
      </c>
      <c r="K792" s="949">
        <v>-0.008812986566445136</v>
      </c>
      <c r="L792" s="950" t="str">
        <f t="shared" si="1"/>
        <v>yes</v>
      </c>
      <c r="M792" s="736"/>
      <c r="N792" s="736"/>
      <c r="O792" s="736"/>
    </row>
    <row r="793">
      <c r="A793" s="951" t="s">
        <v>357</v>
      </c>
      <c r="B793" s="952" t="s">
        <v>56</v>
      </c>
      <c r="C793" s="953">
        <v>42298.0</v>
      </c>
      <c r="D793" s="954" t="s">
        <v>57</v>
      </c>
      <c r="E793" s="948" t="s">
        <v>63</v>
      </c>
      <c r="F793" s="954"/>
      <c r="G793" s="954"/>
      <c r="H793" s="954"/>
      <c r="I793" s="955"/>
      <c r="J793" s="948">
        <v>206.0</v>
      </c>
      <c r="K793" s="949">
        <v>-0.009717529176789808</v>
      </c>
      <c r="L793" s="950" t="str">
        <f t="shared" si="1"/>
        <v>yes</v>
      </c>
      <c r="M793" s="736"/>
      <c r="N793" s="736"/>
      <c r="O793" s="736"/>
    </row>
    <row r="794">
      <c r="A794" s="951" t="s">
        <v>1475</v>
      </c>
      <c r="B794" s="952" t="s">
        <v>60</v>
      </c>
      <c r="C794" s="953">
        <v>42297.0</v>
      </c>
      <c r="D794" s="954" t="s">
        <v>79</v>
      </c>
      <c r="E794" s="948" t="s">
        <v>63</v>
      </c>
      <c r="F794" s="954" t="s">
        <v>64</v>
      </c>
      <c r="G794" s="954" t="s">
        <v>69</v>
      </c>
      <c r="H794" s="954" t="s">
        <v>66</v>
      </c>
      <c r="I794" s="955">
        <v>0.8</v>
      </c>
      <c r="J794" s="948">
        <v>204.0</v>
      </c>
      <c r="K794" s="949">
        <v>0.009264219283163677</v>
      </c>
      <c r="L794" s="950" t="str">
        <f t="shared" si="1"/>
        <v>yes</v>
      </c>
      <c r="M794" s="736"/>
      <c r="N794" s="736"/>
      <c r="O794" s="736"/>
    </row>
    <row r="795">
      <c r="A795" s="951" t="s">
        <v>1478</v>
      </c>
      <c r="B795" s="952" t="s">
        <v>60</v>
      </c>
      <c r="C795" s="953">
        <v>42297.0</v>
      </c>
      <c r="D795" s="954" t="s">
        <v>59</v>
      </c>
      <c r="E795" s="948" t="s">
        <v>63</v>
      </c>
      <c r="F795" s="954" t="s">
        <v>64</v>
      </c>
      <c r="G795" s="954" t="s">
        <v>69</v>
      </c>
      <c r="H795" s="954" t="s">
        <v>66</v>
      </c>
      <c r="I795" s="955">
        <v>0.8</v>
      </c>
      <c r="J795" s="948">
        <v>211.0</v>
      </c>
      <c r="K795" s="949">
        <v>-0.026317179025234894</v>
      </c>
      <c r="L795" s="950" t="str">
        <f t="shared" si="1"/>
        <v>yes</v>
      </c>
      <c r="M795" s="736"/>
      <c r="N795" s="736"/>
      <c r="O795" s="736"/>
    </row>
    <row r="796">
      <c r="A796" s="951" t="s">
        <v>1637</v>
      </c>
      <c r="B796" s="952" t="s">
        <v>60</v>
      </c>
      <c r="C796" s="953">
        <v>42297.0</v>
      </c>
      <c r="D796" s="954" t="s">
        <v>118</v>
      </c>
      <c r="E796" s="948" t="s">
        <v>63</v>
      </c>
      <c r="F796" s="954" t="s">
        <v>80</v>
      </c>
      <c r="G796" s="954" t="s">
        <v>64</v>
      </c>
      <c r="H796" s="954" t="s">
        <v>68</v>
      </c>
      <c r="I796" s="955">
        <v>0.9</v>
      </c>
      <c r="J796" s="948">
        <v>216.0</v>
      </c>
      <c r="K796" s="949">
        <v>0.00885592139720659</v>
      </c>
      <c r="L796" s="950" t="str">
        <f t="shared" si="1"/>
        <v/>
      </c>
      <c r="M796" s="736"/>
      <c r="N796" s="736"/>
      <c r="O796" s="736"/>
    </row>
    <row r="797">
      <c r="A797" s="951" t="s">
        <v>1741</v>
      </c>
      <c r="B797" s="952" t="s">
        <v>60</v>
      </c>
      <c r="C797" s="953">
        <v>42297.0</v>
      </c>
      <c r="D797" s="954" t="s">
        <v>86</v>
      </c>
      <c r="E797" s="948" t="s">
        <v>63</v>
      </c>
      <c r="F797" s="954" t="s">
        <v>65</v>
      </c>
      <c r="G797" s="954" t="s">
        <v>64</v>
      </c>
      <c r="H797" s="954" t="s">
        <v>66</v>
      </c>
      <c r="I797" s="955">
        <v>0.8</v>
      </c>
      <c r="J797" s="948">
        <v>205.0</v>
      </c>
      <c r="K797" s="949">
        <v>-0.048320014744060225</v>
      </c>
      <c r="L797" s="950" t="str">
        <f t="shared" si="1"/>
        <v/>
      </c>
      <c r="M797" s="736"/>
      <c r="N797" s="736"/>
      <c r="O797" s="736"/>
    </row>
    <row r="798">
      <c r="A798" s="951" t="s">
        <v>1471</v>
      </c>
      <c r="B798" s="952" t="s">
        <v>60</v>
      </c>
      <c r="C798" s="953">
        <v>42296.0</v>
      </c>
      <c r="D798" s="954" t="s">
        <v>59</v>
      </c>
      <c r="E798" s="948" t="s">
        <v>63</v>
      </c>
      <c r="F798" s="954" t="s">
        <v>65</v>
      </c>
      <c r="G798" s="954" t="s">
        <v>64</v>
      </c>
      <c r="H798" s="954" t="s">
        <v>66</v>
      </c>
      <c r="I798" s="955">
        <v>0.9</v>
      </c>
      <c r="J798" s="948">
        <v>205.0</v>
      </c>
      <c r="K798" s="949">
        <v>0.015056340331514262</v>
      </c>
      <c r="L798" s="950" t="str">
        <f t="shared" si="1"/>
        <v/>
      </c>
      <c r="M798" s="736"/>
      <c r="N798" s="736"/>
      <c r="O798" s="736"/>
    </row>
    <row r="799">
      <c r="A799" s="951" t="s">
        <v>623</v>
      </c>
      <c r="B799" s="952" t="s">
        <v>60</v>
      </c>
      <c r="C799" s="953">
        <v>42295.0</v>
      </c>
      <c r="D799" s="954" t="s">
        <v>59</v>
      </c>
      <c r="E799" s="948" t="s">
        <v>63</v>
      </c>
      <c r="F799" s="954" t="s">
        <v>67</v>
      </c>
      <c r="G799" s="954"/>
      <c r="H799" s="954" t="s">
        <v>69</v>
      </c>
      <c r="I799" s="955">
        <v>0.9</v>
      </c>
      <c r="J799" s="948">
        <v>186.0</v>
      </c>
      <c r="K799" s="949">
        <v>-0.037448590159869566</v>
      </c>
      <c r="L799" s="950" t="str">
        <f t="shared" si="1"/>
        <v/>
      </c>
      <c r="M799" s="736"/>
      <c r="N799" s="736"/>
      <c r="O799" s="736"/>
    </row>
    <row r="800">
      <c r="A800" s="951" t="s">
        <v>1558</v>
      </c>
      <c r="B800" s="952" t="s">
        <v>60</v>
      </c>
      <c r="C800" s="953">
        <v>42295.0</v>
      </c>
      <c r="D800" s="954" t="s">
        <v>59</v>
      </c>
      <c r="E800" s="948" t="s">
        <v>63</v>
      </c>
      <c r="F800" s="954" t="s">
        <v>64</v>
      </c>
      <c r="G800" s="954" t="s">
        <v>69</v>
      </c>
      <c r="H800" s="954" t="s">
        <v>66</v>
      </c>
      <c r="I800" s="955">
        <v>0.8</v>
      </c>
      <c r="J800" s="948">
        <v>197.0</v>
      </c>
      <c r="K800" s="949">
        <v>-0.004130701106192403</v>
      </c>
      <c r="L800" s="950" t="str">
        <f t="shared" si="1"/>
        <v>yes</v>
      </c>
      <c r="M800" s="736"/>
      <c r="N800" s="736"/>
      <c r="O800" s="736"/>
    </row>
    <row r="801">
      <c r="A801" s="951" t="s">
        <v>1498</v>
      </c>
      <c r="B801" s="952" t="s">
        <v>60</v>
      </c>
      <c r="C801" s="953">
        <v>42292.0</v>
      </c>
      <c r="D801" s="954" t="s">
        <v>57</v>
      </c>
      <c r="E801" s="948" t="s">
        <v>63</v>
      </c>
      <c r="F801" s="954" t="s">
        <v>69</v>
      </c>
      <c r="G801" s="954" t="s">
        <v>69</v>
      </c>
      <c r="H801" s="954" t="s">
        <v>66</v>
      </c>
      <c r="I801" s="955">
        <v>0.7</v>
      </c>
      <c r="J801" s="948">
        <v>223.0</v>
      </c>
      <c r="K801" s="949">
        <v>-0.039979132821631014</v>
      </c>
      <c r="L801" s="950" t="str">
        <f t="shared" si="1"/>
        <v>yes</v>
      </c>
      <c r="M801" s="736"/>
      <c r="N801" s="736"/>
      <c r="O801" s="736"/>
    </row>
    <row r="802">
      <c r="A802" s="951" t="s">
        <v>1465</v>
      </c>
      <c r="B802" s="952" t="s">
        <v>60</v>
      </c>
      <c r="C802" s="953">
        <v>42290.0</v>
      </c>
      <c r="D802" s="954" t="s">
        <v>59</v>
      </c>
      <c r="E802" s="948" t="s">
        <v>63</v>
      </c>
      <c r="F802" s="954" t="s">
        <v>65</v>
      </c>
      <c r="G802" s="954" t="s">
        <v>69</v>
      </c>
      <c r="H802" s="954" t="s">
        <v>68</v>
      </c>
      <c r="I802" s="955">
        <v>0.9</v>
      </c>
      <c r="J802" s="948">
        <v>203.0</v>
      </c>
      <c r="K802" s="949">
        <v>0.004820302666060039</v>
      </c>
      <c r="L802" s="950" t="str">
        <f t="shared" si="1"/>
        <v>yes</v>
      </c>
      <c r="M802" s="736"/>
      <c r="N802" s="736"/>
      <c r="O802" s="736"/>
    </row>
    <row r="803">
      <c r="A803" s="951" t="s">
        <v>1456</v>
      </c>
      <c r="B803" s="952" t="s">
        <v>60</v>
      </c>
      <c r="C803" s="953">
        <v>42289.0</v>
      </c>
      <c r="D803" s="954" t="s">
        <v>90</v>
      </c>
      <c r="E803" s="948" t="s">
        <v>63</v>
      </c>
      <c r="F803" s="954" t="s">
        <v>64</v>
      </c>
      <c r="G803" s="954" t="s">
        <v>64</v>
      </c>
      <c r="H803" s="954" t="s">
        <v>66</v>
      </c>
      <c r="I803" s="955">
        <v>0.9</v>
      </c>
      <c r="J803" s="948">
        <v>209.0</v>
      </c>
      <c r="K803" s="949">
        <v>0.02167873325853642</v>
      </c>
      <c r="L803" s="950" t="str">
        <f t="shared" si="1"/>
        <v>yes</v>
      </c>
      <c r="M803" s="736"/>
      <c r="N803" s="736"/>
      <c r="O803" s="736"/>
    </row>
    <row r="804">
      <c r="A804" s="951" t="s">
        <v>423</v>
      </c>
      <c r="B804" s="952" t="s">
        <v>56</v>
      </c>
      <c r="C804" s="953">
        <v>42289.0</v>
      </c>
      <c r="D804" s="954" t="s">
        <v>79</v>
      </c>
      <c r="E804" s="948" t="s">
        <v>195</v>
      </c>
      <c r="F804" s="954" t="s">
        <v>69</v>
      </c>
      <c r="G804" s="954" t="s">
        <v>69</v>
      </c>
      <c r="H804" s="954" t="s">
        <v>66</v>
      </c>
      <c r="I804" s="955">
        <v>0.8</v>
      </c>
      <c r="J804" s="948">
        <v>227.0</v>
      </c>
      <c r="K804" s="949">
        <v>-0.00252325801179043</v>
      </c>
      <c r="L804" s="950" t="str">
        <f t="shared" si="1"/>
        <v/>
      </c>
      <c r="M804" s="736"/>
      <c r="N804" s="736"/>
      <c r="O804" s="736"/>
    </row>
    <row r="805">
      <c r="A805" s="951" t="s">
        <v>147</v>
      </c>
      <c r="B805" s="952" t="s">
        <v>60</v>
      </c>
      <c r="C805" s="953">
        <v>42288.0</v>
      </c>
      <c r="D805" s="954" t="s">
        <v>79</v>
      </c>
      <c r="E805" s="948" t="s">
        <v>63</v>
      </c>
      <c r="F805" s="954" t="s">
        <v>67</v>
      </c>
      <c r="G805" s="954" t="s">
        <v>65</v>
      </c>
      <c r="H805" s="954" t="s">
        <v>65</v>
      </c>
      <c r="I805" s="955">
        <v>0.8</v>
      </c>
      <c r="J805" s="948">
        <v>233.0</v>
      </c>
      <c r="K805" s="949">
        <v>-0.010962021834317826</v>
      </c>
      <c r="L805" s="950" t="str">
        <f t="shared" si="1"/>
        <v/>
      </c>
      <c r="M805" s="736"/>
      <c r="N805" s="736"/>
      <c r="O805" s="736"/>
    </row>
    <row r="806">
      <c r="A806" s="951" t="s">
        <v>1127</v>
      </c>
      <c r="B806" s="952" t="s">
        <v>60</v>
      </c>
      <c r="C806" s="953">
        <v>42288.0</v>
      </c>
      <c r="D806" s="954" t="s">
        <v>86</v>
      </c>
      <c r="E806" s="948" t="s">
        <v>63</v>
      </c>
      <c r="F806" s="954" t="s">
        <v>67</v>
      </c>
      <c r="G806" s="954" t="s">
        <v>69</v>
      </c>
      <c r="H806" s="954" t="s">
        <v>68</v>
      </c>
      <c r="I806" s="955">
        <v>0.9</v>
      </c>
      <c r="J806" s="948">
        <v>207.0</v>
      </c>
      <c r="K806" s="949">
        <v>-0.037577751802915116</v>
      </c>
      <c r="L806" s="950" t="str">
        <f t="shared" si="1"/>
        <v/>
      </c>
      <c r="M806" s="736"/>
      <c r="N806" s="736"/>
      <c r="O806" s="736"/>
    </row>
    <row r="807">
      <c r="A807" s="951" t="s">
        <v>349</v>
      </c>
      <c r="B807" s="952" t="s">
        <v>56</v>
      </c>
      <c r="C807" s="953">
        <v>42288.0</v>
      </c>
      <c r="D807" s="954" t="s">
        <v>316</v>
      </c>
      <c r="E807" s="948" t="s">
        <v>63</v>
      </c>
      <c r="F807" s="954" t="s">
        <v>69</v>
      </c>
      <c r="G807" s="954" t="s">
        <v>69</v>
      </c>
      <c r="H807" s="954" t="s">
        <v>68</v>
      </c>
      <c r="I807" s="955">
        <v>0.9</v>
      </c>
      <c r="J807" s="948">
        <v>198.0</v>
      </c>
      <c r="K807" s="949">
        <v>0.013781759133368321</v>
      </c>
      <c r="L807" s="950" t="str">
        <f t="shared" si="1"/>
        <v>yes</v>
      </c>
      <c r="M807" s="736"/>
      <c r="N807" s="736"/>
      <c r="O807" s="736"/>
    </row>
    <row r="808">
      <c r="A808" s="951" t="s">
        <v>1454</v>
      </c>
      <c r="B808" s="952" t="s">
        <v>60</v>
      </c>
      <c r="C808" s="953">
        <v>42285.0</v>
      </c>
      <c r="D808" s="954" t="s">
        <v>118</v>
      </c>
      <c r="E808" s="948" t="s">
        <v>63</v>
      </c>
      <c r="F808" s="954" t="s">
        <v>69</v>
      </c>
      <c r="G808" s="954" t="s">
        <v>69</v>
      </c>
      <c r="H808" s="954" t="s">
        <v>68</v>
      </c>
      <c r="I808" s="955">
        <v>0.9</v>
      </c>
      <c r="J808" s="948">
        <v>198.0</v>
      </c>
      <c r="K808" s="949">
        <v>-0.02407957237065328</v>
      </c>
      <c r="L808" s="950" t="str">
        <f t="shared" si="1"/>
        <v/>
      </c>
      <c r="M808" s="736"/>
      <c r="N808" s="736"/>
      <c r="O808" s="736"/>
    </row>
    <row r="809">
      <c r="A809" s="951" t="s">
        <v>1458</v>
      </c>
      <c r="B809" s="952" t="s">
        <v>60</v>
      </c>
      <c r="C809" s="953">
        <v>42283.0</v>
      </c>
      <c r="D809" s="954" t="s">
        <v>79</v>
      </c>
      <c r="E809" s="948" t="s">
        <v>63</v>
      </c>
      <c r="F809" s="954" t="s">
        <v>67</v>
      </c>
      <c r="G809" s="954" t="s">
        <v>69</v>
      </c>
      <c r="H809" s="954" t="s">
        <v>69</v>
      </c>
      <c r="I809" s="955">
        <v>0.9</v>
      </c>
      <c r="J809" s="948">
        <v>200.0</v>
      </c>
      <c r="K809" s="949">
        <v>-0.0022457651702147974</v>
      </c>
      <c r="L809" s="950" t="str">
        <f t="shared" si="1"/>
        <v/>
      </c>
      <c r="M809" s="736"/>
      <c r="N809" s="736"/>
      <c r="O809" s="736"/>
    </row>
    <row r="810">
      <c r="A810" s="951" t="s">
        <v>1454</v>
      </c>
      <c r="B810" s="952" t="s">
        <v>60</v>
      </c>
      <c r="C810" s="953">
        <v>42282.0</v>
      </c>
      <c r="D810" s="954" t="s">
        <v>118</v>
      </c>
      <c r="E810" s="948" t="s">
        <v>63</v>
      </c>
      <c r="F810" s="954" t="s">
        <v>69</v>
      </c>
      <c r="G810" s="954" t="s">
        <v>69</v>
      </c>
      <c r="H810" s="954" t="s">
        <v>68</v>
      </c>
      <c r="I810" s="955">
        <v>0.9</v>
      </c>
      <c r="J810" s="948">
        <v>197.0</v>
      </c>
      <c r="K810" s="949">
        <v>-0.02441445421738453</v>
      </c>
      <c r="L810" s="950" t="str">
        <f t="shared" si="1"/>
        <v/>
      </c>
      <c r="M810" s="736"/>
      <c r="N810" s="736"/>
      <c r="O810" s="736"/>
    </row>
    <row r="811">
      <c r="A811" s="951" t="s">
        <v>374</v>
      </c>
      <c r="B811" s="952" t="s">
        <v>56</v>
      </c>
      <c r="C811" s="953">
        <v>42281.0</v>
      </c>
      <c r="D811" s="954" t="s">
        <v>59</v>
      </c>
      <c r="E811" s="948" t="s">
        <v>63</v>
      </c>
      <c r="F811" s="954" t="s">
        <v>69</v>
      </c>
      <c r="G811" s="954" t="s">
        <v>69</v>
      </c>
      <c r="H811" s="954" t="s">
        <v>68</v>
      </c>
      <c r="I811" s="955">
        <v>0.9</v>
      </c>
      <c r="J811" s="948">
        <v>181.0</v>
      </c>
      <c r="K811" s="949">
        <v>0.01945568142313192</v>
      </c>
      <c r="L811" s="950" t="str">
        <f t="shared" si="1"/>
        <v>yes</v>
      </c>
      <c r="M811" s="736"/>
      <c r="N811" s="736"/>
      <c r="O811" s="736"/>
    </row>
    <row r="812">
      <c r="A812" s="951" t="s">
        <v>339</v>
      </c>
      <c r="B812" s="952" t="s">
        <v>60</v>
      </c>
      <c r="C812" s="953">
        <v>42280.0</v>
      </c>
      <c r="D812" s="954" t="s">
        <v>59</v>
      </c>
      <c r="E812" s="948" t="s">
        <v>63</v>
      </c>
      <c r="F812" s="954" t="s">
        <v>69</v>
      </c>
      <c r="G812" s="954" t="s">
        <v>64</v>
      </c>
      <c r="H812" s="954" t="s">
        <v>68</v>
      </c>
      <c r="I812" s="955">
        <v>0.8</v>
      </c>
      <c r="J812" s="948">
        <v>259.0</v>
      </c>
      <c r="K812" s="949">
        <v>-0.02049953054292386</v>
      </c>
      <c r="L812" s="950" t="str">
        <f t="shared" si="1"/>
        <v/>
      </c>
      <c r="M812" s="736"/>
      <c r="N812" s="736"/>
      <c r="O812" s="736"/>
    </row>
    <row r="813">
      <c r="A813" s="951" t="s">
        <v>1447</v>
      </c>
      <c r="B813" s="952" t="s">
        <v>60</v>
      </c>
      <c r="C813" s="953">
        <v>42279.0</v>
      </c>
      <c r="D813" s="954" t="s">
        <v>59</v>
      </c>
      <c r="E813" s="948" t="s">
        <v>63</v>
      </c>
      <c r="F813" s="954" t="s">
        <v>64</v>
      </c>
      <c r="G813" s="954" t="s">
        <v>69</v>
      </c>
      <c r="H813" s="954" t="s">
        <v>66</v>
      </c>
      <c r="I813" s="955">
        <v>0.9</v>
      </c>
      <c r="J813" s="948">
        <v>222.0</v>
      </c>
      <c r="K813" s="949">
        <v>0.006428284279631491</v>
      </c>
      <c r="L813" s="950" t="str">
        <f t="shared" si="1"/>
        <v/>
      </c>
      <c r="M813" s="736"/>
      <c r="N813" s="736"/>
      <c r="O813" s="736"/>
    </row>
    <row r="814">
      <c r="A814" s="951" t="s">
        <v>548</v>
      </c>
      <c r="B814" s="952" t="s">
        <v>60</v>
      </c>
      <c r="C814" s="953">
        <v>42278.0</v>
      </c>
      <c r="D814" s="954" t="s">
        <v>79</v>
      </c>
      <c r="E814" s="948" t="s">
        <v>63</v>
      </c>
      <c r="F814" s="954" t="s">
        <v>69</v>
      </c>
      <c r="G814" s="954" t="s">
        <v>69</v>
      </c>
      <c r="H814" s="954" t="s">
        <v>69</v>
      </c>
      <c r="I814" s="955">
        <v>0.9</v>
      </c>
      <c r="J814" s="948">
        <v>228.0</v>
      </c>
      <c r="K814" s="949">
        <v>-0.005117554918694145</v>
      </c>
      <c r="L814" s="950" t="str">
        <f t="shared" si="1"/>
        <v/>
      </c>
      <c r="M814" s="736"/>
      <c r="N814" s="736"/>
      <c r="O814" s="736"/>
    </row>
    <row r="815">
      <c r="A815" s="951" t="s">
        <v>1505</v>
      </c>
      <c r="B815" s="952" t="s">
        <v>60</v>
      </c>
      <c r="C815" s="953">
        <v>42278.0</v>
      </c>
      <c r="D815" s="954" t="s">
        <v>59</v>
      </c>
      <c r="E815" s="948" t="s">
        <v>63</v>
      </c>
      <c r="F815" s="954" t="s">
        <v>65</v>
      </c>
      <c r="G815" s="954" t="s">
        <v>66</v>
      </c>
      <c r="H815" s="954" t="s">
        <v>68</v>
      </c>
      <c r="I815" s="955">
        <v>0.9</v>
      </c>
      <c r="J815" s="948">
        <v>225.0</v>
      </c>
      <c r="K815" s="949">
        <v>0.003471261257002256</v>
      </c>
      <c r="L815" s="950" t="str">
        <f t="shared" si="1"/>
        <v>yes</v>
      </c>
      <c r="M815" s="736"/>
      <c r="N815" s="736"/>
      <c r="O815" s="736"/>
    </row>
    <row r="816">
      <c r="A816" s="951" t="s">
        <v>1762</v>
      </c>
      <c r="B816" s="952" t="s">
        <v>60</v>
      </c>
      <c r="C816" s="953">
        <v>42278.0</v>
      </c>
      <c r="D816" s="954" t="s">
        <v>59</v>
      </c>
      <c r="E816" s="948" t="s">
        <v>63</v>
      </c>
      <c r="F816" s="954" t="s">
        <v>67</v>
      </c>
      <c r="G816" s="954" t="s">
        <v>69</v>
      </c>
      <c r="H816" s="954" t="s">
        <v>68</v>
      </c>
      <c r="I816" s="955">
        <v>0.8</v>
      </c>
      <c r="J816" s="948">
        <v>220.0</v>
      </c>
      <c r="K816" s="949">
        <v>-0.010056361604112385</v>
      </c>
      <c r="L816" s="950" t="str">
        <f t="shared" si="1"/>
        <v/>
      </c>
      <c r="M816" s="736"/>
      <c r="N816" s="736"/>
      <c r="O816" s="736"/>
    </row>
    <row r="817">
      <c r="A817" s="951" t="s">
        <v>126</v>
      </c>
      <c r="B817" s="952" t="s">
        <v>60</v>
      </c>
      <c r="C817" s="953">
        <v>42277.0</v>
      </c>
      <c r="D817" s="954" t="s">
        <v>79</v>
      </c>
      <c r="E817" s="948" t="s">
        <v>63</v>
      </c>
      <c r="F817" s="954" t="s">
        <v>65</v>
      </c>
      <c r="G817" s="954" t="s">
        <v>127</v>
      </c>
      <c r="H817" s="954" t="s">
        <v>69</v>
      </c>
      <c r="I817" s="955">
        <v>1.0</v>
      </c>
      <c r="J817" s="948">
        <v>215.0</v>
      </c>
      <c r="K817" s="949">
        <v>-0.010943053141277637</v>
      </c>
      <c r="L817" s="950" t="str">
        <f t="shared" si="1"/>
        <v/>
      </c>
      <c r="M817" s="736"/>
      <c r="N817" s="736"/>
      <c r="O817" s="736"/>
    </row>
    <row r="818">
      <c r="A818" s="951" t="s">
        <v>640</v>
      </c>
      <c r="B818" s="952" t="s">
        <v>60</v>
      </c>
      <c r="C818" s="953">
        <v>42274.0</v>
      </c>
      <c r="D818" s="954" t="s">
        <v>59</v>
      </c>
      <c r="E818" s="948" t="s">
        <v>63</v>
      </c>
      <c r="F818" s="954" t="s">
        <v>80</v>
      </c>
      <c r="G818" s="954" t="s">
        <v>64</v>
      </c>
      <c r="H818" s="954" t="s">
        <v>64</v>
      </c>
      <c r="I818" s="955">
        <v>0.9</v>
      </c>
      <c r="J818" s="948">
        <v>218.0</v>
      </c>
      <c r="K818" s="949">
        <v>-0.006423036765836776</v>
      </c>
      <c r="L818" s="950" t="str">
        <f t="shared" si="1"/>
        <v/>
      </c>
      <c r="M818" s="736"/>
      <c r="N818" s="736"/>
      <c r="O818" s="736"/>
    </row>
    <row r="819">
      <c r="A819" s="951" t="s">
        <v>640</v>
      </c>
      <c r="B819" s="952" t="s">
        <v>60</v>
      </c>
      <c r="C819" s="953">
        <v>42274.0</v>
      </c>
      <c r="D819" s="954" t="s">
        <v>59</v>
      </c>
      <c r="E819" s="948" t="s">
        <v>63</v>
      </c>
      <c r="F819" s="954" t="s">
        <v>80</v>
      </c>
      <c r="G819" s="954" t="s">
        <v>67</v>
      </c>
      <c r="H819" s="954" t="s">
        <v>64</v>
      </c>
      <c r="I819" s="955">
        <v>0.9</v>
      </c>
      <c r="J819" s="948">
        <v>218.0</v>
      </c>
      <c r="K819" s="949">
        <v>-0.006099023948631266</v>
      </c>
      <c r="L819" s="950" t="str">
        <f t="shared" si="1"/>
        <v/>
      </c>
      <c r="M819" s="736"/>
      <c r="N819" s="736"/>
      <c r="O819" s="736"/>
    </row>
    <row r="820">
      <c r="A820" s="951" t="s">
        <v>1263</v>
      </c>
      <c r="B820" s="952" t="s">
        <v>60</v>
      </c>
      <c r="C820" s="953">
        <v>42272.0</v>
      </c>
      <c r="D820" s="954" t="s">
        <v>86</v>
      </c>
      <c r="E820" s="948" t="s">
        <v>63</v>
      </c>
      <c r="F820" s="954" t="s">
        <v>69</v>
      </c>
      <c r="G820" s="954" t="s">
        <v>69</v>
      </c>
      <c r="H820" s="954" t="s">
        <v>68</v>
      </c>
      <c r="I820" s="955">
        <v>0.9</v>
      </c>
      <c r="J820" s="948">
        <v>224.0</v>
      </c>
      <c r="K820" s="949">
        <v>-0.041259152771825236</v>
      </c>
      <c r="L820" s="950" t="str">
        <f t="shared" si="1"/>
        <v>yes</v>
      </c>
      <c r="M820" s="736"/>
      <c r="N820" s="736"/>
      <c r="O820" s="736"/>
    </row>
    <row r="821">
      <c r="A821" s="951" t="s">
        <v>717</v>
      </c>
      <c r="B821" s="952" t="s">
        <v>60</v>
      </c>
      <c r="C821" s="953">
        <v>42272.0</v>
      </c>
      <c r="D821" s="954" t="s">
        <v>90</v>
      </c>
      <c r="E821" s="948" t="s">
        <v>63</v>
      </c>
      <c r="F821" s="954"/>
      <c r="G821" s="954"/>
      <c r="H821" s="954"/>
      <c r="I821" s="955"/>
      <c r="J821" s="948">
        <v>197.0</v>
      </c>
      <c r="K821" s="949">
        <v>0.023642576368986368</v>
      </c>
      <c r="L821" s="950" t="str">
        <f t="shared" si="1"/>
        <v>yes</v>
      </c>
      <c r="M821" s="736"/>
      <c r="N821" s="736"/>
      <c r="O821" s="736"/>
    </row>
    <row r="822">
      <c r="A822" s="951" t="s">
        <v>605</v>
      </c>
      <c r="B822" s="952" t="s">
        <v>60</v>
      </c>
      <c r="C822" s="953">
        <v>42269.0</v>
      </c>
      <c r="D822" s="954" t="s">
        <v>59</v>
      </c>
      <c r="E822" s="948" t="s">
        <v>63</v>
      </c>
      <c r="F822" s="954" t="s">
        <v>65</v>
      </c>
      <c r="G822" s="954" t="s">
        <v>69</v>
      </c>
      <c r="H822" s="954" t="s">
        <v>68</v>
      </c>
      <c r="I822" s="955">
        <v>0.7</v>
      </c>
      <c r="J822" s="948">
        <v>198.0</v>
      </c>
      <c r="K822" s="949">
        <v>-0.015790046034081517</v>
      </c>
      <c r="L822" s="950" t="str">
        <f t="shared" si="1"/>
        <v/>
      </c>
      <c r="M822" s="736"/>
      <c r="N822" s="736"/>
      <c r="O822" s="736"/>
    </row>
    <row r="823">
      <c r="A823" s="951" t="s">
        <v>1387</v>
      </c>
      <c r="B823" s="952" t="s">
        <v>60</v>
      </c>
      <c r="C823" s="953">
        <v>42268.0</v>
      </c>
      <c r="D823" s="954" t="s">
        <v>57</v>
      </c>
      <c r="E823" s="948" t="s">
        <v>63</v>
      </c>
      <c r="F823" s="954" t="s">
        <v>64</v>
      </c>
      <c r="G823" s="954" t="s">
        <v>69</v>
      </c>
      <c r="H823" s="954" t="s">
        <v>66</v>
      </c>
      <c r="I823" s="955">
        <v>0.8</v>
      </c>
      <c r="J823" s="948">
        <v>239.0</v>
      </c>
      <c r="K823" s="949">
        <v>-0.03977371378278005</v>
      </c>
      <c r="L823" s="950" t="str">
        <f t="shared" si="1"/>
        <v>yes</v>
      </c>
      <c r="M823" s="736"/>
      <c r="N823" s="736"/>
      <c r="O823" s="736"/>
    </row>
    <row r="824">
      <c r="A824" s="951" t="s">
        <v>344</v>
      </c>
      <c r="B824" s="952" t="s">
        <v>56</v>
      </c>
      <c r="C824" s="953">
        <v>42268.0</v>
      </c>
      <c r="D824" s="954" t="s">
        <v>59</v>
      </c>
      <c r="E824" s="948" t="s">
        <v>63</v>
      </c>
      <c r="F824" s="954" t="s">
        <v>65</v>
      </c>
      <c r="G824" s="954" t="s">
        <v>69</v>
      </c>
      <c r="H824" s="954" t="s">
        <v>66</v>
      </c>
      <c r="I824" s="955">
        <v>0.8</v>
      </c>
      <c r="J824" s="948">
        <v>210.0</v>
      </c>
      <c r="K824" s="949">
        <v>-0.032854022616960465</v>
      </c>
      <c r="L824" s="950" t="str">
        <f t="shared" si="1"/>
        <v>yes</v>
      </c>
      <c r="M824" s="736"/>
      <c r="N824" s="736"/>
      <c r="O824" s="736"/>
    </row>
    <row r="825">
      <c r="A825" s="951" t="s">
        <v>78</v>
      </c>
      <c r="B825" s="952" t="s">
        <v>56</v>
      </c>
      <c r="C825" s="953">
        <v>42267.0</v>
      </c>
      <c r="D825" s="954" t="s">
        <v>79</v>
      </c>
      <c r="E825" s="948" t="s">
        <v>63</v>
      </c>
      <c r="F825" s="954" t="s">
        <v>67</v>
      </c>
      <c r="G825" s="954" t="s">
        <v>69</v>
      </c>
      <c r="H825" s="954" t="s">
        <v>66</v>
      </c>
      <c r="I825" s="955">
        <v>0.9</v>
      </c>
      <c r="J825" s="948">
        <v>189.0</v>
      </c>
      <c r="K825" s="949">
        <v>-0.007097744023623065</v>
      </c>
      <c r="L825" s="950" t="str">
        <f t="shared" si="1"/>
        <v/>
      </c>
      <c r="M825" s="736"/>
      <c r="N825" s="736"/>
      <c r="O825" s="736"/>
    </row>
    <row r="826">
      <c r="A826" s="951" t="s">
        <v>322</v>
      </c>
      <c r="B826" s="952" t="s">
        <v>56</v>
      </c>
      <c r="C826" s="953">
        <v>42266.0</v>
      </c>
      <c r="D826" s="954" t="s">
        <v>90</v>
      </c>
      <c r="E826" s="948" t="s">
        <v>63</v>
      </c>
      <c r="F826" s="954" t="s">
        <v>65</v>
      </c>
      <c r="G826" s="954" t="s">
        <v>65</v>
      </c>
      <c r="H826" s="954" t="s">
        <v>64</v>
      </c>
      <c r="I826" s="955">
        <v>0.9</v>
      </c>
      <c r="J826" s="948">
        <v>237.0</v>
      </c>
      <c r="K826" s="949">
        <v>0.0012066301645434763</v>
      </c>
      <c r="L826" s="950" t="str">
        <f t="shared" si="1"/>
        <v/>
      </c>
      <c r="M826" s="736"/>
      <c r="N826" s="736"/>
      <c r="O826" s="736"/>
    </row>
    <row r="827">
      <c r="A827" s="951" t="s">
        <v>331</v>
      </c>
      <c r="B827" s="952" t="s">
        <v>56</v>
      </c>
      <c r="C827" s="953">
        <v>42266.0</v>
      </c>
      <c r="D827" s="954" t="s">
        <v>90</v>
      </c>
      <c r="E827" s="948" t="s">
        <v>63</v>
      </c>
      <c r="F827" s="954" t="s">
        <v>67</v>
      </c>
      <c r="G827" s="954" t="s">
        <v>64</v>
      </c>
      <c r="H827" s="954" t="s">
        <v>68</v>
      </c>
      <c r="I827" s="955">
        <v>0.9</v>
      </c>
      <c r="J827" s="948">
        <v>227.0</v>
      </c>
      <c r="K827" s="949">
        <v>0.010549633412888393</v>
      </c>
      <c r="L827" s="950" t="str">
        <f t="shared" si="1"/>
        <v>yes</v>
      </c>
      <c r="M827" s="736"/>
      <c r="N827" s="736"/>
      <c r="O827" s="736"/>
    </row>
    <row r="828">
      <c r="A828" s="951" t="s">
        <v>761</v>
      </c>
      <c r="B828" s="952" t="s">
        <v>60</v>
      </c>
      <c r="C828" s="953">
        <v>42264.0</v>
      </c>
      <c r="D828" s="954" t="s">
        <v>90</v>
      </c>
      <c r="E828" s="948" t="s">
        <v>63</v>
      </c>
      <c r="F828" s="954" t="s">
        <v>65</v>
      </c>
      <c r="G828" s="954" t="s">
        <v>64</v>
      </c>
      <c r="H828" s="954" t="s">
        <v>68</v>
      </c>
      <c r="I828" s="955">
        <v>0.7</v>
      </c>
      <c r="J828" s="948">
        <v>233.0</v>
      </c>
      <c r="K828" s="949">
        <v>-0.026482497636215574</v>
      </c>
      <c r="L828" s="950" t="str">
        <f t="shared" si="1"/>
        <v/>
      </c>
      <c r="M828" s="736"/>
      <c r="N828" s="736"/>
      <c r="O828" s="736"/>
    </row>
    <row r="829">
      <c r="A829" s="951" t="s">
        <v>761</v>
      </c>
      <c r="B829" s="952" t="s">
        <v>60</v>
      </c>
      <c r="C829" s="953">
        <v>42264.0</v>
      </c>
      <c r="D829" s="954" t="s">
        <v>90</v>
      </c>
      <c r="E829" s="948" t="s">
        <v>63</v>
      </c>
      <c r="F829" s="954" t="s">
        <v>65</v>
      </c>
      <c r="G829" s="954" t="s">
        <v>64</v>
      </c>
      <c r="H829" s="954" t="s">
        <v>68</v>
      </c>
      <c r="I829" s="955">
        <v>0.7</v>
      </c>
      <c r="J829" s="948">
        <v>233.0</v>
      </c>
      <c r="K829" s="949">
        <v>-0.02383515785370549</v>
      </c>
      <c r="L829" s="950" t="str">
        <f t="shared" si="1"/>
        <v/>
      </c>
      <c r="M829" s="736"/>
      <c r="N829" s="736"/>
      <c r="O829" s="736"/>
    </row>
    <row r="830">
      <c r="A830" s="951" t="s">
        <v>761</v>
      </c>
      <c r="B830" s="952" t="s">
        <v>60</v>
      </c>
      <c r="C830" s="953">
        <v>42264.0</v>
      </c>
      <c r="D830" s="954" t="s">
        <v>90</v>
      </c>
      <c r="E830" s="948" t="s">
        <v>63</v>
      </c>
      <c r="F830" s="954" t="s">
        <v>65</v>
      </c>
      <c r="G830" s="954" t="s">
        <v>64</v>
      </c>
      <c r="H830" s="954" t="s">
        <v>68</v>
      </c>
      <c r="I830" s="955">
        <v>0.7</v>
      </c>
      <c r="J830" s="948">
        <v>234.0</v>
      </c>
      <c r="K830" s="949">
        <v>-0.02358585716601702</v>
      </c>
      <c r="L830" s="950" t="str">
        <f t="shared" si="1"/>
        <v/>
      </c>
      <c r="M830" s="736"/>
      <c r="N830" s="736"/>
      <c r="O830" s="736"/>
    </row>
    <row r="831">
      <c r="A831" s="951" t="s">
        <v>717</v>
      </c>
      <c r="B831" s="952" t="s">
        <v>60</v>
      </c>
      <c r="C831" s="953">
        <v>42264.0</v>
      </c>
      <c r="D831" s="954" t="s">
        <v>90</v>
      </c>
      <c r="E831" s="948" t="s">
        <v>63</v>
      </c>
      <c r="F831" s="954"/>
      <c r="G831" s="954"/>
      <c r="H831" s="954"/>
      <c r="I831" s="955">
        <v>0.8</v>
      </c>
      <c r="J831" s="948">
        <v>197.0</v>
      </c>
      <c r="K831" s="949">
        <v>0.01898078459596053</v>
      </c>
      <c r="L831" s="950" t="str">
        <f t="shared" si="1"/>
        <v/>
      </c>
      <c r="M831" s="736"/>
      <c r="N831" s="736"/>
      <c r="O831" s="736"/>
    </row>
    <row r="832">
      <c r="A832" s="951" t="s">
        <v>376</v>
      </c>
      <c r="B832" s="952" t="s">
        <v>60</v>
      </c>
      <c r="C832" s="953">
        <v>42263.0</v>
      </c>
      <c r="D832" s="954" t="s">
        <v>59</v>
      </c>
      <c r="E832" s="948" t="s">
        <v>63</v>
      </c>
      <c r="F832" s="954" t="s">
        <v>69</v>
      </c>
      <c r="G832" s="954" t="s">
        <v>69</v>
      </c>
      <c r="H832" s="954" t="s">
        <v>68</v>
      </c>
      <c r="I832" s="955">
        <v>0.9</v>
      </c>
      <c r="J832" s="948">
        <v>202.0</v>
      </c>
      <c r="K832" s="949">
        <v>-0.03364996986020896</v>
      </c>
      <c r="L832" s="950" t="str">
        <f t="shared" si="1"/>
        <v/>
      </c>
      <c r="M832" s="736"/>
      <c r="N832" s="736"/>
      <c r="O832" s="736"/>
    </row>
    <row r="833">
      <c r="A833" s="951" t="s">
        <v>640</v>
      </c>
      <c r="B833" s="952" t="s">
        <v>60</v>
      </c>
      <c r="C833" s="953">
        <v>42262.0</v>
      </c>
      <c r="D833" s="954" t="s">
        <v>59</v>
      </c>
      <c r="E833" s="948" t="s">
        <v>63</v>
      </c>
      <c r="F833" s="954" t="s">
        <v>80</v>
      </c>
      <c r="G833" s="954" t="s">
        <v>69</v>
      </c>
      <c r="H833" s="954" t="s">
        <v>64</v>
      </c>
      <c r="I833" s="955">
        <v>0.9</v>
      </c>
      <c r="J833" s="948">
        <v>218.0</v>
      </c>
      <c r="K833" s="949">
        <v>-0.004889967190080502</v>
      </c>
      <c r="L833" s="950" t="str">
        <f t="shared" si="1"/>
        <v/>
      </c>
      <c r="M833" s="736"/>
      <c r="N833" s="736"/>
      <c r="O833" s="736"/>
    </row>
    <row r="834">
      <c r="A834" s="951" t="s">
        <v>623</v>
      </c>
      <c r="B834" s="952" t="s">
        <v>60</v>
      </c>
      <c r="C834" s="953">
        <v>42262.0</v>
      </c>
      <c r="D834" s="954" t="s">
        <v>59</v>
      </c>
      <c r="E834" s="948" t="s">
        <v>63</v>
      </c>
      <c r="F834" s="954" t="s">
        <v>65</v>
      </c>
      <c r="G834" s="954" t="s">
        <v>69</v>
      </c>
      <c r="H834" s="954" t="s">
        <v>69</v>
      </c>
      <c r="I834" s="955">
        <v>0.9</v>
      </c>
      <c r="J834" s="948">
        <v>187.0</v>
      </c>
      <c r="K834" s="949">
        <v>-0.03613218447813682</v>
      </c>
      <c r="L834" s="950" t="str">
        <f t="shared" si="1"/>
        <v/>
      </c>
      <c r="M834" s="736"/>
      <c r="N834" s="736"/>
      <c r="O834" s="736"/>
    </row>
    <row r="835">
      <c r="A835" s="951" t="s">
        <v>290</v>
      </c>
      <c r="B835" s="952" t="s">
        <v>56</v>
      </c>
      <c r="C835" s="953">
        <v>42261.0</v>
      </c>
      <c r="D835" s="954" t="s">
        <v>109</v>
      </c>
      <c r="E835" s="948" t="s">
        <v>63</v>
      </c>
      <c r="F835" s="954"/>
      <c r="G835" s="954"/>
      <c r="H835" s="954"/>
      <c r="I835" s="955">
        <v>0.9</v>
      </c>
      <c r="J835" s="948">
        <v>192.0</v>
      </c>
      <c r="K835" s="949">
        <v>-0.01132307436978941</v>
      </c>
      <c r="L835" s="950" t="str">
        <f t="shared" si="1"/>
        <v>yes</v>
      </c>
      <c r="M835" s="736"/>
      <c r="N835" s="736"/>
      <c r="O835" s="736"/>
    </row>
    <row r="836">
      <c r="A836" s="951" t="s">
        <v>306</v>
      </c>
      <c r="B836" s="952" t="s">
        <v>56</v>
      </c>
      <c r="C836" s="953">
        <v>42261.0</v>
      </c>
      <c r="D836" s="954" t="s">
        <v>79</v>
      </c>
      <c r="E836" s="948" t="s">
        <v>63</v>
      </c>
      <c r="F836" s="954" t="s">
        <v>69</v>
      </c>
      <c r="G836" s="954" t="s">
        <v>69</v>
      </c>
      <c r="H836" s="954" t="s">
        <v>69</v>
      </c>
      <c r="I836" s="955">
        <v>0.9</v>
      </c>
      <c r="J836" s="948">
        <v>208.0</v>
      </c>
      <c r="K836" s="949">
        <v>0.009797528449394077</v>
      </c>
      <c r="L836" s="950" t="str">
        <f t="shared" si="1"/>
        <v>yes</v>
      </c>
      <c r="M836" s="736"/>
      <c r="N836" s="736"/>
      <c r="O836" s="736"/>
    </row>
    <row r="837">
      <c r="A837" s="951" t="s">
        <v>761</v>
      </c>
      <c r="B837" s="952" t="s">
        <v>60</v>
      </c>
      <c r="C837" s="953">
        <v>42260.0</v>
      </c>
      <c r="D837" s="954" t="s">
        <v>90</v>
      </c>
      <c r="E837" s="948" t="s">
        <v>63</v>
      </c>
      <c r="F837" s="954" t="s">
        <v>65</v>
      </c>
      <c r="G837" s="954" t="s">
        <v>64</v>
      </c>
      <c r="H837" s="954" t="s">
        <v>68</v>
      </c>
      <c r="I837" s="955">
        <v>0.7</v>
      </c>
      <c r="J837" s="948">
        <v>230.0</v>
      </c>
      <c r="K837" s="949">
        <v>-0.026734324272285725</v>
      </c>
      <c r="L837" s="950" t="str">
        <f t="shared" si="1"/>
        <v/>
      </c>
      <c r="M837" s="736"/>
      <c r="N837" s="736"/>
      <c r="O837" s="736"/>
    </row>
    <row r="838">
      <c r="A838" s="951" t="s">
        <v>161</v>
      </c>
      <c r="B838" s="952" t="s">
        <v>56</v>
      </c>
      <c r="C838" s="953">
        <v>42258.0</v>
      </c>
      <c r="D838" s="954" t="s">
        <v>59</v>
      </c>
      <c r="E838" s="948" t="s">
        <v>63</v>
      </c>
      <c r="F838" s="954" t="s">
        <v>64</v>
      </c>
      <c r="G838" s="954" t="s">
        <v>69</v>
      </c>
      <c r="H838" s="954" t="s">
        <v>69</v>
      </c>
      <c r="I838" s="955">
        <v>0.9</v>
      </c>
      <c r="J838" s="948">
        <v>186.0</v>
      </c>
      <c r="K838" s="949">
        <v>-0.01292664419350531</v>
      </c>
      <c r="L838" s="950" t="str">
        <f t="shared" si="1"/>
        <v/>
      </c>
      <c r="M838" s="736"/>
      <c r="N838" s="736"/>
      <c r="O838" s="736"/>
    </row>
    <row r="839">
      <c r="A839" s="951" t="s">
        <v>169</v>
      </c>
      <c r="B839" s="952" t="s">
        <v>55</v>
      </c>
      <c r="C839" s="953">
        <v>42256.0</v>
      </c>
      <c r="D839" s="954" t="s">
        <v>59</v>
      </c>
      <c r="E839" s="948" t="s">
        <v>63</v>
      </c>
      <c r="F839" s="954" t="s">
        <v>67</v>
      </c>
      <c r="G839" s="954"/>
      <c r="H839" s="954"/>
      <c r="I839" s="955"/>
      <c r="J839" s="948">
        <v>227.0</v>
      </c>
      <c r="K839" s="949">
        <v>0.004537978165682133</v>
      </c>
      <c r="L839" s="950" t="str">
        <f t="shared" si="1"/>
        <v/>
      </c>
      <c r="M839" s="736"/>
      <c r="N839" s="736"/>
      <c r="O839" s="736"/>
    </row>
    <row r="840">
      <c r="A840" s="951" t="s">
        <v>267</v>
      </c>
      <c r="B840" s="952" t="s">
        <v>56</v>
      </c>
      <c r="C840" s="953">
        <v>42256.0</v>
      </c>
      <c r="D840" s="954" t="s">
        <v>118</v>
      </c>
      <c r="E840" s="948" t="s">
        <v>63</v>
      </c>
      <c r="F840" s="954" t="s">
        <v>65</v>
      </c>
      <c r="G840" s="954" t="s">
        <v>68</v>
      </c>
      <c r="H840" s="954" t="s">
        <v>68</v>
      </c>
      <c r="I840" s="955">
        <v>0.9</v>
      </c>
      <c r="J840" s="948">
        <v>175.0</v>
      </c>
      <c r="K840" s="949">
        <v>-0.01164753180385436</v>
      </c>
      <c r="L840" s="950" t="str">
        <f t="shared" si="1"/>
        <v>yes</v>
      </c>
      <c r="M840" s="736"/>
      <c r="N840" s="736"/>
      <c r="O840" s="736"/>
    </row>
    <row r="841">
      <c r="A841" s="951" t="s">
        <v>717</v>
      </c>
      <c r="B841" s="952" t="s">
        <v>60</v>
      </c>
      <c r="C841" s="953">
        <v>42255.0</v>
      </c>
      <c r="D841" s="954" t="s">
        <v>90</v>
      </c>
      <c r="E841" s="948" t="s">
        <v>63</v>
      </c>
      <c r="F841" s="954"/>
      <c r="G841" s="954"/>
      <c r="H841" s="954"/>
      <c r="I841" s="955">
        <v>0.8</v>
      </c>
      <c r="J841" s="948">
        <v>198.0</v>
      </c>
      <c r="K841" s="949">
        <v>0.017860340304620692</v>
      </c>
      <c r="L841" s="950" t="str">
        <f t="shared" si="1"/>
        <v/>
      </c>
      <c r="M841" s="736"/>
      <c r="N841" s="736"/>
      <c r="O841" s="736"/>
    </row>
    <row r="842">
      <c r="A842" s="951" t="s">
        <v>296</v>
      </c>
      <c r="B842" s="952" t="s">
        <v>56</v>
      </c>
      <c r="C842" s="953">
        <v>42252.0</v>
      </c>
      <c r="D842" s="954" t="s">
        <v>59</v>
      </c>
      <c r="E842" s="948" t="s">
        <v>63</v>
      </c>
      <c r="F842" s="954" t="s">
        <v>69</v>
      </c>
      <c r="G842" s="954" t="s">
        <v>65</v>
      </c>
      <c r="H842" s="954" t="s">
        <v>66</v>
      </c>
      <c r="I842" s="955">
        <v>0.9</v>
      </c>
      <c r="J842" s="948">
        <v>208.0</v>
      </c>
      <c r="K842" s="949">
        <v>0.02570872600798557</v>
      </c>
      <c r="L842" s="950" t="str">
        <f t="shared" si="1"/>
        <v>yes</v>
      </c>
      <c r="M842" s="736"/>
      <c r="N842" s="736"/>
      <c r="O842" s="736"/>
    </row>
    <row r="843">
      <c r="A843" s="951" t="s">
        <v>192</v>
      </c>
      <c r="B843" s="952" t="s">
        <v>60</v>
      </c>
      <c r="C843" s="953">
        <v>42251.0</v>
      </c>
      <c r="D843" s="954" t="s">
        <v>79</v>
      </c>
      <c r="E843" s="948" t="s">
        <v>195</v>
      </c>
      <c r="F843" s="954"/>
      <c r="G843" s="954"/>
      <c r="H843" s="954"/>
      <c r="I843" s="955"/>
      <c r="J843" s="948">
        <v>218.0</v>
      </c>
      <c r="K843" s="949">
        <v>-0.005968999242075612</v>
      </c>
      <c r="L843" s="950" t="str">
        <f t="shared" si="1"/>
        <v/>
      </c>
      <c r="M843" s="736"/>
      <c r="N843" s="736"/>
      <c r="O843" s="736"/>
    </row>
    <row r="844">
      <c r="A844" s="951" t="s">
        <v>1460</v>
      </c>
      <c r="B844" s="952" t="s">
        <v>60</v>
      </c>
      <c r="C844" s="953">
        <v>42251.0</v>
      </c>
      <c r="D844" s="954" t="s">
        <v>59</v>
      </c>
      <c r="E844" s="948" t="s">
        <v>63</v>
      </c>
      <c r="F844" s="954" t="s">
        <v>69</v>
      </c>
      <c r="G844" s="954" t="s">
        <v>69</v>
      </c>
      <c r="H844" s="954" t="s">
        <v>66</v>
      </c>
      <c r="I844" s="955">
        <v>0.8</v>
      </c>
      <c r="J844" s="948">
        <v>195.0</v>
      </c>
      <c r="K844" s="949">
        <v>-0.001095180021672193</v>
      </c>
      <c r="L844" s="950" t="str">
        <f t="shared" si="1"/>
        <v>yes</v>
      </c>
      <c r="M844" s="736"/>
      <c r="N844" s="736"/>
      <c r="O844" s="736"/>
    </row>
    <row r="845">
      <c r="A845" s="951" t="s">
        <v>253</v>
      </c>
      <c r="B845" s="952" t="s">
        <v>56</v>
      </c>
      <c r="C845" s="953">
        <v>42249.0</v>
      </c>
      <c r="D845" s="954" t="s">
        <v>59</v>
      </c>
      <c r="E845" s="948" t="s">
        <v>63</v>
      </c>
      <c r="F845" s="954" t="s">
        <v>64</v>
      </c>
      <c r="G845" s="954" t="s">
        <v>65</v>
      </c>
      <c r="H845" s="954" t="s">
        <v>68</v>
      </c>
      <c r="I845" s="955">
        <v>0.8</v>
      </c>
      <c r="J845" s="948">
        <v>195.0</v>
      </c>
      <c r="K845" s="949">
        <v>0.00449065597241971</v>
      </c>
      <c r="L845" s="950" t="str">
        <f t="shared" si="1"/>
        <v>yes</v>
      </c>
      <c r="M845" s="736"/>
      <c r="N845" s="736"/>
      <c r="O845" s="736"/>
    </row>
    <row r="846">
      <c r="A846" s="951" t="s">
        <v>262</v>
      </c>
      <c r="B846" s="952" t="s">
        <v>56</v>
      </c>
      <c r="C846" s="953">
        <v>42249.0</v>
      </c>
      <c r="D846" s="954" t="s">
        <v>109</v>
      </c>
      <c r="E846" s="948" t="s">
        <v>63</v>
      </c>
      <c r="F846" s="954" t="s">
        <v>68</v>
      </c>
      <c r="G846" s="954" t="s">
        <v>68</v>
      </c>
      <c r="H846" s="954" t="s">
        <v>69</v>
      </c>
      <c r="I846" s="955">
        <v>0.7</v>
      </c>
      <c r="J846" s="948">
        <v>171.0</v>
      </c>
      <c r="K846" s="949">
        <v>-0.019840356026889272</v>
      </c>
      <c r="L846" s="950" t="str">
        <f t="shared" si="1"/>
        <v>yes</v>
      </c>
      <c r="M846" s="736"/>
      <c r="N846" s="736"/>
      <c r="O846" s="736"/>
    </row>
    <row r="847">
      <c r="A847" s="951" t="s">
        <v>876</v>
      </c>
      <c r="B847" s="952" t="s">
        <v>60</v>
      </c>
      <c r="C847" s="953">
        <v>42248.0</v>
      </c>
      <c r="D847" s="954" t="s">
        <v>79</v>
      </c>
      <c r="E847" s="948" t="s">
        <v>63</v>
      </c>
      <c r="F847" s="954" t="s">
        <v>64</v>
      </c>
      <c r="G847" s="954" t="s">
        <v>69</v>
      </c>
      <c r="H847" s="954" t="s">
        <v>68</v>
      </c>
      <c r="I847" s="955">
        <v>0.6</v>
      </c>
      <c r="J847" s="948">
        <v>216.0</v>
      </c>
      <c r="K847" s="949">
        <v>-0.006562387856426488</v>
      </c>
      <c r="L847" s="950" t="str">
        <f t="shared" si="1"/>
        <v>yes</v>
      </c>
      <c r="M847" s="736"/>
      <c r="N847" s="736"/>
      <c r="O847" s="736"/>
    </row>
    <row r="848">
      <c r="A848" s="951" t="s">
        <v>457</v>
      </c>
      <c r="B848" s="952" t="s">
        <v>60</v>
      </c>
      <c r="C848" s="953">
        <v>42247.0</v>
      </c>
      <c r="D848" s="954" t="s">
        <v>59</v>
      </c>
      <c r="E848" s="948" t="s">
        <v>63</v>
      </c>
      <c r="F848" s="954" t="s">
        <v>69</v>
      </c>
      <c r="G848" s="954" t="s">
        <v>69</v>
      </c>
      <c r="H848" s="954" t="s">
        <v>66</v>
      </c>
      <c r="I848" s="955">
        <v>0.9</v>
      </c>
      <c r="J848" s="948">
        <v>225.0</v>
      </c>
      <c r="K848" s="949">
        <v>0.008778841388370262</v>
      </c>
      <c r="L848" s="950" t="str">
        <f t="shared" si="1"/>
        <v/>
      </c>
      <c r="M848" s="736"/>
      <c r="N848" s="736"/>
      <c r="O848" s="736"/>
    </row>
    <row r="849">
      <c r="A849" s="951" t="s">
        <v>218</v>
      </c>
      <c r="B849" s="952" t="s">
        <v>60</v>
      </c>
      <c r="C849" s="953">
        <v>42247.0</v>
      </c>
      <c r="D849" s="954" t="s">
        <v>59</v>
      </c>
      <c r="E849" s="948" t="s">
        <v>63</v>
      </c>
      <c r="F849" s="954" t="s">
        <v>69</v>
      </c>
      <c r="G849" s="954" t="s">
        <v>69</v>
      </c>
      <c r="H849" s="954" t="s">
        <v>66</v>
      </c>
      <c r="I849" s="955">
        <v>0.8</v>
      </c>
      <c r="J849" s="948">
        <v>214.0</v>
      </c>
      <c r="K849" s="949">
        <v>-0.016647589648160155</v>
      </c>
      <c r="L849" s="950" t="str">
        <f t="shared" si="1"/>
        <v>yes</v>
      </c>
      <c r="M849" s="736"/>
      <c r="N849" s="736"/>
      <c r="O849" s="736"/>
    </row>
    <row r="850">
      <c r="A850" s="951" t="s">
        <v>300</v>
      </c>
      <c r="B850" s="952" t="s">
        <v>60</v>
      </c>
      <c r="C850" s="953">
        <v>42246.0</v>
      </c>
      <c r="D850" s="954" t="s">
        <v>59</v>
      </c>
      <c r="E850" s="948" t="s">
        <v>195</v>
      </c>
      <c r="F850" s="954" t="s">
        <v>69</v>
      </c>
      <c r="G850" s="954" t="s">
        <v>69</v>
      </c>
      <c r="H850" s="954" t="s">
        <v>66</v>
      </c>
      <c r="I850" s="955">
        <v>0.7</v>
      </c>
      <c r="J850" s="948">
        <v>225.0</v>
      </c>
      <c r="K850" s="949">
        <v>-0.03765206969787149</v>
      </c>
      <c r="L850" s="950" t="str">
        <f t="shared" si="1"/>
        <v/>
      </c>
      <c r="M850" s="736"/>
      <c r="N850" s="736"/>
      <c r="O850" s="736"/>
    </row>
    <row r="851">
      <c r="A851" s="951" t="s">
        <v>244</v>
      </c>
      <c r="B851" s="952" t="s">
        <v>56</v>
      </c>
      <c r="C851" s="953">
        <v>42246.0</v>
      </c>
      <c r="D851" s="954" t="s">
        <v>109</v>
      </c>
      <c r="E851" s="948" t="s">
        <v>63</v>
      </c>
      <c r="F851" s="954" t="s">
        <v>65</v>
      </c>
      <c r="G851" s="954" t="s">
        <v>64</v>
      </c>
      <c r="H851" s="954" t="s">
        <v>66</v>
      </c>
      <c r="I851" s="955">
        <v>0.8</v>
      </c>
      <c r="J851" s="948">
        <v>165.0</v>
      </c>
      <c r="K851" s="949">
        <v>-0.07386142909230353</v>
      </c>
      <c r="L851" s="950" t="str">
        <f t="shared" si="1"/>
        <v/>
      </c>
      <c r="M851" s="736"/>
      <c r="N851" s="736"/>
      <c r="O851" s="736"/>
    </row>
    <row r="852">
      <c r="A852" s="951" t="s">
        <v>161</v>
      </c>
      <c r="B852" s="952" t="s">
        <v>56</v>
      </c>
      <c r="C852" s="953">
        <v>42244.0</v>
      </c>
      <c r="D852" s="954" t="s">
        <v>59</v>
      </c>
      <c r="E852" s="948" t="s">
        <v>63</v>
      </c>
      <c r="F852" s="954" t="s">
        <v>64</v>
      </c>
      <c r="G852" s="954" t="s">
        <v>69</v>
      </c>
      <c r="H852" s="954" t="s">
        <v>69</v>
      </c>
      <c r="I852" s="955">
        <v>0.9</v>
      </c>
      <c r="J852" s="948">
        <v>186.0</v>
      </c>
      <c r="K852" s="949">
        <v>-0.009447695511134224</v>
      </c>
      <c r="L852" s="950" t="str">
        <f t="shared" si="1"/>
        <v/>
      </c>
      <c r="M852" s="736"/>
      <c r="N852" s="736"/>
      <c r="O852" s="736"/>
    </row>
    <row r="853">
      <c r="A853" s="951" t="s">
        <v>1013</v>
      </c>
      <c r="B853" s="952" t="s">
        <v>60</v>
      </c>
      <c r="C853" s="953">
        <v>42242.0</v>
      </c>
      <c r="D853" s="954" t="s">
        <v>59</v>
      </c>
      <c r="E853" s="948" t="s">
        <v>63</v>
      </c>
      <c r="F853" s="954" t="s">
        <v>64</v>
      </c>
      <c r="G853" s="954" t="s">
        <v>69</v>
      </c>
      <c r="H853" s="954" t="s">
        <v>66</v>
      </c>
      <c r="I853" s="955">
        <v>0.9</v>
      </c>
      <c r="J853" s="948">
        <v>223.0</v>
      </c>
      <c r="K853" s="949">
        <v>0.009194869177027165</v>
      </c>
      <c r="L853" s="950" t="str">
        <f t="shared" si="1"/>
        <v/>
      </c>
      <c r="M853" s="736"/>
      <c r="N853" s="736"/>
      <c r="O853" s="736"/>
    </row>
    <row r="854">
      <c r="A854" s="951" t="s">
        <v>1292</v>
      </c>
      <c r="B854" s="952" t="s">
        <v>60</v>
      </c>
      <c r="C854" s="953">
        <v>42241.0</v>
      </c>
      <c r="D854" s="954" t="s">
        <v>86</v>
      </c>
      <c r="E854" s="948" t="s">
        <v>63</v>
      </c>
      <c r="F854" s="954" t="s">
        <v>69</v>
      </c>
      <c r="G854" s="954" t="s">
        <v>69</v>
      </c>
      <c r="H854" s="954" t="s">
        <v>68</v>
      </c>
      <c r="I854" s="955">
        <v>0.9</v>
      </c>
      <c r="J854" s="948">
        <v>218.0</v>
      </c>
      <c r="K854" s="949">
        <v>-0.0562367465642315</v>
      </c>
      <c r="L854" s="950" t="str">
        <f t="shared" si="1"/>
        <v>yes</v>
      </c>
      <c r="M854" s="736"/>
      <c r="N854" s="736"/>
      <c r="O854" s="736"/>
    </row>
    <row r="855">
      <c r="A855" s="951" t="s">
        <v>605</v>
      </c>
      <c r="B855" s="952" t="s">
        <v>60</v>
      </c>
      <c r="C855" s="953">
        <v>42240.0</v>
      </c>
      <c r="D855" s="954" t="s">
        <v>59</v>
      </c>
      <c r="E855" s="948" t="s">
        <v>63</v>
      </c>
      <c r="F855" s="954" t="s">
        <v>65</v>
      </c>
      <c r="G855" s="954" t="s">
        <v>69</v>
      </c>
      <c r="H855" s="954" t="s">
        <v>68</v>
      </c>
      <c r="I855" s="955">
        <v>0.7</v>
      </c>
      <c r="J855" s="948">
        <v>200.0</v>
      </c>
      <c r="K855" s="949">
        <v>-0.008950162089582325</v>
      </c>
      <c r="L855" s="950" t="str">
        <f t="shared" si="1"/>
        <v/>
      </c>
      <c r="M855" s="736"/>
      <c r="N855" s="736"/>
      <c r="O855" s="736"/>
    </row>
    <row r="856">
      <c r="A856" s="951" t="s">
        <v>314</v>
      </c>
      <c r="B856" s="952" t="s">
        <v>56</v>
      </c>
      <c r="C856" s="953">
        <v>42240.0</v>
      </c>
      <c r="D856" s="954" t="s">
        <v>316</v>
      </c>
      <c r="E856" s="948" t="s">
        <v>63</v>
      </c>
      <c r="F856" s="954"/>
      <c r="G856" s="954"/>
      <c r="H856" s="954"/>
      <c r="I856" s="955"/>
      <c r="J856" s="948">
        <v>198.0</v>
      </c>
      <c r="K856" s="949">
        <v>0.026240682607131416</v>
      </c>
      <c r="L856" s="950" t="str">
        <f t="shared" si="1"/>
        <v/>
      </c>
      <c r="M856" s="736"/>
      <c r="N856" s="736"/>
      <c r="O856" s="736"/>
    </row>
    <row r="857">
      <c r="A857" s="951" t="s">
        <v>361</v>
      </c>
      <c r="B857" s="952" t="s">
        <v>60</v>
      </c>
      <c r="C857" s="953">
        <v>42238.0</v>
      </c>
      <c r="D857" s="954" t="s">
        <v>59</v>
      </c>
      <c r="E857" s="948" t="s">
        <v>195</v>
      </c>
      <c r="F857" s="954" t="s">
        <v>64</v>
      </c>
      <c r="G857" s="954" t="s">
        <v>69</v>
      </c>
      <c r="H857" s="954" t="s">
        <v>69</v>
      </c>
      <c r="I857" s="955">
        <v>0.7</v>
      </c>
      <c r="J857" s="948">
        <v>223.0</v>
      </c>
      <c r="K857" s="949">
        <v>-0.014725426498976457</v>
      </c>
      <c r="L857" s="950" t="str">
        <f t="shared" si="1"/>
        <v/>
      </c>
      <c r="M857" s="736"/>
      <c r="N857" s="736"/>
      <c r="O857" s="736"/>
    </row>
    <row r="858">
      <c r="A858" s="951" t="s">
        <v>1263</v>
      </c>
      <c r="B858" s="952" t="s">
        <v>60</v>
      </c>
      <c r="C858" s="953">
        <v>42236.0</v>
      </c>
      <c r="D858" s="954" t="s">
        <v>86</v>
      </c>
      <c r="E858" s="948" t="s">
        <v>63</v>
      </c>
      <c r="F858" s="954" t="s">
        <v>69</v>
      </c>
      <c r="G858" s="954" t="s">
        <v>69</v>
      </c>
      <c r="H858" s="954" t="s">
        <v>69</v>
      </c>
      <c r="I858" s="955">
        <v>0.9</v>
      </c>
      <c r="J858" s="948">
        <v>227.0</v>
      </c>
      <c r="K858" s="949">
        <v>-0.04455787775670694</v>
      </c>
      <c r="L858" s="950" t="str">
        <f t="shared" si="1"/>
        <v/>
      </c>
      <c r="M858" s="736"/>
      <c r="N858" s="736"/>
      <c r="O858" s="736"/>
    </row>
    <row r="859">
      <c r="A859" s="951" t="s">
        <v>449</v>
      </c>
      <c r="B859" s="952" t="s">
        <v>60</v>
      </c>
      <c r="C859" s="953">
        <v>42236.0</v>
      </c>
      <c r="D859" s="954" t="s">
        <v>59</v>
      </c>
      <c r="E859" s="948" t="s">
        <v>63</v>
      </c>
      <c r="F859" s="954" t="s">
        <v>80</v>
      </c>
      <c r="G859" s="954" t="s">
        <v>65</v>
      </c>
      <c r="H859" s="954" t="s">
        <v>68</v>
      </c>
      <c r="I859" s="955">
        <v>0.7</v>
      </c>
      <c r="J859" s="948">
        <v>187.0</v>
      </c>
      <c r="K859" s="949">
        <v>-0.0021787718506321996</v>
      </c>
      <c r="L859" s="950" t="str">
        <f t="shared" si="1"/>
        <v/>
      </c>
      <c r="M859" s="736"/>
      <c r="N859" s="736"/>
      <c r="O859" s="736"/>
    </row>
    <row r="860">
      <c r="A860" s="951" t="s">
        <v>813</v>
      </c>
      <c r="B860" s="952" t="s">
        <v>60</v>
      </c>
      <c r="C860" s="953">
        <v>42235.0</v>
      </c>
      <c r="D860" s="954" t="s">
        <v>59</v>
      </c>
      <c r="E860" s="948" t="s">
        <v>63</v>
      </c>
      <c r="F860" s="954" t="s">
        <v>64</v>
      </c>
      <c r="G860" s="954" t="s">
        <v>69</v>
      </c>
      <c r="H860" s="954" t="s">
        <v>66</v>
      </c>
      <c r="I860" s="955">
        <v>0.9</v>
      </c>
      <c r="J860" s="948">
        <v>216.0</v>
      </c>
      <c r="K860" s="949">
        <v>0.014814923772536681</v>
      </c>
      <c r="L860" s="950" t="str">
        <f t="shared" si="1"/>
        <v>yes</v>
      </c>
      <c r="M860" s="736"/>
      <c r="N860" s="736"/>
      <c r="O860" s="736"/>
    </row>
    <row r="861">
      <c r="A861" s="951" t="s">
        <v>348</v>
      </c>
      <c r="B861" s="952" t="s">
        <v>60</v>
      </c>
      <c r="C861" s="953">
        <v>42234.0</v>
      </c>
      <c r="D861" s="954" t="s">
        <v>59</v>
      </c>
      <c r="E861" s="948" t="s">
        <v>195</v>
      </c>
      <c r="F861" s="954" t="s">
        <v>65</v>
      </c>
      <c r="G861" s="954" t="s">
        <v>69</v>
      </c>
      <c r="H861" s="954" t="s">
        <v>69</v>
      </c>
      <c r="I861" s="955">
        <v>0.9</v>
      </c>
      <c r="J861" s="948">
        <v>265.0</v>
      </c>
      <c r="K861" s="949">
        <v>-0.017594299479342768</v>
      </c>
      <c r="L861" s="950" t="str">
        <f t="shared" si="1"/>
        <v/>
      </c>
      <c r="M861" s="736"/>
      <c r="N861" s="736"/>
      <c r="O861" s="736"/>
    </row>
    <row r="862">
      <c r="A862" s="951" t="s">
        <v>207</v>
      </c>
      <c r="B862" s="952" t="s">
        <v>60</v>
      </c>
      <c r="C862" s="953">
        <v>42234.0</v>
      </c>
      <c r="D862" s="954" t="s">
        <v>79</v>
      </c>
      <c r="E862" s="948" t="s">
        <v>63</v>
      </c>
      <c r="F862" s="954" t="s">
        <v>65</v>
      </c>
      <c r="G862" s="954" t="s">
        <v>65</v>
      </c>
      <c r="H862" s="954" t="s">
        <v>69</v>
      </c>
      <c r="I862" s="955">
        <v>0.9</v>
      </c>
      <c r="J862" s="948">
        <v>232.0</v>
      </c>
      <c r="K862" s="949">
        <v>0.0233828224365501</v>
      </c>
      <c r="L862" s="950" t="str">
        <f t="shared" si="1"/>
        <v/>
      </c>
      <c r="M862" s="736"/>
      <c r="N862" s="736"/>
      <c r="O862" s="736"/>
    </row>
    <row r="863">
      <c r="A863" s="951" t="s">
        <v>241</v>
      </c>
      <c r="B863" s="952" t="s">
        <v>60</v>
      </c>
      <c r="C863" s="953">
        <v>42233.0</v>
      </c>
      <c r="D863" s="954" t="s">
        <v>59</v>
      </c>
      <c r="E863" s="948" t="s">
        <v>63</v>
      </c>
      <c r="F863" s="954" t="s">
        <v>64</v>
      </c>
      <c r="G863" s="954" t="s">
        <v>64</v>
      </c>
      <c r="H863" s="954" t="s">
        <v>69</v>
      </c>
      <c r="I863" s="955">
        <v>0.8</v>
      </c>
      <c r="J863" s="948">
        <v>237.0</v>
      </c>
      <c r="K863" s="949">
        <v>-0.02752147870388788</v>
      </c>
      <c r="L863" s="950" t="str">
        <f t="shared" si="1"/>
        <v/>
      </c>
      <c r="M863" s="736"/>
      <c r="N863" s="736"/>
      <c r="O863" s="736"/>
    </row>
    <row r="864">
      <c r="A864" s="951" t="s">
        <v>1741</v>
      </c>
      <c r="B864" s="952" t="s">
        <v>60</v>
      </c>
      <c r="C864" s="953">
        <v>42233.0</v>
      </c>
      <c r="D864" s="954" t="s">
        <v>86</v>
      </c>
      <c r="E864" s="948" t="s">
        <v>63</v>
      </c>
      <c r="F864" s="954" t="s">
        <v>65</v>
      </c>
      <c r="G864" s="954" t="s">
        <v>64</v>
      </c>
      <c r="H864" s="954" t="s">
        <v>66</v>
      </c>
      <c r="I864" s="955">
        <v>0.9</v>
      </c>
      <c r="J864" s="948">
        <v>205.0</v>
      </c>
      <c r="K864" s="949">
        <v>-0.03338904081651506</v>
      </c>
      <c r="L864" s="950" t="str">
        <f t="shared" si="1"/>
        <v/>
      </c>
      <c r="M864" s="736"/>
      <c r="N864" s="736"/>
      <c r="O864" s="736"/>
    </row>
    <row r="865">
      <c r="A865" s="951" t="s">
        <v>1043</v>
      </c>
      <c r="B865" s="952" t="s">
        <v>60</v>
      </c>
      <c r="C865" s="953">
        <v>42232.0</v>
      </c>
      <c r="D865" s="954" t="s">
        <v>118</v>
      </c>
      <c r="E865" s="948" t="s">
        <v>63</v>
      </c>
      <c r="F865" s="954"/>
      <c r="G865" s="954"/>
      <c r="H865" s="954"/>
      <c r="I865" s="955"/>
      <c r="J865" s="948">
        <v>208.0</v>
      </c>
      <c r="K865" s="949">
        <v>-0.07923660182215753</v>
      </c>
      <c r="L865" s="950" t="str">
        <f t="shared" si="1"/>
        <v>yes</v>
      </c>
      <c r="M865" s="736"/>
      <c r="N865" s="736"/>
      <c r="O865" s="736"/>
    </row>
    <row r="866">
      <c r="A866" s="951" t="s">
        <v>1166</v>
      </c>
      <c r="B866" s="952" t="s">
        <v>60</v>
      </c>
      <c r="C866" s="953">
        <v>42231.0</v>
      </c>
      <c r="D866" s="954" t="s">
        <v>118</v>
      </c>
      <c r="E866" s="948" t="s">
        <v>63</v>
      </c>
      <c r="F866" s="954"/>
      <c r="G866" s="954" t="s">
        <v>65</v>
      </c>
      <c r="H866" s="954" t="s">
        <v>65</v>
      </c>
      <c r="I866" s="955">
        <v>0.9</v>
      </c>
      <c r="J866" s="948">
        <v>187.0</v>
      </c>
      <c r="K866" s="949">
        <v>-0.05889439884252534</v>
      </c>
      <c r="L866" s="950" t="str">
        <f t="shared" si="1"/>
        <v>yes</v>
      </c>
      <c r="M866" s="736"/>
      <c r="N866" s="736"/>
      <c r="O866" s="736"/>
    </row>
    <row r="867">
      <c r="A867" s="951" t="s">
        <v>717</v>
      </c>
      <c r="B867" s="952" t="s">
        <v>60</v>
      </c>
      <c r="C867" s="953">
        <v>42231.0</v>
      </c>
      <c r="D867" s="954" t="s">
        <v>90</v>
      </c>
      <c r="E867" s="948" t="s">
        <v>63</v>
      </c>
      <c r="F867" s="954" t="s">
        <v>65</v>
      </c>
      <c r="G867" s="954" t="s">
        <v>65</v>
      </c>
      <c r="H867" s="954" t="s">
        <v>69</v>
      </c>
      <c r="I867" s="955">
        <v>0.8</v>
      </c>
      <c r="J867" s="948">
        <v>199.0</v>
      </c>
      <c r="K867" s="949">
        <v>0.017614889360063835</v>
      </c>
      <c r="L867" s="950" t="str">
        <f t="shared" si="1"/>
        <v/>
      </c>
      <c r="M867" s="736"/>
      <c r="N867" s="736"/>
      <c r="O867" s="736"/>
    </row>
    <row r="868">
      <c r="A868" s="951" t="s">
        <v>279</v>
      </c>
      <c r="B868" s="952" t="s">
        <v>60</v>
      </c>
      <c r="C868" s="953">
        <v>42231.0</v>
      </c>
      <c r="D868" s="954" t="s">
        <v>59</v>
      </c>
      <c r="E868" s="948" t="s">
        <v>195</v>
      </c>
      <c r="F868" s="954" t="s">
        <v>65</v>
      </c>
      <c r="G868" s="954" t="s">
        <v>69</v>
      </c>
      <c r="H868" s="954" t="s">
        <v>66</v>
      </c>
      <c r="I868" s="955">
        <v>0.9</v>
      </c>
      <c r="J868" s="948">
        <v>238.0</v>
      </c>
      <c r="K868" s="949">
        <v>0.007258534572469499</v>
      </c>
      <c r="L868" s="950" t="str">
        <f t="shared" si="1"/>
        <v/>
      </c>
      <c r="M868" s="736"/>
      <c r="N868" s="736"/>
      <c r="O868" s="736"/>
    </row>
    <row r="869">
      <c r="A869" s="951" t="s">
        <v>1690</v>
      </c>
      <c r="B869" s="952" t="s">
        <v>60</v>
      </c>
      <c r="C869" s="953">
        <v>42230.0</v>
      </c>
      <c r="D869" s="954" t="s">
        <v>59</v>
      </c>
      <c r="E869" s="948" t="s">
        <v>63</v>
      </c>
      <c r="F869" s="954" t="s">
        <v>67</v>
      </c>
      <c r="G869" s="954" t="s">
        <v>69</v>
      </c>
      <c r="H869" s="954" t="s">
        <v>66</v>
      </c>
      <c r="I869" s="955">
        <v>0.9</v>
      </c>
      <c r="J869" s="948">
        <v>223.0</v>
      </c>
      <c r="K869" s="949">
        <v>-0.007666890763251888</v>
      </c>
      <c r="L869" s="950" t="str">
        <f t="shared" si="1"/>
        <v>yes</v>
      </c>
      <c r="M869" s="736"/>
      <c r="N869" s="736"/>
      <c r="O869" s="736"/>
    </row>
    <row r="870">
      <c r="A870" s="951" t="s">
        <v>221</v>
      </c>
      <c r="B870" s="952" t="s">
        <v>56</v>
      </c>
      <c r="C870" s="953">
        <v>42230.0</v>
      </c>
      <c r="D870" s="954" t="s">
        <v>86</v>
      </c>
      <c r="E870" s="948" t="s">
        <v>63</v>
      </c>
      <c r="F870" s="954" t="s">
        <v>65</v>
      </c>
      <c r="G870" s="954" t="s">
        <v>64</v>
      </c>
      <c r="H870" s="954" t="s">
        <v>68</v>
      </c>
      <c r="I870" s="955">
        <v>0.8</v>
      </c>
      <c r="J870" s="948">
        <v>185.0</v>
      </c>
      <c r="K870" s="949">
        <v>-0.004387723454647663</v>
      </c>
      <c r="L870" s="950" t="str">
        <f t="shared" si="1"/>
        <v/>
      </c>
      <c r="M870" s="736"/>
      <c r="N870" s="736"/>
      <c r="O870" s="736"/>
    </row>
    <row r="871">
      <c r="A871" s="951" t="s">
        <v>227</v>
      </c>
      <c r="B871" s="952" t="s">
        <v>56</v>
      </c>
      <c r="C871" s="953">
        <v>42230.0</v>
      </c>
      <c r="D871" s="954" t="s">
        <v>59</v>
      </c>
      <c r="E871" s="948" t="s">
        <v>63</v>
      </c>
      <c r="F871" s="954" t="s">
        <v>65</v>
      </c>
      <c r="G871" s="954" t="s">
        <v>65</v>
      </c>
      <c r="H871" s="954" t="s">
        <v>66</v>
      </c>
      <c r="I871" s="955">
        <v>0.8</v>
      </c>
      <c r="J871" s="948">
        <v>191.0</v>
      </c>
      <c r="K871" s="949">
        <v>0.015499355300186202</v>
      </c>
      <c r="L871" s="950" t="str">
        <f t="shared" si="1"/>
        <v/>
      </c>
      <c r="M871" s="736"/>
      <c r="N871" s="736"/>
      <c r="O871" s="736"/>
    </row>
    <row r="872">
      <c r="A872" s="951" t="s">
        <v>237</v>
      </c>
      <c r="B872" s="952" t="s">
        <v>60</v>
      </c>
      <c r="C872" s="953">
        <v>42229.0</v>
      </c>
      <c r="D872" s="954" t="s">
        <v>57</v>
      </c>
      <c r="E872" s="948" t="s">
        <v>63</v>
      </c>
      <c r="F872" s="954" t="s">
        <v>65</v>
      </c>
      <c r="G872" s="954" t="s">
        <v>69</v>
      </c>
      <c r="H872" s="954" t="s">
        <v>66</v>
      </c>
      <c r="I872" s="955">
        <v>0.6</v>
      </c>
      <c r="J872" s="948">
        <v>226.0</v>
      </c>
      <c r="K872" s="949">
        <v>-0.0035674001359270457</v>
      </c>
      <c r="L872" s="950" t="str">
        <f t="shared" si="1"/>
        <v/>
      </c>
      <c r="M872" s="736"/>
      <c r="N872" s="736"/>
      <c r="O872" s="736"/>
    </row>
    <row r="873">
      <c r="A873" s="951" t="s">
        <v>623</v>
      </c>
      <c r="B873" s="952" t="s">
        <v>60</v>
      </c>
      <c r="C873" s="953">
        <v>42229.0</v>
      </c>
      <c r="D873" s="954" t="s">
        <v>59</v>
      </c>
      <c r="E873" s="948" t="s">
        <v>63</v>
      </c>
      <c r="F873" s="954" t="s">
        <v>67</v>
      </c>
      <c r="G873" s="954" t="s">
        <v>69</v>
      </c>
      <c r="H873" s="954" t="s">
        <v>69</v>
      </c>
      <c r="I873" s="955">
        <v>0.9</v>
      </c>
      <c r="J873" s="948">
        <v>189.0</v>
      </c>
      <c r="K873" s="949">
        <v>-0.0025006472220683307</v>
      </c>
      <c r="L873" s="950" t="str">
        <f t="shared" si="1"/>
        <v/>
      </c>
      <c r="M873" s="736"/>
      <c r="N873" s="736"/>
      <c r="O873" s="736"/>
    </row>
    <row r="874">
      <c r="A874" s="951" t="s">
        <v>636</v>
      </c>
      <c r="B874" s="952" t="s">
        <v>638</v>
      </c>
      <c r="C874" s="953">
        <v>42229.0</v>
      </c>
      <c r="D874" s="954" t="s">
        <v>59</v>
      </c>
      <c r="E874" s="948" t="s">
        <v>63</v>
      </c>
      <c r="F874" s="954" t="s">
        <v>65</v>
      </c>
      <c r="G874" s="954" t="s">
        <v>64</v>
      </c>
      <c r="H874" s="954" t="s">
        <v>66</v>
      </c>
      <c r="I874" s="955">
        <v>0.8</v>
      </c>
      <c r="J874" s="948">
        <v>201.0</v>
      </c>
      <c r="K874" s="949">
        <v>2.1788731148908447E-4</v>
      </c>
      <c r="L874" s="950" t="str">
        <f t="shared" si="1"/>
        <v>yes</v>
      </c>
      <c r="M874" s="736"/>
      <c r="N874" s="736"/>
      <c r="O874" s="736"/>
    </row>
    <row r="875">
      <c r="A875" s="951" t="s">
        <v>212</v>
      </c>
      <c r="B875" s="952" t="s">
        <v>60</v>
      </c>
      <c r="C875" s="953">
        <v>42228.0</v>
      </c>
      <c r="D875" s="954" t="s">
        <v>59</v>
      </c>
      <c r="E875" s="948" t="s">
        <v>195</v>
      </c>
      <c r="F875" s="954" t="s">
        <v>64</v>
      </c>
      <c r="G875" s="954" t="s">
        <v>65</v>
      </c>
      <c r="H875" s="954" t="s">
        <v>69</v>
      </c>
      <c r="I875" s="955">
        <v>0.9</v>
      </c>
      <c r="J875" s="948">
        <v>219.0</v>
      </c>
      <c r="K875" s="949">
        <v>7.702102071105443E-4</v>
      </c>
      <c r="L875" s="950" t="str">
        <f t="shared" si="1"/>
        <v/>
      </c>
      <c r="M875" s="736"/>
      <c r="N875" s="736"/>
      <c r="O875" s="736"/>
    </row>
    <row r="876">
      <c r="A876" s="951" t="s">
        <v>1127</v>
      </c>
      <c r="B876" s="952" t="s">
        <v>60</v>
      </c>
      <c r="C876" s="953">
        <v>42228.0</v>
      </c>
      <c r="D876" s="954" t="s">
        <v>86</v>
      </c>
      <c r="E876" s="948" t="s">
        <v>63</v>
      </c>
      <c r="F876" s="954" t="s">
        <v>80</v>
      </c>
      <c r="G876" s="954" t="s">
        <v>65</v>
      </c>
      <c r="H876" s="954" t="s">
        <v>68</v>
      </c>
      <c r="I876" s="955">
        <v>0.9</v>
      </c>
      <c r="J876" s="948">
        <v>207.0</v>
      </c>
      <c r="K876" s="949">
        <v>-0.03652001474406019</v>
      </c>
      <c r="L876" s="950" t="str">
        <f t="shared" si="1"/>
        <v/>
      </c>
      <c r="M876" s="736"/>
      <c r="N876" s="736"/>
      <c r="O876" s="736"/>
    </row>
    <row r="877">
      <c r="A877" s="951" t="s">
        <v>114</v>
      </c>
      <c r="B877" s="952" t="s">
        <v>60</v>
      </c>
      <c r="C877" s="953">
        <v>42228.0</v>
      </c>
      <c r="D877" s="954" t="s">
        <v>79</v>
      </c>
      <c r="E877" s="948" t="s">
        <v>195</v>
      </c>
      <c r="F877" s="954" t="s">
        <v>65</v>
      </c>
      <c r="G877" s="954" t="s">
        <v>64</v>
      </c>
      <c r="H877" s="954" t="s">
        <v>66</v>
      </c>
      <c r="I877" s="955">
        <v>0.8</v>
      </c>
      <c r="J877" s="948">
        <v>215.0</v>
      </c>
      <c r="K877" s="949">
        <v>-0.028769678720432457</v>
      </c>
      <c r="L877" s="950" t="str">
        <f t="shared" si="1"/>
        <v/>
      </c>
      <c r="M877" s="736"/>
      <c r="N877" s="736"/>
      <c r="O877" s="736"/>
    </row>
    <row r="878">
      <c r="A878" s="951" t="s">
        <v>147</v>
      </c>
      <c r="B878" s="952" t="s">
        <v>60</v>
      </c>
      <c r="C878" s="953">
        <v>42228.0</v>
      </c>
      <c r="D878" s="954" t="s">
        <v>79</v>
      </c>
      <c r="E878" s="948" t="s">
        <v>63</v>
      </c>
      <c r="F878" s="954"/>
      <c r="G878" s="954"/>
      <c r="H878" s="954"/>
      <c r="I878" s="955"/>
      <c r="J878" s="948">
        <v>218.0</v>
      </c>
      <c r="K878" s="949">
        <v>-0.006927074756167495</v>
      </c>
      <c r="L878" s="950" t="str">
        <f t="shared" si="1"/>
        <v/>
      </c>
      <c r="M878" s="736"/>
      <c r="N878" s="736"/>
      <c r="O878" s="736"/>
    </row>
    <row r="879">
      <c r="A879" s="951" t="s">
        <v>477</v>
      </c>
      <c r="B879" s="952" t="s">
        <v>60</v>
      </c>
      <c r="C879" s="953">
        <v>42227.0</v>
      </c>
      <c r="D879" s="954" t="s">
        <v>59</v>
      </c>
      <c r="E879" s="948" t="s">
        <v>63</v>
      </c>
      <c r="F879" s="954" t="s">
        <v>67</v>
      </c>
      <c r="G879" s="954" t="s">
        <v>69</v>
      </c>
      <c r="H879" s="954" t="s">
        <v>66</v>
      </c>
      <c r="I879" s="955">
        <v>0.7</v>
      </c>
      <c r="J879" s="948">
        <v>230.0</v>
      </c>
      <c r="K879" s="949">
        <v>0.0184451335029312</v>
      </c>
      <c r="L879" s="950" t="str">
        <f t="shared" si="1"/>
        <v/>
      </c>
      <c r="M879" s="736"/>
      <c r="N879" s="736"/>
      <c r="O879" s="736"/>
    </row>
    <row r="880">
      <c r="A880" s="951" t="s">
        <v>231</v>
      </c>
      <c r="B880" s="952" t="s">
        <v>60</v>
      </c>
      <c r="C880" s="953">
        <v>42227.0</v>
      </c>
      <c r="D880" s="954" t="s">
        <v>59</v>
      </c>
      <c r="E880" s="948" t="s">
        <v>195</v>
      </c>
      <c r="F880" s="954" t="s">
        <v>65</v>
      </c>
      <c r="G880" s="954" t="s">
        <v>64</v>
      </c>
      <c r="H880" s="954" t="s">
        <v>66</v>
      </c>
      <c r="I880" s="955">
        <v>0.9</v>
      </c>
      <c r="J880" s="948">
        <v>238.0</v>
      </c>
      <c r="K880" s="949">
        <v>0.008248798587339401</v>
      </c>
      <c r="L880" s="950" t="str">
        <f t="shared" si="1"/>
        <v/>
      </c>
      <c r="M880" s="736"/>
      <c r="N880" s="736"/>
      <c r="O880" s="736"/>
    </row>
    <row r="881">
      <c r="A881" s="951" t="s">
        <v>1111</v>
      </c>
      <c r="B881" s="952" t="s">
        <v>60</v>
      </c>
      <c r="C881" s="953">
        <v>42227.0</v>
      </c>
      <c r="D881" s="954" t="s">
        <v>59</v>
      </c>
      <c r="E881" s="948" t="s">
        <v>63</v>
      </c>
      <c r="F881" s="954" t="s">
        <v>80</v>
      </c>
      <c r="G881" s="954" t="s">
        <v>65</v>
      </c>
      <c r="H881" s="954" t="s">
        <v>66</v>
      </c>
      <c r="I881" s="955">
        <v>0.9</v>
      </c>
      <c r="J881" s="948">
        <v>205.0</v>
      </c>
      <c r="K881" s="949">
        <v>0.0228855371368617</v>
      </c>
      <c r="L881" s="950" t="str">
        <f t="shared" si="1"/>
        <v>yes</v>
      </c>
      <c r="M881" s="736"/>
      <c r="N881" s="736"/>
      <c r="O881" s="736"/>
    </row>
    <row r="882">
      <c r="A882" s="951" t="s">
        <v>339</v>
      </c>
      <c r="B882" s="952" t="s">
        <v>60</v>
      </c>
      <c r="C882" s="953">
        <v>42227.0</v>
      </c>
      <c r="D882" s="954" t="s">
        <v>59</v>
      </c>
      <c r="E882" s="948" t="s">
        <v>63</v>
      </c>
      <c r="F882" s="954" t="s">
        <v>64</v>
      </c>
      <c r="G882" s="954" t="s">
        <v>65</v>
      </c>
      <c r="H882" s="954" t="s">
        <v>66</v>
      </c>
      <c r="I882" s="955">
        <v>0.8</v>
      </c>
      <c r="J882" s="948">
        <v>262.0</v>
      </c>
      <c r="K882" s="949">
        <v>-0.010012643028112889</v>
      </c>
      <c r="L882" s="950" t="str">
        <f t="shared" si="1"/>
        <v/>
      </c>
      <c r="M882" s="736"/>
      <c r="N882" s="736"/>
      <c r="O882" s="736"/>
    </row>
    <row r="883">
      <c r="A883" s="951" t="s">
        <v>1468</v>
      </c>
      <c r="B883" s="952" t="s">
        <v>60</v>
      </c>
      <c r="C883" s="953">
        <v>42226.0</v>
      </c>
      <c r="D883" s="954" t="s">
        <v>86</v>
      </c>
      <c r="E883" s="948" t="s">
        <v>63</v>
      </c>
      <c r="F883" s="954" t="s">
        <v>64</v>
      </c>
      <c r="G883" s="954" t="s">
        <v>64</v>
      </c>
      <c r="H883" s="954" t="s">
        <v>64</v>
      </c>
      <c r="I883" s="955">
        <v>0.8</v>
      </c>
      <c r="J883" s="948">
        <v>233.0</v>
      </c>
      <c r="K883" s="949">
        <v>-0.023927536810773753</v>
      </c>
      <c r="L883" s="950" t="str">
        <f t="shared" si="1"/>
        <v>yes</v>
      </c>
      <c r="M883" s="736"/>
      <c r="N883" s="736"/>
      <c r="O883" s="736"/>
    </row>
    <row r="884">
      <c r="A884" s="951" t="s">
        <v>761</v>
      </c>
      <c r="B884" s="952" t="s">
        <v>60</v>
      </c>
      <c r="C884" s="953">
        <v>42225.0</v>
      </c>
      <c r="D884" s="954" t="s">
        <v>90</v>
      </c>
      <c r="E884" s="948" t="s">
        <v>63</v>
      </c>
      <c r="F884" s="954" t="s">
        <v>65</v>
      </c>
      <c r="G884" s="954" t="s">
        <v>64</v>
      </c>
      <c r="H884" s="954" t="s">
        <v>68</v>
      </c>
      <c r="I884" s="955">
        <v>0.7</v>
      </c>
      <c r="J884" s="948">
        <v>235.0</v>
      </c>
      <c r="K884" s="949">
        <v>-0.01555345065569591</v>
      </c>
      <c r="L884" s="950" t="str">
        <f t="shared" si="1"/>
        <v/>
      </c>
      <c r="M884" s="736"/>
      <c r="N884" s="736"/>
      <c r="O884" s="736"/>
    </row>
    <row r="885">
      <c r="A885" s="951" t="s">
        <v>155</v>
      </c>
      <c r="B885" s="952" t="s">
        <v>60</v>
      </c>
      <c r="C885" s="953">
        <v>42225.0</v>
      </c>
      <c r="D885" s="954" t="s">
        <v>109</v>
      </c>
      <c r="E885" s="948" t="s">
        <v>63</v>
      </c>
      <c r="F885" s="954" t="s">
        <v>80</v>
      </c>
      <c r="G885" s="954" t="s">
        <v>69</v>
      </c>
      <c r="H885" s="954" t="s">
        <v>66</v>
      </c>
      <c r="I885" s="955">
        <v>0.7</v>
      </c>
      <c r="J885" s="948">
        <v>209.0</v>
      </c>
      <c r="K885" s="949">
        <v>0.005161697242273444</v>
      </c>
      <c r="L885" s="950" t="str">
        <f t="shared" si="1"/>
        <v/>
      </c>
      <c r="M885" s="736"/>
      <c r="N885" s="736"/>
      <c r="O885" s="736"/>
    </row>
    <row r="886">
      <c r="A886" s="951" t="s">
        <v>548</v>
      </c>
      <c r="B886" s="952" t="s">
        <v>60</v>
      </c>
      <c r="C886" s="953">
        <v>42225.0</v>
      </c>
      <c r="D886" s="954" t="s">
        <v>79</v>
      </c>
      <c r="E886" s="948" t="s">
        <v>63</v>
      </c>
      <c r="F886" s="954" t="s">
        <v>69</v>
      </c>
      <c r="G886" s="954" t="s">
        <v>69</v>
      </c>
      <c r="H886" s="954" t="s">
        <v>69</v>
      </c>
      <c r="I886" s="955">
        <v>0.9</v>
      </c>
      <c r="J886" s="948">
        <v>233.0</v>
      </c>
      <c r="K886" s="949">
        <v>-0.008673229777803715</v>
      </c>
      <c r="L886" s="950" t="str">
        <f t="shared" si="1"/>
        <v/>
      </c>
      <c r="M886" s="736"/>
      <c r="N886" s="736"/>
      <c r="O886" s="736"/>
    </row>
    <row r="887">
      <c r="A887" s="951" t="s">
        <v>623</v>
      </c>
      <c r="B887" s="952" t="s">
        <v>60</v>
      </c>
      <c r="C887" s="953">
        <v>42225.0</v>
      </c>
      <c r="D887" s="954" t="s">
        <v>59</v>
      </c>
      <c r="E887" s="948" t="s">
        <v>63</v>
      </c>
      <c r="F887" s="954" t="s">
        <v>67</v>
      </c>
      <c r="G887" s="954" t="s">
        <v>69</v>
      </c>
      <c r="H887" s="954" t="s">
        <v>69</v>
      </c>
      <c r="I887" s="955">
        <v>0.9</v>
      </c>
      <c r="J887" s="948">
        <v>189.0</v>
      </c>
      <c r="K887" s="949">
        <v>-0.005086305135895475</v>
      </c>
      <c r="L887" s="950" t="str">
        <f t="shared" si="1"/>
        <v/>
      </c>
      <c r="M887" s="736"/>
      <c r="N887" s="736"/>
      <c r="O887" s="736"/>
    </row>
    <row r="888">
      <c r="A888" s="951" t="s">
        <v>1741</v>
      </c>
      <c r="B888" s="952" t="s">
        <v>60</v>
      </c>
      <c r="C888" s="953">
        <v>42225.0</v>
      </c>
      <c r="D888" s="954" t="s">
        <v>86</v>
      </c>
      <c r="E888" s="948" t="s">
        <v>63</v>
      </c>
      <c r="F888" s="954" t="s">
        <v>65</v>
      </c>
      <c r="G888" s="954" t="s">
        <v>64</v>
      </c>
      <c r="H888" s="954" t="s">
        <v>66</v>
      </c>
      <c r="I888" s="955">
        <v>0.9</v>
      </c>
      <c r="J888" s="948">
        <v>205.0</v>
      </c>
      <c r="K888" s="949">
        <v>-0.03395998290851232</v>
      </c>
      <c r="L888" s="950" t="str">
        <f t="shared" si="1"/>
        <v/>
      </c>
      <c r="M888" s="736"/>
      <c r="N888" s="736"/>
      <c r="O888" s="736"/>
    </row>
    <row r="889">
      <c r="A889" s="951" t="s">
        <v>640</v>
      </c>
      <c r="B889" s="952" t="s">
        <v>60</v>
      </c>
      <c r="C889" s="953">
        <v>42224.0</v>
      </c>
      <c r="D889" s="954" t="s">
        <v>59</v>
      </c>
      <c r="E889" s="948" t="s">
        <v>63</v>
      </c>
      <c r="F889" s="954" t="s">
        <v>67</v>
      </c>
      <c r="G889" s="954" t="s">
        <v>64</v>
      </c>
      <c r="H889" s="954" t="s">
        <v>69</v>
      </c>
      <c r="I889" s="955">
        <v>0.9</v>
      </c>
      <c r="J889" s="948">
        <v>220.0</v>
      </c>
      <c r="K889" s="949">
        <v>-0.001257659411137868</v>
      </c>
      <c r="L889" s="950" t="str">
        <f t="shared" si="1"/>
        <v/>
      </c>
      <c r="M889" s="736"/>
      <c r="N889" s="736"/>
      <c r="O889" s="736"/>
    </row>
    <row r="890">
      <c r="A890" s="951" t="s">
        <v>761</v>
      </c>
      <c r="B890" s="952" t="s">
        <v>60</v>
      </c>
      <c r="C890" s="953">
        <v>42224.0</v>
      </c>
      <c r="D890" s="954" t="s">
        <v>90</v>
      </c>
      <c r="E890" s="948" t="s">
        <v>63</v>
      </c>
      <c r="F890" s="954" t="s">
        <v>65</v>
      </c>
      <c r="G890" s="954" t="s">
        <v>64</v>
      </c>
      <c r="H890" s="954" t="s">
        <v>68</v>
      </c>
      <c r="I890" s="955">
        <v>0.7</v>
      </c>
      <c r="J890" s="948">
        <v>236.0</v>
      </c>
      <c r="K890" s="949">
        <v>-0.013576030885686374</v>
      </c>
      <c r="L890" s="950" t="str">
        <f t="shared" si="1"/>
        <v/>
      </c>
      <c r="M890" s="736"/>
      <c r="N890" s="736"/>
      <c r="O890" s="736"/>
    </row>
    <row r="891">
      <c r="A891" s="951" t="s">
        <v>623</v>
      </c>
      <c r="B891" s="952" t="s">
        <v>60</v>
      </c>
      <c r="C891" s="953">
        <v>42223.0</v>
      </c>
      <c r="D891" s="954" t="s">
        <v>59</v>
      </c>
      <c r="E891" s="948" t="s">
        <v>63</v>
      </c>
      <c r="F891" s="954" t="s">
        <v>67</v>
      </c>
      <c r="G891" s="954" t="s">
        <v>69</v>
      </c>
      <c r="H891" s="954" t="s">
        <v>69</v>
      </c>
      <c r="I891" s="955">
        <v>0.9</v>
      </c>
      <c r="J891" s="948">
        <v>189.0</v>
      </c>
      <c r="K891" s="949">
        <v>-0.005110403659511542</v>
      </c>
      <c r="L891" s="950" t="str">
        <f t="shared" si="1"/>
        <v/>
      </c>
      <c r="M891" s="736"/>
      <c r="N891" s="736"/>
      <c r="O891" s="736"/>
    </row>
    <row r="892">
      <c r="A892" s="951" t="s">
        <v>623</v>
      </c>
      <c r="B892" s="952" t="s">
        <v>60</v>
      </c>
      <c r="C892" s="953">
        <v>42221.0</v>
      </c>
      <c r="D892" s="954" t="s">
        <v>59</v>
      </c>
      <c r="E892" s="948" t="s">
        <v>63</v>
      </c>
      <c r="F892" s="954" t="s">
        <v>67</v>
      </c>
      <c r="G892" s="954" t="s">
        <v>69</v>
      </c>
      <c r="H892" s="954" t="s">
        <v>69</v>
      </c>
      <c r="I892" s="955">
        <v>0.9</v>
      </c>
      <c r="J892" s="948">
        <v>189.0</v>
      </c>
      <c r="K892" s="949">
        <v>-0.007662292673479731</v>
      </c>
      <c r="L892" s="950" t="str">
        <f t="shared" si="1"/>
        <v/>
      </c>
      <c r="M892" s="736"/>
      <c r="N892" s="736"/>
      <c r="O892" s="736"/>
    </row>
    <row r="893">
      <c r="A893" s="951" t="s">
        <v>623</v>
      </c>
      <c r="B893" s="952" t="s">
        <v>60</v>
      </c>
      <c r="C893" s="953">
        <v>42220.0</v>
      </c>
      <c r="D893" s="954" t="s">
        <v>59</v>
      </c>
      <c r="E893" s="948" t="s">
        <v>63</v>
      </c>
      <c r="F893" s="954" t="s">
        <v>67</v>
      </c>
      <c r="G893" s="954" t="s">
        <v>69</v>
      </c>
      <c r="H893" s="954" t="s">
        <v>69</v>
      </c>
      <c r="I893" s="955">
        <v>0.9</v>
      </c>
      <c r="J893" s="948">
        <v>189.0</v>
      </c>
      <c r="K893" s="949">
        <v>-0.010185246254179825</v>
      </c>
      <c r="L893" s="950" t="str">
        <f t="shared" si="1"/>
        <v/>
      </c>
      <c r="M893" s="736"/>
      <c r="N893" s="736"/>
      <c r="O893" s="736"/>
    </row>
    <row r="894">
      <c r="A894" s="951" t="s">
        <v>168</v>
      </c>
      <c r="B894" s="952" t="s">
        <v>56</v>
      </c>
      <c r="C894" s="953">
        <v>42220.0</v>
      </c>
      <c r="D894" s="954" t="s">
        <v>79</v>
      </c>
      <c r="E894" s="948" t="s">
        <v>63</v>
      </c>
      <c r="F894" s="954" t="s">
        <v>69</v>
      </c>
      <c r="G894" s="954" t="s">
        <v>69</v>
      </c>
      <c r="H894" s="954" t="s">
        <v>69</v>
      </c>
      <c r="I894" s="955">
        <v>0.9</v>
      </c>
      <c r="J894" s="948">
        <v>183.0</v>
      </c>
      <c r="K894" s="949">
        <v>7.364987888884844E-4</v>
      </c>
      <c r="L894" s="950" t="str">
        <f t="shared" si="1"/>
        <v>yes</v>
      </c>
      <c r="M894" s="736"/>
      <c r="N894" s="736"/>
      <c r="O894" s="736"/>
    </row>
    <row r="895">
      <c r="A895" s="951" t="s">
        <v>717</v>
      </c>
      <c r="B895" s="952" t="s">
        <v>60</v>
      </c>
      <c r="C895" s="953">
        <v>42218.0</v>
      </c>
      <c r="D895" s="954" t="s">
        <v>90</v>
      </c>
      <c r="E895" s="948" t="s">
        <v>63</v>
      </c>
      <c r="F895" s="954" t="s">
        <v>65</v>
      </c>
      <c r="G895" s="954" t="s">
        <v>64</v>
      </c>
      <c r="H895" s="954" t="s">
        <v>66</v>
      </c>
      <c r="I895" s="955">
        <v>0.8</v>
      </c>
      <c r="J895" s="948">
        <v>200.0</v>
      </c>
      <c r="K895" s="949">
        <v>0.018324044846801613</v>
      </c>
      <c r="L895" s="950" t="str">
        <f t="shared" si="1"/>
        <v/>
      </c>
      <c r="M895" s="736"/>
      <c r="N895" s="736"/>
      <c r="O895" s="736"/>
    </row>
    <row r="896">
      <c r="A896" s="951" t="s">
        <v>201</v>
      </c>
      <c r="B896" s="952" t="s">
        <v>60</v>
      </c>
      <c r="C896" s="953">
        <v>42217.0</v>
      </c>
      <c r="D896" s="954" t="s">
        <v>79</v>
      </c>
      <c r="E896" s="948" t="s">
        <v>63</v>
      </c>
      <c r="F896" s="954" t="s">
        <v>65</v>
      </c>
      <c r="G896" s="954" t="s">
        <v>69</v>
      </c>
      <c r="H896" s="954" t="s">
        <v>68</v>
      </c>
      <c r="I896" s="955">
        <v>0.8</v>
      </c>
      <c r="J896" s="948">
        <v>171.0</v>
      </c>
      <c r="K896" s="949">
        <v>0.0032119405415550473</v>
      </c>
      <c r="L896" s="950" t="str">
        <f t="shared" si="1"/>
        <v/>
      </c>
      <c r="M896" s="736"/>
      <c r="N896" s="736"/>
      <c r="O896" s="736"/>
    </row>
    <row r="897">
      <c r="A897" s="951" t="s">
        <v>623</v>
      </c>
      <c r="B897" s="952" t="s">
        <v>60</v>
      </c>
      <c r="C897" s="953">
        <v>42217.0</v>
      </c>
      <c r="D897" s="954" t="s">
        <v>59</v>
      </c>
      <c r="E897" s="948" t="s">
        <v>63</v>
      </c>
      <c r="F897" s="954" t="s">
        <v>67</v>
      </c>
      <c r="G897" s="954" t="s">
        <v>69</v>
      </c>
      <c r="H897" s="954" t="s">
        <v>69</v>
      </c>
      <c r="I897" s="955">
        <v>0.9</v>
      </c>
      <c r="J897" s="948">
        <v>189.0</v>
      </c>
      <c r="K897" s="949">
        <v>-0.007755104014633751</v>
      </c>
      <c r="L897" s="950" t="str">
        <f t="shared" si="1"/>
        <v/>
      </c>
      <c r="M897" s="736"/>
      <c r="N897" s="736"/>
      <c r="O897" s="736"/>
    </row>
    <row r="898">
      <c r="A898" s="951" t="s">
        <v>1063</v>
      </c>
      <c r="B898" s="952" t="s">
        <v>60</v>
      </c>
      <c r="C898" s="953">
        <v>42216.0</v>
      </c>
      <c r="D898" s="954" t="s">
        <v>79</v>
      </c>
      <c r="E898" s="948" t="s">
        <v>63</v>
      </c>
      <c r="F898" s="954" t="s">
        <v>68</v>
      </c>
      <c r="G898" s="954"/>
      <c r="H898" s="954"/>
      <c r="I898" s="955"/>
      <c r="J898" s="948">
        <v>200.0</v>
      </c>
      <c r="K898" s="949">
        <v>0.009490281100738351</v>
      </c>
      <c r="L898" s="950" t="str">
        <f t="shared" si="1"/>
        <v>yes</v>
      </c>
      <c r="M898" s="736"/>
      <c r="N898" s="736"/>
      <c r="O898" s="736"/>
    </row>
    <row r="899">
      <c r="A899" s="951" t="s">
        <v>1095</v>
      </c>
      <c r="B899" s="952" t="s">
        <v>60</v>
      </c>
      <c r="C899" s="953">
        <v>42216.0</v>
      </c>
      <c r="D899" s="954" t="s">
        <v>59</v>
      </c>
      <c r="E899" s="948" t="s">
        <v>63</v>
      </c>
      <c r="F899" s="954"/>
      <c r="G899" s="954"/>
      <c r="H899" s="954"/>
      <c r="I899" s="955"/>
      <c r="J899" s="948">
        <v>197.0</v>
      </c>
      <c r="K899" s="949">
        <v>-0.004907981979779041</v>
      </c>
      <c r="L899" s="950" t="str">
        <f t="shared" si="1"/>
        <v/>
      </c>
      <c r="M899" s="736"/>
      <c r="N899" s="736"/>
      <c r="O899" s="736"/>
    </row>
    <row r="900">
      <c r="A900" s="951" t="s">
        <v>623</v>
      </c>
      <c r="B900" s="952" t="s">
        <v>60</v>
      </c>
      <c r="C900" s="953">
        <v>42216.0</v>
      </c>
      <c r="D900" s="954" t="s">
        <v>59</v>
      </c>
      <c r="E900" s="948" t="s">
        <v>63</v>
      </c>
      <c r="F900" s="954" t="s">
        <v>67</v>
      </c>
      <c r="G900" s="954" t="s">
        <v>69</v>
      </c>
      <c r="H900" s="954" t="s">
        <v>69</v>
      </c>
      <c r="I900" s="955">
        <v>0.9</v>
      </c>
      <c r="J900" s="948">
        <v>189.0</v>
      </c>
      <c r="K900" s="949">
        <v>-0.010481143293236683</v>
      </c>
      <c r="L900" s="950" t="str">
        <f t="shared" si="1"/>
        <v/>
      </c>
      <c r="M900" s="736"/>
      <c r="N900" s="736"/>
      <c r="O900" s="736"/>
    </row>
    <row r="901">
      <c r="A901" s="951" t="s">
        <v>761</v>
      </c>
      <c r="B901" s="952" t="s">
        <v>60</v>
      </c>
      <c r="C901" s="953">
        <v>42215.0</v>
      </c>
      <c r="D901" s="954" t="s">
        <v>90</v>
      </c>
      <c r="E901" s="948" t="s">
        <v>63</v>
      </c>
      <c r="F901" s="954" t="s">
        <v>65</v>
      </c>
      <c r="G901" s="954" t="s">
        <v>65</v>
      </c>
      <c r="H901" s="954" t="s">
        <v>68</v>
      </c>
      <c r="I901" s="955">
        <v>0.7</v>
      </c>
      <c r="J901" s="948">
        <v>237.0</v>
      </c>
      <c r="K901" s="949">
        <v>-0.011517279643446732</v>
      </c>
      <c r="L901" s="950" t="str">
        <f t="shared" si="1"/>
        <v/>
      </c>
      <c r="M901" s="736"/>
      <c r="N901" s="736"/>
      <c r="O901" s="736"/>
    </row>
    <row r="902">
      <c r="A902" s="951" t="s">
        <v>126</v>
      </c>
      <c r="B902" s="952" t="s">
        <v>60</v>
      </c>
      <c r="C902" s="953">
        <v>42214.0</v>
      </c>
      <c r="D902" s="954" t="s">
        <v>79</v>
      </c>
      <c r="E902" s="948" t="s">
        <v>63</v>
      </c>
      <c r="F902" s="954" t="s">
        <v>65</v>
      </c>
      <c r="G902" s="954" t="s">
        <v>127</v>
      </c>
      <c r="H902" s="954" t="s">
        <v>66</v>
      </c>
      <c r="I902" s="955">
        <v>1.0</v>
      </c>
      <c r="J902" s="948">
        <v>218.0</v>
      </c>
      <c r="K902" s="949">
        <v>0.002481436948329807</v>
      </c>
      <c r="L902" s="950" t="str">
        <f t="shared" si="1"/>
        <v/>
      </c>
      <c r="M902" s="736"/>
      <c r="N902" s="736"/>
      <c r="O902" s="736"/>
    </row>
    <row r="903">
      <c r="A903" s="951" t="s">
        <v>215</v>
      </c>
      <c r="B903" s="952" t="s">
        <v>56</v>
      </c>
      <c r="C903" s="953">
        <v>42214.0</v>
      </c>
      <c r="D903" s="954" t="s">
        <v>90</v>
      </c>
      <c r="E903" s="948" t="s">
        <v>63</v>
      </c>
      <c r="F903" s="954" t="s">
        <v>65</v>
      </c>
      <c r="G903" s="954" t="s">
        <v>64</v>
      </c>
      <c r="H903" s="954" t="s">
        <v>68</v>
      </c>
      <c r="I903" s="955">
        <v>0.9</v>
      </c>
      <c r="J903" s="948">
        <v>196.0</v>
      </c>
      <c r="K903" s="949">
        <v>0.014323530715200539</v>
      </c>
      <c r="L903" s="950" t="str">
        <f t="shared" si="1"/>
        <v>yes</v>
      </c>
      <c r="M903" s="736"/>
      <c r="N903" s="736"/>
      <c r="O903" s="736"/>
    </row>
    <row r="904">
      <c r="A904" s="951" t="s">
        <v>206</v>
      </c>
      <c r="B904" s="952" t="s">
        <v>56</v>
      </c>
      <c r="C904" s="953">
        <v>42212.0</v>
      </c>
      <c r="D904" s="954" t="s">
        <v>59</v>
      </c>
      <c r="E904" s="948" t="s">
        <v>63</v>
      </c>
      <c r="F904" s="954" t="s">
        <v>67</v>
      </c>
      <c r="G904" s="954" t="s">
        <v>69</v>
      </c>
      <c r="H904" s="954" t="s">
        <v>68</v>
      </c>
      <c r="I904" s="955">
        <v>0.6</v>
      </c>
      <c r="J904" s="948">
        <v>180.0</v>
      </c>
      <c r="K904" s="949">
        <v>0.015099194655098125</v>
      </c>
      <c r="L904" s="950" t="str">
        <f t="shared" si="1"/>
        <v>yes</v>
      </c>
      <c r="M904" s="736"/>
      <c r="N904" s="736"/>
      <c r="O904" s="736"/>
    </row>
    <row r="905">
      <c r="A905" s="951" t="s">
        <v>623</v>
      </c>
      <c r="B905" s="952" t="s">
        <v>60</v>
      </c>
      <c r="C905" s="953">
        <v>42209.0</v>
      </c>
      <c r="D905" s="954" t="s">
        <v>59</v>
      </c>
      <c r="E905" s="948" t="s">
        <v>63</v>
      </c>
      <c r="F905" s="954" t="s">
        <v>67</v>
      </c>
      <c r="G905" s="954" t="s">
        <v>69</v>
      </c>
      <c r="H905" s="954" t="s">
        <v>69</v>
      </c>
      <c r="I905" s="955">
        <v>0.9</v>
      </c>
      <c r="J905" s="948">
        <v>189.0</v>
      </c>
      <c r="K905" s="949">
        <v>-0.015722409003252835</v>
      </c>
      <c r="L905" s="950" t="str">
        <f t="shared" si="1"/>
        <v/>
      </c>
      <c r="M905" s="736"/>
      <c r="N905" s="736"/>
      <c r="O905" s="736"/>
    </row>
    <row r="906">
      <c r="A906" s="951" t="s">
        <v>1013</v>
      </c>
      <c r="B906" s="952" t="s">
        <v>60</v>
      </c>
      <c r="C906" s="953">
        <v>42204.0</v>
      </c>
      <c r="D906" s="954" t="s">
        <v>59</v>
      </c>
      <c r="E906" s="948" t="s">
        <v>63</v>
      </c>
      <c r="F906" s="954" t="s">
        <v>64</v>
      </c>
      <c r="G906" s="954" t="s">
        <v>69</v>
      </c>
      <c r="H906" s="954" t="s">
        <v>66</v>
      </c>
      <c r="I906" s="955">
        <v>0.9</v>
      </c>
      <c r="J906" s="948">
        <v>225.0</v>
      </c>
      <c r="K906" s="949">
        <v>0.0019388886770255187</v>
      </c>
      <c r="L906" s="950" t="str">
        <f t="shared" si="1"/>
        <v/>
      </c>
      <c r="M906" s="736"/>
      <c r="N906" s="736"/>
      <c r="O906" s="736"/>
    </row>
    <row r="907">
      <c r="A907" s="951" t="s">
        <v>190</v>
      </c>
      <c r="B907" s="952" t="s">
        <v>56</v>
      </c>
      <c r="C907" s="953">
        <v>42202.0</v>
      </c>
      <c r="D907" s="954" t="s">
        <v>109</v>
      </c>
      <c r="E907" s="948" t="s">
        <v>63</v>
      </c>
      <c r="F907" s="954" t="s">
        <v>68</v>
      </c>
      <c r="G907" s="954" t="s">
        <v>69</v>
      </c>
      <c r="H907" s="954" t="s">
        <v>69</v>
      </c>
      <c r="I907" s="955">
        <v>0.9</v>
      </c>
      <c r="J907" s="948">
        <v>193.0</v>
      </c>
      <c r="K907" s="949">
        <v>-0.045685804309042566</v>
      </c>
      <c r="L907" s="950" t="str">
        <f t="shared" si="1"/>
        <v>yes</v>
      </c>
      <c r="M907" s="736"/>
      <c r="N907" s="736"/>
      <c r="O907" s="736"/>
    </row>
    <row r="908">
      <c r="A908" s="951" t="s">
        <v>161</v>
      </c>
      <c r="B908" s="952" t="s">
        <v>56</v>
      </c>
      <c r="C908" s="953">
        <v>42202.0</v>
      </c>
      <c r="D908" s="954" t="s">
        <v>59</v>
      </c>
      <c r="E908" s="948" t="s">
        <v>63</v>
      </c>
      <c r="F908" s="954" t="s">
        <v>64</v>
      </c>
      <c r="G908" s="954" t="s">
        <v>69</v>
      </c>
      <c r="H908" s="954" t="s">
        <v>69</v>
      </c>
      <c r="I908" s="955">
        <v>0.9</v>
      </c>
      <c r="J908" s="948">
        <v>186.0</v>
      </c>
      <c r="K908" s="949">
        <v>-0.010199282741934157</v>
      </c>
      <c r="L908" s="950" t="str">
        <f t="shared" si="1"/>
        <v/>
      </c>
      <c r="M908" s="736"/>
      <c r="N908" s="736"/>
      <c r="O908" s="736"/>
    </row>
    <row r="909">
      <c r="A909" s="951" t="s">
        <v>1741</v>
      </c>
      <c r="B909" s="952" t="s">
        <v>60</v>
      </c>
      <c r="C909" s="953">
        <v>42199.0</v>
      </c>
      <c r="D909" s="954" t="s">
        <v>86</v>
      </c>
      <c r="E909" s="948" t="s">
        <v>63</v>
      </c>
      <c r="F909" s="954" t="s">
        <v>65</v>
      </c>
      <c r="G909" s="954" t="s">
        <v>64</v>
      </c>
      <c r="H909" s="954" t="s">
        <v>66</v>
      </c>
      <c r="I909" s="955">
        <v>0.9</v>
      </c>
      <c r="J909" s="948">
        <v>205.0</v>
      </c>
      <c r="K909" s="949">
        <v>-0.03754220203724545</v>
      </c>
      <c r="L909" s="950" t="str">
        <f t="shared" si="1"/>
        <v/>
      </c>
      <c r="M909" s="736"/>
      <c r="N909" s="736"/>
      <c r="O909" s="736"/>
    </row>
    <row r="910">
      <c r="A910" s="951" t="s">
        <v>1001</v>
      </c>
      <c r="B910" s="952" t="s">
        <v>60</v>
      </c>
      <c r="C910" s="953">
        <v>42196.0</v>
      </c>
      <c r="D910" s="954" t="s">
        <v>59</v>
      </c>
      <c r="E910" s="948" t="s">
        <v>63</v>
      </c>
      <c r="F910" s="954" t="s">
        <v>127</v>
      </c>
      <c r="G910" s="954" t="s">
        <v>65</v>
      </c>
      <c r="H910" s="954" t="s">
        <v>66</v>
      </c>
      <c r="I910" s="955">
        <v>0.8</v>
      </c>
      <c r="J910" s="948">
        <v>225.0</v>
      </c>
      <c r="K910" s="949">
        <v>0.008207579625768568</v>
      </c>
      <c r="L910" s="950" t="str">
        <f t="shared" si="1"/>
        <v>yes</v>
      </c>
      <c r="M910" s="736"/>
      <c r="N910" s="736"/>
      <c r="O910" s="736"/>
    </row>
    <row r="911">
      <c r="A911" s="951" t="s">
        <v>1741</v>
      </c>
      <c r="B911" s="952" t="s">
        <v>60</v>
      </c>
      <c r="C911" s="953">
        <v>42194.0</v>
      </c>
      <c r="D911" s="954" t="s">
        <v>86</v>
      </c>
      <c r="E911" s="948" t="s">
        <v>63</v>
      </c>
      <c r="F911" s="954" t="s">
        <v>65</v>
      </c>
      <c r="G911" s="954" t="s">
        <v>64</v>
      </c>
      <c r="H911" s="954" t="s">
        <v>66</v>
      </c>
      <c r="I911" s="955">
        <v>0.9</v>
      </c>
      <c r="J911" s="948">
        <v>205.0</v>
      </c>
      <c r="K911" s="949">
        <v>-0.036273434775173974</v>
      </c>
      <c r="L911" s="950" t="str">
        <f t="shared" si="1"/>
        <v/>
      </c>
      <c r="M911" s="736"/>
      <c r="N911" s="736"/>
      <c r="O911" s="736"/>
    </row>
    <row r="912">
      <c r="A912" s="951" t="s">
        <v>376</v>
      </c>
      <c r="B912" s="952" t="s">
        <v>60</v>
      </c>
      <c r="C912" s="953">
        <v>42192.0</v>
      </c>
      <c r="D912" s="954" t="s">
        <v>59</v>
      </c>
      <c r="E912" s="948" t="s">
        <v>63</v>
      </c>
      <c r="F912" s="954" t="s">
        <v>69</v>
      </c>
      <c r="G912" s="954" t="s">
        <v>69</v>
      </c>
      <c r="H912" s="954" t="s">
        <v>68</v>
      </c>
      <c r="I912" s="955">
        <v>0.9</v>
      </c>
      <c r="J912" s="948">
        <v>203.0</v>
      </c>
      <c r="K912" s="949">
        <v>-0.01253304593481408</v>
      </c>
      <c r="L912" s="950" t="str">
        <f t="shared" si="1"/>
        <v/>
      </c>
      <c r="M912" s="736"/>
      <c r="N912" s="736"/>
      <c r="O912" s="736"/>
    </row>
    <row r="913">
      <c r="A913" s="951" t="s">
        <v>187</v>
      </c>
      <c r="B913" s="952" t="s">
        <v>56</v>
      </c>
      <c r="C913" s="953">
        <v>42192.0</v>
      </c>
      <c r="D913" s="954" t="s">
        <v>86</v>
      </c>
      <c r="E913" s="948" t="s">
        <v>63</v>
      </c>
      <c r="F913" s="954"/>
      <c r="G913" s="954"/>
      <c r="H913" s="954"/>
      <c r="I913" s="955"/>
      <c r="J913" s="948">
        <v>198.0</v>
      </c>
      <c r="K913" s="949">
        <v>-0.009709631625654636</v>
      </c>
      <c r="L913" s="950" t="str">
        <f t="shared" si="1"/>
        <v>yes</v>
      </c>
      <c r="M913" s="736"/>
      <c r="N913" s="736"/>
      <c r="O913" s="736"/>
    </row>
    <row r="914">
      <c r="A914" s="951" t="s">
        <v>122</v>
      </c>
      <c r="B914" s="952" t="s">
        <v>56</v>
      </c>
      <c r="C914" s="953">
        <v>42188.0</v>
      </c>
      <c r="D914" s="954" t="s">
        <v>59</v>
      </c>
      <c r="E914" s="948" t="s">
        <v>63</v>
      </c>
      <c r="F914" s="954" t="s">
        <v>65</v>
      </c>
      <c r="G914" s="954" t="s">
        <v>69</v>
      </c>
      <c r="H914" s="954" t="s">
        <v>68</v>
      </c>
      <c r="I914" s="955"/>
      <c r="J914" s="948">
        <v>204.0</v>
      </c>
      <c r="K914" s="949">
        <v>0.030617084119793248</v>
      </c>
      <c r="L914" s="950" t="str">
        <f t="shared" si="1"/>
        <v>yes</v>
      </c>
      <c r="M914" s="736"/>
      <c r="N914" s="736"/>
      <c r="O914" s="736"/>
    </row>
    <row r="915">
      <c r="A915" s="951" t="s">
        <v>1762</v>
      </c>
      <c r="B915" s="952" t="s">
        <v>60</v>
      </c>
      <c r="C915" s="953">
        <v>42185.0</v>
      </c>
      <c r="D915" s="954" t="s">
        <v>59</v>
      </c>
      <c r="E915" s="948" t="s">
        <v>63</v>
      </c>
      <c r="F915" s="954" t="s">
        <v>67</v>
      </c>
      <c r="G915" s="954" t="s">
        <v>69</v>
      </c>
      <c r="H915" s="954" t="s">
        <v>68</v>
      </c>
      <c r="I915" s="955">
        <v>0.8</v>
      </c>
      <c r="J915" s="948">
        <v>220.0</v>
      </c>
      <c r="K915" s="949">
        <v>0.006909287431711375</v>
      </c>
      <c r="L915" s="950" t="str">
        <f t="shared" si="1"/>
        <v/>
      </c>
      <c r="M915" s="736"/>
      <c r="N915" s="736"/>
      <c r="O915" s="736"/>
    </row>
    <row r="916">
      <c r="A916" s="951" t="s">
        <v>1741</v>
      </c>
      <c r="B916" s="952" t="s">
        <v>60</v>
      </c>
      <c r="C916" s="953">
        <v>42185.0</v>
      </c>
      <c r="D916" s="954" t="s">
        <v>86</v>
      </c>
      <c r="E916" s="948" t="s">
        <v>63</v>
      </c>
      <c r="F916" s="954" t="s">
        <v>65</v>
      </c>
      <c r="G916" s="954" t="s">
        <v>64</v>
      </c>
      <c r="H916" s="954" t="s">
        <v>66</v>
      </c>
      <c r="I916" s="955">
        <v>0.9</v>
      </c>
      <c r="J916" s="948">
        <v>205.0</v>
      </c>
      <c r="K916" s="949">
        <v>-0.03400187377448938</v>
      </c>
      <c r="L916" s="950" t="str">
        <f t="shared" si="1"/>
        <v/>
      </c>
      <c r="M916" s="736"/>
      <c r="N916" s="736"/>
      <c r="O916" s="736"/>
    </row>
    <row r="917">
      <c r="A917" s="951" t="s">
        <v>640</v>
      </c>
      <c r="B917" s="952" t="s">
        <v>60</v>
      </c>
      <c r="C917" s="953">
        <v>42184.0</v>
      </c>
      <c r="D917" s="954" t="s">
        <v>59</v>
      </c>
      <c r="E917" s="948" t="s">
        <v>63</v>
      </c>
      <c r="F917" s="954" t="s">
        <v>67</v>
      </c>
      <c r="G917" s="954" t="s">
        <v>64</v>
      </c>
      <c r="H917" s="954" t="s">
        <v>69</v>
      </c>
      <c r="I917" s="955">
        <v>0.8</v>
      </c>
      <c r="J917" s="948">
        <v>223.0</v>
      </c>
      <c r="K917" s="949">
        <v>-0.004543466284293252</v>
      </c>
      <c r="L917" s="950" t="str">
        <f t="shared" si="1"/>
        <v/>
      </c>
      <c r="M917" s="736"/>
      <c r="N917" s="736"/>
      <c r="O917" s="736"/>
    </row>
    <row r="918">
      <c r="A918" s="951" t="s">
        <v>126</v>
      </c>
      <c r="B918" s="952" t="s">
        <v>60</v>
      </c>
      <c r="C918" s="953">
        <v>42184.0</v>
      </c>
      <c r="D918" s="954" t="s">
        <v>79</v>
      </c>
      <c r="E918" s="948" t="s">
        <v>63</v>
      </c>
      <c r="F918" s="954" t="s">
        <v>65</v>
      </c>
      <c r="G918" s="954" t="s">
        <v>127</v>
      </c>
      <c r="H918" s="954" t="s">
        <v>66</v>
      </c>
      <c r="I918" s="955">
        <v>1.0</v>
      </c>
      <c r="J918" s="948">
        <v>218.0</v>
      </c>
      <c r="K918" s="949">
        <v>0.001001386480906974</v>
      </c>
      <c r="L918" s="950" t="str">
        <f t="shared" si="1"/>
        <v/>
      </c>
      <c r="M918" s="736"/>
      <c r="N918" s="736"/>
      <c r="O918" s="736"/>
    </row>
    <row r="919">
      <c r="A919" s="951" t="s">
        <v>449</v>
      </c>
      <c r="B919" s="952" t="s">
        <v>60</v>
      </c>
      <c r="C919" s="953">
        <v>42183.0</v>
      </c>
      <c r="D919" s="954" t="s">
        <v>59</v>
      </c>
      <c r="E919" s="948" t="s">
        <v>63</v>
      </c>
      <c r="F919" s="954" t="s">
        <v>80</v>
      </c>
      <c r="G919" s="954" t="s">
        <v>64</v>
      </c>
      <c r="H919" s="954" t="s">
        <v>68</v>
      </c>
      <c r="I919" s="955">
        <v>0.7</v>
      </c>
      <c r="J919" s="948">
        <v>189.0</v>
      </c>
      <c r="K919" s="949">
        <v>0.011420684377168588</v>
      </c>
      <c r="L919" s="950" t="str">
        <f t="shared" si="1"/>
        <v/>
      </c>
      <c r="M919" s="736"/>
      <c r="N919" s="736"/>
      <c r="O919" s="736"/>
    </row>
    <row r="920">
      <c r="A920" s="951" t="s">
        <v>112</v>
      </c>
      <c r="B920" s="952" t="s">
        <v>55</v>
      </c>
      <c r="C920" s="953">
        <v>42182.0</v>
      </c>
      <c r="D920" s="954" t="s">
        <v>59</v>
      </c>
      <c r="E920" s="948" t="s">
        <v>63</v>
      </c>
      <c r="F920" s="954" t="s">
        <v>69</v>
      </c>
      <c r="G920" s="954" t="s">
        <v>69</v>
      </c>
      <c r="H920" s="954" t="s">
        <v>68</v>
      </c>
      <c r="I920" s="955">
        <v>0.8</v>
      </c>
      <c r="J920" s="948">
        <v>210.0</v>
      </c>
      <c r="K920" s="949">
        <v>-0.013079017429947437</v>
      </c>
      <c r="L920" s="950" t="str">
        <f t="shared" si="1"/>
        <v>yes</v>
      </c>
      <c r="M920" s="736"/>
      <c r="N920" s="736"/>
      <c r="O920" s="736"/>
    </row>
    <row r="921">
      <c r="A921" s="951" t="s">
        <v>980</v>
      </c>
      <c r="B921" s="952" t="s">
        <v>60</v>
      </c>
      <c r="C921" s="953">
        <v>42181.0</v>
      </c>
      <c r="D921" s="954" t="s">
        <v>109</v>
      </c>
      <c r="E921" s="948" t="s">
        <v>63</v>
      </c>
      <c r="F921" s="954" t="s">
        <v>64</v>
      </c>
      <c r="G921" s="954" t="s">
        <v>64</v>
      </c>
      <c r="H921" s="954" t="s">
        <v>68</v>
      </c>
      <c r="I921" s="955">
        <v>0.8</v>
      </c>
      <c r="J921" s="948">
        <v>200.0</v>
      </c>
      <c r="K921" s="949">
        <v>0.00654755564092957</v>
      </c>
      <c r="L921" s="950" t="str">
        <f t="shared" si="1"/>
        <v>yes</v>
      </c>
      <c r="M921" s="736"/>
      <c r="N921" s="736"/>
      <c r="O921" s="736"/>
    </row>
    <row r="922">
      <c r="A922" s="951" t="s">
        <v>174</v>
      </c>
      <c r="B922" s="952" t="s">
        <v>56</v>
      </c>
      <c r="C922" s="953">
        <v>42181.0</v>
      </c>
      <c r="D922" s="954" t="s">
        <v>59</v>
      </c>
      <c r="E922" s="948" t="s">
        <v>63</v>
      </c>
      <c r="F922" s="954" t="s">
        <v>64</v>
      </c>
      <c r="G922" s="954" t="s">
        <v>69</v>
      </c>
      <c r="H922" s="954" t="s">
        <v>69</v>
      </c>
      <c r="I922" s="955">
        <v>0.9</v>
      </c>
      <c r="J922" s="948">
        <v>173.0</v>
      </c>
      <c r="K922" s="949">
        <v>-0.011414873792549574</v>
      </c>
      <c r="L922" s="950" t="str">
        <f t="shared" si="1"/>
        <v>yes</v>
      </c>
      <c r="M922" s="736"/>
      <c r="N922" s="736"/>
      <c r="O922" s="736"/>
    </row>
    <row r="923">
      <c r="A923" s="951" t="s">
        <v>1741</v>
      </c>
      <c r="B923" s="952" t="s">
        <v>60</v>
      </c>
      <c r="C923" s="953">
        <v>42180.0</v>
      </c>
      <c r="D923" s="954" t="s">
        <v>86</v>
      </c>
      <c r="E923" s="948" t="s">
        <v>63</v>
      </c>
      <c r="F923" s="954" t="s">
        <v>65</v>
      </c>
      <c r="G923" s="954" t="s">
        <v>64</v>
      </c>
      <c r="H923" s="954" t="s">
        <v>66</v>
      </c>
      <c r="I923" s="955">
        <v>0.9</v>
      </c>
      <c r="J923" s="948">
        <v>205.0</v>
      </c>
      <c r="K923" s="949">
        <v>-0.03834883534735711</v>
      </c>
      <c r="L923" s="950" t="str">
        <f t="shared" si="1"/>
        <v/>
      </c>
      <c r="M923" s="736"/>
      <c r="N923" s="736"/>
      <c r="O923" s="736"/>
    </row>
    <row r="924">
      <c r="A924" s="951" t="s">
        <v>331</v>
      </c>
      <c r="B924" s="952" t="s">
        <v>56</v>
      </c>
      <c r="C924" s="953">
        <v>42176.0</v>
      </c>
      <c r="D924" s="954" t="s">
        <v>90</v>
      </c>
      <c r="E924" s="948" t="s">
        <v>63</v>
      </c>
      <c r="F924" s="954" t="s">
        <v>67</v>
      </c>
      <c r="G924" s="954" t="s">
        <v>64</v>
      </c>
      <c r="H924" s="954" t="s">
        <v>68</v>
      </c>
      <c r="I924" s="955">
        <v>0.9</v>
      </c>
      <c r="J924" s="948">
        <v>229.0</v>
      </c>
      <c r="K924" s="949">
        <v>0.009506372566904786</v>
      </c>
      <c r="L924" s="950" t="str">
        <f t="shared" si="1"/>
        <v/>
      </c>
      <c r="M924" s="736"/>
      <c r="N924" s="736"/>
      <c r="O924" s="736"/>
    </row>
    <row r="925">
      <c r="A925" s="951" t="s">
        <v>717</v>
      </c>
      <c r="B925" s="952" t="s">
        <v>60</v>
      </c>
      <c r="C925" s="953">
        <v>42175.0</v>
      </c>
      <c r="D925" s="954" t="s">
        <v>90</v>
      </c>
      <c r="E925" s="948" t="s">
        <v>63</v>
      </c>
      <c r="F925" s="954" t="s">
        <v>67</v>
      </c>
      <c r="G925" s="954" t="s">
        <v>67</v>
      </c>
      <c r="H925" s="954" t="s">
        <v>66</v>
      </c>
      <c r="I925" s="955">
        <v>0.8</v>
      </c>
      <c r="J925" s="948">
        <v>203.0</v>
      </c>
      <c r="K925" s="949">
        <v>0.017682112719275778</v>
      </c>
      <c r="L925" s="950" t="str">
        <f t="shared" si="1"/>
        <v/>
      </c>
      <c r="M925" s="736"/>
      <c r="N925" s="736"/>
      <c r="O925" s="736"/>
    </row>
    <row r="926">
      <c r="A926" s="951" t="s">
        <v>161</v>
      </c>
      <c r="B926" s="952" t="s">
        <v>56</v>
      </c>
      <c r="C926" s="953">
        <v>42174.0</v>
      </c>
      <c r="D926" s="954" t="s">
        <v>59</v>
      </c>
      <c r="E926" s="948" t="s">
        <v>63</v>
      </c>
      <c r="F926" s="954" t="s">
        <v>64</v>
      </c>
      <c r="G926" s="954" t="s">
        <v>69</v>
      </c>
      <c r="H926" s="954" t="s">
        <v>69</v>
      </c>
      <c r="I926" s="955">
        <v>0.9</v>
      </c>
      <c r="J926" s="948">
        <v>186.0</v>
      </c>
      <c r="K926" s="949">
        <v>-0.011154092903108648</v>
      </c>
      <c r="L926" s="950" t="str">
        <f t="shared" si="1"/>
        <v/>
      </c>
      <c r="M926" s="736"/>
      <c r="N926" s="736"/>
      <c r="O926" s="736"/>
    </row>
    <row r="927">
      <c r="A927" s="951" t="s">
        <v>106</v>
      </c>
      <c r="B927" s="952" t="s">
        <v>55</v>
      </c>
      <c r="C927" s="953">
        <v>42169.0</v>
      </c>
      <c r="D927" s="954" t="s">
        <v>79</v>
      </c>
      <c r="E927" s="948" t="s">
        <v>63</v>
      </c>
      <c r="F927" s="954" t="s">
        <v>69</v>
      </c>
      <c r="G927" s="954" t="s">
        <v>69</v>
      </c>
      <c r="H927" s="954" t="s">
        <v>69</v>
      </c>
      <c r="I927" s="955">
        <v>0.7</v>
      </c>
      <c r="J927" s="948">
        <v>194.0</v>
      </c>
      <c r="K927" s="949">
        <v>-0.034734679784522604</v>
      </c>
      <c r="L927" s="950" t="str">
        <f t="shared" si="1"/>
        <v>yes</v>
      </c>
      <c r="M927" s="736"/>
      <c r="N927" s="736"/>
      <c r="O927" s="736"/>
    </row>
    <row r="928">
      <c r="A928" s="951" t="s">
        <v>885</v>
      </c>
      <c r="B928" s="952" t="s">
        <v>60</v>
      </c>
      <c r="C928" s="953">
        <v>42168.0</v>
      </c>
      <c r="D928" s="954" t="s">
        <v>86</v>
      </c>
      <c r="E928" s="948" t="s">
        <v>63</v>
      </c>
      <c r="F928" s="954" t="s">
        <v>65</v>
      </c>
      <c r="G928" s="954" t="s">
        <v>64</v>
      </c>
      <c r="H928" s="954" t="s">
        <v>68</v>
      </c>
      <c r="I928" s="955">
        <v>0.9</v>
      </c>
      <c r="J928" s="948">
        <v>220.0</v>
      </c>
      <c r="K928" s="949">
        <v>-0.05059956257508125</v>
      </c>
      <c r="L928" s="950" t="str">
        <f t="shared" si="1"/>
        <v>yes</v>
      </c>
      <c r="M928" s="736"/>
      <c r="N928" s="736"/>
      <c r="O928" s="736"/>
    </row>
    <row r="929">
      <c r="A929" s="951" t="s">
        <v>201</v>
      </c>
      <c r="B929" s="952" t="s">
        <v>60</v>
      </c>
      <c r="C929" s="953">
        <v>42168.0</v>
      </c>
      <c r="D929" s="954" t="s">
        <v>79</v>
      </c>
      <c r="E929" s="948" t="s">
        <v>63</v>
      </c>
      <c r="F929" s="954" t="s">
        <v>65</v>
      </c>
      <c r="G929" s="954" t="s">
        <v>69</v>
      </c>
      <c r="H929" s="954" t="s">
        <v>68</v>
      </c>
      <c r="I929" s="955">
        <v>0.8</v>
      </c>
      <c r="J929" s="948">
        <v>173.0</v>
      </c>
      <c r="K929" s="949">
        <v>0.0015394152338882305</v>
      </c>
      <c r="L929" s="950" t="str">
        <f t="shared" si="1"/>
        <v/>
      </c>
      <c r="M929" s="736"/>
      <c r="N929" s="736"/>
      <c r="O929" s="736"/>
    </row>
    <row r="930">
      <c r="A930" s="951" t="s">
        <v>541</v>
      </c>
      <c r="B930" s="952" t="s">
        <v>60</v>
      </c>
      <c r="C930" s="953">
        <v>42167.0</v>
      </c>
      <c r="D930" s="954" t="s">
        <v>57</v>
      </c>
      <c r="E930" s="948" t="s">
        <v>63</v>
      </c>
      <c r="F930" s="954" t="s">
        <v>69</v>
      </c>
      <c r="G930" s="954" t="s">
        <v>67</v>
      </c>
      <c r="H930" s="954" t="s">
        <v>68</v>
      </c>
      <c r="I930" s="955">
        <v>0.8</v>
      </c>
      <c r="J930" s="948">
        <v>220.0</v>
      </c>
      <c r="K930" s="949">
        <v>0.01968951800644214</v>
      </c>
      <c r="L930" s="950" t="str">
        <f t="shared" si="1"/>
        <v/>
      </c>
      <c r="M930" s="736"/>
      <c r="N930" s="736"/>
      <c r="O930" s="736"/>
    </row>
    <row r="931">
      <c r="A931" s="951" t="s">
        <v>58</v>
      </c>
      <c r="B931" s="952" t="s">
        <v>60</v>
      </c>
      <c r="C931" s="953">
        <v>42167.0</v>
      </c>
      <c r="D931" s="954" t="s">
        <v>59</v>
      </c>
      <c r="E931" s="948" t="s">
        <v>63</v>
      </c>
      <c r="F931" s="954" t="s">
        <v>65</v>
      </c>
      <c r="G931" s="954" t="s">
        <v>67</v>
      </c>
      <c r="H931" s="954" t="s">
        <v>66</v>
      </c>
      <c r="I931" s="955">
        <v>0.8</v>
      </c>
      <c r="J931" s="948">
        <v>217.0</v>
      </c>
      <c r="K931" s="949">
        <v>0.019194869177027174</v>
      </c>
      <c r="L931" s="950" t="str">
        <f t="shared" si="1"/>
        <v/>
      </c>
      <c r="M931" s="736"/>
      <c r="N931" s="736"/>
      <c r="O931" s="736"/>
    </row>
    <row r="932">
      <c r="A932" s="951" t="s">
        <v>513</v>
      </c>
      <c r="B932" s="952" t="s">
        <v>60</v>
      </c>
      <c r="C932" s="953">
        <v>42167.0</v>
      </c>
      <c r="D932" s="954" t="s">
        <v>59</v>
      </c>
      <c r="E932" s="948" t="s">
        <v>63</v>
      </c>
      <c r="F932" s="954" t="s">
        <v>64</v>
      </c>
      <c r="G932" s="954" t="s">
        <v>69</v>
      </c>
      <c r="H932" s="954" t="s">
        <v>68</v>
      </c>
      <c r="I932" s="955">
        <v>0.8</v>
      </c>
      <c r="J932" s="948">
        <v>233.0</v>
      </c>
      <c r="K932" s="949">
        <v>0.011218642105733312</v>
      </c>
      <c r="L932" s="950" t="str">
        <f t="shared" si="1"/>
        <v/>
      </c>
      <c r="M932" s="736"/>
      <c r="N932" s="736"/>
      <c r="O932" s="736"/>
    </row>
    <row r="933">
      <c r="A933" s="951" t="s">
        <v>1741</v>
      </c>
      <c r="B933" s="952" t="s">
        <v>60</v>
      </c>
      <c r="C933" s="953">
        <v>42167.0</v>
      </c>
      <c r="D933" s="954" t="s">
        <v>86</v>
      </c>
      <c r="E933" s="948" t="s">
        <v>63</v>
      </c>
      <c r="F933" s="954" t="s">
        <v>65</v>
      </c>
      <c r="G933" s="954" t="s">
        <v>64</v>
      </c>
      <c r="H933" s="954" t="s">
        <v>66</v>
      </c>
      <c r="I933" s="955">
        <v>0.9</v>
      </c>
      <c r="J933" s="948">
        <v>205.0</v>
      </c>
      <c r="K933" s="949">
        <v>-0.04241248399844744</v>
      </c>
      <c r="L933" s="950" t="str">
        <f t="shared" si="1"/>
        <v/>
      </c>
      <c r="M933" s="736"/>
      <c r="N933" s="736"/>
      <c r="O933" s="736"/>
    </row>
    <row r="934">
      <c r="A934" s="951" t="s">
        <v>100</v>
      </c>
      <c r="B934" s="952" t="s">
        <v>55</v>
      </c>
      <c r="C934" s="953">
        <v>42167.0</v>
      </c>
      <c r="D934" s="954" t="s">
        <v>59</v>
      </c>
      <c r="E934" s="948" t="s">
        <v>63</v>
      </c>
      <c r="F934" s="954" t="s">
        <v>65</v>
      </c>
      <c r="G934" s="954" t="s">
        <v>69</v>
      </c>
      <c r="H934" s="954" t="s">
        <v>66</v>
      </c>
      <c r="I934" s="955">
        <v>0.9</v>
      </c>
      <c r="J934" s="948">
        <v>223.0</v>
      </c>
      <c r="K934" s="949">
        <v>-0.014663449270595708</v>
      </c>
      <c r="L934" s="950" t="str">
        <f t="shared" si="1"/>
        <v>yes</v>
      </c>
      <c r="M934" s="736"/>
      <c r="N934" s="736"/>
      <c r="O934" s="736"/>
    </row>
    <row r="935">
      <c r="A935" s="951" t="s">
        <v>942</v>
      </c>
      <c r="B935" s="952" t="s">
        <v>60</v>
      </c>
      <c r="C935" s="953">
        <v>42166.0</v>
      </c>
      <c r="D935" s="954" t="s">
        <v>109</v>
      </c>
      <c r="E935" s="948" t="s">
        <v>63</v>
      </c>
      <c r="F935" s="954" t="s">
        <v>68</v>
      </c>
      <c r="G935" s="954" t="s">
        <v>69</v>
      </c>
      <c r="H935" s="954" t="s">
        <v>69</v>
      </c>
      <c r="I935" s="955">
        <v>0.8</v>
      </c>
      <c r="J935" s="948">
        <v>213.0</v>
      </c>
      <c r="K935" s="949">
        <v>0.002236709348896637</v>
      </c>
      <c r="L935" s="950" t="str">
        <f t="shared" si="1"/>
        <v>yes</v>
      </c>
      <c r="M935" s="736"/>
      <c r="N935" s="736"/>
      <c r="O935" s="736"/>
    </row>
    <row r="936">
      <c r="A936" s="951" t="s">
        <v>936</v>
      </c>
      <c r="B936" s="952" t="s">
        <v>60</v>
      </c>
      <c r="C936" s="953">
        <v>42165.0</v>
      </c>
      <c r="D936" s="954" t="s">
        <v>59</v>
      </c>
      <c r="E936" s="948" t="s">
        <v>63</v>
      </c>
      <c r="F936" s="954" t="s">
        <v>68</v>
      </c>
      <c r="G936" s="954" t="s">
        <v>65</v>
      </c>
      <c r="H936" s="954" t="s">
        <v>68</v>
      </c>
      <c r="I936" s="955"/>
      <c r="J936" s="948">
        <v>225.0</v>
      </c>
      <c r="K936" s="949">
        <v>0.024123306011295642</v>
      </c>
      <c r="L936" s="950" t="str">
        <f t="shared" si="1"/>
        <v>yes</v>
      </c>
      <c r="M936" s="736"/>
      <c r="N936" s="736"/>
      <c r="O936" s="736"/>
    </row>
    <row r="937">
      <c r="A937" s="951" t="s">
        <v>717</v>
      </c>
      <c r="B937" s="952" t="s">
        <v>60</v>
      </c>
      <c r="C937" s="953">
        <v>42164.0</v>
      </c>
      <c r="D937" s="954" t="s">
        <v>90</v>
      </c>
      <c r="E937" s="948" t="s">
        <v>63</v>
      </c>
      <c r="F937" s="954" t="s">
        <v>67</v>
      </c>
      <c r="G937" s="954" t="s">
        <v>67</v>
      </c>
      <c r="H937" s="954" t="s">
        <v>68</v>
      </c>
      <c r="I937" s="955">
        <v>0.8</v>
      </c>
      <c r="J937" s="948">
        <v>205.0</v>
      </c>
      <c r="K937" s="949">
        <v>0.014972256843525433</v>
      </c>
      <c r="L937" s="950" t="str">
        <f t="shared" si="1"/>
        <v/>
      </c>
      <c r="M937" s="736"/>
      <c r="N937" s="736"/>
      <c r="O937" s="736"/>
    </row>
    <row r="938">
      <c r="A938" s="951" t="s">
        <v>449</v>
      </c>
      <c r="B938" s="952" t="s">
        <v>60</v>
      </c>
      <c r="C938" s="953">
        <v>42164.0</v>
      </c>
      <c r="D938" s="954" t="s">
        <v>59</v>
      </c>
      <c r="E938" s="948" t="s">
        <v>63</v>
      </c>
      <c r="F938" s="954" t="s">
        <v>80</v>
      </c>
      <c r="G938" s="954" t="s">
        <v>64</v>
      </c>
      <c r="H938" s="954" t="s">
        <v>68</v>
      </c>
      <c r="I938" s="955">
        <v>0.7</v>
      </c>
      <c r="J938" s="948">
        <v>190.0</v>
      </c>
      <c r="K938" s="949">
        <v>-0.001946798234790048</v>
      </c>
      <c r="L938" s="950" t="str">
        <f t="shared" si="1"/>
        <v/>
      </c>
      <c r="M938" s="736"/>
      <c r="N938" s="736"/>
      <c r="O938" s="736"/>
    </row>
    <row r="939">
      <c r="A939" s="951" t="s">
        <v>143</v>
      </c>
      <c r="B939" s="952" t="s">
        <v>56</v>
      </c>
      <c r="C939" s="953">
        <v>42164.0</v>
      </c>
      <c r="D939" s="954" t="s">
        <v>59</v>
      </c>
      <c r="E939" s="948" t="s">
        <v>63</v>
      </c>
      <c r="F939" s="954" t="s">
        <v>67</v>
      </c>
      <c r="G939" s="954" t="s">
        <v>64</v>
      </c>
      <c r="H939" s="954" t="s">
        <v>69</v>
      </c>
      <c r="I939" s="955">
        <v>0.8</v>
      </c>
      <c r="J939" s="948">
        <v>199.0</v>
      </c>
      <c r="K939" s="949">
        <v>0.0037507078799707827</v>
      </c>
      <c r="L939" s="950" t="str">
        <f t="shared" si="1"/>
        <v/>
      </c>
      <c r="M939" s="736"/>
      <c r="N939" s="736"/>
      <c r="O939" s="736"/>
    </row>
    <row r="940">
      <c r="A940" s="951" t="s">
        <v>120</v>
      </c>
      <c r="B940" s="952" t="s">
        <v>55</v>
      </c>
      <c r="C940" s="953">
        <v>42162.0</v>
      </c>
      <c r="D940" s="954" t="s">
        <v>59</v>
      </c>
      <c r="E940" s="948" t="s">
        <v>63</v>
      </c>
      <c r="F940" s="954" t="s">
        <v>69</v>
      </c>
      <c r="G940" s="954" t="s">
        <v>66</v>
      </c>
      <c r="H940" s="954" t="s">
        <v>68</v>
      </c>
      <c r="I940" s="955">
        <v>0.9</v>
      </c>
      <c r="J940" s="948">
        <v>211.0</v>
      </c>
      <c r="K940" s="949">
        <v>-0.0385397146091323</v>
      </c>
      <c r="L940" s="950" t="str">
        <f t="shared" si="1"/>
        <v>yes</v>
      </c>
      <c r="M940" s="736"/>
      <c r="N940" s="736"/>
      <c r="O940" s="736"/>
    </row>
    <row r="941">
      <c r="A941" s="951" t="s">
        <v>513</v>
      </c>
      <c r="B941" s="952" t="s">
        <v>60</v>
      </c>
      <c r="C941" s="953">
        <v>42161.0</v>
      </c>
      <c r="D941" s="954" t="s">
        <v>59</v>
      </c>
      <c r="E941" s="948" t="s">
        <v>63</v>
      </c>
      <c r="F941" s="954" t="s">
        <v>64</v>
      </c>
      <c r="G941" s="954" t="s">
        <v>69</v>
      </c>
      <c r="H941" s="954" t="s">
        <v>68</v>
      </c>
      <c r="I941" s="955">
        <v>0.8</v>
      </c>
      <c r="J941" s="948">
        <v>233.0</v>
      </c>
      <c r="K941" s="949">
        <v>0.009780607656151408</v>
      </c>
      <c r="L941" s="950" t="str">
        <f t="shared" si="1"/>
        <v/>
      </c>
      <c r="M941" s="736"/>
      <c r="N941" s="736"/>
      <c r="O941" s="736"/>
    </row>
    <row r="942">
      <c r="A942" s="951" t="s">
        <v>131</v>
      </c>
      <c r="B942" s="952" t="s">
        <v>56</v>
      </c>
      <c r="C942" s="953">
        <v>42160.0</v>
      </c>
      <c r="D942" s="954" t="s">
        <v>109</v>
      </c>
      <c r="E942" s="948" t="s">
        <v>63</v>
      </c>
      <c r="F942" s="954" t="s">
        <v>65</v>
      </c>
      <c r="G942" s="954" t="s">
        <v>65</v>
      </c>
      <c r="H942" s="954" t="s">
        <v>66</v>
      </c>
      <c r="I942" s="955">
        <v>0.8</v>
      </c>
      <c r="J942" s="948">
        <v>185.0</v>
      </c>
      <c r="K942" s="949">
        <v>-8.575778505585108E-4</v>
      </c>
      <c r="L942" s="950" t="str">
        <f t="shared" si="1"/>
        <v>yes</v>
      </c>
      <c r="M942" s="736"/>
      <c r="N942" s="736"/>
      <c r="O942" s="736"/>
    </row>
    <row r="943">
      <c r="A943" s="951" t="s">
        <v>136</v>
      </c>
      <c r="B943" s="952" t="s">
        <v>56</v>
      </c>
      <c r="C943" s="953">
        <v>42160.0</v>
      </c>
      <c r="D943" s="954" t="s">
        <v>109</v>
      </c>
      <c r="E943" s="948" t="s">
        <v>63</v>
      </c>
      <c r="F943" s="954" t="s">
        <v>64</v>
      </c>
      <c r="G943" s="954" t="s">
        <v>67</v>
      </c>
      <c r="H943" s="954" t="s">
        <v>69</v>
      </c>
      <c r="I943" s="955">
        <v>0.9</v>
      </c>
      <c r="J943" s="948">
        <v>186.0</v>
      </c>
      <c r="K943" s="949">
        <v>-0.10581389635961014</v>
      </c>
      <c r="L943" s="950" t="str">
        <f t="shared" si="1"/>
        <v>yes</v>
      </c>
      <c r="M943" s="736"/>
      <c r="N943" s="736"/>
      <c r="O943" s="736"/>
    </row>
    <row r="944">
      <c r="A944" s="951" t="s">
        <v>212</v>
      </c>
      <c r="B944" s="952" t="s">
        <v>60</v>
      </c>
      <c r="C944" s="953">
        <v>42159.0</v>
      </c>
      <c r="D944" s="954" t="s">
        <v>59</v>
      </c>
      <c r="E944" s="948" t="s">
        <v>195</v>
      </c>
      <c r="F944" s="954" t="s">
        <v>64</v>
      </c>
      <c r="G944" s="954" t="s">
        <v>65</v>
      </c>
      <c r="H944" s="954" t="s">
        <v>69</v>
      </c>
      <c r="I944" s="955">
        <v>0.9</v>
      </c>
      <c r="J944" s="948">
        <v>223.0</v>
      </c>
      <c r="K944" s="949">
        <v>0.003352295175415465</v>
      </c>
      <c r="L944" s="950" t="str">
        <f t="shared" si="1"/>
        <v/>
      </c>
      <c r="M944" s="736"/>
      <c r="N944" s="736"/>
      <c r="O944" s="736"/>
    </row>
    <row r="945">
      <c r="A945" s="951" t="s">
        <v>761</v>
      </c>
      <c r="B945" s="952" t="s">
        <v>60</v>
      </c>
      <c r="C945" s="953">
        <v>42159.0</v>
      </c>
      <c r="D945" s="954" t="s">
        <v>90</v>
      </c>
      <c r="E945" s="948" t="s">
        <v>63</v>
      </c>
      <c r="F945" s="954" t="s">
        <v>80</v>
      </c>
      <c r="G945" s="954" t="s">
        <v>65</v>
      </c>
      <c r="H945" s="954" t="s">
        <v>68</v>
      </c>
      <c r="I945" s="955">
        <v>0.8</v>
      </c>
      <c r="J945" s="948">
        <v>237.0</v>
      </c>
      <c r="K945" s="949">
        <v>0.0012782675770458551</v>
      </c>
      <c r="L945" s="950" t="str">
        <f t="shared" si="1"/>
        <v/>
      </c>
      <c r="M945" s="736"/>
      <c r="N945" s="736"/>
      <c r="O945" s="736"/>
    </row>
    <row r="946">
      <c r="A946" s="951" t="s">
        <v>92</v>
      </c>
      <c r="B946" s="952" t="s">
        <v>55</v>
      </c>
      <c r="C946" s="953">
        <v>42158.0</v>
      </c>
      <c r="D946" s="954" t="s">
        <v>59</v>
      </c>
      <c r="E946" s="948" t="s">
        <v>63</v>
      </c>
      <c r="F946" s="954" t="s">
        <v>64</v>
      </c>
      <c r="G946" s="954" t="s">
        <v>66</v>
      </c>
      <c r="H946" s="954" t="s">
        <v>68</v>
      </c>
      <c r="I946" s="955">
        <v>0.9</v>
      </c>
      <c r="J946" s="948">
        <v>232.0</v>
      </c>
      <c r="K946" s="949">
        <v>0.010534787250486954</v>
      </c>
      <c r="L946" s="950" t="str">
        <f t="shared" si="1"/>
        <v/>
      </c>
      <c r="M946" s="736"/>
      <c r="N946" s="736"/>
      <c r="O946" s="736"/>
    </row>
    <row r="947">
      <c r="A947" s="951" t="s">
        <v>116</v>
      </c>
      <c r="B947" s="952" t="s">
        <v>56</v>
      </c>
      <c r="C947" s="953">
        <v>42157.0</v>
      </c>
      <c r="D947" s="954" t="s">
        <v>118</v>
      </c>
      <c r="E947" s="948" t="s">
        <v>63</v>
      </c>
      <c r="F947" s="954" t="s">
        <v>69</v>
      </c>
      <c r="G947" s="954" t="s">
        <v>66</v>
      </c>
      <c r="H947" s="954" t="s">
        <v>66</v>
      </c>
      <c r="I947" s="955"/>
      <c r="J947" s="948">
        <v>208.0</v>
      </c>
      <c r="K947" s="949">
        <v>3.622675430969835E-4</v>
      </c>
      <c r="L947" s="950" t="str">
        <f t="shared" si="1"/>
        <v>yes</v>
      </c>
      <c r="M947" s="736"/>
      <c r="N947" s="736"/>
      <c r="O947" s="736"/>
    </row>
    <row r="948">
      <c r="A948" s="951" t="s">
        <v>122</v>
      </c>
      <c r="B948" s="952" t="s">
        <v>56</v>
      </c>
      <c r="C948" s="953">
        <v>42157.0</v>
      </c>
      <c r="D948" s="954" t="s">
        <v>59</v>
      </c>
      <c r="E948" s="948" t="s">
        <v>63</v>
      </c>
      <c r="F948" s="954" t="s">
        <v>65</v>
      </c>
      <c r="G948" s="954" t="s">
        <v>69</v>
      </c>
      <c r="H948" s="954" t="s">
        <v>68</v>
      </c>
      <c r="I948" s="955"/>
      <c r="J948" s="948">
        <v>204.0</v>
      </c>
      <c r="K948" s="949">
        <v>0.02440210221806227</v>
      </c>
      <c r="L948" s="950" t="str">
        <f t="shared" si="1"/>
        <v/>
      </c>
      <c r="M948" s="736"/>
      <c r="N948" s="736"/>
      <c r="O948" s="736"/>
    </row>
    <row r="949">
      <c r="A949" s="951" t="s">
        <v>918</v>
      </c>
      <c r="B949" s="952" t="s">
        <v>60</v>
      </c>
      <c r="C949" s="953">
        <v>42155.0</v>
      </c>
      <c r="D949" s="954" t="s">
        <v>59</v>
      </c>
      <c r="E949" s="948" t="s">
        <v>63</v>
      </c>
      <c r="F949" s="954" t="s">
        <v>64</v>
      </c>
      <c r="G949" s="954" t="s">
        <v>64</v>
      </c>
      <c r="H949" s="954" t="s">
        <v>69</v>
      </c>
      <c r="I949" s="955">
        <v>0.9</v>
      </c>
      <c r="J949" s="948">
        <v>239.0</v>
      </c>
      <c r="K949" s="949">
        <v>-0.00853771049951968</v>
      </c>
      <c r="L949" s="950" t="str">
        <f t="shared" si="1"/>
        <v>yes</v>
      </c>
      <c r="M949" s="736"/>
      <c r="N949" s="736"/>
      <c r="O949" s="736"/>
    </row>
    <row r="950">
      <c r="A950" s="951" t="s">
        <v>94</v>
      </c>
      <c r="B950" s="952" t="s">
        <v>56</v>
      </c>
      <c r="C950" s="953">
        <v>42155.0</v>
      </c>
      <c r="D950" s="954" t="s">
        <v>59</v>
      </c>
      <c r="E950" s="948" t="s">
        <v>63</v>
      </c>
      <c r="F950" s="954"/>
      <c r="G950" s="954" t="s">
        <v>68</v>
      </c>
      <c r="H950" s="954"/>
      <c r="I950" s="955"/>
      <c r="J950" s="948">
        <v>209.0</v>
      </c>
      <c r="K950" s="949">
        <v>-0.004363246703829704</v>
      </c>
      <c r="L950" s="950" t="str">
        <f t="shared" si="1"/>
        <v>yes</v>
      </c>
      <c r="M950" s="736"/>
      <c r="N950" s="736"/>
      <c r="O950" s="736"/>
    </row>
    <row r="951">
      <c r="A951" s="951" t="s">
        <v>102</v>
      </c>
      <c r="B951" s="952" t="s">
        <v>56</v>
      </c>
      <c r="C951" s="953">
        <v>42155.0</v>
      </c>
      <c r="D951" s="954" t="s">
        <v>59</v>
      </c>
      <c r="E951" s="948" t="s">
        <v>63</v>
      </c>
      <c r="F951" s="954"/>
      <c r="G951" s="954"/>
      <c r="H951" s="954"/>
      <c r="I951" s="955"/>
      <c r="J951" s="948">
        <v>198.0</v>
      </c>
      <c r="K951" s="949">
        <v>-0.001061727623822506</v>
      </c>
      <c r="L951" s="950" t="str">
        <f t="shared" si="1"/>
        <v>yes</v>
      </c>
      <c r="M951" s="736"/>
      <c r="N951" s="736"/>
      <c r="O951" s="736"/>
    </row>
    <row r="952">
      <c r="A952" s="951" t="s">
        <v>192</v>
      </c>
      <c r="B952" s="952" t="s">
        <v>60</v>
      </c>
      <c r="C952" s="953">
        <v>42153.0</v>
      </c>
      <c r="D952" s="954" t="s">
        <v>79</v>
      </c>
      <c r="E952" s="948" t="s">
        <v>195</v>
      </c>
      <c r="F952" s="954" t="s">
        <v>80</v>
      </c>
      <c r="G952" s="954" t="s">
        <v>65</v>
      </c>
      <c r="H952" s="954" t="s">
        <v>66</v>
      </c>
      <c r="I952" s="955">
        <v>0.9</v>
      </c>
      <c r="J952" s="948">
        <v>250.0</v>
      </c>
      <c r="K952" s="949">
        <v>4.918984941381099E-4</v>
      </c>
      <c r="L952" s="950" t="str">
        <f t="shared" si="1"/>
        <v/>
      </c>
      <c r="M952" s="736"/>
      <c r="N952" s="736"/>
      <c r="O952" s="736"/>
    </row>
    <row r="953">
      <c r="A953" s="951" t="s">
        <v>457</v>
      </c>
      <c r="B953" s="952" t="s">
        <v>60</v>
      </c>
      <c r="C953" s="953">
        <v>42153.0</v>
      </c>
      <c r="D953" s="954" t="s">
        <v>59</v>
      </c>
      <c r="E953" s="948" t="s">
        <v>63</v>
      </c>
      <c r="F953" s="954" t="s">
        <v>64</v>
      </c>
      <c r="G953" s="954" t="s">
        <v>65</v>
      </c>
      <c r="H953" s="954" t="s">
        <v>66</v>
      </c>
      <c r="I953" s="955">
        <v>0.9</v>
      </c>
      <c r="J953" s="948">
        <v>250.0</v>
      </c>
      <c r="K953" s="949">
        <v>0.00429456624482516</v>
      </c>
      <c r="L953" s="950" t="str">
        <f t="shared" si="1"/>
        <v/>
      </c>
      <c r="M953" s="736"/>
      <c r="N953" s="736"/>
      <c r="O953" s="736"/>
    </row>
    <row r="954">
      <c r="A954" s="951" t="s">
        <v>761</v>
      </c>
      <c r="B954" s="952" t="s">
        <v>60</v>
      </c>
      <c r="C954" s="953">
        <v>42153.0</v>
      </c>
      <c r="D954" s="954" t="s">
        <v>90</v>
      </c>
      <c r="E954" s="948" t="s">
        <v>63</v>
      </c>
      <c r="F954" s="954" t="s">
        <v>67</v>
      </c>
      <c r="G954" s="954" t="s">
        <v>65</v>
      </c>
      <c r="H954" s="954" t="s">
        <v>68</v>
      </c>
      <c r="I954" s="955">
        <v>0.8</v>
      </c>
      <c r="J954" s="948">
        <v>237.0</v>
      </c>
      <c r="K954" s="949">
        <v>-2.779076762280397E-4</v>
      </c>
      <c r="L954" s="950" t="str">
        <f t="shared" si="1"/>
        <v/>
      </c>
      <c r="M954" s="736"/>
      <c r="N954" s="736"/>
      <c r="O954" s="736"/>
    </row>
    <row r="955">
      <c r="A955" s="951" t="s">
        <v>513</v>
      </c>
      <c r="B955" s="952" t="s">
        <v>60</v>
      </c>
      <c r="C955" s="953">
        <v>42153.0</v>
      </c>
      <c r="D955" s="954" t="s">
        <v>59</v>
      </c>
      <c r="E955" s="948" t="s">
        <v>63</v>
      </c>
      <c r="F955" s="954" t="s">
        <v>64</v>
      </c>
      <c r="G955" s="954" t="s">
        <v>69</v>
      </c>
      <c r="H955" s="954" t="s">
        <v>68</v>
      </c>
      <c r="I955" s="955">
        <v>0.8</v>
      </c>
      <c r="J955" s="948">
        <v>233.0</v>
      </c>
      <c r="K955" s="949">
        <v>0.014386792500652779</v>
      </c>
      <c r="L955" s="950" t="str">
        <f t="shared" si="1"/>
        <v/>
      </c>
      <c r="M955" s="736"/>
      <c r="N955" s="736"/>
      <c r="O955" s="736"/>
    </row>
    <row r="956">
      <c r="A956" s="951" t="s">
        <v>84</v>
      </c>
      <c r="B956" s="952" t="s">
        <v>60</v>
      </c>
      <c r="C956" s="953">
        <v>42152.0</v>
      </c>
      <c r="D956" s="954" t="s">
        <v>59</v>
      </c>
      <c r="E956" s="948" t="s">
        <v>63</v>
      </c>
      <c r="F956" s="954" t="s">
        <v>69</v>
      </c>
      <c r="G956" s="954" t="s">
        <v>64</v>
      </c>
      <c r="H956" s="954" t="s">
        <v>68</v>
      </c>
      <c r="I956" s="955">
        <v>0.9</v>
      </c>
      <c r="J956" s="948">
        <v>224.0</v>
      </c>
      <c r="K956" s="949">
        <v>0.0037505304573112186</v>
      </c>
      <c r="L956" s="950" t="str">
        <f t="shared" si="1"/>
        <v/>
      </c>
      <c r="M956" s="736"/>
      <c r="N956" s="736"/>
      <c r="O956" s="736"/>
    </row>
    <row r="957">
      <c r="A957" s="951" t="s">
        <v>89</v>
      </c>
      <c r="B957" s="952" t="s">
        <v>56</v>
      </c>
      <c r="C957" s="953">
        <v>42152.0</v>
      </c>
      <c r="D957" s="954" t="s">
        <v>90</v>
      </c>
      <c r="E957" s="948" t="s">
        <v>63</v>
      </c>
      <c r="F957" s="954" t="s">
        <v>67</v>
      </c>
      <c r="G957" s="954" t="s">
        <v>68</v>
      </c>
      <c r="H957" s="954" t="s">
        <v>68</v>
      </c>
      <c r="I957" s="955">
        <v>0.8</v>
      </c>
      <c r="J957" s="948">
        <v>242.0</v>
      </c>
      <c r="K957" s="949">
        <v>-0.008355199499929689</v>
      </c>
      <c r="L957" s="950" t="str">
        <f t="shared" si="1"/>
        <v>yes</v>
      </c>
      <c r="M957" s="736"/>
      <c r="N957" s="736"/>
      <c r="O957" s="736"/>
    </row>
    <row r="958">
      <c r="A958" s="951" t="s">
        <v>640</v>
      </c>
      <c r="B958" s="952" t="s">
        <v>60</v>
      </c>
      <c r="C958" s="953">
        <v>42151.0</v>
      </c>
      <c r="D958" s="954" t="s">
        <v>59</v>
      </c>
      <c r="E958" s="948" t="s">
        <v>63</v>
      </c>
      <c r="F958" s="954" t="s">
        <v>80</v>
      </c>
      <c r="G958" s="954" t="s">
        <v>64</v>
      </c>
      <c r="H958" s="954" t="s">
        <v>69</v>
      </c>
      <c r="I958" s="955">
        <v>0.9</v>
      </c>
      <c r="J958" s="948">
        <v>225.0</v>
      </c>
      <c r="K958" s="949">
        <v>0.0016332056166876718</v>
      </c>
      <c r="L958" s="950" t="str">
        <f t="shared" si="1"/>
        <v/>
      </c>
      <c r="M958" s="736"/>
      <c r="N958" s="736"/>
      <c r="O958" s="736"/>
    </row>
    <row r="959">
      <c r="A959" s="951" t="s">
        <v>717</v>
      </c>
      <c r="B959" s="952" t="s">
        <v>60</v>
      </c>
      <c r="C959" s="953">
        <v>42151.0</v>
      </c>
      <c r="D959" s="954" t="s">
        <v>90</v>
      </c>
      <c r="E959" s="948" t="s">
        <v>63</v>
      </c>
      <c r="F959" s="954" t="s">
        <v>67</v>
      </c>
      <c r="G959" s="954" t="s">
        <v>67</v>
      </c>
      <c r="H959" s="954" t="s">
        <v>68</v>
      </c>
      <c r="I959" s="955">
        <v>0.8</v>
      </c>
      <c r="J959" s="948">
        <v>206.0</v>
      </c>
      <c r="K959" s="949">
        <v>0.014055214120227921</v>
      </c>
      <c r="L959" s="950" t="str">
        <f t="shared" si="1"/>
        <v/>
      </c>
      <c r="M959" s="736"/>
      <c r="N959" s="736"/>
      <c r="O959" s="736"/>
    </row>
    <row r="960">
      <c r="A960" s="951" t="s">
        <v>155</v>
      </c>
      <c r="B960" s="952" t="s">
        <v>60</v>
      </c>
      <c r="C960" s="953">
        <v>42150.0</v>
      </c>
      <c r="D960" s="954" t="s">
        <v>109</v>
      </c>
      <c r="E960" s="948" t="s">
        <v>63</v>
      </c>
      <c r="F960" s="954" t="s">
        <v>80</v>
      </c>
      <c r="G960" s="954" t="s">
        <v>67</v>
      </c>
      <c r="H960" s="954" t="s">
        <v>66</v>
      </c>
      <c r="I960" s="955">
        <v>0.9</v>
      </c>
      <c r="J960" s="948">
        <v>210.0</v>
      </c>
      <c r="K960" s="949">
        <v>-0.006105552950279369</v>
      </c>
      <c r="L960" s="950" t="str">
        <f t="shared" si="1"/>
        <v/>
      </c>
      <c r="M960" s="736"/>
      <c r="N960" s="736"/>
      <c r="O960" s="736"/>
    </row>
    <row r="961">
      <c r="A961" s="951" t="s">
        <v>339</v>
      </c>
      <c r="B961" s="952" t="s">
        <v>60</v>
      </c>
      <c r="C961" s="953">
        <v>42149.0</v>
      </c>
      <c r="D961" s="954" t="s">
        <v>59</v>
      </c>
      <c r="E961" s="948" t="s">
        <v>63</v>
      </c>
      <c r="F961" s="954" t="s">
        <v>69</v>
      </c>
      <c r="G961" s="954" t="s">
        <v>65</v>
      </c>
      <c r="H961" s="954" t="s">
        <v>68</v>
      </c>
      <c r="I961" s="955">
        <v>0.7</v>
      </c>
      <c r="J961" s="948">
        <v>265.0</v>
      </c>
      <c r="K961" s="949">
        <v>-0.0015068736016616846</v>
      </c>
      <c r="L961" s="950" t="str">
        <f t="shared" si="1"/>
        <v/>
      </c>
      <c r="M961" s="736"/>
      <c r="N961" s="736"/>
      <c r="O961" s="736"/>
    </row>
    <row r="962">
      <c r="A962" s="951" t="s">
        <v>623</v>
      </c>
      <c r="B962" s="952" t="s">
        <v>60</v>
      </c>
      <c r="C962" s="953">
        <v>42148.0</v>
      </c>
      <c r="D962" s="954" t="s">
        <v>59</v>
      </c>
      <c r="E962" s="948" t="s">
        <v>63</v>
      </c>
      <c r="F962" s="954" t="s">
        <v>80</v>
      </c>
      <c r="G962" s="954"/>
      <c r="H962" s="954" t="s">
        <v>69</v>
      </c>
      <c r="I962" s="955">
        <v>0.9</v>
      </c>
      <c r="J962" s="948">
        <v>192.0</v>
      </c>
      <c r="K962" s="949">
        <v>-0.00888510502221429</v>
      </c>
      <c r="L962" s="950" t="str">
        <f t="shared" si="1"/>
        <v/>
      </c>
      <c r="M962" s="736"/>
      <c r="N962" s="736"/>
      <c r="O962" s="736"/>
    </row>
    <row r="963">
      <c r="A963" s="951" t="s">
        <v>126</v>
      </c>
      <c r="B963" s="952" t="s">
        <v>60</v>
      </c>
      <c r="C963" s="953">
        <v>42146.0</v>
      </c>
      <c r="D963" s="954" t="s">
        <v>79</v>
      </c>
      <c r="E963" s="948" t="s">
        <v>63</v>
      </c>
      <c r="F963" s="954" t="s">
        <v>65</v>
      </c>
      <c r="G963" s="954" t="s">
        <v>127</v>
      </c>
      <c r="H963" s="954" t="s">
        <v>66</v>
      </c>
      <c r="I963" s="955">
        <v>1.0</v>
      </c>
      <c r="J963" s="948">
        <v>218.0</v>
      </c>
      <c r="K963" s="949">
        <v>0.0101942610311071</v>
      </c>
      <c r="L963" s="950" t="str">
        <f t="shared" si="1"/>
        <v/>
      </c>
      <c r="M963" s="736"/>
      <c r="N963" s="736"/>
      <c r="O963" s="736"/>
    </row>
    <row r="964">
      <c r="A964" s="951" t="s">
        <v>717</v>
      </c>
      <c r="B964" s="952" t="s">
        <v>60</v>
      </c>
      <c r="C964" s="953">
        <v>42146.0</v>
      </c>
      <c r="D964" s="954" t="s">
        <v>90</v>
      </c>
      <c r="E964" s="948" t="s">
        <v>63</v>
      </c>
      <c r="F964" s="954" t="s">
        <v>67</v>
      </c>
      <c r="G964" s="954" t="s">
        <v>67</v>
      </c>
      <c r="H964" s="954" t="s">
        <v>68</v>
      </c>
      <c r="I964" s="955">
        <v>0.8</v>
      </c>
      <c r="J964" s="948">
        <v>208.0</v>
      </c>
      <c r="K964" s="949">
        <v>0.011331368720641666</v>
      </c>
      <c r="L964" s="950" t="str">
        <f t="shared" si="1"/>
        <v/>
      </c>
      <c r="M964" s="736"/>
      <c r="N964" s="736"/>
      <c r="O964" s="736"/>
    </row>
    <row r="965">
      <c r="A965" s="951" t="s">
        <v>885</v>
      </c>
      <c r="B965" s="952" t="s">
        <v>60</v>
      </c>
      <c r="C965" s="953">
        <v>42146.0</v>
      </c>
      <c r="D965" s="954" t="s">
        <v>86</v>
      </c>
      <c r="E965" s="948" t="s">
        <v>63</v>
      </c>
      <c r="F965" s="954" t="s">
        <v>65</v>
      </c>
      <c r="G965" s="954" t="s">
        <v>64</v>
      </c>
      <c r="H965" s="954" t="s">
        <v>68</v>
      </c>
      <c r="I965" s="955">
        <v>0.9</v>
      </c>
      <c r="J965" s="948">
        <v>222.0</v>
      </c>
      <c r="K965" s="949">
        <v>-0.04945894114071092</v>
      </c>
      <c r="L965" s="950" t="str">
        <f t="shared" si="1"/>
        <v/>
      </c>
      <c r="M965" s="736"/>
      <c r="N965" s="736"/>
      <c r="O965" s="736"/>
    </row>
    <row r="966">
      <c r="A966" s="951" t="s">
        <v>623</v>
      </c>
      <c r="B966" s="952" t="s">
        <v>60</v>
      </c>
      <c r="C966" s="953">
        <v>42144.0</v>
      </c>
      <c r="D966" s="954" t="s">
        <v>59</v>
      </c>
      <c r="E966" s="948" t="s">
        <v>63</v>
      </c>
      <c r="F966" s="954" t="s">
        <v>80</v>
      </c>
      <c r="G966" s="954" t="s">
        <v>127</v>
      </c>
      <c r="H966" s="954" t="s">
        <v>69</v>
      </c>
      <c r="I966" s="955">
        <v>0.9</v>
      </c>
      <c r="J966" s="948">
        <v>192.0</v>
      </c>
      <c r="K966" s="949">
        <v>-0.011824700333852523</v>
      </c>
      <c r="L966" s="950" t="str">
        <f t="shared" si="1"/>
        <v/>
      </c>
      <c r="M966" s="736"/>
      <c r="N966" s="736"/>
      <c r="O966" s="736"/>
    </row>
    <row r="967">
      <c r="A967" s="951" t="s">
        <v>872</v>
      </c>
      <c r="B967" s="952" t="s">
        <v>60</v>
      </c>
      <c r="C967" s="953">
        <v>42143.0</v>
      </c>
      <c r="D967" s="954" t="s">
        <v>59</v>
      </c>
      <c r="E967" s="948" t="s">
        <v>195</v>
      </c>
      <c r="F967" s="954" t="s">
        <v>80</v>
      </c>
      <c r="G967" s="954" t="s">
        <v>65</v>
      </c>
      <c r="H967" s="954" t="s">
        <v>69</v>
      </c>
      <c r="I967" s="955">
        <v>0.9</v>
      </c>
      <c r="J967" s="948">
        <v>254.0</v>
      </c>
      <c r="K967" s="949">
        <v>-0.0020895472537051374</v>
      </c>
      <c r="L967" s="950" t="str">
        <f t="shared" si="1"/>
        <v>yes</v>
      </c>
      <c r="M967" s="736"/>
      <c r="N967" s="736"/>
      <c r="O967" s="736"/>
    </row>
    <row r="968">
      <c r="A968" s="951" t="s">
        <v>147</v>
      </c>
      <c r="B968" s="952" t="s">
        <v>60</v>
      </c>
      <c r="C968" s="953">
        <v>42143.0</v>
      </c>
      <c r="D968" s="954" t="s">
        <v>79</v>
      </c>
      <c r="E968" s="948" t="s">
        <v>63</v>
      </c>
      <c r="F968" s="954"/>
      <c r="G968" s="954"/>
      <c r="H968" s="954"/>
      <c r="I968" s="955"/>
      <c r="J968" s="948">
        <v>229.0</v>
      </c>
      <c r="K968" s="949">
        <v>-0.012116214773122969</v>
      </c>
      <c r="L968" s="950" t="str">
        <f t="shared" si="1"/>
        <v/>
      </c>
      <c r="M968" s="736"/>
      <c r="N968" s="736"/>
      <c r="O968" s="736"/>
    </row>
    <row r="969">
      <c r="A969" s="951" t="s">
        <v>212</v>
      </c>
      <c r="B969" s="952" t="s">
        <v>60</v>
      </c>
      <c r="C969" s="953">
        <v>42142.0</v>
      </c>
      <c r="D969" s="954" t="s">
        <v>59</v>
      </c>
      <c r="E969" s="948" t="s">
        <v>195</v>
      </c>
      <c r="F969" s="954" t="s">
        <v>65</v>
      </c>
      <c r="G969" s="954" t="s">
        <v>64</v>
      </c>
      <c r="H969" s="954" t="s">
        <v>66</v>
      </c>
      <c r="I969" s="955">
        <v>0.9</v>
      </c>
      <c r="J969" s="948">
        <v>224.0</v>
      </c>
      <c r="K969" s="949">
        <v>0.0028524620451390037</v>
      </c>
      <c r="L969" s="950" t="str">
        <f t="shared" si="1"/>
        <v/>
      </c>
      <c r="M969" s="736"/>
      <c r="N969" s="736"/>
      <c r="O969" s="736"/>
    </row>
    <row r="970">
      <c r="A970" s="951" t="s">
        <v>878</v>
      </c>
      <c r="B970" s="952" t="s">
        <v>60</v>
      </c>
      <c r="C970" s="953">
        <v>42142.0</v>
      </c>
      <c r="D970" s="954" t="s">
        <v>79</v>
      </c>
      <c r="E970" s="948" t="s">
        <v>63</v>
      </c>
      <c r="F970" s="954" t="s">
        <v>80</v>
      </c>
      <c r="G970" s="954" t="s">
        <v>69</v>
      </c>
      <c r="H970" s="954" t="s">
        <v>65</v>
      </c>
      <c r="I970" s="955">
        <v>0.7</v>
      </c>
      <c r="J970" s="948">
        <v>242.0</v>
      </c>
      <c r="K970" s="949">
        <v>0.013492351300289362</v>
      </c>
      <c r="L970" s="950" t="str">
        <f t="shared" si="1"/>
        <v>yes</v>
      </c>
      <c r="M970" s="736"/>
      <c r="N970" s="736"/>
      <c r="O970" s="736"/>
    </row>
    <row r="971">
      <c r="A971" s="951" t="s">
        <v>361</v>
      </c>
      <c r="B971" s="952" t="s">
        <v>60</v>
      </c>
      <c r="C971" s="953">
        <v>42142.0</v>
      </c>
      <c r="D971" s="954" t="s">
        <v>59</v>
      </c>
      <c r="E971" s="948" t="s">
        <v>195</v>
      </c>
      <c r="F971" s="954" t="s">
        <v>69</v>
      </c>
      <c r="G971" s="954" t="s">
        <v>69</v>
      </c>
      <c r="H971" s="954" t="s">
        <v>69</v>
      </c>
      <c r="I971" s="955">
        <v>0.7</v>
      </c>
      <c r="J971" s="948">
        <v>230.0</v>
      </c>
      <c r="K971" s="949">
        <v>0.0148087233060884</v>
      </c>
      <c r="L971" s="950" t="str">
        <f t="shared" si="1"/>
        <v/>
      </c>
      <c r="M971" s="736"/>
      <c r="N971" s="736"/>
      <c r="O971" s="736"/>
    </row>
    <row r="972">
      <c r="A972" s="951" t="s">
        <v>1468</v>
      </c>
      <c r="B972" s="952" t="s">
        <v>60</v>
      </c>
      <c r="C972" s="953">
        <v>42142.0</v>
      </c>
      <c r="D972" s="954" t="s">
        <v>86</v>
      </c>
      <c r="E972" s="948" t="s">
        <v>63</v>
      </c>
      <c r="F972" s="954" t="s">
        <v>64</v>
      </c>
      <c r="G972" s="954" t="s">
        <v>64</v>
      </c>
      <c r="H972" s="954" t="s">
        <v>64</v>
      </c>
      <c r="I972" s="955">
        <v>0.8</v>
      </c>
      <c r="J972" s="948">
        <v>234.0</v>
      </c>
      <c r="K972" s="949">
        <v>-0.03209514277942316</v>
      </c>
      <c r="L972" s="950" t="str">
        <f t="shared" si="1"/>
        <v/>
      </c>
      <c r="M972" s="736"/>
      <c r="N972" s="736"/>
      <c r="O972" s="736"/>
    </row>
    <row r="973">
      <c r="A973" s="951" t="s">
        <v>449</v>
      </c>
      <c r="B973" s="952" t="s">
        <v>60</v>
      </c>
      <c r="C973" s="953">
        <v>42141.0</v>
      </c>
      <c r="D973" s="954" t="s">
        <v>59</v>
      </c>
      <c r="E973" s="948" t="s">
        <v>63</v>
      </c>
      <c r="F973" s="954" t="s">
        <v>80</v>
      </c>
      <c r="G973" s="954" t="s">
        <v>64</v>
      </c>
      <c r="H973" s="954" t="s">
        <v>68</v>
      </c>
      <c r="I973" s="955">
        <v>0.7</v>
      </c>
      <c r="J973" s="948">
        <v>191.0</v>
      </c>
      <c r="K973" s="949">
        <v>-0.0113548127136891</v>
      </c>
      <c r="L973" s="950" t="str">
        <f t="shared" si="1"/>
        <v/>
      </c>
      <c r="M973" s="736"/>
      <c r="N973" s="736"/>
      <c r="O973" s="736"/>
    </row>
    <row r="974">
      <c r="A974" s="951" t="s">
        <v>876</v>
      </c>
      <c r="B974" s="952" t="s">
        <v>60</v>
      </c>
      <c r="C974" s="953">
        <v>42138.0</v>
      </c>
      <c r="D974" s="954" t="s">
        <v>79</v>
      </c>
      <c r="E974" s="948" t="s">
        <v>63</v>
      </c>
      <c r="F974" s="954" t="s">
        <v>65</v>
      </c>
      <c r="G974" s="954" t="s">
        <v>69</v>
      </c>
      <c r="H974" s="954" t="s">
        <v>68</v>
      </c>
      <c r="I974" s="955">
        <v>0.7</v>
      </c>
      <c r="J974" s="948">
        <v>218.0</v>
      </c>
      <c r="K974" s="949">
        <v>-0.004842069749603439</v>
      </c>
      <c r="L974" s="950" t="str">
        <f t="shared" si="1"/>
        <v/>
      </c>
      <c r="M974" s="736"/>
      <c r="N974" s="736"/>
      <c r="O974" s="736"/>
    </row>
    <row r="975">
      <c r="A975" s="951" t="s">
        <v>53</v>
      </c>
      <c r="B975" s="952" t="s">
        <v>55</v>
      </c>
      <c r="C975" s="953">
        <v>42136.0</v>
      </c>
      <c r="D975" s="954" t="s">
        <v>57</v>
      </c>
      <c r="E975" s="948" t="s">
        <v>63</v>
      </c>
      <c r="F975" s="954" t="s">
        <v>69</v>
      </c>
      <c r="G975" s="954" t="s">
        <v>69</v>
      </c>
      <c r="H975" s="954" t="s">
        <v>69</v>
      </c>
      <c r="I975" s="955">
        <v>0.7</v>
      </c>
      <c r="J975" s="948">
        <v>201.0</v>
      </c>
      <c r="K975" s="949">
        <v>0.002764504856677341</v>
      </c>
      <c r="L975" s="950" t="str">
        <f t="shared" si="1"/>
        <v>yes</v>
      </c>
      <c r="M975" s="736"/>
      <c r="N975" s="736"/>
      <c r="O975" s="736"/>
    </row>
    <row r="976">
      <c r="A976" s="951" t="s">
        <v>78</v>
      </c>
      <c r="B976" s="952" t="s">
        <v>56</v>
      </c>
      <c r="C976" s="953">
        <v>42135.0</v>
      </c>
      <c r="D976" s="954" t="s">
        <v>79</v>
      </c>
      <c r="E976" s="948" t="s">
        <v>63</v>
      </c>
      <c r="F976" s="954" t="s">
        <v>67</v>
      </c>
      <c r="G976" s="954" t="s">
        <v>69</v>
      </c>
      <c r="H976" s="954" t="s">
        <v>66</v>
      </c>
      <c r="I976" s="955">
        <v>0.9</v>
      </c>
      <c r="J976" s="948">
        <v>189.0</v>
      </c>
      <c r="K976" s="949">
        <v>-0.005780602360356379</v>
      </c>
      <c r="L976" s="950" t="str">
        <f t="shared" si="1"/>
        <v/>
      </c>
      <c r="M976" s="736"/>
      <c r="N976" s="736"/>
      <c r="O976" s="736"/>
    </row>
    <row r="977">
      <c r="A977" s="951" t="s">
        <v>85</v>
      </c>
      <c r="B977" s="952" t="s">
        <v>56</v>
      </c>
      <c r="C977" s="953">
        <v>42135.0</v>
      </c>
      <c r="D977" s="954" t="s">
        <v>86</v>
      </c>
      <c r="E977" s="948" t="s">
        <v>63</v>
      </c>
      <c r="F977" s="954" t="s">
        <v>65</v>
      </c>
      <c r="G977" s="954" t="s">
        <v>65</v>
      </c>
      <c r="H977" s="954" t="s">
        <v>68</v>
      </c>
      <c r="I977" s="955">
        <v>0.8</v>
      </c>
      <c r="J977" s="948">
        <v>201.0</v>
      </c>
      <c r="K977" s="949">
        <v>0.026926471893462423</v>
      </c>
      <c r="L977" s="950" t="str">
        <f t="shared" si="1"/>
        <v>yes</v>
      </c>
      <c r="M977" s="736"/>
      <c r="N977" s="736"/>
      <c r="O977" s="736"/>
    </row>
    <row r="978">
      <c r="A978" s="951" t="s">
        <v>761</v>
      </c>
      <c r="B978" s="952" t="s">
        <v>60</v>
      </c>
      <c r="C978" s="953">
        <v>42134.0</v>
      </c>
      <c r="D978" s="954" t="s">
        <v>90</v>
      </c>
      <c r="E978" s="948" t="s">
        <v>63</v>
      </c>
      <c r="F978" s="954" t="s">
        <v>80</v>
      </c>
      <c r="G978" s="954" t="s">
        <v>65</v>
      </c>
      <c r="H978" s="954" t="s">
        <v>68</v>
      </c>
      <c r="I978" s="955">
        <v>0.8</v>
      </c>
      <c r="J978" s="948">
        <v>237.0</v>
      </c>
      <c r="K978" s="949">
        <v>0.005686428108202857</v>
      </c>
      <c r="L978" s="950" t="str">
        <f t="shared" si="1"/>
        <v/>
      </c>
      <c r="M978" s="736"/>
      <c r="N978" s="736"/>
      <c r="O978" s="736"/>
    </row>
    <row r="979">
      <c r="A979" s="951" t="s">
        <v>285</v>
      </c>
      <c r="B979" s="952" t="s">
        <v>60</v>
      </c>
      <c r="C979" s="953">
        <v>42134.0</v>
      </c>
      <c r="D979" s="954" t="s">
        <v>57</v>
      </c>
      <c r="E979" s="948" t="s">
        <v>195</v>
      </c>
      <c r="F979" s="954" t="s">
        <v>64</v>
      </c>
      <c r="G979" s="954" t="s">
        <v>65</v>
      </c>
      <c r="H979" s="954" t="s">
        <v>66</v>
      </c>
      <c r="I979" s="955">
        <v>0.9</v>
      </c>
      <c r="J979" s="948">
        <v>225.0</v>
      </c>
      <c r="K979" s="949">
        <v>0.013456697767080361</v>
      </c>
      <c r="L979" s="950" t="str">
        <f t="shared" si="1"/>
        <v>yes</v>
      </c>
      <c r="M979" s="736"/>
      <c r="N979" s="736"/>
      <c r="O979" s="736"/>
    </row>
    <row r="980">
      <c r="A980" s="951" t="s">
        <v>717</v>
      </c>
      <c r="B980" s="952" t="s">
        <v>60</v>
      </c>
      <c r="C980" s="953">
        <v>42134.0</v>
      </c>
      <c r="D980" s="954" t="s">
        <v>90</v>
      </c>
      <c r="E980" s="948" t="s">
        <v>63</v>
      </c>
      <c r="F980" s="954" t="s">
        <v>80</v>
      </c>
      <c r="G980" s="954" t="s">
        <v>67</v>
      </c>
      <c r="H980" s="954" t="s">
        <v>66</v>
      </c>
      <c r="I980" s="955">
        <v>0.8</v>
      </c>
      <c r="J980" s="948">
        <v>205.0</v>
      </c>
      <c r="K980" s="949">
        <v>0.011970595911181103</v>
      </c>
      <c r="L980" s="950" t="str">
        <f t="shared" si="1"/>
        <v/>
      </c>
      <c r="M980" s="736"/>
      <c r="N980" s="736"/>
      <c r="O980" s="736"/>
    </row>
    <row r="981">
      <c r="A981" s="951" t="s">
        <v>331</v>
      </c>
      <c r="B981" s="952" t="s">
        <v>56</v>
      </c>
      <c r="C981" s="953">
        <v>42134.0</v>
      </c>
      <c r="D981" s="954" t="s">
        <v>90</v>
      </c>
      <c r="E981" s="948" t="s">
        <v>63</v>
      </c>
      <c r="F981" s="954" t="s">
        <v>67</v>
      </c>
      <c r="G981" s="954" t="s">
        <v>65</v>
      </c>
      <c r="H981" s="954" t="s">
        <v>68</v>
      </c>
      <c r="I981" s="955">
        <v>0.9</v>
      </c>
      <c r="J981" s="948">
        <v>232.0</v>
      </c>
      <c r="K981" s="949">
        <v>0.010186141536955184</v>
      </c>
      <c r="L981" s="950" t="str">
        <f t="shared" si="1"/>
        <v/>
      </c>
      <c r="M981" s="736"/>
      <c r="N981" s="736"/>
      <c r="O981" s="736"/>
    </row>
    <row r="982">
      <c r="A982" s="951" t="s">
        <v>843</v>
      </c>
      <c r="B982" s="952" t="s">
        <v>60</v>
      </c>
      <c r="C982" s="953">
        <v>42132.0</v>
      </c>
      <c r="D982" s="954" t="s">
        <v>90</v>
      </c>
      <c r="E982" s="948" t="s">
        <v>63</v>
      </c>
      <c r="F982" s="954" t="s">
        <v>65</v>
      </c>
      <c r="G982" s="954" t="s">
        <v>65</v>
      </c>
      <c r="H982" s="954" t="s">
        <v>64</v>
      </c>
      <c r="I982" s="955">
        <v>0.9</v>
      </c>
      <c r="J982" s="948">
        <v>268.0</v>
      </c>
      <c r="K982" s="949">
        <v>0.011803565000183536</v>
      </c>
      <c r="L982" s="950" t="str">
        <f t="shared" si="1"/>
        <v>yes</v>
      </c>
      <c r="M982" s="736"/>
      <c r="N982" s="736"/>
      <c r="O982" s="736"/>
    </row>
    <row r="983">
      <c r="A983" s="951" t="s">
        <v>813</v>
      </c>
      <c r="B983" s="952" t="s">
        <v>60</v>
      </c>
      <c r="C983" s="953">
        <v>42131.0</v>
      </c>
      <c r="D983" s="954" t="s">
        <v>59</v>
      </c>
      <c r="E983" s="948" t="s">
        <v>63</v>
      </c>
      <c r="F983" s="954" t="s">
        <v>67</v>
      </c>
      <c r="G983" s="954" t="s">
        <v>65</v>
      </c>
      <c r="H983" s="954" t="s">
        <v>68</v>
      </c>
      <c r="I983" s="955">
        <v>0.9</v>
      </c>
      <c r="J983" s="948">
        <v>224.0</v>
      </c>
      <c r="K983" s="949">
        <v>0.011424699324453447</v>
      </c>
      <c r="L983" s="950" t="str">
        <f t="shared" si="1"/>
        <v/>
      </c>
      <c r="M983" s="736"/>
      <c r="N983" s="736"/>
      <c r="O983" s="736"/>
    </row>
    <row r="984">
      <c r="A984" s="951" t="s">
        <v>761</v>
      </c>
      <c r="B984" s="952" t="s">
        <v>60</v>
      </c>
      <c r="C984" s="953">
        <v>42131.0</v>
      </c>
      <c r="D984" s="954" t="s">
        <v>90</v>
      </c>
      <c r="E984" s="948" t="s">
        <v>63</v>
      </c>
      <c r="F984" s="954" t="s">
        <v>67</v>
      </c>
      <c r="G984" s="954" t="s">
        <v>65</v>
      </c>
      <c r="H984" s="954" t="s">
        <v>68</v>
      </c>
      <c r="I984" s="955">
        <v>0.8</v>
      </c>
      <c r="J984" s="948">
        <v>244.0</v>
      </c>
      <c r="K984" s="949">
        <v>0.002807638236790977</v>
      </c>
      <c r="L984" s="950" t="str">
        <f t="shared" si="1"/>
        <v/>
      </c>
      <c r="M984" s="736"/>
      <c r="N984" s="736"/>
      <c r="O984" s="736"/>
    </row>
    <row r="985">
      <c r="A985" s="951" t="s">
        <v>324</v>
      </c>
      <c r="B985" s="952" t="s">
        <v>60</v>
      </c>
      <c r="C985" s="953">
        <v>42129.0</v>
      </c>
      <c r="D985" s="954" t="s">
        <v>79</v>
      </c>
      <c r="E985" s="948" t="s">
        <v>63</v>
      </c>
      <c r="F985" s="954" t="s">
        <v>80</v>
      </c>
      <c r="G985" s="954" t="s">
        <v>69</v>
      </c>
      <c r="H985" s="954" t="s">
        <v>69</v>
      </c>
      <c r="I985" s="955">
        <v>0.8</v>
      </c>
      <c r="J985" s="948">
        <v>207.0</v>
      </c>
      <c r="K985" s="949">
        <v>0.0013455695872550688</v>
      </c>
      <c r="L985" s="950" t="str">
        <f t="shared" si="1"/>
        <v>yes</v>
      </c>
      <c r="M985" s="736"/>
      <c r="N985" s="736"/>
      <c r="O985" s="736"/>
    </row>
    <row r="986">
      <c r="A986" s="951" t="s">
        <v>595</v>
      </c>
      <c r="B986" s="952" t="s">
        <v>60</v>
      </c>
      <c r="C986" s="953">
        <v>42128.0</v>
      </c>
      <c r="D986" s="954" t="s">
        <v>59</v>
      </c>
      <c r="E986" s="948" t="s">
        <v>63</v>
      </c>
      <c r="F986" s="954" t="s">
        <v>65</v>
      </c>
      <c r="G986" s="954" t="s">
        <v>64</v>
      </c>
      <c r="H986" s="954" t="s">
        <v>69</v>
      </c>
      <c r="I986" s="955">
        <v>0.8</v>
      </c>
      <c r="J986" s="948">
        <v>218.0</v>
      </c>
      <c r="K986" s="949">
        <v>0.006993063361151797</v>
      </c>
      <c r="L986" s="950" t="str">
        <f t="shared" si="1"/>
        <v>yes</v>
      </c>
      <c r="M986" s="736"/>
      <c r="N986" s="736"/>
      <c r="O986" s="736"/>
    </row>
    <row r="987">
      <c r="A987" s="951" t="s">
        <v>717</v>
      </c>
      <c r="B987" s="952" t="s">
        <v>60</v>
      </c>
      <c r="C987" s="953">
        <v>42125.0</v>
      </c>
      <c r="D987" s="954" t="s">
        <v>90</v>
      </c>
      <c r="E987" s="948" t="s">
        <v>63</v>
      </c>
      <c r="F987" s="954" t="s">
        <v>65</v>
      </c>
      <c r="G987" s="954" t="s">
        <v>65</v>
      </c>
      <c r="H987" s="954" t="s">
        <v>68</v>
      </c>
      <c r="I987" s="955">
        <v>0.8</v>
      </c>
      <c r="J987" s="948">
        <v>212.0</v>
      </c>
      <c r="K987" s="949">
        <v>0.008858744006498998</v>
      </c>
      <c r="L987" s="950" t="str">
        <f t="shared" si="1"/>
        <v/>
      </c>
      <c r="M987" s="736"/>
      <c r="N987" s="736"/>
      <c r="O987" s="736"/>
    </row>
    <row r="988">
      <c r="A988" s="951" t="s">
        <v>328</v>
      </c>
      <c r="B988" s="952" t="s">
        <v>60</v>
      </c>
      <c r="C988" s="953">
        <v>42125.0</v>
      </c>
      <c r="D988" s="954" t="s">
        <v>59</v>
      </c>
      <c r="E988" s="948" t="s">
        <v>63</v>
      </c>
      <c r="F988" s="954" t="s">
        <v>64</v>
      </c>
      <c r="G988" s="954" t="s">
        <v>66</v>
      </c>
      <c r="H988" s="954" t="s">
        <v>66</v>
      </c>
      <c r="I988" s="955">
        <v>0.8</v>
      </c>
      <c r="J988" s="948">
        <v>211.0</v>
      </c>
      <c r="K988" s="949">
        <v>0.002906299088964004</v>
      </c>
      <c r="L988" s="950" t="str">
        <f t="shared" si="1"/>
        <v/>
      </c>
      <c r="M988" s="736"/>
      <c r="N988" s="736"/>
      <c r="O988" s="736"/>
    </row>
    <row r="989">
      <c r="A989" s="951" t="s">
        <v>381</v>
      </c>
      <c r="B989" s="952" t="s">
        <v>60</v>
      </c>
      <c r="C989" s="953">
        <v>42125.0</v>
      </c>
      <c r="D989" s="954" t="s">
        <v>79</v>
      </c>
      <c r="E989" s="948" t="s">
        <v>195</v>
      </c>
      <c r="F989" s="954" t="s">
        <v>64</v>
      </c>
      <c r="G989" s="954" t="s">
        <v>69</v>
      </c>
      <c r="H989" s="954" t="s">
        <v>66</v>
      </c>
      <c r="I989" s="955">
        <v>0.8</v>
      </c>
      <c r="J989" s="948">
        <v>224.0</v>
      </c>
      <c r="K989" s="949">
        <v>0.006644639451274692</v>
      </c>
      <c r="L989" s="950" t="str">
        <f t="shared" si="1"/>
        <v>yes</v>
      </c>
      <c r="M989" s="736"/>
      <c r="N989" s="736"/>
      <c r="O989" s="736"/>
    </row>
    <row r="990">
      <c r="A990" s="951" t="s">
        <v>108</v>
      </c>
      <c r="B990" s="952" t="s">
        <v>56</v>
      </c>
      <c r="C990" s="953">
        <v>42125.0</v>
      </c>
      <c r="D990" s="954" t="s">
        <v>109</v>
      </c>
      <c r="E990" s="948" t="s">
        <v>63</v>
      </c>
      <c r="F990" s="954" t="s">
        <v>65</v>
      </c>
      <c r="G990" s="954" t="s">
        <v>65</v>
      </c>
      <c r="H990" s="954" t="s">
        <v>66</v>
      </c>
      <c r="I990" s="955">
        <v>0.9</v>
      </c>
      <c r="J990" s="948">
        <v>196.0</v>
      </c>
      <c r="K990" s="949">
        <v>-0.05517775067703501</v>
      </c>
      <c r="L990" s="950" t="str">
        <f t="shared" si="1"/>
        <v>yes</v>
      </c>
      <c r="M990" s="736"/>
      <c r="N990" s="736"/>
      <c r="O990" s="736"/>
    </row>
    <row r="991">
      <c r="A991" s="951" t="s">
        <v>265</v>
      </c>
      <c r="B991" s="952" t="s">
        <v>60</v>
      </c>
      <c r="C991" s="953">
        <v>42124.0</v>
      </c>
      <c r="D991" s="954" t="s">
        <v>79</v>
      </c>
      <c r="E991" s="948" t="s">
        <v>63</v>
      </c>
      <c r="F991" s="954" t="s">
        <v>64</v>
      </c>
      <c r="G991" s="954" t="s">
        <v>64</v>
      </c>
      <c r="H991" s="954" t="s">
        <v>69</v>
      </c>
      <c r="I991" s="955"/>
      <c r="J991" s="948">
        <v>273.0</v>
      </c>
      <c r="K991" s="949">
        <v>-0.004319417220955635</v>
      </c>
      <c r="L991" s="950" t="str">
        <f t="shared" si="1"/>
        <v>yes</v>
      </c>
      <c r="M991" s="736"/>
      <c r="N991" s="736"/>
      <c r="O991" s="736"/>
    </row>
    <row r="992">
      <c r="A992" s="951" t="s">
        <v>640</v>
      </c>
      <c r="B992" s="952" t="s">
        <v>60</v>
      </c>
      <c r="C992" s="953">
        <v>42123.0</v>
      </c>
      <c r="D992" s="954" t="s">
        <v>59</v>
      </c>
      <c r="E992" s="948" t="s">
        <v>63</v>
      </c>
      <c r="F992" s="954" t="s">
        <v>80</v>
      </c>
      <c r="G992" s="954" t="s">
        <v>64</v>
      </c>
      <c r="H992" s="954" t="s">
        <v>65</v>
      </c>
      <c r="I992" s="955"/>
      <c r="J992" s="948">
        <v>228.0</v>
      </c>
      <c r="K992" s="949">
        <v>0.005411705673187606</v>
      </c>
      <c r="L992" s="950" t="str">
        <f t="shared" si="1"/>
        <v/>
      </c>
      <c r="M992" s="736"/>
      <c r="N992" s="736"/>
      <c r="O992" s="736"/>
    </row>
    <row r="993">
      <c r="A993" s="951" t="s">
        <v>761</v>
      </c>
      <c r="B993" s="952" t="s">
        <v>60</v>
      </c>
      <c r="C993" s="953">
        <v>42122.0</v>
      </c>
      <c r="D993" s="954" t="s">
        <v>90</v>
      </c>
      <c r="E993" s="948" t="s">
        <v>63</v>
      </c>
      <c r="F993" s="954" t="s">
        <v>67</v>
      </c>
      <c r="G993" s="954" t="s">
        <v>65</v>
      </c>
      <c r="H993" s="954" t="s">
        <v>68</v>
      </c>
      <c r="I993" s="955"/>
      <c r="J993" s="948">
        <v>246.0</v>
      </c>
      <c r="K993" s="949">
        <v>0.0012981802678490029</v>
      </c>
      <c r="L993" s="950" t="str">
        <f t="shared" si="1"/>
        <v/>
      </c>
      <c r="M993" s="736"/>
      <c r="N993" s="736"/>
      <c r="O993" s="736"/>
    </row>
    <row r="994">
      <c r="A994" s="951" t="s">
        <v>237</v>
      </c>
      <c r="B994" s="952" t="s">
        <v>60</v>
      </c>
      <c r="C994" s="953">
        <v>42121.0</v>
      </c>
      <c r="D994" s="954" t="s">
        <v>57</v>
      </c>
      <c r="E994" s="948" t="s">
        <v>63</v>
      </c>
      <c r="F994" s="954" t="s">
        <v>64</v>
      </c>
      <c r="G994" s="954" t="s">
        <v>64</v>
      </c>
      <c r="H994" s="954" t="s">
        <v>66</v>
      </c>
      <c r="I994" s="955"/>
      <c r="J994" s="948">
        <v>235.0</v>
      </c>
      <c r="K994" s="949">
        <v>4.210193546186902E-4</v>
      </c>
      <c r="L994" s="950" t="str">
        <f t="shared" si="1"/>
        <v/>
      </c>
      <c r="M994" s="736"/>
      <c r="N994" s="736"/>
      <c r="O994" s="736"/>
    </row>
    <row r="995">
      <c r="A995" s="951" t="s">
        <v>140</v>
      </c>
      <c r="B995" s="952" t="s">
        <v>60</v>
      </c>
      <c r="C995" s="953">
        <v>42121.0</v>
      </c>
      <c r="D995" s="954" t="s">
        <v>79</v>
      </c>
      <c r="E995" s="948" t="s">
        <v>63</v>
      </c>
      <c r="F995" s="954" t="s">
        <v>65</v>
      </c>
      <c r="G995" s="954" t="s">
        <v>65</v>
      </c>
      <c r="H995" s="954" t="s">
        <v>69</v>
      </c>
      <c r="I995" s="955"/>
      <c r="J995" s="948">
        <v>244.0</v>
      </c>
      <c r="K995" s="949">
        <v>-0.012818354888647576</v>
      </c>
      <c r="L995" s="950" t="str">
        <f t="shared" si="1"/>
        <v>yes</v>
      </c>
      <c r="M995" s="736"/>
      <c r="N995" s="736"/>
      <c r="O995" s="736"/>
    </row>
    <row r="996">
      <c r="A996" s="951" t="s">
        <v>288</v>
      </c>
      <c r="B996" s="952" t="s">
        <v>60</v>
      </c>
      <c r="C996" s="953">
        <v>42120.0</v>
      </c>
      <c r="D996" s="954" t="s">
        <v>109</v>
      </c>
      <c r="E996" s="948" t="s">
        <v>63</v>
      </c>
      <c r="F996" s="954" t="s">
        <v>68</v>
      </c>
      <c r="G996" s="954" t="s">
        <v>69</v>
      </c>
      <c r="H996" s="954" t="s">
        <v>66</v>
      </c>
      <c r="I996" s="955"/>
      <c r="J996" s="948">
        <v>220.0</v>
      </c>
      <c r="K996" s="949">
        <v>-0.020586757479150952</v>
      </c>
      <c r="L996" s="950" t="str">
        <f t="shared" si="1"/>
        <v>yes</v>
      </c>
      <c r="M996" s="736"/>
      <c r="N996" s="736"/>
      <c r="O996" s="736"/>
    </row>
    <row r="997">
      <c r="A997" s="951" t="s">
        <v>784</v>
      </c>
      <c r="B997" s="952" t="s">
        <v>60</v>
      </c>
      <c r="C997" s="953">
        <v>42118.0</v>
      </c>
      <c r="D997" s="954" t="s">
        <v>79</v>
      </c>
      <c r="E997" s="948" t="s">
        <v>63</v>
      </c>
      <c r="F997" s="954" t="s">
        <v>68</v>
      </c>
      <c r="G997" s="954" t="s">
        <v>68</v>
      </c>
      <c r="H997" s="954" t="s">
        <v>68</v>
      </c>
      <c r="I997" s="955"/>
      <c r="J997" s="948">
        <v>210.0</v>
      </c>
      <c r="K997" s="949">
        <v>-0.012632310969496019</v>
      </c>
      <c r="L997" s="950" t="str">
        <f t="shared" si="1"/>
        <v>yes</v>
      </c>
      <c r="M997" s="736"/>
      <c r="N997" s="736"/>
      <c r="O997" s="736"/>
    </row>
    <row r="998">
      <c r="A998" s="951" t="s">
        <v>1762</v>
      </c>
      <c r="B998" s="952" t="s">
        <v>60</v>
      </c>
      <c r="C998" s="953">
        <v>42118.0</v>
      </c>
      <c r="D998" s="954" t="s">
        <v>59</v>
      </c>
      <c r="E998" s="948" t="s">
        <v>63</v>
      </c>
      <c r="F998" s="954" t="s">
        <v>67</v>
      </c>
      <c r="G998" s="954" t="s">
        <v>69</v>
      </c>
      <c r="H998" s="954" t="s">
        <v>68</v>
      </c>
      <c r="I998" s="955">
        <v>0.8</v>
      </c>
      <c r="J998" s="948">
        <v>220.0</v>
      </c>
      <c r="K998" s="949">
        <v>0.02296188163055779</v>
      </c>
      <c r="L998" s="950" t="str">
        <f t="shared" si="1"/>
        <v/>
      </c>
      <c r="M998" s="736"/>
      <c r="N998" s="736"/>
      <c r="O998" s="736"/>
    </row>
    <row r="999">
      <c r="A999" s="951" t="s">
        <v>781</v>
      </c>
      <c r="B999" s="952" t="s">
        <v>60</v>
      </c>
      <c r="C999" s="953">
        <v>42117.0</v>
      </c>
      <c r="D999" s="954" t="s">
        <v>86</v>
      </c>
      <c r="E999" s="948" t="s">
        <v>63</v>
      </c>
      <c r="F999" s="954" t="s">
        <v>67</v>
      </c>
      <c r="G999" s="954" t="s">
        <v>67</v>
      </c>
      <c r="H999" s="954"/>
      <c r="I999" s="955"/>
      <c r="J999" s="948">
        <v>233.0</v>
      </c>
      <c r="K999" s="949">
        <v>-0.049795732855594466</v>
      </c>
      <c r="L999" s="950" t="str">
        <f t="shared" si="1"/>
        <v>yes</v>
      </c>
      <c r="M999" s="736"/>
      <c r="N999" s="736"/>
      <c r="O999" s="736"/>
    </row>
    <row r="1000">
      <c r="A1000" s="951" t="s">
        <v>348</v>
      </c>
      <c r="B1000" s="952" t="s">
        <v>60</v>
      </c>
      <c r="C1000" s="953">
        <v>42114.0</v>
      </c>
      <c r="D1000" s="954" t="s">
        <v>59</v>
      </c>
      <c r="E1000" s="948" t="s">
        <v>195</v>
      </c>
      <c r="F1000" s="954" t="s">
        <v>64</v>
      </c>
      <c r="G1000" s="954" t="s">
        <v>69</v>
      </c>
      <c r="H1000" s="954" t="s">
        <v>69</v>
      </c>
      <c r="I1000" s="955"/>
      <c r="J1000" s="948">
        <v>266.0</v>
      </c>
      <c r="K1000" s="949">
        <v>-0.003013199318167903</v>
      </c>
      <c r="L1000" s="950" t="str">
        <f t="shared" si="1"/>
        <v/>
      </c>
      <c r="M1000" s="736"/>
      <c r="N1000" s="736"/>
      <c r="O1000" s="736"/>
    </row>
    <row r="1001">
      <c r="A1001" s="1014" t="s">
        <v>201</v>
      </c>
      <c r="B1001" s="1015" t="s">
        <v>60</v>
      </c>
      <c r="C1001" s="1016">
        <v>42114.0</v>
      </c>
      <c r="D1001" s="1017" t="s">
        <v>79</v>
      </c>
      <c r="E1001" s="1018" t="s">
        <v>63</v>
      </c>
      <c r="F1001" s="1017" t="s">
        <v>65</v>
      </c>
      <c r="G1001" s="1017" t="s">
        <v>69</v>
      </c>
      <c r="H1001" s="1017" t="s">
        <v>68</v>
      </c>
      <c r="I1001" s="1019"/>
      <c r="J1001" s="1018">
        <v>173.0</v>
      </c>
      <c r="K1001" s="1020">
        <v>-0.0023164562206692274</v>
      </c>
      <c r="L1001" s="1021"/>
      <c r="M1001" s="736"/>
      <c r="N1001" s="736"/>
      <c r="O1001" s="736"/>
    </row>
    <row r="1002">
      <c r="A1002" s="1014" t="s">
        <v>541</v>
      </c>
      <c r="B1002" s="1015" t="s">
        <v>60</v>
      </c>
      <c r="C1002" s="1016">
        <v>42113.0</v>
      </c>
      <c r="D1002" s="1017" t="s">
        <v>57</v>
      </c>
      <c r="E1002" s="1018" t="s">
        <v>63</v>
      </c>
      <c r="F1002" s="1017" t="s">
        <v>65</v>
      </c>
      <c r="G1002" s="1017" t="s">
        <v>65</v>
      </c>
      <c r="H1002" s="1017" t="s">
        <v>68</v>
      </c>
      <c r="I1002" s="1019"/>
      <c r="J1002" s="1018">
        <v>230.0</v>
      </c>
      <c r="K1002" s="1020">
        <v>-0.008462616056461036</v>
      </c>
      <c r="L1002" s="1021"/>
      <c r="M1002" s="736"/>
      <c r="N1002" s="736"/>
      <c r="O1002" s="736"/>
    </row>
    <row r="1003">
      <c r="A1003" s="1014" t="s">
        <v>548</v>
      </c>
      <c r="B1003" s="1015" t="s">
        <v>60</v>
      </c>
      <c r="C1003" s="1016">
        <v>42113.0</v>
      </c>
      <c r="D1003" s="1017" t="s">
        <v>79</v>
      </c>
      <c r="E1003" s="1018" t="s">
        <v>63</v>
      </c>
      <c r="F1003" s="1017" t="s">
        <v>65</v>
      </c>
      <c r="G1003" s="1017" t="s">
        <v>64</v>
      </c>
      <c r="H1003" s="1017" t="s">
        <v>64</v>
      </c>
      <c r="I1003" s="1019"/>
      <c r="J1003" s="1018">
        <v>233.0</v>
      </c>
      <c r="K1003" s="1020">
        <v>-0.013093012370460566</v>
      </c>
      <c r="L1003" s="1021"/>
      <c r="M1003" s="736"/>
      <c r="N1003" s="736"/>
      <c r="O1003" s="736"/>
    </row>
    <row r="1004">
      <c r="A1004" s="1014" t="s">
        <v>96</v>
      </c>
      <c r="B1004" s="1015" t="s">
        <v>60</v>
      </c>
      <c r="C1004" s="1016">
        <v>42112.0</v>
      </c>
      <c r="D1004" s="1017" t="s">
        <v>59</v>
      </c>
      <c r="E1004" s="1018" t="s">
        <v>63</v>
      </c>
      <c r="F1004" s="1017" t="s">
        <v>65</v>
      </c>
      <c r="G1004" s="1017" t="s">
        <v>65</v>
      </c>
      <c r="H1004" s="1017" t="s">
        <v>64</v>
      </c>
      <c r="I1004" s="1019"/>
      <c r="J1004" s="1018">
        <v>229.0</v>
      </c>
      <c r="K1004" s="1020">
        <v>-0.016557755266399576</v>
      </c>
      <c r="L1004" s="1021"/>
      <c r="M1004" s="736"/>
      <c r="N1004" s="736"/>
      <c r="O1004" s="736"/>
    </row>
    <row r="1005">
      <c r="A1005" s="1014" t="s">
        <v>339</v>
      </c>
      <c r="B1005" s="1015" t="s">
        <v>60</v>
      </c>
      <c r="C1005" s="1016">
        <v>42112.0</v>
      </c>
      <c r="D1005" s="1017" t="s">
        <v>59</v>
      </c>
      <c r="E1005" s="1018" t="s">
        <v>63</v>
      </c>
      <c r="F1005" s="1017" t="s">
        <v>69</v>
      </c>
      <c r="G1005" s="1017" t="s">
        <v>65</v>
      </c>
      <c r="H1005" s="1017" t="s">
        <v>68</v>
      </c>
      <c r="I1005" s="1019">
        <v>0.7</v>
      </c>
      <c r="J1005" s="1018">
        <v>267.0</v>
      </c>
      <c r="K1005" s="1020">
        <v>-0.001420336501780306</v>
      </c>
      <c r="L1005" s="1021"/>
      <c r="M1005" s="736"/>
      <c r="N1005" s="736"/>
      <c r="O1005" s="736"/>
    </row>
    <row r="1006">
      <c r="A1006" s="1014" t="s">
        <v>761</v>
      </c>
      <c r="B1006" s="1015" t="s">
        <v>60</v>
      </c>
      <c r="C1006" s="1016">
        <v>42111.0</v>
      </c>
      <c r="D1006" s="1017" t="s">
        <v>90</v>
      </c>
      <c r="E1006" s="1018" t="s">
        <v>63</v>
      </c>
      <c r="F1006" s="1017" t="s">
        <v>67</v>
      </c>
      <c r="G1006" s="1017" t="s">
        <v>65</v>
      </c>
      <c r="H1006" s="1017" t="s">
        <v>68</v>
      </c>
      <c r="I1006" s="1019"/>
      <c r="J1006" s="1018">
        <v>253.0</v>
      </c>
      <c r="K1006" s="1020">
        <v>0.003913030492841307</v>
      </c>
      <c r="L1006" s="1021"/>
      <c r="M1006" s="736"/>
      <c r="N1006" s="736"/>
      <c r="O1006" s="736"/>
    </row>
    <row r="1007">
      <c r="A1007" s="1014" t="s">
        <v>746</v>
      </c>
      <c r="B1007" s="1015" t="s">
        <v>60</v>
      </c>
      <c r="C1007" s="1016">
        <v>42110.0</v>
      </c>
      <c r="D1007" s="1017" t="s">
        <v>103</v>
      </c>
      <c r="E1007" s="1018" t="s">
        <v>63</v>
      </c>
      <c r="F1007" s="1017" t="s">
        <v>65</v>
      </c>
      <c r="G1007" s="1017" t="s">
        <v>65</v>
      </c>
      <c r="H1007" s="1017" t="s">
        <v>68</v>
      </c>
      <c r="I1007" s="1019"/>
      <c r="J1007" s="1018">
        <v>229.0</v>
      </c>
      <c r="K1007" s="1020">
        <v>0.022523527158682777</v>
      </c>
      <c r="L1007" s="1021"/>
      <c r="M1007" s="736"/>
      <c r="N1007" s="736"/>
      <c r="O1007" s="736"/>
    </row>
    <row r="1008">
      <c r="A1008" s="1014" t="s">
        <v>751</v>
      </c>
      <c r="B1008" s="1015" t="s">
        <v>60</v>
      </c>
      <c r="C1008" s="1016">
        <v>42110.0</v>
      </c>
      <c r="D1008" s="1017" t="s">
        <v>103</v>
      </c>
      <c r="E1008" s="1018" t="s">
        <v>63</v>
      </c>
      <c r="F1008" s="1017" t="s">
        <v>64</v>
      </c>
      <c r="G1008" s="1017" t="s">
        <v>65</v>
      </c>
      <c r="H1008" s="1017" t="s">
        <v>68</v>
      </c>
      <c r="I1008" s="1019"/>
      <c r="J1008" s="1018">
        <v>216.0</v>
      </c>
      <c r="K1008" s="1020">
        <v>0.0096116873955443</v>
      </c>
      <c r="L1008" s="1021"/>
      <c r="M1008" s="736"/>
      <c r="N1008" s="736"/>
      <c r="O1008" s="736"/>
    </row>
    <row r="1009">
      <c r="A1009" s="1014" t="s">
        <v>294</v>
      </c>
      <c r="B1009" s="1015" t="s">
        <v>60</v>
      </c>
      <c r="C1009" s="1016">
        <v>42110.0</v>
      </c>
      <c r="D1009" s="1017" t="s">
        <v>59</v>
      </c>
      <c r="E1009" s="1018" t="s">
        <v>63</v>
      </c>
      <c r="F1009" s="1017" t="s">
        <v>64</v>
      </c>
      <c r="G1009" s="1017" t="s">
        <v>69</v>
      </c>
      <c r="H1009" s="1017" t="s">
        <v>68</v>
      </c>
      <c r="I1009" s="1019"/>
      <c r="J1009" s="1018">
        <v>200.0</v>
      </c>
      <c r="K1009" s="1020">
        <v>-0.016844250728149213</v>
      </c>
      <c r="L1009" s="1021"/>
      <c r="M1009" s="736"/>
      <c r="N1009" s="736"/>
      <c r="O1009" s="736"/>
    </row>
    <row r="1010">
      <c r="A1010" s="1014" t="s">
        <v>54</v>
      </c>
      <c r="B1010" s="1015" t="s">
        <v>56</v>
      </c>
      <c r="C1010" s="1016">
        <v>42110.0</v>
      </c>
      <c r="D1010" s="1017" t="s">
        <v>59</v>
      </c>
      <c r="E1010" s="1018" t="s">
        <v>63</v>
      </c>
      <c r="F1010" s="1017" t="s">
        <v>64</v>
      </c>
      <c r="G1010" s="1017" t="s">
        <v>66</v>
      </c>
      <c r="H1010" s="1017" t="s">
        <v>68</v>
      </c>
      <c r="I1010" s="1019">
        <v>0.7</v>
      </c>
      <c r="J1010" s="1018">
        <v>188.0</v>
      </c>
      <c r="K1010" s="1020">
        <v>-0.011330102509563789</v>
      </c>
      <c r="L1010" s="1021"/>
      <c r="M1010" s="736"/>
      <c r="N1010" s="736"/>
      <c r="O1010" s="736"/>
    </row>
    <row r="1011">
      <c r="A1011" s="1014" t="s">
        <v>605</v>
      </c>
      <c r="B1011" s="1015" t="s">
        <v>60</v>
      </c>
      <c r="C1011" s="1016">
        <v>42109.0</v>
      </c>
      <c r="D1011" s="1017" t="s">
        <v>59</v>
      </c>
      <c r="E1011" s="1018" t="s">
        <v>63</v>
      </c>
      <c r="F1011" s="1017" t="s">
        <v>65</v>
      </c>
      <c r="G1011" s="1017" t="s">
        <v>69</v>
      </c>
      <c r="H1011" s="1017" t="s">
        <v>68</v>
      </c>
      <c r="I1011" s="1019"/>
      <c r="J1011" s="1018">
        <v>202.0</v>
      </c>
      <c r="K1011" s="1020">
        <v>0.00282233612188465</v>
      </c>
      <c r="L1011" s="1021"/>
      <c r="M1011" s="736"/>
      <c r="N1011" s="736"/>
      <c r="O1011" s="736"/>
    </row>
    <row r="1012">
      <c r="A1012" s="1014" t="s">
        <v>155</v>
      </c>
      <c r="B1012" s="1015" t="s">
        <v>60</v>
      </c>
      <c r="C1012" s="1016">
        <v>42109.0</v>
      </c>
      <c r="D1012" s="1017" t="s">
        <v>109</v>
      </c>
      <c r="E1012" s="1018" t="s">
        <v>63</v>
      </c>
      <c r="F1012" s="1017" t="s">
        <v>65</v>
      </c>
      <c r="G1012" s="1017" t="s">
        <v>64</v>
      </c>
      <c r="H1012" s="1017" t="s">
        <v>68</v>
      </c>
      <c r="I1012" s="1019"/>
      <c r="J1012" s="1018">
        <v>213.0</v>
      </c>
      <c r="K1012" s="1020">
        <v>-0.015462427016004643</v>
      </c>
      <c r="L1012" s="1021"/>
      <c r="M1012" s="736"/>
      <c r="N1012" s="736"/>
      <c r="O1012" s="736"/>
    </row>
    <row r="1013">
      <c r="A1013" s="1014" t="s">
        <v>126</v>
      </c>
      <c r="B1013" s="1015" t="s">
        <v>60</v>
      </c>
      <c r="C1013" s="1016">
        <v>42108.0</v>
      </c>
      <c r="D1013" s="1017" t="s">
        <v>79</v>
      </c>
      <c r="E1013" s="1018" t="s">
        <v>63</v>
      </c>
      <c r="F1013" s="1017" t="s">
        <v>65</v>
      </c>
      <c r="G1013" s="1017" t="s">
        <v>127</v>
      </c>
      <c r="H1013" s="1017" t="s">
        <v>66</v>
      </c>
      <c r="I1013" s="1019">
        <v>1.0</v>
      </c>
      <c r="J1013" s="1018">
        <v>218.0</v>
      </c>
      <c r="K1013" s="1020">
        <v>0.019437978165682157</v>
      </c>
      <c r="L1013" s="1021"/>
      <c r="M1013" s="736"/>
      <c r="N1013" s="736"/>
      <c r="O1013" s="736"/>
    </row>
    <row r="1014">
      <c r="A1014" s="1014" t="s">
        <v>623</v>
      </c>
      <c r="B1014" s="1015" t="s">
        <v>60</v>
      </c>
      <c r="C1014" s="1016">
        <v>42106.0</v>
      </c>
      <c r="D1014" s="1017" t="s">
        <v>59</v>
      </c>
      <c r="E1014" s="1018" t="s">
        <v>63</v>
      </c>
      <c r="F1014" s="1017" t="s">
        <v>67</v>
      </c>
      <c r="G1014" s="1017" t="s">
        <v>64</v>
      </c>
      <c r="H1014" s="1017" t="s">
        <v>68</v>
      </c>
      <c r="I1014" s="1019"/>
      <c r="J1014" s="1018">
        <v>194.0</v>
      </c>
      <c r="K1014" s="1020">
        <v>-0.009100079108832926</v>
      </c>
      <c r="L1014" s="1021"/>
      <c r="M1014" s="736"/>
      <c r="N1014" s="736"/>
      <c r="O1014" s="736"/>
    </row>
    <row r="1015">
      <c r="A1015" s="1014" t="s">
        <v>212</v>
      </c>
      <c r="B1015" s="1015" t="s">
        <v>60</v>
      </c>
      <c r="C1015" s="1016">
        <v>42106.0</v>
      </c>
      <c r="D1015" s="1017" t="s">
        <v>59</v>
      </c>
      <c r="E1015" s="1018" t="s">
        <v>195</v>
      </c>
      <c r="F1015" s="1017" t="s">
        <v>65</v>
      </c>
      <c r="G1015" s="1017" t="s">
        <v>65</v>
      </c>
      <c r="H1015" s="1017" t="s">
        <v>66</v>
      </c>
      <c r="I1015" s="1019"/>
      <c r="J1015" s="1018">
        <v>225.0</v>
      </c>
      <c r="K1015" s="1020">
        <v>0.0019214985165040277</v>
      </c>
      <c r="L1015" s="1021"/>
      <c r="M1015" s="736"/>
      <c r="N1015" s="736"/>
      <c r="O1015" s="736"/>
    </row>
    <row r="1016">
      <c r="A1016" s="1014" t="s">
        <v>640</v>
      </c>
      <c r="B1016" s="1015" t="s">
        <v>60</v>
      </c>
      <c r="C1016" s="1016">
        <v>42105.0</v>
      </c>
      <c r="D1016" s="1017" t="s">
        <v>59</v>
      </c>
      <c r="E1016" s="1018" t="s">
        <v>63</v>
      </c>
      <c r="F1016" s="1017" t="s">
        <v>80</v>
      </c>
      <c r="G1016" s="1017" t="s">
        <v>67</v>
      </c>
      <c r="H1016" s="1017" t="s">
        <v>68</v>
      </c>
      <c r="I1016" s="1019"/>
      <c r="J1016" s="1018">
        <v>232.0</v>
      </c>
      <c r="K1016" s="1020">
        <v>0.011506153885653125</v>
      </c>
      <c r="L1016" s="1021"/>
      <c r="M1016" s="736"/>
      <c r="N1016" s="736"/>
      <c r="O1016" s="736"/>
    </row>
    <row r="1017">
      <c r="A1017" s="1014" t="s">
        <v>241</v>
      </c>
      <c r="B1017" s="1015" t="s">
        <v>60</v>
      </c>
      <c r="C1017" s="1016">
        <v>42104.0</v>
      </c>
      <c r="D1017" s="1017" t="s">
        <v>59</v>
      </c>
      <c r="E1017" s="1018" t="s">
        <v>63</v>
      </c>
      <c r="F1017" s="1017" t="s">
        <v>65</v>
      </c>
      <c r="G1017" s="1017" t="s">
        <v>69</v>
      </c>
      <c r="H1017" s="1017" t="s">
        <v>66</v>
      </c>
      <c r="I1017" s="1019"/>
      <c r="J1017" s="1018">
        <v>250.0</v>
      </c>
      <c r="K1017" s="1020">
        <v>0.0023560130722789507</v>
      </c>
      <c r="L1017" s="1021"/>
      <c r="M1017" s="736"/>
      <c r="N1017" s="736"/>
      <c r="O1017" s="736"/>
    </row>
    <row r="1018">
      <c r="A1018" s="1014" t="s">
        <v>279</v>
      </c>
      <c r="B1018" s="1015" t="s">
        <v>60</v>
      </c>
      <c r="C1018" s="1016">
        <v>42103.0</v>
      </c>
      <c r="D1018" s="1017" t="s">
        <v>59</v>
      </c>
      <c r="E1018" s="1018" t="s">
        <v>195</v>
      </c>
      <c r="F1018" s="1017" t="s">
        <v>64</v>
      </c>
      <c r="G1018" s="1017" t="s">
        <v>69</v>
      </c>
      <c r="H1018" s="1017" t="s">
        <v>68</v>
      </c>
      <c r="I1018" s="1019"/>
      <c r="J1018" s="1018">
        <v>239.0</v>
      </c>
      <c r="K1018" s="1020">
        <v>0.00986520090561116</v>
      </c>
      <c r="L1018" s="1021"/>
      <c r="M1018" s="736"/>
      <c r="N1018" s="736"/>
      <c r="O1018" s="736"/>
    </row>
    <row r="1019">
      <c r="A1019" s="1014" t="s">
        <v>331</v>
      </c>
      <c r="B1019" s="1015" t="s">
        <v>56</v>
      </c>
      <c r="C1019" s="1016">
        <v>42102.0</v>
      </c>
      <c r="D1019" s="1017" t="s">
        <v>90</v>
      </c>
      <c r="E1019" s="1018" t="s">
        <v>63</v>
      </c>
      <c r="F1019" s="1017" t="s">
        <v>67</v>
      </c>
      <c r="G1019" s="1017" t="s">
        <v>65</v>
      </c>
      <c r="H1019" s="1017" t="s">
        <v>68</v>
      </c>
      <c r="I1019" s="1019">
        <v>0.9</v>
      </c>
      <c r="J1019" s="1018">
        <v>241.0</v>
      </c>
      <c r="K1019" s="1020">
        <v>0.011002685553855751</v>
      </c>
      <c r="L1019" s="1021"/>
      <c r="M1019" s="736"/>
      <c r="N1019" s="736"/>
      <c r="O1019" s="736"/>
    </row>
    <row r="1020">
      <c r="A1020" s="1014" t="s">
        <v>717</v>
      </c>
      <c r="B1020" s="1015" t="s">
        <v>60</v>
      </c>
      <c r="C1020" s="1016">
        <v>42101.0</v>
      </c>
      <c r="D1020" s="1017" t="s">
        <v>90</v>
      </c>
      <c r="E1020" s="1018" t="s">
        <v>63</v>
      </c>
      <c r="F1020" s="1017" t="s">
        <v>65</v>
      </c>
      <c r="G1020" s="1017" t="s">
        <v>65</v>
      </c>
      <c r="H1020" s="1017" t="s">
        <v>68</v>
      </c>
      <c r="I1020" s="1019"/>
      <c r="J1020" s="1018">
        <v>225.0</v>
      </c>
      <c r="K1020" s="1020">
        <v>0.003339682474200245</v>
      </c>
      <c r="L1020" s="1021"/>
      <c r="M1020" s="736"/>
      <c r="N1020" s="736"/>
      <c r="O1020" s="736"/>
    </row>
    <row r="1021">
      <c r="A1021" s="1014" t="s">
        <v>300</v>
      </c>
      <c r="B1021" s="1015" t="s">
        <v>60</v>
      </c>
      <c r="C1021" s="1016">
        <v>42100.0</v>
      </c>
      <c r="D1021" s="1017" t="s">
        <v>59</v>
      </c>
      <c r="E1021" s="1018" t="s">
        <v>195</v>
      </c>
      <c r="F1021" s="1017" t="s">
        <v>67</v>
      </c>
      <c r="G1021" s="1017" t="s">
        <v>65</v>
      </c>
      <c r="H1021" s="1017" t="s">
        <v>69</v>
      </c>
      <c r="I1021" s="1019"/>
      <c r="J1021" s="1018">
        <v>235.0</v>
      </c>
      <c r="K1021" s="1020">
        <v>0.0018267952283897992</v>
      </c>
      <c r="L1021" s="1021"/>
      <c r="M1021" s="736"/>
      <c r="N1021" s="736"/>
      <c r="O1021" s="736"/>
    </row>
    <row r="1022">
      <c r="A1022" s="1014" t="s">
        <v>339</v>
      </c>
      <c r="B1022" s="1015" t="s">
        <v>60</v>
      </c>
      <c r="C1022" s="1022">
        <v>42092.0</v>
      </c>
      <c r="D1022" s="1017" t="s">
        <v>59</v>
      </c>
      <c r="E1022" s="1018" t="s">
        <v>63</v>
      </c>
      <c r="F1022" s="1017" t="s">
        <v>65</v>
      </c>
      <c r="G1022" s="1017" t="s">
        <v>65</v>
      </c>
      <c r="H1022" s="1017" t="s">
        <v>68</v>
      </c>
      <c r="I1022" s="1019">
        <v>0.7</v>
      </c>
      <c r="J1022" s="1018">
        <v>269.0</v>
      </c>
      <c r="K1022" s="1020">
        <v>-0.0052288811308197625</v>
      </c>
      <c r="L1022" s="1021"/>
      <c r="M1022" s="736"/>
      <c r="N1022" s="736"/>
      <c r="O1022" s="736"/>
    </row>
    <row r="1023">
      <c r="A1023" s="1014" t="s">
        <v>640</v>
      </c>
      <c r="B1023" s="1015" t="s">
        <v>60</v>
      </c>
      <c r="C1023" s="1016">
        <v>42092.0</v>
      </c>
      <c r="D1023" s="1017" t="s">
        <v>59</v>
      </c>
      <c r="E1023" s="1018" t="s">
        <v>63</v>
      </c>
      <c r="F1023" s="1017" t="s">
        <v>80</v>
      </c>
      <c r="G1023" s="1017" t="s">
        <v>65</v>
      </c>
      <c r="H1023" s="1017" t="s">
        <v>68</v>
      </c>
      <c r="I1023" s="1019"/>
      <c r="J1023" s="1018">
        <v>242.0</v>
      </c>
      <c r="K1023" s="1020">
        <v>0.006941225210172597</v>
      </c>
      <c r="L1023" s="1021"/>
      <c r="M1023" s="736"/>
      <c r="N1023" s="736"/>
      <c r="O1023" s="736"/>
    </row>
    <row r="1024">
      <c r="A1024" s="1014" t="s">
        <v>308</v>
      </c>
      <c r="B1024" s="1015" t="s">
        <v>60</v>
      </c>
      <c r="C1024" s="1016">
        <v>42089.0</v>
      </c>
      <c r="D1024" s="1017" t="s">
        <v>103</v>
      </c>
      <c r="E1024" s="1018" t="s">
        <v>63</v>
      </c>
      <c r="F1024" s="1017" t="s">
        <v>64</v>
      </c>
      <c r="G1024" s="1017" t="s">
        <v>65</v>
      </c>
      <c r="H1024" s="1017" t="s">
        <v>69</v>
      </c>
      <c r="I1024" s="1019"/>
      <c r="J1024" s="1018">
        <v>255.0</v>
      </c>
      <c r="K1024" s="1020">
        <v>-0.006369969302051803</v>
      </c>
      <c r="L1024" s="1021"/>
      <c r="M1024" s="736"/>
      <c r="N1024" s="736"/>
      <c r="O1024" s="736"/>
    </row>
    <row r="1025">
      <c r="A1025" s="1014" t="s">
        <v>554</v>
      </c>
      <c r="B1025" s="1015" t="s">
        <v>60</v>
      </c>
      <c r="C1025" s="1016">
        <v>42084.0</v>
      </c>
      <c r="D1025" s="1017" t="s">
        <v>103</v>
      </c>
      <c r="E1025" s="1018" t="s">
        <v>63</v>
      </c>
      <c r="F1025" s="1017" t="s">
        <v>64</v>
      </c>
      <c r="G1025" s="1017" t="s">
        <v>65</v>
      </c>
      <c r="H1025" s="1017" t="s">
        <v>68</v>
      </c>
      <c r="I1025" s="1019"/>
      <c r="J1025" s="1018">
        <v>214.0</v>
      </c>
      <c r="K1025" s="1020">
        <v>-0.0051457083915311674</v>
      </c>
      <c r="L1025" s="1021"/>
      <c r="M1025" s="736"/>
      <c r="N1025" s="736"/>
      <c r="O1025" s="736"/>
    </row>
    <row r="1026">
      <c r="A1026" s="1014" t="s">
        <v>554</v>
      </c>
      <c r="B1026" s="1015" t="s">
        <v>60</v>
      </c>
      <c r="C1026" s="1016">
        <v>42084.0</v>
      </c>
      <c r="D1026" s="1017" t="s">
        <v>59</v>
      </c>
      <c r="E1026" s="1018" t="s">
        <v>63</v>
      </c>
      <c r="F1026" s="1017" t="s">
        <v>69</v>
      </c>
      <c r="G1026" s="1017" t="s">
        <v>80</v>
      </c>
      <c r="H1026" s="1017" t="s">
        <v>66</v>
      </c>
      <c r="I1026" s="1019">
        <v>0.9</v>
      </c>
      <c r="J1026" s="1018">
        <v>220.0</v>
      </c>
      <c r="K1026" s="1020">
        <v>-0.007230996858205829</v>
      </c>
      <c r="L1026" s="1021"/>
      <c r="M1026" s="736"/>
      <c r="N1026" s="736"/>
      <c r="O1026" s="736"/>
    </row>
    <row r="1027">
      <c r="A1027" s="1014" t="s">
        <v>192</v>
      </c>
      <c r="B1027" s="1015" t="s">
        <v>60</v>
      </c>
      <c r="C1027" s="1016">
        <v>42083.0</v>
      </c>
      <c r="D1027" s="1017" t="s">
        <v>79</v>
      </c>
      <c r="E1027" s="1018" t="s">
        <v>195</v>
      </c>
      <c r="F1027" s="1017" t="s">
        <v>65</v>
      </c>
      <c r="G1027" s="1017" t="s">
        <v>65</v>
      </c>
      <c r="H1027" s="1017" t="s">
        <v>68</v>
      </c>
      <c r="I1027" s="1019"/>
      <c r="J1027" s="1018">
        <v>252.0</v>
      </c>
      <c r="K1027" s="1020">
        <v>-0.005839004344847409</v>
      </c>
      <c r="L1027" s="1021"/>
      <c r="M1027" s="736"/>
      <c r="N1027" s="736"/>
      <c r="O1027" s="736"/>
    </row>
    <row r="1028">
      <c r="A1028" s="1014" t="s">
        <v>541</v>
      </c>
      <c r="B1028" s="1015" t="s">
        <v>60</v>
      </c>
      <c r="C1028" s="1016">
        <v>42083.0</v>
      </c>
      <c r="D1028" s="1017" t="s">
        <v>57</v>
      </c>
      <c r="E1028" s="1018" t="s">
        <v>63</v>
      </c>
      <c r="F1028" s="1017" t="s">
        <v>65</v>
      </c>
      <c r="G1028" s="1017" t="s">
        <v>65</v>
      </c>
      <c r="H1028" s="1017" t="s">
        <v>68</v>
      </c>
      <c r="I1028" s="1019"/>
      <c r="J1028" s="1018">
        <v>228.0</v>
      </c>
      <c r="K1028" s="1020">
        <v>-0.01037766387811534</v>
      </c>
      <c r="L1028" s="1021"/>
      <c r="M1028" s="736"/>
      <c r="N1028" s="736"/>
      <c r="O1028" s="736"/>
    </row>
    <row r="1029">
      <c r="A1029" s="1014" t="s">
        <v>367</v>
      </c>
      <c r="B1029" s="1015" t="s">
        <v>60</v>
      </c>
      <c r="C1029" s="1016">
        <v>42081.0</v>
      </c>
      <c r="D1029" s="1017" t="s">
        <v>79</v>
      </c>
      <c r="E1029" s="1018" t="s">
        <v>63</v>
      </c>
      <c r="F1029" s="1017" t="s">
        <v>64</v>
      </c>
      <c r="G1029" s="1017" t="s">
        <v>65</v>
      </c>
      <c r="H1029" s="1017" t="s">
        <v>69</v>
      </c>
      <c r="I1029" s="1019"/>
      <c r="J1029" s="1018">
        <v>237.0</v>
      </c>
      <c r="K1029" s="1020">
        <v>0.0037177292407757356</v>
      </c>
      <c r="L1029" s="1021"/>
      <c r="M1029" s="736"/>
      <c r="N1029" s="736"/>
      <c r="O1029" s="736"/>
    </row>
    <row r="1030">
      <c r="A1030" s="1014" t="s">
        <v>285</v>
      </c>
      <c r="B1030" s="1015" t="s">
        <v>60</v>
      </c>
      <c r="C1030" s="1016">
        <v>42081.0</v>
      </c>
      <c r="D1030" s="1017" t="s">
        <v>57</v>
      </c>
      <c r="E1030" s="1018" t="s">
        <v>195</v>
      </c>
      <c r="F1030" s="1017" t="s">
        <v>69</v>
      </c>
      <c r="G1030" s="1017" t="s">
        <v>69</v>
      </c>
      <c r="H1030" s="1017" t="s">
        <v>66</v>
      </c>
      <c r="I1030" s="1019"/>
      <c r="J1030" s="1018">
        <v>235.0</v>
      </c>
      <c r="K1030" s="1020">
        <v>0.014215609377572602</v>
      </c>
      <c r="L1030" s="1021"/>
      <c r="M1030" s="736"/>
      <c r="N1030" s="736"/>
      <c r="O1030" s="736"/>
    </row>
    <row r="1031">
      <c r="A1031" s="1014" t="s">
        <v>331</v>
      </c>
      <c r="B1031" s="1015" t="s">
        <v>56</v>
      </c>
      <c r="C1031" s="1016">
        <v>42080.0</v>
      </c>
      <c r="D1031" s="1017" t="s">
        <v>90</v>
      </c>
      <c r="E1031" s="1018" t="s">
        <v>63</v>
      </c>
      <c r="F1031" s="1017" t="s">
        <v>67</v>
      </c>
      <c r="G1031" s="1017" t="s">
        <v>67</v>
      </c>
      <c r="H1031" s="1017" t="s">
        <v>68</v>
      </c>
      <c r="I1031" s="1019">
        <v>0.9</v>
      </c>
      <c r="J1031" s="1018">
        <v>247.0</v>
      </c>
      <c r="K1031" s="1020">
        <v>0.011956028655951023</v>
      </c>
      <c r="L1031" s="1021"/>
      <c r="M1031" s="736"/>
      <c r="N1031" s="736"/>
      <c r="O1031" s="736"/>
    </row>
    <row r="1032">
      <c r="A1032" s="1014" t="s">
        <v>201</v>
      </c>
      <c r="B1032" s="1015" t="s">
        <v>60</v>
      </c>
      <c r="C1032" s="1016">
        <v>42079.0</v>
      </c>
      <c r="D1032" s="1017" t="s">
        <v>79</v>
      </c>
      <c r="E1032" s="1018" t="s">
        <v>63</v>
      </c>
      <c r="F1032" s="1017" t="s">
        <v>65</v>
      </c>
      <c r="G1032" s="1017" t="s">
        <v>69</v>
      </c>
      <c r="H1032" s="1017" t="s">
        <v>68</v>
      </c>
      <c r="I1032" s="1019"/>
      <c r="J1032" s="1018">
        <v>173.0</v>
      </c>
      <c r="K1032" s="1020">
        <v>0.008768408916423942</v>
      </c>
      <c r="L1032" s="1021"/>
      <c r="M1032" s="736"/>
      <c r="N1032" s="736"/>
      <c r="O1032" s="736"/>
    </row>
    <row r="1033">
      <c r="A1033" s="1014" t="s">
        <v>477</v>
      </c>
      <c r="B1033" s="1015" t="s">
        <v>60</v>
      </c>
      <c r="C1033" s="1016">
        <v>42076.0</v>
      </c>
      <c r="D1033" s="1017" t="s">
        <v>59</v>
      </c>
      <c r="E1033" s="1018" t="s">
        <v>63</v>
      </c>
      <c r="F1033" s="1017" t="s">
        <v>67</v>
      </c>
      <c r="G1033" s="1017" t="s">
        <v>64</v>
      </c>
      <c r="H1033" s="1017" t="s">
        <v>68</v>
      </c>
      <c r="I1033" s="1019"/>
      <c r="J1033" s="1018">
        <v>256.0</v>
      </c>
      <c r="K1033" s="1020">
        <v>0.008140173285359764</v>
      </c>
      <c r="L1033" s="1021"/>
      <c r="M1033" s="736"/>
      <c r="N1033" s="736"/>
      <c r="O1033" s="736"/>
    </row>
    <row r="1034">
      <c r="A1034" s="1014" t="s">
        <v>650</v>
      </c>
      <c r="B1034" s="1015" t="s">
        <v>60</v>
      </c>
      <c r="C1034" s="1016">
        <v>42072.0</v>
      </c>
      <c r="D1034" s="1017" t="s">
        <v>103</v>
      </c>
      <c r="E1034" s="1018" t="s">
        <v>63</v>
      </c>
      <c r="F1034" s="1017" t="s">
        <v>68</v>
      </c>
      <c r="G1034" s="1017" t="s">
        <v>68</v>
      </c>
      <c r="H1034" s="1017" t="s">
        <v>66</v>
      </c>
      <c r="I1034" s="1019"/>
      <c r="J1034" s="1018">
        <v>222.0</v>
      </c>
      <c r="K1034" s="1020">
        <v>-0.0034590167481293177</v>
      </c>
      <c r="L1034" s="1021"/>
      <c r="M1034" s="736"/>
      <c r="N1034" s="736"/>
      <c r="O1034" s="736"/>
    </row>
    <row r="1035">
      <c r="A1035" s="1014" t="s">
        <v>147</v>
      </c>
      <c r="B1035" s="1015" t="s">
        <v>60</v>
      </c>
      <c r="C1035" s="1016">
        <v>42070.0</v>
      </c>
      <c r="D1035" s="1017" t="s">
        <v>79</v>
      </c>
      <c r="E1035" s="1018" t="s">
        <v>63</v>
      </c>
      <c r="F1035" s="1017" t="s">
        <v>67</v>
      </c>
      <c r="G1035" s="1017" t="s">
        <v>67</v>
      </c>
      <c r="H1035" s="1017" t="s">
        <v>64</v>
      </c>
      <c r="I1035" s="1019"/>
      <c r="J1035" s="1018">
        <v>229.0</v>
      </c>
      <c r="K1035" s="1020">
        <v>-0.0038248648538209418</v>
      </c>
      <c r="L1035" s="1021"/>
      <c r="M1035" s="736"/>
      <c r="N1035" s="736"/>
      <c r="O1035" s="736"/>
    </row>
    <row r="1036">
      <c r="A1036" s="1014" t="s">
        <v>640</v>
      </c>
      <c r="B1036" s="1015" t="s">
        <v>60</v>
      </c>
      <c r="C1036" s="1016">
        <v>42069.0</v>
      </c>
      <c r="D1036" s="1017" t="s">
        <v>59</v>
      </c>
      <c r="E1036" s="1018" t="s">
        <v>63</v>
      </c>
      <c r="F1036" s="1017" t="s">
        <v>80</v>
      </c>
      <c r="G1036" s="1017" t="s">
        <v>80</v>
      </c>
      <c r="H1036" s="1017" t="s">
        <v>68</v>
      </c>
      <c r="I1036" s="1019"/>
      <c r="J1036" s="1018">
        <v>242.0</v>
      </c>
      <c r="K1036" s="1020">
        <v>-0.0012997538949768295</v>
      </c>
      <c r="L1036" s="1021"/>
      <c r="M1036" s="736"/>
      <c r="N1036" s="736"/>
      <c r="O1036" s="736"/>
    </row>
    <row r="1037">
      <c r="A1037" s="1014" t="s">
        <v>513</v>
      </c>
      <c r="B1037" s="1015" t="s">
        <v>60</v>
      </c>
      <c r="C1037" s="1016">
        <v>42068.0</v>
      </c>
      <c r="D1037" s="1017" t="s">
        <v>59</v>
      </c>
      <c r="E1037" s="1018" t="s">
        <v>63</v>
      </c>
      <c r="F1037" s="1017" t="s">
        <v>67</v>
      </c>
      <c r="G1037" s="1017" t="s">
        <v>64</v>
      </c>
      <c r="H1037" s="1017" t="s">
        <v>68</v>
      </c>
      <c r="I1037" s="1019"/>
      <c r="J1037" s="1018">
        <v>248.0</v>
      </c>
      <c r="K1037" s="1020">
        <v>0.019394667911502683</v>
      </c>
      <c r="L1037" s="1021"/>
      <c r="M1037" s="736"/>
      <c r="N1037" s="736"/>
      <c r="O1037" s="736"/>
    </row>
    <row r="1038">
      <c r="A1038" s="1014" t="s">
        <v>76</v>
      </c>
      <c r="B1038" s="1015" t="s">
        <v>60</v>
      </c>
      <c r="C1038" s="1016">
        <v>42065.0</v>
      </c>
      <c r="D1038" s="1017" t="s">
        <v>59</v>
      </c>
      <c r="E1038" s="1018" t="s">
        <v>63</v>
      </c>
      <c r="F1038" s="1017" t="s">
        <v>67</v>
      </c>
      <c r="G1038" s="1017" t="s">
        <v>65</v>
      </c>
      <c r="H1038" s="1017" t="s">
        <v>68</v>
      </c>
      <c r="I1038" s="1019"/>
      <c r="J1038" s="1018">
        <v>218.0</v>
      </c>
      <c r="K1038" s="1020">
        <v>0.007181388840796332</v>
      </c>
      <c r="L1038" s="1021"/>
      <c r="M1038" s="736"/>
      <c r="N1038" s="736"/>
      <c r="O1038" s="736"/>
    </row>
    <row r="1039">
      <c r="A1039" s="1014" t="s">
        <v>331</v>
      </c>
      <c r="B1039" s="1015" t="s">
        <v>56</v>
      </c>
      <c r="C1039" s="1016">
        <v>42064.0</v>
      </c>
      <c r="D1039" s="1017" t="s">
        <v>90</v>
      </c>
      <c r="E1039" s="1018" t="s">
        <v>63</v>
      </c>
      <c r="F1039" s="1017" t="s">
        <v>67</v>
      </c>
      <c r="G1039" s="1017" t="s">
        <v>67</v>
      </c>
      <c r="H1039" s="1017" t="s">
        <v>68</v>
      </c>
      <c r="I1039" s="1019">
        <v>0.9</v>
      </c>
      <c r="J1039" s="1018">
        <v>252.0</v>
      </c>
      <c r="K1039" s="1020">
        <v>0.012291967856646102</v>
      </c>
      <c r="L1039" s="1021"/>
      <c r="M1039" s="736"/>
      <c r="N1039" s="736"/>
      <c r="O1039" s="736"/>
    </row>
    <row r="1040">
      <c r="A1040" s="1014" t="s">
        <v>620</v>
      </c>
      <c r="B1040" s="1015" t="s">
        <v>60</v>
      </c>
      <c r="C1040" s="1016">
        <v>42063.0</v>
      </c>
      <c r="D1040" s="1017" t="s">
        <v>59</v>
      </c>
      <c r="E1040" s="1018" t="s">
        <v>63</v>
      </c>
      <c r="F1040" s="1017" t="s">
        <v>68</v>
      </c>
      <c r="G1040" s="1017" t="s">
        <v>68</v>
      </c>
      <c r="H1040" s="1017" t="s">
        <v>68</v>
      </c>
      <c r="I1040" s="1019"/>
      <c r="J1040" s="1018">
        <v>242.0</v>
      </c>
      <c r="K1040" s="1020">
        <v>-7.457881651994347E-4</v>
      </c>
      <c r="L1040" s="1021"/>
      <c r="M1040" s="736"/>
      <c r="N1040" s="736"/>
      <c r="O1040" s="736"/>
    </row>
    <row r="1041">
      <c r="A1041" s="1014" t="s">
        <v>623</v>
      </c>
      <c r="B1041" s="1015" t="s">
        <v>60</v>
      </c>
      <c r="C1041" s="1016">
        <v>42063.0</v>
      </c>
      <c r="D1041" s="1017" t="s">
        <v>59</v>
      </c>
      <c r="E1041" s="1018" t="s">
        <v>63</v>
      </c>
      <c r="F1041" s="1017" t="s">
        <v>67</v>
      </c>
      <c r="G1041" s="1017" t="s">
        <v>64</v>
      </c>
      <c r="H1041" s="1017" t="s">
        <v>68</v>
      </c>
      <c r="I1041" s="1019"/>
      <c r="J1041" s="1018">
        <v>195.0</v>
      </c>
      <c r="K1041" s="1020">
        <v>-0.008976329622296442</v>
      </c>
      <c r="L1041" s="1021"/>
      <c r="M1041" s="736"/>
      <c r="N1041" s="736"/>
      <c r="O1041" s="736"/>
    </row>
    <row r="1042">
      <c r="A1042" s="1014" t="s">
        <v>212</v>
      </c>
      <c r="B1042" s="1015" t="s">
        <v>60</v>
      </c>
      <c r="C1042" s="1016">
        <v>42060.0</v>
      </c>
      <c r="D1042" s="1017" t="s">
        <v>59</v>
      </c>
      <c r="E1042" s="1018" t="s">
        <v>195</v>
      </c>
      <c r="F1042" s="1017" t="s">
        <v>65</v>
      </c>
      <c r="G1042" s="1017" t="s">
        <v>64</v>
      </c>
      <c r="H1042" s="1017" t="s">
        <v>66</v>
      </c>
      <c r="I1042" s="1019"/>
      <c r="J1042" s="1018">
        <v>226.0</v>
      </c>
      <c r="K1042" s="1020">
        <v>-0.004512998663288359</v>
      </c>
      <c r="L1042" s="1021"/>
      <c r="M1042" s="736"/>
      <c r="N1042" s="736"/>
      <c r="O1042" s="736"/>
    </row>
    <row r="1043">
      <c r="A1043" s="1014" t="s">
        <v>339</v>
      </c>
      <c r="B1043" s="1015" t="s">
        <v>60</v>
      </c>
      <c r="C1043" s="1016">
        <v>42058.0</v>
      </c>
      <c r="D1043" s="1017" t="s">
        <v>59</v>
      </c>
      <c r="E1043" s="1018" t="s">
        <v>63</v>
      </c>
      <c r="F1043" s="1017" t="s">
        <v>65</v>
      </c>
      <c r="G1043" s="1017" t="s">
        <v>65</v>
      </c>
      <c r="H1043" s="1017" t="s">
        <v>68</v>
      </c>
      <c r="I1043" s="1019">
        <v>0.8</v>
      </c>
      <c r="J1043" s="1018">
        <v>269.0</v>
      </c>
      <c r="K1043" s="1020">
        <v>0.005696397185005475</v>
      </c>
      <c r="L1043" s="1021"/>
      <c r="M1043" s="736"/>
      <c r="N1043" s="736"/>
      <c r="O1043" s="736"/>
    </row>
    <row r="1044">
      <c r="A1044" s="1014" t="s">
        <v>605</v>
      </c>
      <c r="B1044" s="1015" t="s">
        <v>60</v>
      </c>
      <c r="C1044" s="1016">
        <v>42056.0</v>
      </c>
      <c r="D1044" s="1017" t="s">
        <v>59</v>
      </c>
      <c r="E1044" s="1018" t="s">
        <v>63</v>
      </c>
      <c r="F1044" s="1017" t="s">
        <v>64</v>
      </c>
      <c r="G1044" s="1017" t="s">
        <v>69</v>
      </c>
      <c r="H1044" s="1017" t="s">
        <v>68</v>
      </c>
      <c r="I1044" s="1019"/>
      <c r="J1044" s="1018">
        <v>201.0</v>
      </c>
      <c r="K1044" s="1020">
        <v>0.006818242705076916</v>
      </c>
      <c r="L1044" s="1021"/>
      <c r="M1044" s="736"/>
      <c r="N1044" s="736"/>
      <c r="O1044" s="736"/>
    </row>
    <row r="1045">
      <c r="A1045" s="1014" t="s">
        <v>457</v>
      </c>
      <c r="B1045" s="1015" t="s">
        <v>60</v>
      </c>
      <c r="C1045" s="1016">
        <v>42055.0</v>
      </c>
      <c r="D1045" s="1017" t="s">
        <v>59</v>
      </c>
      <c r="E1045" s="1018" t="s">
        <v>63</v>
      </c>
      <c r="F1045" s="1017" t="s">
        <v>65</v>
      </c>
      <c r="G1045" s="1017" t="s">
        <v>65</v>
      </c>
      <c r="H1045" s="1017" t="s">
        <v>69</v>
      </c>
      <c r="I1045" s="1019"/>
      <c r="J1045" s="1018">
        <v>260.0</v>
      </c>
      <c r="K1045" s="1020">
        <v>0.022645809624524782</v>
      </c>
      <c r="L1045" s="1021"/>
      <c r="M1045" s="736"/>
      <c r="N1045" s="736"/>
      <c r="O1045" s="736"/>
    </row>
    <row r="1046">
      <c r="A1046" s="1014" t="s">
        <v>96</v>
      </c>
      <c r="B1046" s="1015" t="s">
        <v>60</v>
      </c>
      <c r="C1046" s="1016">
        <v>42055.0</v>
      </c>
      <c r="D1046" s="1017" t="s">
        <v>59</v>
      </c>
      <c r="E1046" s="1018" t="s">
        <v>63</v>
      </c>
      <c r="F1046" s="1017" t="s">
        <v>65</v>
      </c>
      <c r="G1046" s="1017" t="s">
        <v>65</v>
      </c>
      <c r="H1046" s="1017" t="s">
        <v>69</v>
      </c>
      <c r="I1046" s="1019"/>
      <c r="J1046" s="1018">
        <v>228.0</v>
      </c>
      <c r="K1046" s="1020">
        <v>-0.012380151060581879</v>
      </c>
      <c r="L1046" s="1021"/>
      <c r="M1046" s="736"/>
      <c r="N1046" s="736"/>
      <c r="O1046" s="736"/>
    </row>
    <row r="1047">
      <c r="A1047" s="1014" t="s">
        <v>331</v>
      </c>
      <c r="B1047" s="1015" t="s">
        <v>56</v>
      </c>
      <c r="C1047" s="1016">
        <v>42050.0</v>
      </c>
      <c r="D1047" s="1017" t="s">
        <v>90</v>
      </c>
      <c r="E1047" s="1018" t="s">
        <v>63</v>
      </c>
      <c r="F1047" s="1017" t="s">
        <v>67</v>
      </c>
      <c r="G1047" s="1017" t="s">
        <v>67</v>
      </c>
      <c r="H1047" s="1017" t="s">
        <v>68</v>
      </c>
      <c r="I1047" s="1019">
        <v>0.9</v>
      </c>
      <c r="J1047" s="1018">
        <v>255.0</v>
      </c>
      <c r="K1047" s="1020">
        <v>0.014528844812645825</v>
      </c>
      <c r="L1047" s="1021"/>
      <c r="M1047" s="736"/>
      <c r="N1047" s="736"/>
      <c r="O1047" s="736"/>
    </row>
    <row r="1048">
      <c r="A1048" s="1014" t="s">
        <v>589</v>
      </c>
      <c r="B1048" s="1015" t="s">
        <v>60</v>
      </c>
      <c r="C1048" s="1016">
        <v>42049.0</v>
      </c>
      <c r="D1048" s="1017" t="s">
        <v>103</v>
      </c>
      <c r="E1048" s="1018" t="s">
        <v>63</v>
      </c>
      <c r="F1048" s="1017" t="s">
        <v>66</v>
      </c>
      <c r="G1048" s="1017" t="s">
        <v>69</v>
      </c>
      <c r="H1048" s="1017" t="s">
        <v>66</v>
      </c>
      <c r="I1048" s="1019"/>
      <c r="J1048" s="1018">
        <v>217.0</v>
      </c>
      <c r="K1048" s="1020">
        <v>-0.012435265721486233</v>
      </c>
      <c r="L1048" s="1021"/>
      <c r="M1048" s="736"/>
      <c r="N1048" s="736"/>
      <c r="O1048" s="736"/>
    </row>
    <row r="1049">
      <c r="A1049" s="1014" t="s">
        <v>595</v>
      </c>
      <c r="B1049" s="1015" t="s">
        <v>60</v>
      </c>
      <c r="C1049" s="1016">
        <v>42049.0</v>
      </c>
      <c r="D1049" s="1017" t="s">
        <v>59</v>
      </c>
      <c r="E1049" s="1018" t="s">
        <v>63</v>
      </c>
      <c r="F1049" s="1017" t="s">
        <v>65</v>
      </c>
      <c r="G1049" s="1017" t="s">
        <v>64</v>
      </c>
      <c r="H1049" s="1017" t="s">
        <v>69</v>
      </c>
      <c r="I1049" s="1019"/>
      <c r="J1049" s="1018">
        <v>218.0</v>
      </c>
      <c r="K1049" s="1020">
        <v>-0.02044398692772109</v>
      </c>
      <c r="L1049" s="1021"/>
      <c r="M1049" s="736"/>
      <c r="N1049" s="736"/>
      <c r="O1049" s="736"/>
    </row>
    <row r="1050">
      <c r="A1050" s="1014" t="s">
        <v>126</v>
      </c>
      <c r="B1050" s="1015" t="s">
        <v>60</v>
      </c>
      <c r="C1050" s="1016">
        <v>42048.0</v>
      </c>
      <c r="D1050" s="1017" t="s">
        <v>79</v>
      </c>
      <c r="E1050" s="1018" t="s">
        <v>63</v>
      </c>
      <c r="F1050" s="1017" t="s">
        <v>65</v>
      </c>
      <c r="G1050" s="1017" t="s">
        <v>127</v>
      </c>
      <c r="H1050" s="1017" t="s">
        <v>66</v>
      </c>
      <c r="I1050" s="1019">
        <v>1.0</v>
      </c>
      <c r="J1050" s="1018">
        <v>220.0</v>
      </c>
      <c r="K1050" s="1020">
        <v>0.015160518670578105</v>
      </c>
      <c r="L1050" s="1021"/>
      <c r="M1050" s="736"/>
      <c r="N1050" s="736"/>
      <c r="O1050" s="736"/>
    </row>
    <row r="1051">
      <c r="A1051" s="1014" t="s">
        <v>582</v>
      </c>
      <c r="B1051" s="1015" t="s">
        <v>60</v>
      </c>
      <c r="C1051" s="1016">
        <v>42047.0</v>
      </c>
      <c r="D1051" s="1017" t="s">
        <v>109</v>
      </c>
      <c r="E1051" s="1018" t="s">
        <v>63</v>
      </c>
      <c r="F1051" s="1017" t="s">
        <v>68</v>
      </c>
      <c r="G1051" s="1017" t="s">
        <v>68</v>
      </c>
      <c r="H1051" s="1017" t="s">
        <v>68</v>
      </c>
      <c r="I1051" s="1019"/>
      <c r="J1051" s="1018">
        <v>193.0</v>
      </c>
      <c r="K1051" s="1020">
        <v>0.004736516871913787</v>
      </c>
      <c r="L1051" s="1021"/>
      <c r="M1051" s="736"/>
      <c r="N1051" s="736"/>
      <c r="O1051" s="736"/>
    </row>
    <row r="1052">
      <c r="A1052" s="1014" t="s">
        <v>449</v>
      </c>
      <c r="B1052" s="1015" t="s">
        <v>60</v>
      </c>
      <c r="C1052" s="1016">
        <v>42041.0</v>
      </c>
      <c r="D1052" s="1017" t="s">
        <v>59</v>
      </c>
      <c r="E1052" s="1018" t="s">
        <v>63</v>
      </c>
      <c r="F1052" s="1017" t="s">
        <v>67</v>
      </c>
      <c r="G1052" s="1017" t="s">
        <v>66</v>
      </c>
      <c r="H1052" s="1017" t="s">
        <v>68</v>
      </c>
      <c r="I1052" s="1019"/>
      <c r="J1052" s="1018">
        <v>192.0</v>
      </c>
      <c r="K1052" s="1020">
        <v>-0.007561209605912778</v>
      </c>
      <c r="L1052" s="1021"/>
      <c r="M1052" s="736"/>
      <c r="N1052" s="736"/>
      <c r="O1052" s="736"/>
    </row>
    <row r="1053">
      <c r="A1053" s="1014" t="s">
        <v>1870</v>
      </c>
      <c r="B1053" s="1015" t="s">
        <v>60</v>
      </c>
      <c r="C1053" s="1016">
        <v>42040.0</v>
      </c>
      <c r="D1053" s="1017" t="s">
        <v>79</v>
      </c>
      <c r="E1053" s="1018" t="s">
        <v>63</v>
      </c>
      <c r="F1053" s="1017" t="s">
        <v>69</v>
      </c>
      <c r="G1053" s="1017" t="s">
        <v>69</v>
      </c>
      <c r="H1053" s="1017" t="s">
        <v>69</v>
      </c>
      <c r="I1053" s="1019">
        <v>0.8</v>
      </c>
      <c r="J1053" s="1018">
        <v>209.0</v>
      </c>
      <c r="K1053" s="1020">
        <v>-0.021720194925411884</v>
      </c>
      <c r="L1053" s="1021"/>
      <c r="M1053" s="736"/>
      <c r="N1053" s="736"/>
      <c r="O1053" s="736"/>
    </row>
    <row r="1054">
      <c r="A1054" s="1014" t="s">
        <v>348</v>
      </c>
      <c r="B1054" s="1015" t="s">
        <v>60</v>
      </c>
      <c r="C1054" s="1016">
        <v>42039.0</v>
      </c>
      <c r="D1054" s="1017" t="s">
        <v>59</v>
      </c>
      <c r="E1054" s="1018" t="s">
        <v>195</v>
      </c>
      <c r="F1054" s="1017" t="s">
        <v>69</v>
      </c>
      <c r="G1054" s="1017" t="s">
        <v>66</v>
      </c>
      <c r="H1054" s="1017" t="s">
        <v>66</v>
      </c>
      <c r="I1054" s="1019"/>
      <c r="J1054" s="1018">
        <v>266.0</v>
      </c>
      <c r="K1054" s="1020">
        <v>-0.011915927594061682</v>
      </c>
      <c r="L1054" s="1021"/>
      <c r="M1054" s="736"/>
      <c r="N1054" s="736"/>
      <c r="O1054" s="736"/>
    </row>
    <row r="1055">
      <c r="A1055" s="1014" t="s">
        <v>566</v>
      </c>
      <c r="B1055" s="1015" t="s">
        <v>60</v>
      </c>
      <c r="C1055" s="1016">
        <v>42037.0</v>
      </c>
      <c r="D1055" s="1017" t="s">
        <v>59</v>
      </c>
      <c r="E1055" s="1018" t="s">
        <v>63</v>
      </c>
      <c r="F1055" s="1017" t="s">
        <v>67</v>
      </c>
      <c r="G1055" s="1017" t="s">
        <v>64</v>
      </c>
      <c r="H1055" s="1017" t="s">
        <v>68</v>
      </c>
      <c r="I1055" s="1019"/>
      <c r="J1055" s="1018">
        <v>245.0</v>
      </c>
      <c r="K1055" s="1020">
        <v>0.005168762624731649</v>
      </c>
      <c r="L1055" s="1021"/>
      <c r="M1055" s="736"/>
      <c r="N1055" s="736"/>
      <c r="O1055" s="736"/>
    </row>
    <row r="1056">
      <c r="A1056" s="1014" t="s">
        <v>571</v>
      </c>
      <c r="B1056" s="1015" t="s">
        <v>60</v>
      </c>
      <c r="C1056" s="1016">
        <v>42037.0</v>
      </c>
      <c r="D1056" s="1017" t="s">
        <v>103</v>
      </c>
      <c r="E1056" s="1018" t="s">
        <v>63</v>
      </c>
      <c r="F1056" s="1017" t="s">
        <v>68</v>
      </c>
      <c r="G1056" s="1017" t="s">
        <v>68</v>
      </c>
      <c r="H1056" s="1017" t="s">
        <v>68</v>
      </c>
      <c r="I1056" s="1019"/>
      <c r="J1056" s="1018">
        <v>218.0</v>
      </c>
      <c r="K1056" s="1020">
        <v>0.01861772924077576</v>
      </c>
      <c r="L1056" s="1021"/>
      <c r="M1056" s="736"/>
      <c r="N1056" s="736"/>
      <c r="O1056" s="736"/>
    </row>
    <row r="1057">
      <c r="A1057" s="1014" t="s">
        <v>361</v>
      </c>
      <c r="B1057" s="1015" t="s">
        <v>60</v>
      </c>
      <c r="C1057" s="1016">
        <v>42035.0</v>
      </c>
      <c r="D1057" s="1017" t="s">
        <v>59</v>
      </c>
      <c r="E1057" s="1018" t="s">
        <v>63</v>
      </c>
      <c r="F1057" s="1017" t="s">
        <v>69</v>
      </c>
      <c r="G1057" s="1017" t="s">
        <v>64</v>
      </c>
      <c r="H1057" s="1017" t="s">
        <v>69</v>
      </c>
      <c r="I1057" s="1019"/>
      <c r="J1057" s="1018">
        <v>231.0</v>
      </c>
      <c r="K1057" s="1020">
        <v>0.034754137652417305</v>
      </c>
      <c r="L1057" s="1021"/>
      <c r="M1057" s="736"/>
      <c r="N1057" s="736"/>
      <c r="O1057" s="736"/>
    </row>
    <row r="1058">
      <c r="A1058" s="1014" t="s">
        <v>513</v>
      </c>
      <c r="B1058" s="1015" t="s">
        <v>60</v>
      </c>
      <c r="C1058" s="1016">
        <v>42035.0</v>
      </c>
      <c r="D1058" s="1017" t="s">
        <v>59</v>
      </c>
      <c r="E1058" s="1018" t="s">
        <v>63</v>
      </c>
      <c r="F1058" s="1017" t="s">
        <v>80</v>
      </c>
      <c r="G1058" s="1017" t="s">
        <v>64</v>
      </c>
      <c r="H1058" s="1017" t="s">
        <v>68</v>
      </c>
      <c r="I1058" s="1019"/>
      <c r="J1058" s="1018">
        <v>250.0</v>
      </c>
      <c r="K1058" s="1020">
        <v>0.012445809624524795</v>
      </c>
      <c r="L1058" s="1021"/>
      <c r="M1058" s="736"/>
      <c r="N1058" s="736"/>
      <c r="O1058" s="736"/>
    </row>
    <row r="1059">
      <c r="A1059" s="1014" t="s">
        <v>279</v>
      </c>
      <c r="B1059" s="1015" t="s">
        <v>60</v>
      </c>
      <c r="C1059" s="1016">
        <v>42033.0</v>
      </c>
      <c r="D1059" s="1017" t="s">
        <v>59</v>
      </c>
      <c r="E1059" s="1018" t="s">
        <v>195</v>
      </c>
      <c r="F1059" s="1017" t="s">
        <v>64</v>
      </c>
      <c r="G1059" s="1017" t="s">
        <v>69</v>
      </c>
      <c r="H1059" s="1017" t="s">
        <v>68</v>
      </c>
      <c r="I1059" s="1019"/>
      <c r="J1059" s="1018">
        <v>238.0</v>
      </c>
      <c r="K1059" s="1020">
        <v>0.012374947288560145</v>
      </c>
      <c r="L1059" s="1021"/>
      <c r="M1059" s="736"/>
      <c r="N1059" s="736"/>
      <c r="O1059" s="736"/>
    </row>
    <row r="1060">
      <c r="A1060" s="1014" t="s">
        <v>554</v>
      </c>
      <c r="B1060" s="1015" t="s">
        <v>60</v>
      </c>
      <c r="C1060" s="1016">
        <v>42031.0</v>
      </c>
      <c r="D1060" s="1017" t="s">
        <v>103</v>
      </c>
      <c r="E1060" s="1018" t="s">
        <v>63</v>
      </c>
      <c r="F1060" s="1017" t="s">
        <v>64</v>
      </c>
      <c r="G1060" s="1017" t="s">
        <v>65</v>
      </c>
      <c r="H1060" s="1017" t="s">
        <v>68</v>
      </c>
      <c r="I1060" s="1019"/>
      <c r="J1060" s="1018">
        <v>212.0</v>
      </c>
      <c r="K1060" s="1020">
        <v>-0.007614817335829249</v>
      </c>
      <c r="L1060" s="1021"/>
      <c r="M1060" s="736"/>
      <c r="N1060" s="736"/>
      <c r="O1060" s="736"/>
    </row>
    <row r="1061">
      <c r="A1061" s="1014" t="s">
        <v>548</v>
      </c>
      <c r="B1061" s="1015" t="s">
        <v>60</v>
      </c>
      <c r="C1061" s="1016">
        <v>42029.0</v>
      </c>
      <c r="D1061" s="1017" t="s">
        <v>79</v>
      </c>
      <c r="E1061" s="1018" t="s">
        <v>63</v>
      </c>
      <c r="F1061" s="1017" t="s">
        <v>65</v>
      </c>
      <c r="G1061" s="1017" t="s">
        <v>64</v>
      </c>
      <c r="H1061" s="1017" t="s">
        <v>64</v>
      </c>
      <c r="I1061" s="1019"/>
      <c r="J1061" s="1018">
        <v>230.0</v>
      </c>
      <c r="K1061" s="1020">
        <v>-0.011663483128086183</v>
      </c>
      <c r="L1061" s="1021"/>
      <c r="M1061" s="736"/>
      <c r="N1061" s="736"/>
      <c r="O1061" s="736"/>
    </row>
    <row r="1062">
      <c r="A1062" s="1014" t="s">
        <v>212</v>
      </c>
      <c r="B1062" s="1015" t="s">
        <v>60</v>
      </c>
      <c r="C1062" s="1016">
        <v>42029.0</v>
      </c>
      <c r="D1062" s="1017" t="s">
        <v>59</v>
      </c>
      <c r="E1062" s="1018" t="s">
        <v>63</v>
      </c>
      <c r="F1062" s="1017" t="s">
        <v>67</v>
      </c>
      <c r="G1062" s="1017" t="s">
        <v>65</v>
      </c>
      <c r="H1062" s="1017" t="s">
        <v>66</v>
      </c>
      <c r="I1062" s="1019"/>
      <c r="J1062" s="1018">
        <v>224.0</v>
      </c>
      <c r="K1062" s="1020">
        <v>-0.0032266178913146204</v>
      </c>
      <c r="L1062" s="1021"/>
      <c r="M1062" s="736"/>
      <c r="N1062" s="736"/>
      <c r="O1062" s="736"/>
    </row>
    <row r="1063">
      <c r="A1063" s="1014" t="s">
        <v>285</v>
      </c>
      <c r="B1063" s="1015" t="s">
        <v>60</v>
      </c>
      <c r="C1063" s="1016">
        <v>42028.0</v>
      </c>
      <c r="D1063" s="1017" t="s">
        <v>57</v>
      </c>
      <c r="E1063" s="1018" t="s">
        <v>195</v>
      </c>
      <c r="F1063" s="1017" t="s">
        <v>64</v>
      </c>
      <c r="G1063" s="1017" t="s">
        <v>64</v>
      </c>
      <c r="H1063" s="1017" t="s">
        <v>66</v>
      </c>
      <c r="I1063" s="1019"/>
      <c r="J1063" s="1018">
        <v>233.0</v>
      </c>
      <c r="K1063" s="1020">
        <v>0.007209544917928135</v>
      </c>
      <c r="L1063" s="1021"/>
      <c r="M1063" s="736"/>
      <c r="N1063" s="736"/>
      <c r="O1063" s="736"/>
    </row>
    <row r="1064">
      <c r="A1064" s="1014" t="s">
        <v>339</v>
      </c>
      <c r="B1064" s="1015" t="s">
        <v>60</v>
      </c>
      <c r="C1064" s="1016">
        <v>42026.0</v>
      </c>
      <c r="D1064" s="1017" t="s">
        <v>59</v>
      </c>
      <c r="E1064" s="1018" t="s">
        <v>63</v>
      </c>
      <c r="F1064" s="1017" t="s">
        <v>65</v>
      </c>
      <c r="G1064" s="1017" t="s">
        <v>65</v>
      </c>
      <c r="H1064" s="1017" t="s">
        <v>68</v>
      </c>
      <c r="I1064" s="1019">
        <v>0.8</v>
      </c>
      <c r="J1064" s="1018">
        <v>265.0</v>
      </c>
      <c r="K1064" s="1020">
        <v>0.013152406419367546</v>
      </c>
      <c r="L1064" s="1021"/>
      <c r="M1064" s="736"/>
      <c r="N1064" s="736"/>
      <c r="O1064" s="736"/>
    </row>
    <row r="1065">
      <c r="A1065" s="1014" t="s">
        <v>541</v>
      </c>
      <c r="B1065" s="1015" t="s">
        <v>60</v>
      </c>
      <c r="C1065" s="1016">
        <v>42026.0</v>
      </c>
      <c r="D1065" s="1017" t="s">
        <v>57</v>
      </c>
      <c r="E1065" s="1018" t="s">
        <v>63</v>
      </c>
      <c r="F1065" s="1017" t="s">
        <v>65</v>
      </c>
      <c r="G1065" s="1017" t="s">
        <v>64</v>
      </c>
      <c r="H1065" s="1017" t="s">
        <v>68</v>
      </c>
      <c r="I1065" s="1019"/>
      <c r="J1065" s="1018">
        <v>228.0</v>
      </c>
      <c r="K1065" s="1020">
        <v>1.1738087500989813E-5</v>
      </c>
      <c r="L1065" s="1021"/>
      <c r="M1065" s="736"/>
      <c r="N1065" s="736"/>
      <c r="O1065" s="736"/>
    </row>
    <row r="1066">
      <c r="A1066" s="1014" t="s">
        <v>324</v>
      </c>
      <c r="B1066" s="1015" t="s">
        <v>60</v>
      </c>
      <c r="C1066" s="1016">
        <v>42025.0</v>
      </c>
      <c r="D1066" s="1017" t="s">
        <v>79</v>
      </c>
      <c r="E1066" s="1018" t="s">
        <v>63</v>
      </c>
      <c r="F1066" s="1017" t="s">
        <v>65</v>
      </c>
      <c r="G1066" s="1017" t="s">
        <v>64</v>
      </c>
      <c r="H1066" s="1017" t="s">
        <v>68</v>
      </c>
      <c r="I1066" s="1019"/>
      <c r="J1066" s="1018">
        <v>209.0</v>
      </c>
      <c r="K1066" s="1020">
        <v>-0.001063483128086129</v>
      </c>
      <c r="L1066" s="1021"/>
      <c r="M1066" s="736"/>
      <c r="N1066" s="736"/>
      <c r="O1066" s="736"/>
    </row>
    <row r="1067">
      <c r="A1067" s="1014" t="s">
        <v>354</v>
      </c>
      <c r="B1067" s="1015" t="s">
        <v>60</v>
      </c>
      <c r="C1067" s="1016">
        <v>42024.0</v>
      </c>
      <c r="D1067" s="1017" t="s">
        <v>103</v>
      </c>
      <c r="E1067" s="1018" t="s">
        <v>63</v>
      </c>
      <c r="F1067" s="1017" t="s">
        <v>66</v>
      </c>
      <c r="G1067" s="1017" t="s">
        <v>65</v>
      </c>
      <c r="H1067" s="1017" t="s">
        <v>68</v>
      </c>
      <c r="I1067" s="1019"/>
      <c r="J1067" s="1018">
        <v>221.0</v>
      </c>
      <c r="K1067" s="1020">
        <v>0.004493129585249389</v>
      </c>
      <c r="L1067" s="1021"/>
      <c r="M1067" s="736"/>
      <c r="N1067" s="736"/>
      <c r="O1067" s="736"/>
    </row>
    <row r="1068">
      <c r="A1068" s="1014" t="s">
        <v>132</v>
      </c>
      <c r="B1068" s="1015" t="s">
        <v>60</v>
      </c>
      <c r="C1068" s="1016">
        <v>42024.0</v>
      </c>
      <c r="D1068" s="1017" t="s">
        <v>57</v>
      </c>
      <c r="E1068" s="1018" t="s">
        <v>63</v>
      </c>
      <c r="F1068" s="1017" t="s">
        <v>65</v>
      </c>
      <c r="G1068" s="1017" t="s">
        <v>64</v>
      </c>
      <c r="H1068" s="1017" t="s">
        <v>66</v>
      </c>
      <c r="I1068" s="1019"/>
      <c r="J1068" s="1018">
        <v>248.0</v>
      </c>
      <c r="K1068" s="1020">
        <v>0.004564503210348625</v>
      </c>
      <c r="L1068" s="1021"/>
      <c r="M1068" s="736"/>
      <c r="N1068" s="736"/>
      <c r="O1068" s="736"/>
    </row>
    <row r="1069">
      <c r="A1069" s="1014" t="s">
        <v>76</v>
      </c>
      <c r="B1069" s="1015" t="s">
        <v>60</v>
      </c>
      <c r="C1069" s="1016">
        <v>42023.0</v>
      </c>
      <c r="D1069" s="1017" t="s">
        <v>59</v>
      </c>
      <c r="E1069" s="1018" t="s">
        <v>63</v>
      </c>
      <c r="F1069" s="1017" t="s">
        <v>67</v>
      </c>
      <c r="G1069" s="1017" t="s">
        <v>68</v>
      </c>
      <c r="H1069" s="1017" t="s">
        <v>68</v>
      </c>
      <c r="I1069" s="1019"/>
      <c r="J1069" s="1018">
        <v>218.0</v>
      </c>
      <c r="K1069" s="1020">
        <v>0.005180569606796803</v>
      </c>
      <c r="L1069" s="1021"/>
      <c r="M1069" s="736"/>
      <c r="N1069" s="736"/>
      <c r="O1069" s="736"/>
    </row>
    <row r="1070">
      <c r="A1070" s="1014" t="s">
        <v>241</v>
      </c>
      <c r="B1070" s="1015" t="s">
        <v>60</v>
      </c>
      <c r="C1070" s="1016">
        <v>42023.0</v>
      </c>
      <c r="D1070" s="1017" t="s">
        <v>59</v>
      </c>
      <c r="E1070" s="1018" t="s">
        <v>63</v>
      </c>
      <c r="F1070" s="1017" t="s">
        <v>64</v>
      </c>
      <c r="G1070" s="1017" t="s">
        <v>69</v>
      </c>
      <c r="H1070" s="1017" t="s">
        <v>66</v>
      </c>
      <c r="I1070" s="1019"/>
      <c r="J1070" s="1018">
        <v>240.0</v>
      </c>
      <c r="K1070" s="1020">
        <v>-0.00696060180267255</v>
      </c>
      <c r="L1070" s="1021"/>
      <c r="M1070" s="736"/>
      <c r="N1070" s="736"/>
      <c r="O1070" s="736"/>
    </row>
    <row r="1071">
      <c r="A1071" s="1014" t="s">
        <v>513</v>
      </c>
      <c r="B1071" s="1015" t="s">
        <v>60</v>
      </c>
      <c r="C1071" s="1016">
        <v>42022.0</v>
      </c>
      <c r="D1071" s="1017" t="s">
        <v>59</v>
      </c>
      <c r="E1071" s="1018" t="s">
        <v>63</v>
      </c>
      <c r="F1071" s="1017" t="s">
        <v>67</v>
      </c>
      <c r="G1071" s="1017" t="s">
        <v>65</v>
      </c>
      <c r="H1071" s="1017" t="s">
        <v>68</v>
      </c>
      <c r="I1071" s="1019"/>
      <c r="J1071" s="1018">
        <v>244.0</v>
      </c>
      <c r="K1071" s="1020">
        <v>0.005265357652657454</v>
      </c>
      <c r="L1071" s="1021"/>
      <c r="M1071" s="736"/>
      <c r="N1071" s="736"/>
      <c r="O1071" s="736"/>
    </row>
    <row r="1072">
      <c r="A1072" s="1014" t="s">
        <v>155</v>
      </c>
      <c r="B1072" s="1015" t="s">
        <v>60</v>
      </c>
      <c r="C1072" s="1016">
        <v>42022.0</v>
      </c>
      <c r="D1072" s="1017" t="s">
        <v>109</v>
      </c>
      <c r="E1072" s="1018" t="s">
        <v>63</v>
      </c>
      <c r="F1072" s="1017" t="s">
        <v>65</v>
      </c>
      <c r="G1072" s="1017" t="s">
        <v>69</v>
      </c>
      <c r="H1072" s="1017" t="s">
        <v>66</v>
      </c>
      <c r="I1072" s="1019"/>
      <c r="J1072" s="1018">
        <v>211.0</v>
      </c>
      <c r="K1072" s="1020">
        <v>0.006012954208290955</v>
      </c>
      <c r="L1072" s="1021"/>
      <c r="M1072" s="736"/>
      <c r="N1072" s="736"/>
      <c r="O1072" s="736"/>
    </row>
    <row r="1073">
      <c r="A1073" s="1014" t="s">
        <v>381</v>
      </c>
      <c r="B1073" s="1015" t="s">
        <v>60</v>
      </c>
      <c r="C1073" s="1016">
        <v>42021.0</v>
      </c>
      <c r="D1073" s="1017" t="s">
        <v>79</v>
      </c>
      <c r="E1073" s="1018" t="s">
        <v>195</v>
      </c>
      <c r="F1073" s="1017" t="s">
        <v>64</v>
      </c>
      <c r="G1073" s="1017" t="s">
        <v>69</v>
      </c>
      <c r="H1073" s="1017" t="s">
        <v>68</v>
      </c>
      <c r="I1073" s="1019"/>
      <c r="J1073" s="1018">
        <v>220.0</v>
      </c>
      <c r="K1073" s="1020">
        <v>0.001580346540115185</v>
      </c>
      <c r="L1073" s="1021"/>
      <c r="M1073" s="736"/>
      <c r="N1073" s="736"/>
      <c r="O1073" s="736"/>
    </row>
    <row r="1074">
      <c r="A1074" s="1014" t="s">
        <v>339</v>
      </c>
      <c r="B1074" s="1015" t="s">
        <v>60</v>
      </c>
      <c r="C1074" s="1016">
        <v>42021.0</v>
      </c>
      <c r="D1074" s="1017" t="s">
        <v>59</v>
      </c>
      <c r="E1074" s="1018" t="s">
        <v>63</v>
      </c>
      <c r="F1074" s="1017" t="s">
        <v>65</v>
      </c>
      <c r="G1074" s="1017" t="s">
        <v>65</v>
      </c>
      <c r="H1074" s="1017" t="s">
        <v>68</v>
      </c>
      <c r="I1074" s="1019">
        <v>0.8</v>
      </c>
      <c r="J1074" s="1018">
        <v>265.0</v>
      </c>
      <c r="K1074" s="1020">
        <v>0.014204093105644855</v>
      </c>
      <c r="L1074" s="1021"/>
      <c r="M1074" s="736"/>
      <c r="N1074" s="736"/>
      <c r="O1074" s="736"/>
    </row>
    <row r="1075">
      <c r="A1075" s="1014" t="s">
        <v>126</v>
      </c>
      <c r="B1075" s="1015" t="s">
        <v>60</v>
      </c>
      <c r="C1075" s="1016">
        <v>42020.0</v>
      </c>
      <c r="D1075" s="1017" t="s">
        <v>79</v>
      </c>
      <c r="E1075" s="1018" t="s">
        <v>63</v>
      </c>
      <c r="F1075" s="1017" t="s">
        <v>65</v>
      </c>
      <c r="G1075" s="1017" t="s">
        <v>127</v>
      </c>
      <c r="H1075" s="1017" t="s">
        <v>66</v>
      </c>
      <c r="I1075" s="1019">
        <v>1.0</v>
      </c>
      <c r="J1075" s="1018">
        <v>220.0</v>
      </c>
      <c r="K1075" s="1020">
        <v>-0.008063794643679234</v>
      </c>
      <c r="L1075" s="1021"/>
      <c r="M1075" s="736"/>
      <c r="N1075" s="736"/>
      <c r="O1075" s="736"/>
    </row>
    <row r="1076">
      <c r="A1076" s="1014" t="s">
        <v>192</v>
      </c>
      <c r="B1076" s="1015" t="s">
        <v>60</v>
      </c>
      <c r="C1076" s="1016">
        <v>42020.0</v>
      </c>
      <c r="D1076" s="1017" t="s">
        <v>79</v>
      </c>
      <c r="E1076" s="1018" t="s">
        <v>195</v>
      </c>
      <c r="F1076" s="1017" t="s">
        <v>65</v>
      </c>
      <c r="G1076" s="1017" t="s">
        <v>65</v>
      </c>
      <c r="H1076" s="1017" t="s">
        <v>68</v>
      </c>
      <c r="I1076" s="1019"/>
      <c r="J1076" s="1018">
        <v>249.0</v>
      </c>
      <c r="K1076" s="1020">
        <v>4.631164152655298E-4</v>
      </c>
      <c r="L1076" s="1021"/>
      <c r="M1076" s="736"/>
      <c r="N1076" s="736"/>
      <c r="O1076" s="736"/>
    </row>
    <row r="1077">
      <c r="A1077" s="1014" t="s">
        <v>288</v>
      </c>
      <c r="B1077" s="1015" t="s">
        <v>60</v>
      </c>
      <c r="C1077" s="1016">
        <v>42020.0</v>
      </c>
      <c r="D1077" s="1017" t="s">
        <v>109</v>
      </c>
      <c r="E1077" s="1018" t="s">
        <v>63</v>
      </c>
      <c r="F1077" s="1017" t="s">
        <v>68</v>
      </c>
      <c r="G1077" s="1017" t="s">
        <v>64</v>
      </c>
      <c r="H1077" s="1017" t="s">
        <v>66</v>
      </c>
      <c r="I1077" s="1019"/>
      <c r="J1077" s="1018">
        <v>216.0</v>
      </c>
      <c r="K1077" s="1020">
        <v>-0.025194056991653335</v>
      </c>
      <c r="L1077" s="1021"/>
      <c r="M1077" s="736"/>
      <c r="N1077" s="736"/>
      <c r="O1077" s="736"/>
    </row>
    <row r="1078">
      <c r="A1078" s="1014" t="s">
        <v>457</v>
      </c>
      <c r="B1078" s="1015" t="s">
        <v>60</v>
      </c>
      <c r="C1078" s="1016">
        <v>42019.0</v>
      </c>
      <c r="D1078" s="1017" t="s">
        <v>59</v>
      </c>
      <c r="E1078" s="1018" t="s">
        <v>63</v>
      </c>
      <c r="F1078" s="1017" t="s">
        <v>67</v>
      </c>
      <c r="G1078" s="1017" t="s">
        <v>67</v>
      </c>
      <c r="H1078" s="1017" t="s">
        <v>64</v>
      </c>
      <c r="I1078" s="1019"/>
      <c r="J1078" s="1018">
        <v>261.0</v>
      </c>
      <c r="K1078" s="1020">
        <v>0.006772595940003789</v>
      </c>
      <c r="L1078" s="1021"/>
      <c r="M1078" s="736"/>
      <c r="N1078" s="736"/>
      <c r="O1078" s="736"/>
    </row>
    <row r="1079">
      <c r="A1079" s="1014" t="s">
        <v>477</v>
      </c>
      <c r="B1079" s="1015" t="s">
        <v>60</v>
      </c>
      <c r="C1079" s="1016">
        <v>42019.0</v>
      </c>
      <c r="D1079" s="1017" t="s">
        <v>59</v>
      </c>
      <c r="E1079" s="1018" t="s">
        <v>63</v>
      </c>
      <c r="F1079" s="1017" t="s">
        <v>67</v>
      </c>
      <c r="G1079" s="1017" t="s">
        <v>64</v>
      </c>
      <c r="H1079" s="1017" t="s">
        <v>68</v>
      </c>
      <c r="I1079" s="1019"/>
      <c r="J1079" s="1018">
        <v>278.0</v>
      </c>
      <c r="K1079" s="1020">
        <v>0.0019494049253838686</v>
      </c>
      <c r="L1079" s="1021"/>
      <c r="M1079" s="736"/>
      <c r="N1079" s="736"/>
      <c r="O1079" s="736"/>
    </row>
    <row r="1080">
      <c r="A1080" s="1014" t="s">
        <v>480</v>
      </c>
      <c r="B1080" s="1015" t="s">
        <v>60</v>
      </c>
      <c r="C1080" s="1016">
        <v>42019.0</v>
      </c>
      <c r="D1080" s="1017" t="s">
        <v>59</v>
      </c>
      <c r="E1080" s="1018" t="s">
        <v>63</v>
      </c>
      <c r="F1080" s="1017" t="s">
        <v>68</v>
      </c>
      <c r="G1080" s="1017" t="s">
        <v>64</v>
      </c>
      <c r="H1080" s="1017" t="s">
        <v>68</v>
      </c>
      <c r="I1080" s="1019"/>
      <c r="J1080" s="1018">
        <v>253.0</v>
      </c>
      <c r="K1080" s="1020">
        <v>0.0024863871060319953</v>
      </c>
      <c r="L1080" s="1021"/>
      <c r="M1080" s="736"/>
      <c r="N1080" s="736"/>
      <c r="O1080" s="736"/>
    </row>
    <row r="1081">
      <c r="A1081" s="1014" t="s">
        <v>192</v>
      </c>
      <c r="B1081" s="1015" t="s">
        <v>60</v>
      </c>
      <c r="C1081" s="1016">
        <v>42019.0</v>
      </c>
      <c r="D1081" s="1017" t="s">
        <v>79</v>
      </c>
      <c r="E1081" s="1018" t="s">
        <v>195</v>
      </c>
      <c r="F1081" s="1017" t="s">
        <v>65</v>
      </c>
      <c r="G1081" s="1017" t="s">
        <v>65</v>
      </c>
      <c r="H1081" s="1017" t="s">
        <v>68</v>
      </c>
      <c r="I1081" s="1019"/>
      <c r="J1081" s="1018">
        <v>249.0</v>
      </c>
      <c r="K1081" s="1020">
        <v>4.4332998025176096E-4</v>
      </c>
      <c r="L1081" s="1021"/>
      <c r="M1081" s="736"/>
      <c r="N1081" s="736"/>
      <c r="O1081" s="736"/>
    </row>
    <row r="1082">
      <c r="A1082" s="1014" t="s">
        <v>488</v>
      </c>
      <c r="B1082" s="1015" t="s">
        <v>60</v>
      </c>
      <c r="C1082" s="1016">
        <v>42019.0</v>
      </c>
      <c r="D1082" s="1017" t="s">
        <v>103</v>
      </c>
      <c r="E1082" s="1018" t="s">
        <v>63</v>
      </c>
      <c r="F1082" s="1017"/>
      <c r="G1082" s="1017"/>
      <c r="H1082" s="1017"/>
      <c r="I1082" s="1019"/>
      <c r="J1082" s="1018">
        <v>270.0</v>
      </c>
      <c r="K1082" s="1020">
        <v>-0.0019791307523673307</v>
      </c>
      <c r="L1082" s="1021"/>
      <c r="M1082" s="736"/>
      <c r="N1082" s="736"/>
      <c r="O1082" s="736"/>
    </row>
    <row r="1083">
      <c r="A1083" s="1014" t="s">
        <v>300</v>
      </c>
      <c r="B1083" s="1015" t="s">
        <v>60</v>
      </c>
      <c r="C1083" s="1016">
        <v>42019.0</v>
      </c>
      <c r="D1083" s="1017" t="s">
        <v>59</v>
      </c>
      <c r="E1083" s="1018" t="s">
        <v>195</v>
      </c>
      <c r="F1083" s="1017" t="s">
        <v>64</v>
      </c>
      <c r="G1083" s="1017" t="s">
        <v>64</v>
      </c>
      <c r="H1083" s="1017" t="s">
        <v>66</v>
      </c>
      <c r="I1083" s="1019"/>
      <c r="J1083" s="1018">
        <v>229.0</v>
      </c>
      <c r="K1083" s="1020">
        <v>0.012226361073677028</v>
      </c>
      <c r="L1083" s="1021"/>
      <c r="M1083" s="736"/>
      <c r="N1083" s="736"/>
      <c r="O1083" s="736"/>
    </row>
    <row r="1084">
      <c r="A1084" s="1014" t="s">
        <v>147</v>
      </c>
      <c r="B1084" s="1015" t="s">
        <v>60</v>
      </c>
      <c r="C1084" s="1016">
        <v>42019.0</v>
      </c>
      <c r="D1084" s="1017" t="s">
        <v>79</v>
      </c>
      <c r="E1084" s="1018" t="s">
        <v>63</v>
      </c>
      <c r="F1084" s="1017" t="s">
        <v>67</v>
      </c>
      <c r="G1084" s="1017" t="s">
        <v>67</v>
      </c>
      <c r="H1084" s="1017" t="s">
        <v>64</v>
      </c>
      <c r="I1084" s="1019"/>
      <c r="J1084" s="1018">
        <v>223.0</v>
      </c>
      <c r="K1084" s="1020">
        <v>-0.006110400850120934</v>
      </c>
      <c r="L1084" s="1021"/>
      <c r="M1084" s="736"/>
      <c r="N1084" s="736"/>
      <c r="O1084" s="736"/>
    </row>
    <row r="1085">
      <c r="A1085" s="1014" t="s">
        <v>212</v>
      </c>
      <c r="B1085" s="1015" t="s">
        <v>60</v>
      </c>
      <c r="C1085" s="1016">
        <v>42019.0</v>
      </c>
      <c r="D1085" s="1017" t="s">
        <v>59</v>
      </c>
      <c r="E1085" s="1018" t="s">
        <v>63</v>
      </c>
      <c r="F1085" s="1017" t="s">
        <v>65</v>
      </c>
      <c r="G1085" s="1017" t="s">
        <v>65</v>
      </c>
      <c r="H1085" s="1017" t="s">
        <v>66</v>
      </c>
      <c r="I1085" s="1019"/>
      <c r="J1085" s="1018">
        <v>227.0</v>
      </c>
      <c r="K1085" s="1020">
        <v>-0.006539277218484241</v>
      </c>
      <c r="L1085" s="1021"/>
      <c r="M1085" s="736"/>
      <c r="N1085" s="736"/>
      <c r="O1085" s="736"/>
    </row>
    <row r="1086">
      <c r="A1086" s="1014" t="s">
        <v>181</v>
      </c>
      <c r="B1086" s="1015" t="s">
        <v>60</v>
      </c>
      <c r="C1086" s="1016">
        <v>42010.0</v>
      </c>
      <c r="D1086" s="1017" t="s">
        <v>59</v>
      </c>
      <c r="E1086" s="1018" t="s">
        <v>63</v>
      </c>
      <c r="F1086" s="1017" t="s">
        <v>66</v>
      </c>
      <c r="G1086" s="1017" t="s">
        <v>69</v>
      </c>
      <c r="H1086" s="1017" t="s">
        <v>66</v>
      </c>
      <c r="I1086" s="1019"/>
      <c r="J1086" s="1018">
        <v>226.0</v>
      </c>
      <c r="K1086" s="1020">
        <v>0.008915957461178237</v>
      </c>
      <c r="L1086" s="1021"/>
      <c r="M1086" s="736"/>
      <c r="N1086" s="736"/>
      <c r="O1086" s="736"/>
    </row>
    <row r="1087">
      <c r="A1087" s="1014" t="s">
        <v>466</v>
      </c>
      <c r="B1087" s="1015" t="s">
        <v>60</v>
      </c>
      <c r="C1087" s="1016">
        <v>42007.0</v>
      </c>
      <c r="D1087" s="1017" t="s">
        <v>103</v>
      </c>
      <c r="E1087" s="1018" t="s">
        <v>63</v>
      </c>
      <c r="F1087" s="1017" t="s">
        <v>65</v>
      </c>
      <c r="G1087" s="1017" t="s">
        <v>65</v>
      </c>
      <c r="H1087" s="1017" t="s">
        <v>69</v>
      </c>
      <c r="I1087" s="1019"/>
      <c r="J1087" s="1018">
        <v>210.0</v>
      </c>
      <c r="K1087" s="1020">
        <v>-0.014596634809268538</v>
      </c>
      <c r="L1087" s="1021"/>
      <c r="M1087" s="736"/>
      <c r="N1087" s="736"/>
      <c r="O1087" s="736"/>
    </row>
    <row r="1088">
      <c r="A1088" s="1014" t="s">
        <v>218</v>
      </c>
      <c r="B1088" s="1015" t="s">
        <v>60</v>
      </c>
      <c r="C1088" s="1016">
        <v>42005.0</v>
      </c>
      <c r="D1088" s="1017" t="s">
        <v>59</v>
      </c>
      <c r="E1088" s="1018" t="s">
        <v>63</v>
      </c>
      <c r="F1088" s="1017" t="s">
        <v>64</v>
      </c>
      <c r="G1088" s="1017" t="s">
        <v>64</v>
      </c>
      <c r="H1088" s="1017" t="s">
        <v>68</v>
      </c>
      <c r="I1088" s="1019"/>
      <c r="J1088" s="1018">
        <v>219.0</v>
      </c>
      <c r="K1088" s="1020">
        <v>-0.01525223824933375</v>
      </c>
      <c r="L1088" s="1021"/>
      <c r="M1088" s="736"/>
      <c r="N1088" s="736"/>
      <c r="O1088" s="736"/>
    </row>
    <row r="1089">
      <c r="A1089" s="1014" t="s">
        <v>457</v>
      </c>
      <c r="B1089" s="1015" t="s">
        <v>60</v>
      </c>
      <c r="C1089" s="1016">
        <v>41996.0</v>
      </c>
      <c r="D1089" s="1017" t="s">
        <v>59</v>
      </c>
      <c r="E1089" s="1018" t="s">
        <v>63</v>
      </c>
      <c r="F1089" s="1017" t="s">
        <v>65</v>
      </c>
      <c r="G1089" s="1017" t="s">
        <v>65</v>
      </c>
      <c r="H1089" s="1017" t="s">
        <v>68</v>
      </c>
      <c r="I1089" s="1019"/>
      <c r="J1089" s="1018">
        <v>261.0</v>
      </c>
      <c r="K1089" s="1020">
        <v>0.0018909523491743574</v>
      </c>
      <c r="L1089" s="1021"/>
      <c r="M1089" s="736"/>
      <c r="N1089" s="736"/>
      <c r="O1089" s="736"/>
    </row>
    <row r="1090">
      <c r="A1090" s="1014" t="s">
        <v>96</v>
      </c>
      <c r="B1090" s="1015" t="s">
        <v>60</v>
      </c>
      <c r="C1090" s="1016">
        <v>41989.0</v>
      </c>
      <c r="D1090" s="1017" t="s">
        <v>59</v>
      </c>
      <c r="E1090" s="1018" t="s">
        <v>63</v>
      </c>
      <c r="F1090" s="1017" t="s">
        <v>65</v>
      </c>
      <c r="G1090" s="1017" t="s">
        <v>65</v>
      </c>
      <c r="H1090" s="1017" t="s">
        <v>64</v>
      </c>
      <c r="I1090" s="1019"/>
      <c r="J1090" s="1018">
        <v>225.0</v>
      </c>
      <c r="K1090" s="1020">
        <v>-0.010563948329860295</v>
      </c>
      <c r="L1090" s="1021"/>
      <c r="M1090" s="736"/>
      <c r="N1090" s="736"/>
      <c r="O1090" s="736"/>
    </row>
    <row r="1091">
      <c r="A1091" s="1014" t="s">
        <v>449</v>
      </c>
      <c r="B1091" s="1015" t="s">
        <v>60</v>
      </c>
      <c r="C1091" s="1016">
        <v>41988.0</v>
      </c>
      <c r="D1091" s="1017" t="s">
        <v>59</v>
      </c>
      <c r="E1091" s="1018" t="s">
        <v>63</v>
      </c>
      <c r="F1091" s="1017" t="s">
        <v>67</v>
      </c>
      <c r="G1091" s="1017" t="s">
        <v>66</v>
      </c>
      <c r="H1091" s="1017" t="s">
        <v>68</v>
      </c>
      <c r="I1091" s="1019"/>
      <c r="J1091" s="1018">
        <v>190.0</v>
      </c>
      <c r="K1091" s="1020">
        <v>-0.010544919107314144</v>
      </c>
      <c r="L1091" s="1021"/>
      <c r="M1091" s="736"/>
      <c r="N1091" s="736"/>
      <c r="O1091" s="736"/>
    </row>
    <row r="1092">
      <c r="A1092" s="1014" t="s">
        <v>339</v>
      </c>
      <c r="B1092" s="1015" t="s">
        <v>60</v>
      </c>
      <c r="C1092" s="1016">
        <v>41984.0</v>
      </c>
      <c r="D1092" s="1017" t="s">
        <v>59</v>
      </c>
      <c r="E1092" s="1018" t="s">
        <v>63</v>
      </c>
      <c r="F1092" s="1017" t="s">
        <v>65</v>
      </c>
      <c r="G1092" s="1017" t="s">
        <v>65</v>
      </c>
      <c r="H1092" s="1017" t="s">
        <v>68</v>
      </c>
      <c r="I1092" s="1019">
        <v>0.9</v>
      </c>
      <c r="J1092" s="1018">
        <v>258.0</v>
      </c>
      <c r="K1092" s="1020">
        <v>0.013558449179994714</v>
      </c>
      <c r="L1092" s="1021"/>
      <c r="M1092" s="736"/>
      <c r="N1092" s="736"/>
      <c r="O1092" s="736"/>
    </row>
    <row r="1093">
      <c r="A1093" s="1014" t="s">
        <v>201</v>
      </c>
      <c r="B1093" s="1015" t="s">
        <v>60</v>
      </c>
      <c r="C1093" s="1016">
        <v>41978.0</v>
      </c>
      <c r="D1093" s="1017" t="s">
        <v>79</v>
      </c>
      <c r="E1093" s="1018" t="s">
        <v>63</v>
      </c>
      <c r="F1093" s="1017" t="s">
        <v>64</v>
      </c>
      <c r="G1093" s="1017" t="s">
        <v>69</v>
      </c>
      <c r="H1093" s="1017" t="s">
        <v>68</v>
      </c>
      <c r="I1093" s="1019"/>
      <c r="J1093" s="1018">
        <v>167.0</v>
      </c>
      <c r="K1093" s="1020">
        <v>8.415216961277228E-4</v>
      </c>
      <c r="L1093" s="1021"/>
      <c r="M1093" s="736"/>
      <c r="N1093" s="736"/>
      <c r="O1093" s="736"/>
    </row>
    <row r="1094">
      <c r="A1094" s="1014" t="s">
        <v>155</v>
      </c>
      <c r="B1094" s="1015" t="s">
        <v>60</v>
      </c>
      <c r="C1094" s="1016">
        <v>41973.0</v>
      </c>
      <c r="D1094" s="1017" t="s">
        <v>109</v>
      </c>
      <c r="E1094" s="1018" t="s">
        <v>63</v>
      </c>
      <c r="F1094" s="1017" t="s">
        <v>64</v>
      </c>
      <c r="G1094" s="1017" t="s">
        <v>69</v>
      </c>
      <c r="H1094" s="1017" t="s">
        <v>66</v>
      </c>
      <c r="I1094" s="1019"/>
      <c r="J1094" s="1018">
        <v>208.0</v>
      </c>
      <c r="K1094" s="1020">
        <v>0.023241292889848664</v>
      </c>
      <c r="L1094" s="1021"/>
      <c r="M1094" s="736"/>
      <c r="N1094" s="736"/>
      <c r="O1094" s="736"/>
    </row>
    <row r="1095">
      <c r="A1095" s="1014" t="s">
        <v>432</v>
      </c>
      <c r="B1095" s="1015" t="s">
        <v>60</v>
      </c>
      <c r="C1095" s="1016">
        <v>41970.0</v>
      </c>
      <c r="D1095" s="1017" t="s">
        <v>103</v>
      </c>
      <c r="E1095" s="1018" t="s">
        <v>63</v>
      </c>
      <c r="F1095" s="1017" t="s">
        <v>66</v>
      </c>
      <c r="G1095" s="1017" t="s">
        <v>69</v>
      </c>
      <c r="H1095" s="1017" t="s">
        <v>68</v>
      </c>
      <c r="I1095" s="1019"/>
      <c r="J1095" s="1018">
        <v>223.0</v>
      </c>
      <c r="K1095" s="1020">
        <v>-8.728938591149316E-4</v>
      </c>
      <c r="L1095" s="1021"/>
      <c r="M1095" s="736"/>
      <c r="N1095" s="736"/>
      <c r="O1095" s="736"/>
    </row>
    <row r="1096">
      <c r="A1096" s="1014" t="s">
        <v>429</v>
      </c>
      <c r="B1096" s="1015" t="s">
        <v>60</v>
      </c>
      <c r="C1096" s="1016">
        <v>41969.0</v>
      </c>
      <c r="D1096" s="1017" t="s">
        <v>59</v>
      </c>
      <c r="E1096" s="1018" t="s">
        <v>63</v>
      </c>
      <c r="F1096" s="1017" t="s">
        <v>67</v>
      </c>
      <c r="G1096" s="1017" t="s">
        <v>69</v>
      </c>
      <c r="H1096" s="1017" t="s">
        <v>68</v>
      </c>
      <c r="I1096" s="1019"/>
      <c r="J1096" s="1018">
        <v>205.0</v>
      </c>
      <c r="K1096" s="1020">
        <v>0.011207100374342138</v>
      </c>
      <c r="L1096" s="1021"/>
      <c r="M1096" s="736"/>
      <c r="N1096" s="736"/>
      <c r="O1096" s="736"/>
    </row>
    <row r="1097">
      <c r="A1097" s="1014" t="s">
        <v>126</v>
      </c>
      <c r="B1097" s="1015" t="s">
        <v>60</v>
      </c>
      <c r="C1097" s="1016">
        <v>41968.0</v>
      </c>
      <c r="D1097" s="1017" t="s">
        <v>79</v>
      </c>
      <c r="E1097" s="1018" t="s">
        <v>63</v>
      </c>
      <c r="F1097" s="1017" t="s">
        <v>65</v>
      </c>
      <c r="G1097" s="1017" t="s">
        <v>127</v>
      </c>
      <c r="H1097" s="1017" t="s">
        <v>66</v>
      </c>
      <c r="I1097" s="1019">
        <v>1.0</v>
      </c>
      <c r="J1097" s="1018">
        <v>220.0</v>
      </c>
      <c r="K1097" s="1020">
        <v>0.002623639783071896</v>
      </c>
      <c r="L1097" s="1021"/>
      <c r="M1097" s="736"/>
      <c r="N1097" s="736"/>
      <c r="O1097" s="736"/>
    </row>
    <row r="1098">
      <c r="A1098" s="1014" t="s">
        <v>416</v>
      </c>
      <c r="B1098" s="1015" t="s">
        <v>60</v>
      </c>
      <c r="C1098" s="1016">
        <v>41967.0</v>
      </c>
      <c r="D1098" s="1017" t="s">
        <v>103</v>
      </c>
      <c r="E1098" s="1018" t="s">
        <v>63</v>
      </c>
      <c r="F1098" s="1017" t="s">
        <v>65</v>
      </c>
      <c r="G1098" s="1017" t="s">
        <v>65</v>
      </c>
      <c r="H1098" s="1017" t="s">
        <v>66</v>
      </c>
      <c r="I1098" s="1019"/>
      <c r="J1098" s="1018">
        <v>218.0</v>
      </c>
      <c r="K1098" s="1020">
        <v>-0.0065247387479491215</v>
      </c>
      <c r="L1098" s="1021"/>
      <c r="M1098" s="736"/>
      <c r="N1098" s="736"/>
      <c r="O1098" s="736"/>
    </row>
    <row r="1099">
      <c r="A1099" s="1014" t="s">
        <v>339</v>
      </c>
      <c r="B1099" s="1015" t="s">
        <v>60</v>
      </c>
      <c r="C1099" s="1016">
        <v>41965.0</v>
      </c>
      <c r="D1099" s="1017" t="s">
        <v>59</v>
      </c>
      <c r="E1099" s="1018" t="s">
        <v>63</v>
      </c>
      <c r="F1099" s="1017" t="s">
        <v>67</v>
      </c>
      <c r="G1099" s="1017" t="s">
        <v>65</v>
      </c>
      <c r="H1099" s="1017" t="s">
        <v>68</v>
      </c>
      <c r="I1099" s="1019">
        <v>0.9</v>
      </c>
      <c r="J1099" s="1018">
        <v>251.0</v>
      </c>
      <c r="K1099" s="1020">
        <v>0.009711827830633069</v>
      </c>
      <c r="L1099" s="1021"/>
      <c r="M1099" s="736"/>
      <c r="N1099" s="736"/>
      <c r="O1099" s="736"/>
    </row>
    <row r="1100">
      <c r="A1100" s="1014" t="s">
        <v>96</v>
      </c>
      <c r="B1100" s="1015" t="s">
        <v>60</v>
      </c>
      <c r="C1100" s="1016">
        <v>41959.0</v>
      </c>
      <c r="D1100" s="1017" t="s">
        <v>59</v>
      </c>
      <c r="E1100" s="1018" t="s">
        <v>63</v>
      </c>
      <c r="F1100" s="1017" t="s">
        <v>64</v>
      </c>
      <c r="G1100" s="1017" t="s">
        <v>65</v>
      </c>
      <c r="H1100" s="1017" t="s">
        <v>64</v>
      </c>
      <c r="I1100" s="1019"/>
      <c r="J1100" s="1018">
        <v>223.0</v>
      </c>
      <c r="K1100" s="1020">
        <v>-0.006756485655108668</v>
      </c>
      <c r="L1100" s="1021"/>
      <c r="M1100" s="736"/>
      <c r="N1100" s="736"/>
      <c r="O1100" s="736"/>
    </row>
    <row r="1101">
      <c r="A1101" s="1014" t="s">
        <v>140</v>
      </c>
      <c r="B1101" s="1015" t="s">
        <v>60</v>
      </c>
      <c r="C1101" s="1016">
        <v>41957.0</v>
      </c>
      <c r="D1101" s="1017" t="s">
        <v>79</v>
      </c>
      <c r="E1101" s="1018" t="s">
        <v>63</v>
      </c>
      <c r="F1101" s="1017" t="s">
        <v>65</v>
      </c>
      <c r="G1101" s="1017" t="s">
        <v>67</v>
      </c>
      <c r="H1101" s="1017" t="s">
        <v>64</v>
      </c>
      <c r="I1101" s="1019"/>
      <c r="J1101" s="1018">
        <v>229.0</v>
      </c>
      <c r="K1101" s="1020">
        <v>-0.001551113964364581</v>
      </c>
      <c r="L1101" s="1021"/>
      <c r="M1101" s="736"/>
      <c r="N1101" s="736"/>
      <c r="O1101" s="736"/>
    </row>
    <row r="1102">
      <c r="A1102" s="1014" t="s">
        <v>397</v>
      </c>
      <c r="B1102" s="1015" t="s">
        <v>60</v>
      </c>
      <c r="C1102" s="1016">
        <v>41956.0</v>
      </c>
      <c r="D1102" s="1017" t="s">
        <v>103</v>
      </c>
      <c r="E1102" s="1018" t="s">
        <v>63</v>
      </c>
      <c r="F1102" s="1017" t="s">
        <v>69</v>
      </c>
      <c r="G1102" s="1017" t="s">
        <v>69</v>
      </c>
      <c r="H1102" s="1017" t="s">
        <v>68</v>
      </c>
      <c r="I1102" s="1019"/>
      <c r="J1102" s="1018">
        <v>224.0</v>
      </c>
      <c r="K1102" s="1020">
        <v>-0.010937935291167267</v>
      </c>
      <c r="L1102" s="1021"/>
      <c r="M1102" s="736"/>
      <c r="N1102" s="736"/>
      <c r="O1102" s="736"/>
    </row>
    <row r="1103">
      <c r="A1103" s="1014" t="s">
        <v>392</v>
      </c>
      <c r="B1103" s="1015" t="s">
        <v>60</v>
      </c>
      <c r="C1103" s="1016">
        <v>41954.0</v>
      </c>
      <c r="D1103" s="1017" t="s">
        <v>79</v>
      </c>
      <c r="E1103" s="1018" t="s">
        <v>63</v>
      </c>
      <c r="F1103" s="1017" t="s">
        <v>64</v>
      </c>
      <c r="G1103" s="1017" t="s">
        <v>69</v>
      </c>
      <c r="H1103" s="1017" t="s">
        <v>68</v>
      </c>
      <c r="I1103" s="1019"/>
      <c r="J1103" s="1018">
        <v>218.0</v>
      </c>
      <c r="K1103" s="1020">
        <v>-0.009821680404539679</v>
      </c>
      <c r="L1103" s="1021"/>
      <c r="M1103" s="736"/>
      <c r="N1103" s="736"/>
      <c r="O1103" s="736"/>
    </row>
    <row r="1104">
      <c r="A1104" s="1014" t="s">
        <v>126</v>
      </c>
      <c r="B1104" s="1015" t="s">
        <v>60</v>
      </c>
      <c r="C1104" s="1016">
        <v>41953.0</v>
      </c>
      <c r="D1104" s="1017" t="s">
        <v>79</v>
      </c>
      <c r="E1104" s="1018" t="s">
        <v>63</v>
      </c>
      <c r="F1104" s="1017" t="s">
        <v>65</v>
      </c>
      <c r="G1104" s="1017" t="s">
        <v>127</v>
      </c>
      <c r="H1104" s="1017" t="s">
        <v>66</v>
      </c>
      <c r="I1104" s="1019">
        <v>1.0</v>
      </c>
      <c r="J1104" s="1018">
        <v>218.0</v>
      </c>
      <c r="K1104" s="1020">
        <v>-1.9763064666655783E-4</v>
      </c>
      <c r="L1104" s="1021"/>
      <c r="M1104" s="736"/>
      <c r="N1104" s="736"/>
      <c r="O1104" s="736"/>
    </row>
    <row r="1105">
      <c r="A1105" s="1014" t="s">
        <v>381</v>
      </c>
      <c r="B1105" s="1015" t="s">
        <v>60</v>
      </c>
      <c r="C1105" s="1016">
        <v>41950.0</v>
      </c>
      <c r="D1105" s="1017" t="s">
        <v>79</v>
      </c>
      <c r="E1105" s="1018" t="s">
        <v>195</v>
      </c>
      <c r="F1105" s="1017" t="s">
        <v>65</v>
      </c>
      <c r="G1105" s="1017" t="s">
        <v>69</v>
      </c>
      <c r="H1105" s="1017" t="s">
        <v>68</v>
      </c>
      <c r="I1105" s="1019"/>
      <c r="J1105" s="1018">
        <v>220.0</v>
      </c>
      <c r="K1105" s="1020">
        <v>0.0037764906714132795</v>
      </c>
      <c r="L1105" s="1021"/>
      <c r="M1105" s="736"/>
      <c r="N1105" s="736"/>
      <c r="O1105" s="736"/>
    </row>
    <row r="1106">
      <c r="A1106" s="1014" t="s">
        <v>212</v>
      </c>
      <c r="B1106" s="1015" t="s">
        <v>60</v>
      </c>
      <c r="C1106" s="1016">
        <v>41950.0</v>
      </c>
      <c r="D1106" s="1017" t="s">
        <v>59</v>
      </c>
      <c r="E1106" s="1018" t="s">
        <v>63</v>
      </c>
      <c r="F1106" s="1017" t="s">
        <v>65</v>
      </c>
      <c r="G1106" s="1017" t="s">
        <v>65</v>
      </c>
      <c r="H1106" s="1017" t="s">
        <v>68</v>
      </c>
      <c r="I1106" s="1019"/>
      <c r="J1106" s="1018">
        <v>221.0</v>
      </c>
      <c r="K1106" s="1020">
        <v>-5.104819935578542E-4</v>
      </c>
      <c r="L1106" s="1021"/>
      <c r="M1106" s="736"/>
      <c r="N1106" s="736"/>
      <c r="O1106" s="736"/>
    </row>
    <row r="1107">
      <c r="A1107" s="1014" t="s">
        <v>376</v>
      </c>
      <c r="B1107" s="1015" t="s">
        <v>60</v>
      </c>
      <c r="C1107" s="1016">
        <v>41944.0</v>
      </c>
      <c r="D1107" s="1017" t="s">
        <v>59</v>
      </c>
      <c r="E1107" s="1018" t="s">
        <v>63</v>
      </c>
      <c r="F1107" s="1017" t="s">
        <v>69</v>
      </c>
      <c r="G1107" s="1017" t="s">
        <v>69</v>
      </c>
      <c r="H1107" s="1017" t="s">
        <v>68</v>
      </c>
      <c r="I1107" s="1019"/>
      <c r="J1107" s="1018">
        <v>202.0</v>
      </c>
      <c r="K1107" s="1020">
        <v>-0.006059016748129253</v>
      </c>
      <c r="L1107" s="1021"/>
      <c r="M1107" s="736"/>
      <c r="N1107" s="736"/>
      <c r="O1107" s="736"/>
    </row>
    <row r="1108">
      <c r="A1108" s="1014" t="s">
        <v>339</v>
      </c>
      <c r="B1108" s="1015" t="s">
        <v>60</v>
      </c>
      <c r="C1108" s="1016">
        <v>41942.0</v>
      </c>
      <c r="D1108" s="1017" t="s">
        <v>59</v>
      </c>
      <c r="E1108" s="1018" t="s">
        <v>63</v>
      </c>
      <c r="F1108" s="1017" t="s">
        <v>80</v>
      </c>
      <c r="G1108" s="1017" t="s">
        <v>67</v>
      </c>
      <c r="H1108" s="1017" t="s">
        <v>68</v>
      </c>
      <c r="I1108" s="1019">
        <v>0.9</v>
      </c>
      <c r="J1108" s="1018">
        <v>244.0</v>
      </c>
      <c r="K1108" s="1020">
        <v>0.008336283234734898</v>
      </c>
      <c r="L1108" s="1021"/>
      <c r="M1108" s="736"/>
      <c r="N1108" s="736"/>
      <c r="O1108" s="736"/>
    </row>
    <row r="1109">
      <c r="A1109" s="1014" t="s">
        <v>367</v>
      </c>
      <c r="B1109" s="1015" t="s">
        <v>60</v>
      </c>
      <c r="C1109" s="1016">
        <v>41926.0</v>
      </c>
      <c r="D1109" s="1017" t="s">
        <v>79</v>
      </c>
      <c r="E1109" s="1018" t="s">
        <v>63</v>
      </c>
      <c r="F1109" s="1017" t="s">
        <v>64</v>
      </c>
      <c r="G1109" s="1017" t="s">
        <v>65</v>
      </c>
      <c r="H1109" s="1017" t="s">
        <v>66</v>
      </c>
      <c r="I1109" s="1019"/>
      <c r="J1109" s="1018">
        <v>234.0</v>
      </c>
      <c r="K1109" s="1020">
        <v>0.0015791150632414874</v>
      </c>
      <c r="L1109" s="1021"/>
      <c r="M1109" s="736"/>
      <c r="N1109" s="736"/>
      <c r="O1109" s="736"/>
    </row>
    <row r="1110">
      <c r="A1110" s="1014" t="s">
        <v>361</v>
      </c>
      <c r="B1110" s="1015" t="s">
        <v>60</v>
      </c>
      <c r="C1110" s="1016">
        <v>41921.0</v>
      </c>
      <c r="D1110" s="1017" t="s">
        <v>59</v>
      </c>
      <c r="E1110" s="1018" t="s">
        <v>63</v>
      </c>
      <c r="F1110" s="1017" t="s">
        <v>69</v>
      </c>
      <c r="G1110" s="1017" t="s">
        <v>64</v>
      </c>
      <c r="H1110" s="1017" t="s">
        <v>66</v>
      </c>
      <c r="I1110" s="1019"/>
      <c r="J1110" s="1018">
        <v>229.0</v>
      </c>
      <c r="K1110" s="1020">
        <v>-0.008980925455385202</v>
      </c>
      <c r="L1110" s="1021"/>
      <c r="M1110" s="736"/>
      <c r="N1110" s="736"/>
      <c r="O1110" s="736"/>
    </row>
    <row r="1111">
      <c r="A1111" s="1014" t="s">
        <v>354</v>
      </c>
      <c r="B1111" s="1015" t="s">
        <v>60</v>
      </c>
      <c r="C1111" s="1016">
        <v>41920.0</v>
      </c>
      <c r="D1111" s="1017" t="s">
        <v>103</v>
      </c>
      <c r="E1111" s="1018" t="s">
        <v>63</v>
      </c>
      <c r="F1111" s="1017" t="s">
        <v>69</v>
      </c>
      <c r="G1111" s="1017" t="s">
        <v>65</v>
      </c>
      <c r="H1111" s="1017" t="s">
        <v>68</v>
      </c>
      <c r="I1111" s="1019"/>
      <c r="J1111" s="1018">
        <v>214.0</v>
      </c>
      <c r="K1111" s="1020">
        <v>0.023987391636647426</v>
      </c>
      <c r="L1111" s="1021"/>
      <c r="M1111" s="736"/>
      <c r="N1111" s="736"/>
      <c r="O1111" s="736"/>
    </row>
    <row r="1112">
      <c r="A1112" s="1014" t="s">
        <v>358</v>
      </c>
      <c r="B1112" s="1015" t="s">
        <v>60</v>
      </c>
      <c r="C1112" s="1016">
        <v>41920.0</v>
      </c>
      <c r="D1112" s="1017" t="s">
        <v>103</v>
      </c>
      <c r="E1112" s="1018" t="s">
        <v>195</v>
      </c>
      <c r="F1112" s="1017" t="s">
        <v>64</v>
      </c>
      <c r="G1112" s="1017" t="s">
        <v>64</v>
      </c>
      <c r="H1112" s="1017" t="s">
        <v>68</v>
      </c>
      <c r="I1112" s="1019"/>
      <c r="J1112" s="1018">
        <v>218.0</v>
      </c>
      <c r="K1112" s="1020">
        <v>-0.005402689356179269</v>
      </c>
      <c r="L1112" s="1021"/>
      <c r="M1112" s="736"/>
      <c r="N1112" s="736"/>
      <c r="O1112" s="736"/>
    </row>
    <row r="1113">
      <c r="A1113" s="1014" t="s">
        <v>339</v>
      </c>
      <c r="B1113" s="1015" t="s">
        <v>60</v>
      </c>
      <c r="C1113" s="1016">
        <v>41918.0</v>
      </c>
      <c r="D1113" s="1017" t="s">
        <v>59</v>
      </c>
      <c r="E1113" s="1018" t="s">
        <v>63</v>
      </c>
      <c r="F1113" s="1017" t="s">
        <v>67</v>
      </c>
      <c r="G1113" s="1017" t="s">
        <v>65</v>
      </c>
      <c r="H1113" s="1017" t="s">
        <v>68</v>
      </c>
      <c r="I1113" s="1019">
        <v>0.9</v>
      </c>
      <c r="J1113" s="1018">
        <v>244.0</v>
      </c>
      <c r="K1113" s="1020">
        <v>0.0149521352053269</v>
      </c>
      <c r="L1113" s="1021"/>
      <c r="M1113" s="736"/>
      <c r="N1113" s="736"/>
      <c r="O1113" s="736"/>
    </row>
    <row r="1114">
      <c r="A1114" s="1014" t="s">
        <v>342</v>
      </c>
      <c r="B1114" s="1015" t="s">
        <v>60</v>
      </c>
      <c r="C1114" s="1016">
        <v>41918.0</v>
      </c>
      <c r="D1114" s="1017" t="s">
        <v>79</v>
      </c>
      <c r="E1114" s="1018" t="s">
        <v>63</v>
      </c>
      <c r="F1114" s="1017" t="s">
        <v>67</v>
      </c>
      <c r="G1114" s="1017" t="s">
        <v>65</v>
      </c>
      <c r="H1114" s="1017" t="s">
        <v>68</v>
      </c>
      <c r="I1114" s="1019"/>
      <c r="J1114" s="1018">
        <v>230.0</v>
      </c>
      <c r="K1114" s="1020">
        <v>-0.009299336631044652</v>
      </c>
      <c r="L1114" s="1021"/>
      <c r="M1114" s="736"/>
      <c r="N1114" s="736"/>
      <c r="O1114" s="736"/>
    </row>
    <row r="1115">
      <c r="A1115" s="1014" t="s">
        <v>348</v>
      </c>
      <c r="B1115" s="1015" t="s">
        <v>60</v>
      </c>
      <c r="C1115" s="1016">
        <v>41918.0</v>
      </c>
      <c r="D1115" s="1017" t="s">
        <v>59</v>
      </c>
      <c r="E1115" s="1018" t="s">
        <v>195</v>
      </c>
      <c r="F1115" s="1017" t="s">
        <v>69</v>
      </c>
      <c r="G1115" s="1017" t="s">
        <v>66</v>
      </c>
      <c r="H1115" s="1017" t="s">
        <v>66</v>
      </c>
      <c r="I1115" s="1019"/>
      <c r="J1115" s="1018">
        <v>263.0</v>
      </c>
      <c r="K1115" s="1020">
        <v>0.0056027068047262985</v>
      </c>
      <c r="L1115" s="1021"/>
      <c r="M1115" s="736"/>
      <c r="N1115" s="736"/>
      <c r="O1115" s="736"/>
    </row>
    <row r="1116">
      <c r="A1116" s="1014" t="s">
        <v>328</v>
      </c>
      <c r="B1116" s="1015" t="s">
        <v>60</v>
      </c>
      <c r="C1116" s="1016">
        <v>41917.0</v>
      </c>
      <c r="D1116" s="1017" t="s">
        <v>59</v>
      </c>
      <c r="E1116" s="1018" t="s">
        <v>63</v>
      </c>
      <c r="F1116" s="1017" t="s">
        <v>64</v>
      </c>
      <c r="G1116" s="1017" t="s">
        <v>69</v>
      </c>
      <c r="H1116" s="1017" t="s">
        <v>69</v>
      </c>
      <c r="I1116" s="1019"/>
      <c r="J1116" s="1018">
        <v>209.0</v>
      </c>
      <c r="K1116" s="1020">
        <v>-4.398692772111801E-5</v>
      </c>
      <c r="L1116" s="1021"/>
      <c r="M1116" s="736"/>
      <c r="N1116" s="736"/>
      <c r="O1116" s="736"/>
    </row>
    <row r="1117">
      <c r="A1117" s="1014" t="s">
        <v>315</v>
      </c>
      <c r="B1117" s="1015" t="s">
        <v>60</v>
      </c>
      <c r="C1117" s="1016">
        <v>41916.0</v>
      </c>
      <c r="D1117" s="1017" t="s">
        <v>103</v>
      </c>
      <c r="E1117" s="1018" t="s">
        <v>63</v>
      </c>
      <c r="F1117" s="1017" t="s">
        <v>64</v>
      </c>
      <c r="G1117" s="1017" t="s">
        <v>66</v>
      </c>
      <c r="H1117" s="1017" t="s">
        <v>66</v>
      </c>
      <c r="I1117" s="1019"/>
      <c r="J1117" s="1018">
        <v>193.0</v>
      </c>
      <c r="K1117" s="1020">
        <v>0.018879228748255206</v>
      </c>
      <c r="L1117" s="1021"/>
      <c r="M1117" s="736"/>
      <c r="N1117" s="736"/>
      <c r="O1117" s="736"/>
    </row>
    <row r="1118">
      <c r="A1118" s="1014" t="s">
        <v>324</v>
      </c>
      <c r="B1118" s="1015" t="s">
        <v>60</v>
      </c>
      <c r="C1118" s="1016">
        <v>41916.0</v>
      </c>
      <c r="D1118" s="1017" t="s">
        <v>79</v>
      </c>
      <c r="E1118" s="1018" t="s">
        <v>63</v>
      </c>
      <c r="F1118" s="1017" t="s">
        <v>65</v>
      </c>
      <c r="G1118" s="1017" t="s">
        <v>64</v>
      </c>
      <c r="H1118" s="1017" t="s">
        <v>69</v>
      </c>
      <c r="I1118" s="1019"/>
      <c r="J1118" s="1018">
        <v>203.0</v>
      </c>
      <c r="K1118" s="1020">
        <v>0.010353824019217694</v>
      </c>
      <c r="L1118" s="1021"/>
      <c r="M1118" s="736"/>
      <c r="N1118" s="736"/>
      <c r="O1118" s="736"/>
    </row>
    <row r="1119">
      <c r="A1119" s="1014" t="s">
        <v>308</v>
      </c>
      <c r="B1119" s="1015" t="s">
        <v>60</v>
      </c>
      <c r="C1119" s="1016">
        <v>41913.0</v>
      </c>
      <c r="D1119" s="1017" t="s">
        <v>103</v>
      </c>
      <c r="E1119" s="1018" t="s">
        <v>63</v>
      </c>
      <c r="F1119" s="1017" t="s">
        <v>64</v>
      </c>
      <c r="G1119" s="1017" t="s">
        <v>65</v>
      </c>
      <c r="H1119" s="1017" t="s">
        <v>66</v>
      </c>
      <c r="I1119" s="1019"/>
      <c r="J1119" s="1018">
        <v>255.0</v>
      </c>
      <c r="K1119" s="1020">
        <v>-0.009705006442692232</v>
      </c>
      <c r="L1119" s="1021"/>
      <c r="M1119" s="736"/>
      <c r="N1119" s="736"/>
      <c r="O1119" s="736"/>
    </row>
    <row r="1120">
      <c r="A1120" s="1014" t="s">
        <v>300</v>
      </c>
      <c r="B1120" s="1015" t="s">
        <v>60</v>
      </c>
      <c r="C1120" s="1016">
        <v>41912.0</v>
      </c>
      <c r="D1120" s="1017" t="s">
        <v>59</v>
      </c>
      <c r="E1120" s="1018" t="s">
        <v>195</v>
      </c>
      <c r="F1120" s="1017" t="s">
        <v>69</v>
      </c>
      <c r="G1120" s="1017" t="s">
        <v>66</v>
      </c>
      <c r="H1120" s="1017" t="s">
        <v>68</v>
      </c>
      <c r="I1120" s="1019"/>
      <c r="J1120" s="1018">
        <v>219.0</v>
      </c>
      <c r="K1120" s="1020">
        <v>0.013131394427858156</v>
      </c>
      <c r="L1120" s="1021"/>
      <c r="M1120" s="736"/>
      <c r="N1120" s="736"/>
      <c r="O1120" s="736"/>
    </row>
    <row r="1121">
      <c r="A1121" s="1014" t="s">
        <v>294</v>
      </c>
      <c r="B1121" s="1015" t="s">
        <v>60</v>
      </c>
      <c r="C1121" s="1016">
        <v>41910.0</v>
      </c>
      <c r="D1121" s="1017" t="s">
        <v>59</v>
      </c>
      <c r="E1121" s="1018" t="s">
        <v>63</v>
      </c>
      <c r="F1121" s="1017" t="s">
        <v>69</v>
      </c>
      <c r="G1121" s="1017" t="s">
        <v>69</v>
      </c>
      <c r="H1121" s="1017" t="s">
        <v>68</v>
      </c>
      <c r="I1121" s="1019"/>
      <c r="J1121" s="1018">
        <v>196.0</v>
      </c>
      <c r="K1121" s="1020">
        <v>-0.010014597065871933</v>
      </c>
      <c r="L1121" s="1021"/>
      <c r="M1121" s="736"/>
      <c r="N1121" s="736"/>
      <c r="O1121" s="736"/>
    </row>
    <row r="1122">
      <c r="A1122" s="1014" t="s">
        <v>279</v>
      </c>
      <c r="B1122" s="1015" t="s">
        <v>60</v>
      </c>
      <c r="C1122" s="1016">
        <v>41909.0</v>
      </c>
      <c r="D1122" s="1017" t="s">
        <v>59</v>
      </c>
      <c r="E1122" s="1018" t="s">
        <v>195</v>
      </c>
      <c r="F1122" s="1017" t="s">
        <v>64</v>
      </c>
      <c r="G1122" s="1017" t="s">
        <v>69</v>
      </c>
      <c r="H1122" s="1017" t="s">
        <v>68</v>
      </c>
      <c r="I1122" s="1019"/>
      <c r="J1122" s="1018">
        <v>235.0</v>
      </c>
      <c r="K1122" s="1020">
        <v>0.007006153487302935</v>
      </c>
      <c r="L1122" s="1021"/>
      <c r="M1122" s="736"/>
      <c r="N1122" s="736"/>
      <c r="O1122" s="736"/>
    </row>
    <row r="1123">
      <c r="A1123" s="1014" t="s">
        <v>285</v>
      </c>
      <c r="B1123" s="1015" t="s">
        <v>60</v>
      </c>
      <c r="C1123" s="1016">
        <v>41909.0</v>
      </c>
      <c r="D1123" s="1017" t="s">
        <v>57</v>
      </c>
      <c r="E1123" s="1018" t="s">
        <v>195</v>
      </c>
      <c r="F1123" s="1017" t="s">
        <v>64</v>
      </c>
      <c r="G1123" s="1017" t="s">
        <v>69</v>
      </c>
      <c r="H1123" s="1017" t="s">
        <v>66</v>
      </c>
      <c r="I1123" s="1019"/>
      <c r="J1123" s="1018">
        <v>233.0</v>
      </c>
      <c r="K1123" s="1020">
        <v>0.008138989804175045</v>
      </c>
      <c r="L1123" s="1021"/>
      <c r="M1123" s="736"/>
      <c r="N1123" s="736"/>
      <c r="O1123" s="736"/>
    </row>
    <row r="1124">
      <c r="A1124" s="1014" t="s">
        <v>288</v>
      </c>
      <c r="B1124" s="1015" t="s">
        <v>60</v>
      </c>
      <c r="C1124" s="1016">
        <v>41909.0</v>
      </c>
      <c r="D1124" s="1017" t="s">
        <v>109</v>
      </c>
      <c r="E1124" s="1018" t="s">
        <v>63</v>
      </c>
      <c r="F1124" s="1017" t="s">
        <v>68</v>
      </c>
      <c r="G1124" s="1017" t="s">
        <v>64</v>
      </c>
      <c r="H1124" s="1017" t="s">
        <v>68</v>
      </c>
      <c r="I1124" s="1019"/>
      <c r="J1124" s="1018">
        <v>205.0</v>
      </c>
      <c r="K1124" s="1020">
        <v>-0.0059167118396566964</v>
      </c>
      <c r="L1124" s="1021"/>
      <c r="M1124" s="736"/>
      <c r="N1124" s="736"/>
      <c r="O1124" s="736"/>
    </row>
    <row r="1125">
      <c r="A1125" s="1014" t="s">
        <v>246</v>
      </c>
      <c r="B1125" s="1015" t="s">
        <v>60</v>
      </c>
      <c r="C1125" s="1016">
        <v>41908.0</v>
      </c>
      <c r="D1125" s="1017" t="s">
        <v>59</v>
      </c>
      <c r="E1125" s="1018" t="s">
        <v>63</v>
      </c>
      <c r="F1125" s="1017" t="s">
        <v>68</v>
      </c>
      <c r="G1125" s="1017" t="s">
        <v>64</v>
      </c>
      <c r="H1125" s="1017" t="s">
        <v>68</v>
      </c>
      <c r="I1125" s="1019"/>
      <c r="J1125" s="1018">
        <v>215.0</v>
      </c>
      <c r="K1125" s="1020">
        <v>0.003035131908361244</v>
      </c>
      <c r="L1125" s="1021"/>
      <c r="M1125" s="736"/>
      <c r="N1125" s="736"/>
      <c r="O1125" s="736"/>
    </row>
    <row r="1126">
      <c r="A1126" s="1014" t="s">
        <v>255</v>
      </c>
      <c r="B1126" s="1015" t="s">
        <v>60</v>
      </c>
      <c r="C1126" s="1016">
        <v>41908.0</v>
      </c>
      <c r="D1126" s="1017" t="s">
        <v>103</v>
      </c>
      <c r="E1126" s="1018" t="s">
        <v>63</v>
      </c>
      <c r="F1126" s="1017" t="s">
        <v>64</v>
      </c>
      <c r="G1126" s="1017" t="s">
        <v>64</v>
      </c>
      <c r="H1126" s="1017" t="s">
        <v>69</v>
      </c>
      <c r="I1126" s="1019"/>
      <c r="J1126" s="1018">
        <v>207.0</v>
      </c>
      <c r="K1126" s="1020">
        <v>-0.00460428171253191</v>
      </c>
      <c r="L1126" s="1021"/>
      <c r="M1126" s="736"/>
      <c r="N1126" s="736"/>
      <c r="O1126" s="736"/>
    </row>
    <row r="1127">
      <c r="A1127" s="1014" t="s">
        <v>261</v>
      </c>
      <c r="B1127" s="1015" t="s">
        <v>60</v>
      </c>
      <c r="C1127" s="1016">
        <v>41908.0</v>
      </c>
      <c r="D1127" s="1017" t="s">
        <v>103</v>
      </c>
      <c r="E1127" s="1018" t="s">
        <v>63</v>
      </c>
      <c r="F1127" s="1017" t="s">
        <v>69</v>
      </c>
      <c r="G1127" s="1017" t="s">
        <v>66</v>
      </c>
      <c r="H1127" s="1017" t="s">
        <v>68</v>
      </c>
      <c r="I1127" s="1019"/>
      <c r="J1127" s="1018">
        <v>214.0</v>
      </c>
      <c r="K1127" s="1020">
        <v>0.006672637939818649</v>
      </c>
      <c r="L1127" s="1021"/>
      <c r="M1127" s="736"/>
      <c r="N1127" s="736"/>
      <c r="O1127" s="736"/>
    </row>
    <row r="1128">
      <c r="A1128" s="1014" t="s">
        <v>265</v>
      </c>
      <c r="B1128" s="1015" t="s">
        <v>60</v>
      </c>
      <c r="C1128" s="1016">
        <v>41908.0</v>
      </c>
      <c r="D1128" s="1017" t="s">
        <v>79</v>
      </c>
      <c r="E1128" s="1018" t="s">
        <v>63</v>
      </c>
      <c r="F1128" s="1017" t="s">
        <v>66</v>
      </c>
      <c r="G1128" s="1017" t="s">
        <v>64</v>
      </c>
      <c r="H1128" s="1017" t="s">
        <v>66</v>
      </c>
      <c r="I1128" s="1019"/>
      <c r="J1128" s="1018">
        <v>247.0</v>
      </c>
      <c r="K1128" s="1020">
        <v>-0.01371081354675674</v>
      </c>
      <c r="L1128" s="1021"/>
      <c r="M1128" s="736"/>
      <c r="N1128" s="736"/>
      <c r="O1128" s="736"/>
    </row>
    <row r="1129">
      <c r="A1129" s="1014" t="s">
        <v>273</v>
      </c>
      <c r="B1129" s="1015" t="s">
        <v>60</v>
      </c>
      <c r="C1129" s="1016">
        <v>41908.0</v>
      </c>
      <c r="D1129" s="1017" t="s">
        <v>103</v>
      </c>
      <c r="E1129" s="1018" t="s">
        <v>63</v>
      </c>
      <c r="F1129" s="1017" t="s">
        <v>64</v>
      </c>
      <c r="G1129" s="1017" t="s">
        <v>64</v>
      </c>
      <c r="H1129" s="1017" t="s">
        <v>68</v>
      </c>
      <c r="I1129" s="1019"/>
      <c r="J1129" s="1018">
        <v>218.0</v>
      </c>
      <c r="K1129" s="1020">
        <v>0.011962289500480283</v>
      </c>
      <c r="L1129" s="1021"/>
      <c r="M1129" s="736"/>
      <c r="N1129" s="736"/>
      <c r="O1129" s="736"/>
    </row>
    <row r="1130">
      <c r="A1130" s="1014" t="s">
        <v>751</v>
      </c>
      <c r="B1130" s="1015" t="s">
        <v>60</v>
      </c>
      <c r="C1130" s="1016">
        <v>41908.0</v>
      </c>
      <c r="D1130" s="1017" t="s">
        <v>103</v>
      </c>
      <c r="E1130" s="1018" t="s">
        <v>63</v>
      </c>
      <c r="F1130" s="1017" t="s">
        <v>64</v>
      </c>
      <c r="G1130" s="1017" t="s">
        <v>65</v>
      </c>
      <c r="H1130" s="1017" t="s">
        <v>68</v>
      </c>
      <c r="I1130" s="1019"/>
      <c r="J1130" s="1018">
        <v>206.0</v>
      </c>
      <c r="K1130" s="1020">
        <v>0.007655585525566555</v>
      </c>
      <c r="L1130" s="1021"/>
      <c r="M1130" s="736"/>
      <c r="N1130" s="736"/>
      <c r="O1130" s="736"/>
    </row>
    <row r="1131">
      <c r="A1131" s="1014" t="s">
        <v>225</v>
      </c>
      <c r="B1131" s="1015" t="s">
        <v>60</v>
      </c>
      <c r="C1131" s="1016">
        <v>41907.0</v>
      </c>
      <c r="D1131" s="1017" t="s">
        <v>109</v>
      </c>
      <c r="E1131" s="1018" t="s">
        <v>63</v>
      </c>
      <c r="F1131" s="1017" t="s">
        <v>69</v>
      </c>
      <c r="G1131" s="1017" t="s">
        <v>66</v>
      </c>
      <c r="H1131" s="1017" t="s">
        <v>68</v>
      </c>
      <c r="I1131" s="1019"/>
      <c r="J1131" s="1018">
        <v>231.0</v>
      </c>
      <c r="K1131" s="1020">
        <v>0.018932192734911868</v>
      </c>
      <c r="L1131" s="1021"/>
      <c r="M1131" s="736"/>
      <c r="N1131" s="736"/>
      <c r="O1131" s="736"/>
    </row>
    <row r="1132">
      <c r="A1132" s="1014" t="s">
        <v>231</v>
      </c>
      <c r="B1132" s="1015" t="s">
        <v>60</v>
      </c>
      <c r="C1132" s="1016">
        <v>41907.0</v>
      </c>
      <c r="D1132" s="1017" t="s">
        <v>59</v>
      </c>
      <c r="E1132" s="1018" t="s">
        <v>63</v>
      </c>
      <c r="F1132" s="1017" t="s">
        <v>65</v>
      </c>
      <c r="G1132" s="1017" t="s">
        <v>65</v>
      </c>
      <c r="H1132" s="1017" t="s">
        <v>68</v>
      </c>
      <c r="I1132" s="1019"/>
      <c r="J1132" s="1018">
        <v>204.0</v>
      </c>
      <c r="K1132" s="1020">
        <v>0.004531563121920379</v>
      </c>
      <c r="L1132" s="1021"/>
      <c r="M1132" s="736"/>
      <c r="N1132" s="736"/>
      <c r="O1132" s="736"/>
    </row>
    <row r="1133">
      <c r="A1133" s="1014" t="s">
        <v>237</v>
      </c>
      <c r="B1133" s="1015" t="s">
        <v>60</v>
      </c>
      <c r="C1133" s="1016">
        <v>41907.0</v>
      </c>
      <c r="D1133" s="1017" t="s">
        <v>57</v>
      </c>
      <c r="E1133" s="1018" t="s">
        <v>63</v>
      </c>
      <c r="F1133" s="1017" t="s">
        <v>64</v>
      </c>
      <c r="G1133" s="1017" t="s">
        <v>64</v>
      </c>
      <c r="H1133" s="1017" t="s">
        <v>69</v>
      </c>
      <c r="I1133" s="1019"/>
      <c r="J1133" s="1018">
        <v>225.0</v>
      </c>
      <c r="K1133" s="1020">
        <v>0.0011257469917594909</v>
      </c>
      <c r="L1133" s="1021"/>
      <c r="M1133" s="736"/>
      <c r="N1133" s="736"/>
      <c r="O1133" s="736"/>
    </row>
    <row r="1134">
      <c r="A1134" s="1014" t="s">
        <v>241</v>
      </c>
      <c r="B1134" s="1015" t="s">
        <v>60</v>
      </c>
      <c r="C1134" s="1016">
        <v>41907.0</v>
      </c>
      <c r="D1134" s="1017" t="s">
        <v>59</v>
      </c>
      <c r="E1134" s="1018" t="s">
        <v>63</v>
      </c>
      <c r="F1134" s="1017" t="s">
        <v>69</v>
      </c>
      <c r="G1134" s="1017" t="s">
        <v>69</v>
      </c>
      <c r="H1134" s="1017" t="s">
        <v>68</v>
      </c>
      <c r="I1134" s="1019"/>
      <c r="J1134" s="1018">
        <v>235.0</v>
      </c>
      <c r="K1134" s="1020">
        <v>-0.0030993436188393453</v>
      </c>
      <c r="L1134" s="1021"/>
      <c r="M1134" s="736"/>
      <c r="N1134" s="736"/>
      <c r="O1134" s="736"/>
    </row>
    <row r="1135">
      <c r="A1135" s="1014" t="s">
        <v>181</v>
      </c>
      <c r="B1135" s="1015" t="s">
        <v>60</v>
      </c>
      <c r="C1135" s="1016">
        <v>41906.0</v>
      </c>
      <c r="D1135" s="1017" t="s">
        <v>59</v>
      </c>
      <c r="E1135" s="1018" t="s">
        <v>63</v>
      </c>
      <c r="F1135" s="1017" t="s">
        <v>66</v>
      </c>
      <c r="G1135" s="1017" t="s">
        <v>64</v>
      </c>
      <c r="H1135" s="1017" t="s">
        <v>66</v>
      </c>
      <c r="I1135" s="1019"/>
      <c r="J1135" s="1018">
        <v>216.0</v>
      </c>
      <c r="K1135" s="1020">
        <v>0.005722083089162222</v>
      </c>
      <c r="L1135" s="1021"/>
      <c r="M1135" s="736"/>
      <c r="N1135" s="736"/>
      <c r="O1135" s="736"/>
    </row>
    <row r="1136">
      <c r="A1136" s="1014" t="s">
        <v>186</v>
      </c>
      <c r="B1136" s="1015" t="s">
        <v>60</v>
      </c>
      <c r="C1136" s="1016">
        <v>41906.0</v>
      </c>
      <c r="D1136" s="1017" t="s">
        <v>79</v>
      </c>
      <c r="E1136" s="1018" t="s">
        <v>63</v>
      </c>
      <c r="F1136" s="1017" t="s">
        <v>67</v>
      </c>
      <c r="G1136" s="1017" t="s">
        <v>68</v>
      </c>
      <c r="H1136" s="1017" t="s">
        <v>66</v>
      </c>
      <c r="I1136" s="1019"/>
      <c r="J1136" s="1018">
        <v>218.0</v>
      </c>
      <c r="K1136" s="1020">
        <v>0.011978530965275125</v>
      </c>
      <c r="L1136" s="1021"/>
      <c r="M1136" s="736"/>
      <c r="N1136" s="736"/>
      <c r="O1136" s="736"/>
    </row>
    <row r="1137">
      <c r="A1137" s="1014" t="s">
        <v>192</v>
      </c>
      <c r="B1137" s="1015" t="s">
        <v>60</v>
      </c>
      <c r="C1137" s="1016">
        <v>41906.0</v>
      </c>
      <c r="D1137" s="1017" t="s">
        <v>79</v>
      </c>
      <c r="E1137" s="1018" t="s">
        <v>195</v>
      </c>
      <c r="F1137" s="1017" t="s">
        <v>64</v>
      </c>
      <c r="G1137" s="1017" t="s">
        <v>64</v>
      </c>
      <c r="H1137" s="1017" t="s">
        <v>68</v>
      </c>
      <c r="I1137" s="1019"/>
      <c r="J1137" s="1018">
        <v>248.0</v>
      </c>
      <c r="K1137" s="1020">
        <v>-0.009744277097793574</v>
      </c>
      <c r="L1137" s="1021"/>
      <c r="M1137" s="736"/>
      <c r="N1137" s="736"/>
      <c r="O1137" s="736"/>
    </row>
    <row r="1138">
      <c r="A1138" s="1014" t="s">
        <v>201</v>
      </c>
      <c r="B1138" s="1015" t="s">
        <v>60</v>
      </c>
      <c r="C1138" s="1016">
        <v>41906.0</v>
      </c>
      <c r="D1138" s="1017" t="s">
        <v>79</v>
      </c>
      <c r="E1138" s="1018" t="s">
        <v>63</v>
      </c>
      <c r="F1138" s="1017" t="s">
        <v>69</v>
      </c>
      <c r="G1138" s="1017" t="s">
        <v>66</v>
      </c>
      <c r="H1138" s="1017" t="s">
        <v>68</v>
      </c>
      <c r="I1138" s="1019"/>
      <c r="J1138" s="1018">
        <v>163.0</v>
      </c>
      <c r="K1138" s="1020">
        <v>-0.007869193002483232</v>
      </c>
      <c r="L1138" s="1021"/>
      <c r="M1138" s="736"/>
      <c r="N1138" s="736"/>
      <c r="O1138" s="736"/>
    </row>
    <row r="1139">
      <c r="A1139" s="1014" t="s">
        <v>207</v>
      </c>
      <c r="B1139" s="1015" t="s">
        <v>60</v>
      </c>
      <c r="C1139" s="1016">
        <v>41906.0</v>
      </c>
      <c r="D1139" s="1017" t="s">
        <v>79</v>
      </c>
      <c r="E1139" s="1018" t="s">
        <v>63</v>
      </c>
      <c r="F1139" s="1017" t="s">
        <v>65</v>
      </c>
      <c r="G1139" s="1017" t="s">
        <v>64</v>
      </c>
      <c r="H1139" s="1017" t="s">
        <v>66</v>
      </c>
      <c r="I1139" s="1019"/>
      <c r="J1139" s="1018">
        <v>202.0</v>
      </c>
      <c r="K1139" s="1020">
        <v>0.011463177228451138</v>
      </c>
      <c r="L1139" s="1021"/>
      <c r="M1139" s="736"/>
      <c r="N1139" s="736"/>
      <c r="O1139" s="736"/>
    </row>
    <row r="1140">
      <c r="A1140" s="1014" t="s">
        <v>212</v>
      </c>
      <c r="B1140" s="1015" t="s">
        <v>60</v>
      </c>
      <c r="C1140" s="1016">
        <v>41906.0</v>
      </c>
      <c r="D1140" s="1017" t="s">
        <v>59</v>
      </c>
      <c r="E1140" s="1018" t="s">
        <v>63</v>
      </c>
      <c r="F1140" s="1017" t="s">
        <v>65</v>
      </c>
      <c r="G1140" s="1017" t="s">
        <v>64</v>
      </c>
      <c r="H1140" s="1017" t="s">
        <v>68</v>
      </c>
      <c r="I1140" s="1019"/>
      <c r="J1140" s="1018">
        <v>221.0</v>
      </c>
      <c r="K1140" s="1020">
        <v>0.020883585882630396</v>
      </c>
      <c r="L1140" s="1021"/>
      <c r="M1140" s="736"/>
      <c r="N1140" s="736"/>
      <c r="O1140" s="736"/>
    </row>
    <row r="1141">
      <c r="A1141" s="1014" t="s">
        <v>218</v>
      </c>
      <c r="B1141" s="1015" t="s">
        <v>60</v>
      </c>
      <c r="C1141" s="1016">
        <v>41906.0</v>
      </c>
      <c r="D1141" s="1017" t="s">
        <v>59</v>
      </c>
      <c r="E1141" s="1018" t="s">
        <v>63</v>
      </c>
      <c r="F1141" s="1017" t="s">
        <v>64</v>
      </c>
      <c r="G1141" s="1017" t="s">
        <v>64</v>
      </c>
      <c r="H1141" s="1017" t="s">
        <v>68</v>
      </c>
      <c r="I1141" s="1019"/>
      <c r="J1141" s="1018">
        <v>219.0</v>
      </c>
      <c r="K1141" s="1020">
        <v>0.002572231681204351</v>
      </c>
      <c r="L1141" s="1021"/>
      <c r="M1141" s="736"/>
      <c r="N1141" s="736"/>
      <c r="O1141" s="736"/>
    </row>
    <row r="1142">
      <c r="A1142" s="1014" t="s">
        <v>177</v>
      </c>
      <c r="B1142" s="1015" t="s">
        <v>60</v>
      </c>
      <c r="C1142" s="1016">
        <v>41905.0</v>
      </c>
      <c r="D1142" s="1017" t="s">
        <v>103</v>
      </c>
      <c r="E1142" s="1018" t="s">
        <v>63</v>
      </c>
      <c r="F1142" s="1017" t="s">
        <v>64</v>
      </c>
      <c r="G1142" s="1017" t="s">
        <v>65</v>
      </c>
      <c r="H1142" s="1017" t="s">
        <v>68</v>
      </c>
      <c r="I1142" s="1019"/>
      <c r="J1142" s="1018">
        <v>249.0</v>
      </c>
      <c r="K1142" s="1020">
        <v>0.002001445758669007</v>
      </c>
      <c r="L1142" s="1021"/>
      <c r="M1142" s="736"/>
      <c r="N1142" s="736"/>
      <c r="O1142" s="736"/>
    </row>
    <row r="1143">
      <c r="A1143" s="1014" t="s">
        <v>163</v>
      </c>
      <c r="B1143" s="1015" t="s">
        <v>60</v>
      </c>
      <c r="C1143" s="1016">
        <v>41904.0</v>
      </c>
      <c r="D1143" s="1017" t="s">
        <v>79</v>
      </c>
      <c r="E1143" s="1018" t="s">
        <v>63</v>
      </c>
      <c r="F1143" s="1017" t="s">
        <v>68</v>
      </c>
      <c r="G1143" s="1017" t="s">
        <v>68</v>
      </c>
      <c r="H1143" s="1017" t="s">
        <v>68</v>
      </c>
      <c r="I1143" s="1019"/>
      <c r="J1143" s="1018">
        <v>200.0</v>
      </c>
      <c r="K1143" s="1020">
        <v>-0.01648416139142339</v>
      </c>
      <c r="L1143" s="1021"/>
      <c r="M1143" s="736"/>
      <c r="N1143" s="736"/>
      <c r="O1143" s="736"/>
    </row>
    <row r="1144">
      <c r="A1144" s="1014" t="s">
        <v>171</v>
      </c>
      <c r="B1144" s="1015" t="s">
        <v>60</v>
      </c>
      <c r="C1144" s="1016">
        <v>41904.0</v>
      </c>
      <c r="D1144" s="1017" t="s">
        <v>59</v>
      </c>
      <c r="E1144" s="1018" t="s">
        <v>63</v>
      </c>
      <c r="F1144" s="1017" t="s">
        <v>66</v>
      </c>
      <c r="G1144" s="1017" t="s">
        <v>64</v>
      </c>
      <c r="H1144" s="1017" t="s">
        <v>68</v>
      </c>
      <c r="I1144" s="1019"/>
      <c r="J1144" s="1018">
        <v>207.0</v>
      </c>
      <c r="K1144" s="1020">
        <v>0.004786367889755616</v>
      </c>
      <c r="L1144" s="1021"/>
      <c r="M1144" s="736"/>
      <c r="N1144" s="736"/>
      <c r="O1144" s="736"/>
    </row>
    <row r="1145">
      <c r="A1145" s="1014" t="s">
        <v>147</v>
      </c>
      <c r="B1145" s="1015" t="s">
        <v>60</v>
      </c>
      <c r="C1145" s="1016">
        <v>41903.0</v>
      </c>
      <c r="D1145" s="1017" t="s">
        <v>79</v>
      </c>
      <c r="E1145" s="1018" t="s">
        <v>63</v>
      </c>
      <c r="F1145" s="1017" t="s">
        <v>67</v>
      </c>
      <c r="G1145" s="1017" t="s">
        <v>67</v>
      </c>
      <c r="H1145" s="1017" t="s">
        <v>66</v>
      </c>
      <c r="I1145" s="1019"/>
      <c r="J1145" s="1018">
        <v>227.0</v>
      </c>
      <c r="K1145" s="1020">
        <v>0.006911687395544375</v>
      </c>
      <c r="L1145" s="1021"/>
      <c r="M1145" s="736"/>
      <c r="N1145" s="736"/>
      <c r="O1145" s="736"/>
    </row>
    <row r="1146">
      <c r="A1146" s="1014" t="s">
        <v>155</v>
      </c>
      <c r="B1146" s="1015" t="s">
        <v>60</v>
      </c>
      <c r="C1146" s="1016">
        <v>41903.0</v>
      </c>
      <c r="D1146" s="1017" t="s">
        <v>109</v>
      </c>
      <c r="E1146" s="1018" t="s">
        <v>63</v>
      </c>
      <c r="F1146" s="1017" t="s">
        <v>69</v>
      </c>
      <c r="G1146" s="1017" t="s">
        <v>69</v>
      </c>
      <c r="H1146" s="1017" t="s">
        <v>66</v>
      </c>
      <c r="I1146" s="1019"/>
      <c r="J1146" s="1018">
        <v>207.0</v>
      </c>
      <c r="K1146" s="1020">
        <v>0.015104534605830833</v>
      </c>
      <c r="L1146" s="1021"/>
      <c r="M1146" s="736"/>
      <c r="N1146" s="736"/>
      <c r="O1146" s="736"/>
    </row>
    <row r="1147">
      <c r="A1147" s="1014" t="s">
        <v>140</v>
      </c>
      <c r="B1147" s="1015" t="s">
        <v>60</v>
      </c>
      <c r="C1147" s="1016">
        <v>41902.0</v>
      </c>
      <c r="D1147" s="1017" t="s">
        <v>79</v>
      </c>
      <c r="E1147" s="1018" t="s">
        <v>63</v>
      </c>
      <c r="F1147" s="1017" t="s">
        <v>68</v>
      </c>
      <c r="G1147" s="1017" t="s">
        <v>67</v>
      </c>
      <c r="H1147" s="1017" t="s">
        <v>68</v>
      </c>
      <c r="I1147" s="1019"/>
      <c r="J1147" s="1018">
        <v>224.0</v>
      </c>
      <c r="K1147" s="1020">
        <v>0.0038828971863876793</v>
      </c>
      <c r="L1147" s="1021"/>
      <c r="M1147" s="736"/>
      <c r="N1147" s="736"/>
      <c r="O1147" s="736"/>
    </row>
    <row r="1148">
      <c r="A1148" s="1014" t="s">
        <v>126</v>
      </c>
      <c r="B1148" s="1015" t="s">
        <v>60</v>
      </c>
      <c r="C1148" s="1016">
        <v>41901.0</v>
      </c>
      <c r="D1148" s="1017" t="s">
        <v>79</v>
      </c>
      <c r="E1148" s="1018" t="s">
        <v>63</v>
      </c>
      <c r="F1148" s="1017" t="s">
        <v>65</v>
      </c>
      <c r="G1148" s="1017" t="s">
        <v>127</v>
      </c>
      <c r="H1148" s="1017" t="s">
        <v>66</v>
      </c>
      <c r="I1148" s="1019">
        <v>1.0</v>
      </c>
      <c r="J1148" s="1018">
        <v>220.0</v>
      </c>
      <c r="K1148" s="1020">
        <v>0.01344881108336049</v>
      </c>
      <c r="L1148" s="1021"/>
      <c r="M1148" s="736"/>
      <c r="N1148" s="736"/>
      <c r="O1148" s="736"/>
    </row>
    <row r="1149">
      <c r="A1149" s="1014" t="s">
        <v>132</v>
      </c>
      <c r="B1149" s="1015" t="s">
        <v>60</v>
      </c>
      <c r="C1149" s="1016">
        <v>41901.0</v>
      </c>
      <c r="D1149" s="1017" t="s">
        <v>57</v>
      </c>
      <c r="E1149" s="1018" t="s">
        <v>63</v>
      </c>
      <c r="F1149" s="1017" t="s">
        <v>65</v>
      </c>
      <c r="G1149" s="1017" t="s">
        <v>65</v>
      </c>
      <c r="H1149" s="1017" t="s">
        <v>69</v>
      </c>
      <c r="I1149" s="1019"/>
      <c r="J1149" s="1018">
        <v>245.0</v>
      </c>
      <c r="K1149" s="1020">
        <v>0.022485071192324124</v>
      </c>
      <c r="L1149" s="1021"/>
      <c r="M1149" s="736"/>
      <c r="N1149" s="736"/>
      <c r="O1149" s="736"/>
    </row>
    <row r="1150">
      <c r="A1150" s="1014" t="s">
        <v>58</v>
      </c>
      <c r="B1150" s="1015" t="s">
        <v>60</v>
      </c>
      <c r="C1150" s="1016">
        <v>41900.0</v>
      </c>
      <c r="D1150" s="1017" t="s">
        <v>59</v>
      </c>
      <c r="E1150" s="1018" t="s">
        <v>63</v>
      </c>
      <c r="F1150" s="1017" t="s">
        <v>65</v>
      </c>
      <c r="G1150" s="1017" t="s">
        <v>67</v>
      </c>
      <c r="H1150" s="1017" t="s">
        <v>66</v>
      </c>
      <c r="I1150" s="1019">
        <v>0.8</v>
      </c>
      <c r="J1150" s="1018">
        <v>212.0</v>
      </c>
      <c r="K1150" s="1020">
        <v>0.021737226192711012</v>
      </c>
      <c r="L1150" s="1021"/>
      <c r="M1150" s="736"/>
      <c r="N1150" s="736"/>
      <c r="O1150" s="736"/>
    </row>
    <row r="1151">
      <c r="A1151" s="1014" t="s">
        <v>76</v>
      </c>
      <c r="B1151" s="1015" t="s">
        <v>60</v>
      </c>
      <c r="C1151" s="1016">
        <v>41900.0</v>
      </c>
      <c r="D1151" s="1017" t="s">
        <v>59</v>
      </c>
      <c r="E1151" s="1018" t="s">
        <v>63</v>
      </c>
      <c r="F1151" s="1017" t="s">
        <v>80</v>
      </c>
      <c r="G1151" s="1017" t="s">
        <v>65</v>
      </c>
      <c r="H1151" s="1017" t="s">
        <v>68</v>
      </c>
      <c r="I1151" s="1019"/>
      <c r="J1151" s="1018">
        <v>218.0</v>
      </c>
      <c r="K1151" s="1020">
        <v>0.0184752612520509</v>
      </c>
      <c r="L1151" s="1021"/>
      <c r="M1151" s="736"/>
      <c r="N1151" s="736"/>
      <c r="O1151" s="736"/>
    </row>
    <row r="1152">
      <c r="A1152" s="1014" t="s">
        <v>84</v>
      </c>
      <c r="B1152" s="1015" t="s">
        <v>60</v>
      </c>
      <c r="C1152" s="1016">
        <v>41900.0</v>
      </c>
      <c r="D1152" s="1017" t="s">
        <v>59</v>
      </c>
      <c r="E1152" s="1018" t="s">
        <v>63</v>
      </c>
      <c r="F1152" s="1017" t="s">
        <v>68</v>
      </c>
      <c r="G1152" s="1017" t="s">
        <v>68</v>
      </c>
      <c r="H1152" s="1017" t="s">
        <v>68</v>
      </c>
      <c r="I1152" s="1019"/>
      <c r="J1152" s="1018">
        <v>215.0</v>
      </c>
      <c r="K1152" s="1020">
        <v>-0.0076741332604935986</v>
      </c>
      <c r="L1152" s="1021"/>
      <c r="M1152" s="736"/>
      <c r="N1152" s="736"/>
      <c r="O1152" s="736"/>
    </row>
    <row r="1153">
      <c r="A1153" s="1014" t="s">
        <v>96</v>
      </c>
      <c r="B1153" s="1015" t="s">
        <v>60</v>
      </c>
      <c r="C1153" s="1016">
        <v>41900.0</v>
      </c>
      <c r="D1153" s="1017" t="s">
        <v>59</v>
      </c>
      <c r="E1153" s="1018" t="s">
        <v>63</v>
      </c>
      <c r="F1153" s="1017" t="s">
        <v>68</v>
      </c>
      <c r="G1153" s="1017" t="s">
        <v>68</v>
      </c>
      <c r="H1153" s="1017" t="s">
        <v>68</v>
      </c>
      <c r="I1153" s="1019"/>
      <c r="J1153" s="1018">
        <v>224.0</v>
      </c>
      <c r="K1153" s="1020">
        <v>0.004603915459655883</v>
      </c>
      <c r="L1153" s="1021"/>
      <c r="M1153" s="736"/>
      <c r="N1153" s="736"/>
      <c r="O1153" s="736"/>
    </row>
    <row r="1154">
      <c r="A1154" s="1014" t="s">
        <v>101</v>
      </c>
      <c r="B1154" s="1015" t="s">
        <v>60</v>
      </c>
      <c r="C1154" s="1016">
        <v>41900.0</v>
      </c>
      <c r="D1154" s="1017" t="s">
        <v>103</v>
      </c>
      <c r="E1154" s="1018" t="s">
        <v>63</v>
      </c>
      <c r="F1154" s="1017" t="s">
        <v>65</v>
      </c>
      <c r="G1154" s="1017" t="s">
        <v>65</v>
      </c>
      <c r="H1154" s="1017" t="s">
        <v>66</v>
      </c>
      <c r="I1154" s="1019"/>
      <c r="J1154" s="1018">
        <v>229.0</v>
      </c>
      <c r="K1154" s="1020">
        <v>-0.0050439869277211224</v>
      </c>
      <c r="L1154" s="1021"/>
      <c r="M1154" s="736"/>
      <c r="N1154" s="736"/>
      <c r="O1154" s="736"/>
    </row>
    <row r="1155">
      <c r="A1155" s="1014" t="s">
        <v>114</v>
      </c>
      <c r="B1155" s="1015" t="s">
        <v>60</v>
      </c>
      <c r="C1155" s="1016">
        <v>41900.0</v>
      </c>
      <c r="D1155" s="1017" t="s">
        <v>79</v>
      </c>
      <c r="E1155" s="1018" t="s">
        <v>63</v>
      </c>
      <c r="F1155" s="1017" t="s">
        <v>65</v>
      </c>
      <c r="G1155" s="1017" t="s">
        <v>65</v>
      </c>
      <c r="H1155" s="1017" t="s">
        <v>66</v>
      </c>
      <c r="I1155" s="1019">
        <v>0.9</v>
      </c>
      <c r="J1155" s="1018">
        <v>218.0</v>
      </c>
      <c r="K1155" s="1020">
        <v>-2.96432157178228E-4</v>
      </c>
      <c r="L1155" s="1021"/>
      <c r="M1155" s="736"/>
      <c r="N1155" s="736"/>
      <c r="O1155" s="736"/>
    </row>
    <row r="1156">
      <c r="A1156" s="1014" t="s">
        <v>54</v>
      </c>
      <c r="B1156" s="1015" t="s">
        <v>56</v>
      </c>
      <c r="C1156" s="1016">
        <v>41737.0</v>
      </c>
      <c r="D1156" s="1017" t="s">
        <v>59</v>
      </c>
      <c r="E1156" s="1018" t="s">
        <v>63</v>
      </c>
      <c r="F1156" s="1017" t="s">
        <v>64</v>
      </c>
      <c r="G1156" s="1017" t="s">
        <v>66</v>
      </c>
      <c r="H1156" s="1017" t="s">
        <v>68</v>
      </c>
      <c r="I1156" s="1019">
        <v>0.7</v>
      </c>
      <c r="J1156" s="1018">
        <v>188.0</v>
      </c>
      <c r="K1156" s="1020">
        <v>0.013504600911257603</v>
      </c>
      <c r="L1156" s="1021"/>
      <c r="M1156" s="736"/>
      <c r="N1156" s="736"/>
      <c r="O1156" s="736"/>
    </row>
    <row r="1157">
      <c r="A1157" s="1014" t="s">
        <v>143</v>
      </c>
      <c r="B1157" s="1015" t="s">
        <v>56</v>
      </c>
      <c r="C1157" s="1016">
        <v>41725.0</v>
      </c>
      <c r="D1157" s="1017" t="s">
        <v>59</v>
      </c>
      <c r="E1157" s="1018" t="s">
        <v>63</v>
      </c>
      <c r="F1157" s="1017"/>
      <c r="G1157" s="1017"/>
      <c r="H1157" s="1017"/>
      <c r="I1157" s="1019"/>
      <c r="J1157" s="1018">
        <v>193.0</v>
      </c>
      <c r="K1157" s="1020">
        <v>0.020362267543097</v>
      </c>
      <c r="L1157" s="1021"/>
      <c r="M1157" s="736"/>
      <c r="N1157" s="736"/>
      <c r="O1157" s="736"/>
    </row>
    <row r="1158">
      <c r="A1158" s="1014"/>
      <c r="B1158" s="1015"/>
      <c r="C1158" s="1016"/>
      <c r="D1158" s="1017"/>
      <c r="E1158" s="1018"/>
      <c r="F1158" s="1017"/>
      <c r="G1158" s="1017"/>
      <c r="H1158" s="1017"/>
      <c r="I1158" s="1019"/>
      <c r="J1158" s="1018"/>
      <c r="K1158" s="1020"/>
      <c r="L1158" s="1021"/>
      <c r="M1158" s="736"/>
      <c r="N1158" s="736"/>
      <c r="O1158" s="736"/>
    </row>
    <row r="1159">
      <c r="A1159" s="1014"/>
      <c r="B1159" s="1015"/>
      <c r="C1159" s="1016"/>
      <c r="D1159" s="1017"/>
      <c r="E1159" s="1018"/>
      <c r="F1159" s="1017"/>
      <c r="G1159" s="1017"/>
      <c r="H1159" s="1017"/>
      <c r="I1159" s="1019"/>
      <c r="J1159" s="1018"/>
      <c r="K1159" s="1020"/>
      <c r="L1159" s="1021"/>
      <c r="M1159" s="736"/>
      <c r="N1159" s="736"/>
      <c r="O1159" s="736"/>
    </row>
    <row r="1160">
      <c r="A1160" s="1014"/>
      <c r="B1160" s="1015"/>
      <c r="C1160" s="1016"/>
      <c r="D1160" s="1017"/>
      <c r="E1160" s="1018"/>
      <c r="F1160" s="1017"/>
      <c r="G1160" s="1017"/>
      <c r="H1160" s="1017"/>
      <c r="I1160" s="1019"/>
      <c r="J1160" s="1018"/>
      <c r="K1160" s="1020"/>
      <c r="L1160" s="1021"/>
      <c r="M1160" s="736"/>
      <c r="N1160" s="736"/>
      <c r="O1160" s="736"/>
    </row>
    <row r="1161">
      <c r="A1161" s="1014"/>
      <c r="B1161" s="1015"/>
      <c r="C1161" s="1016"/>
      <c r="D1161" s="1017"/>
      <c r="E1161" s="1018"/>
      <c r="F1161" s="1017"/>
      <c r="G1161" s="1017"/>
      <c r="H1161" s="1017"/>
      <c r="I1161" s="1019"/>
      <c r="J1161" s="1018"/>
      <c r="K1161" s="1020"/>
      <c r="L1161" s="1021"/>
      <c r="M1161" s="736"/>
      <c r="N1161" s="736"/>
      <c r="O1161" s="736"/>
    </row>
    <row r="1162">
      <c r="A1162" s="1014"/>
      <c r="B1162" s="1015"/>
      <c r="C1162" s="1016"/>
      <c r="D1162" s="1017"/>
      <c r="E1162" s="1018"/>
      <c r="F1162" s="1017"/>
      <c r="G1162" s="1017"/>
      <c r="H1162" s="1017"/>
      <c r="I1162" s="1019"/>
      <c r="J1162" s="1018"/>
      <c r="K1162" s="1020"/>
      <c r="L1162" s="1021"/>
      <c r="M1162" s="736"/>
      <c r="N1162" s="736"/>
      <c r="O1162" s="736"/>
    </row>
    <row r="1163">
      <c r="A1163" s="1014"/>
      <c r="B1163" s="1015"/>
      <c r="C1163" s="1016"/>
      <c r="D1163" s="1017"/>
      <c r="E1163" s="1018"/>
      <c r="F1163" s="1017"/>
      <c r="G1163" s="1017"/>
      <c r="H1163" s="1017"/>
      <c r="I1163" s="1019"/>
      <c r="J1163" s="1018"/>
      <c r="K1163" s="1020"/>
      <c r="L1163" s="1021"/>
      <c r="M1163" s="736"/>
      <c r="N1163" s="736"/>
      <c r="O1163" s="736"/>
    </row>
    <row r="1164">
      <c r="A1164" s="1014"/>
      <c r="B1164" s="1015"/>
      <c r="C1164" s="1016"/>
      <c r="D1164" s="1017"/>
      <c r="E1164" s="1018"/>
      <c r="F1164" s="1017"/>
      <c r="G1164" s="1017"/>
      <c r="H1164" s="1017"/>
      <c r="I1164" s="1019"/>
      <c r="J1164" s="1018"/>
      <c r="K1164" s="1020"/>
      <c r="L1164" s="1021"/>
      <c r="M1164" s="736"/>
      <c r="N1164" s="736"/>
      <c r="O1164" s="736"/>
    </row>
    <row r="1165">
      <c r="A1165" s="1014"/>
      <c r="B1165" s="1015"/>
      <c r="C1165" s="1016"/>
      <c r="D1165" s="1017"/>
      <c r="E1165" s="1018"/>
      <c r="F1165" s="1017"/>
      <c r="G1165" s="1017"/>
      <c r="H1165" s="1017"/>
      <c r="I1165" s="1019"/>
      <c r="J1165" s="1018"/>
      <c r="K1165" s="1020"/>
      <c r="L1165" s="1021"/>
      <c r="M1165" s="736"/>
      <c r="N1165" s="736"/>
      <c r="O1165" s="736"/>
    </row>
    <row r="1166">
      <c r="A1166" s="1014"/>
      <c r="B1166" s="1015"/>
      <c r="C1166" s="1016"/>
      <c r="D1166" s="1017"/>
      <c r="E1166" s="1018"/>
      <c r="F1166" s="1017"/>
      <c r="G1166" s="1017"/>
      <c r="H1166" s="1017"/>
      <c r="I1166" s="1019"/>
      <c r="J1166" s="1018"/>
      <c r="K1166" s="1020"/>
      <c r="L1166" s="1021"/>
      <c r="M1166" s="736"/>
      <c r="N1166" s="736"/>
      <c r="O1166" s="736"/>
    </row>
    <row r="1167">
      <c r="A1167" s="1014"/>
      <c r="B1167" s="1015"/>
      <c r="C1167" s="1016"/>
      <c r="D1167" s="1017"/>
      <c r="E1167" s="1018"/>
      <c r="F1167" s="1017"/>
      <c r="G1167" s="1017"/>
      <c r="H1167" s="1017"/>
      <c r="I1167" s="1019"/>
      <c r="J1167" s="1018"/>
      <c r="K1167" s="1020"/>
      <c r="L1167" s="1021"/>
      <c r="M1167" s="736"/>
      <c r="N1167" s="736"/>
      <c r="O1167" s="736"/>
    </row>
    <row r="1168">
      <c r="A1168" s="1014"/>
      <c r="B1168" s="1015"/>
      <c r="C1168" s="1016"/>
      <c r="D1168" s="1017"/>
      <c r="E1168" s="1018"/>
      <c r="F1168" s="1017"/>
      <c r="G1168" s="1017"/>
      <c r="H1168" s="1017"/>
      <c r="I1168" s="1019"/>
      <c r="J1168" s="1018"/>
      <c r="K1168" s="1020"/>
      <c r="L1168" s="1021"/>
      <c r="M1168" s="736"/>
      <c r="N1168" s="736"/>
      <c r="O1168" s="736"/>
    </row>
    <row r="1169">
      <c r="A1169" s="1014"/>
      <c r="B1169" s="1015"/>
      <c r="C1169" s="1016"/>
      <c r="D1169" s="1017"/>
      <c r="E1169" s="1018"/>
      <c r="F1169" s="1017"/>
      <c r="G1169" s="1017"/>
      <c r="H1169" s="1017"/>
      <c r="I1169" s="1019"/>
      <c r="J1169" s="1018"/>
      <c r="K1169" s="1020"/>
      <c r="L1169" s="1021"/>
      <c r="M1169" s="736"/>
      <c r="N1169" s="736"/>
      <c r="O1169" s="736"/>
    </row>
    <row r="1170">
      <c r="A1170" s="1014"/>
      <c r="B1170" s="1015"/>
      <c r="C1170" s="1016"/>
      <c r="D1170" s="1017"/>
      <c r="E1170" s="1018"/>
      <c r="F1170" s="1017"/>
      <c r="G1170" s="1017"/>
      <c r="H1170" s="1017"/>
      <c r="I1170" s="1019"/>
      <c r="J1170" s="1018"/>
      <c r="K1170" s="1020"/>
      <c r="L1170" s="1021"/>
      <c r="M1170" s="736"/>
      <c r="N1170" s="736"/>
      <c r="O1170" s="736"/>
    </row>
    <row r="1171">
      <c r="A1171" s="1014"/>
      <c r="B1171" s="1015"/>
      <c r="C1171" s="1016"/>
      <c r="D1171" s="1017"/>
      <c r="E1171" s="1018"/>
      <c r="F1171" s="1017"/>
      <c r="G1171" s="1017"/>
      <c r="H1171" s="1017"/>
      <c r="I1171" s="1019"/>
      <c r="J1171" s="1018"/>
      <c r="K1171" s="1020"/>
      <c r="L1171" s="1021"/>
      <c r="M1171" s="736"/>
      <c r="N1171" s="736"/>
      <c r="O1171" s="736"/>
    </row>
    <row r="1172">
      <c r="A1172" s="1014"/>
      <c r="B1172" s="1015"/>
      <c r="C1172" s="1016"/>
      <c r="D1172" s="1017"/>
      <c r="E1172" s="1018"/>
      <c r="F1172" s="1017"/>
      <c r="G1172" s="1017"/>
      <c r="H1172" s="1017"/>
      <c r="I1172" s="1019"/>
      <c r="J1172" s="1018"/>
      <c r="K1172" s="1020"/>
      <c r="L1172" s="1021"/>
      <c r="M1172" s="736"/>
      <c r="N1172" s="736"/>
      <c r="O1172" s="736"/>
    </row>
    <row r="1173">
      <c r="A1173" s="1014"/>
      <c r="B1173" s="1015"/>
      <c r="C1173" s="1016"/>
      <c r="D1173" s="1017"/>
      <c r="E1173" s="1018"/>
      <c r="F1173" s="1017"/>
      <c r="G1173" s="1017"/>
      <c r="H1173" s="1017"/>
      <c r="I1173" s="1019"/>
      <c r="J1173" s="1018"/>
      <c r="K1173" s="1020"/>
      <c r="L1173" s="1021"/>
      <c r="M1173" s="736"/>
      <c r="N1173" s="736"/>
      <c r="O1173" s="736"/>
    </row>
    <row r="1174">
      <c r="A1174" s="1014"/>
      <c r="B1174" s="1015"/>
      <c r="C1174" s="1016"/>
      <c r="D1174" s="1017"/>
      <c r="E1174" s="1018"/>
      <c r="F1174" s="1017"/>
      <c r="G1174" s="1017"/>
      <c r="H1174" s="1017"/>
      <c r="I1174" s="1019"/>
      <c r="J1174" s="1018"/>
      <c r="K1174" s="1020"/>
      <c r="L1174" s="1021"/>
      <c r="M1174" s="736"/>
      <c r="N1174" s="736"/>
      <c r="O1174" s="736"/>
    </row>
    <row r="1175">
      <c r="A1175" s="1014"/>
      <c r="B1175" s="1015"/>
      <c r="C1175" s="1016"/>
      <c r="D1175" s="1017"/>
      <c r="E1175" s="1018"/>
      <c r="F1175" s="1017"/>
      <c r="G1175" s="1017"/>
      <c r="H1175" s="1017"/>
      <c r="I1175" s="1019"/>
      <c r="J1175" s="1018"/>
      <c r="K1175" s="1020"/>
      <c r="L1175" s="1021"/>
      <c r="M1175" s="736"/>
      <c r="N1175" s="736"/>
      <c r="O1175" s="736"/>
    </row>
    <row r="1176">
      <c r="A1176" s="1014"/>
      <c r="B1176" s="1015"/>
      <c r="C1176" s="1016"/>
      <c r="D1176" s="1017"/>
      <c r="E1176" s="1018"/>
      <c r="F1176" s="1017"/>
      <c r="G1176" s="1017"/>
      <c r="H1176" s="1017"/>
      <c r="I1176" s="1019"/>
      <c r="J1176" s="1018"/>
      <c r="K1176" s="1020"/>
      <c r="L1176" s="1021"/>
      <c r="M1176" s="736"/>
      <c r="N1176" s="736"/>
      <c r="O1176" s="736"/>
    </row>
    <row r="1177">
      <c r="A1177" s="1014"/>
      <c r="B1177" s="1015"/>
      <c r="C1177" s="1016"/>
      <c r="D1177" s="1017"/>
      <c r="E1177" s="1018"/>
      <c r="F1177" s="1017"/>
      <c r="G1177" s="1017"/>
      <c r="H1177" s="1017"/>
      <c r="I1177" s="1019"/>
      <c r="J1177" s="1018"/>
      <c r="K1177" s="1020"/>
      <c r="L1177" s="1021"/>
      <c r="M1177" s="736"/>
      <c r="N1177" s="736"/>
      <c r="O1177" s="736"/>
    </row>
    <row r="1178">
      <c r="A1178" s="1014"/>
      <c r="B1178" s="1015"/>
      <c r="C1178" s="1016"/>
      <c r="D1178" s="1017"/>
      <c r="E1178" s="1018"/>
      <c r="F1178" s="1017"/>
      <c r="G1178" s="1017"/>
      <c r="H1178" s="1017"/>
      <c r="I1178" s="1019"/>
      <c r="J1178" s="1018"/>
      <c r="K1178" s="1020"/>
      <c r="L1178" s="1021"/>
      <c r="M1178" s="736"/>
      <c r="N1178" s="736"/>
      <c r="O1178" s="736"/>
    </row>
    <row r="1179">
      <c r="A1179" s="1014"/>
      <c r="B1179" s="1015"/>
      <c r="C1179" s="1016"/>
      <c r="D1179" s="1017"/>
      <c r="E1179" s="1018"/>
      <c r="F1179" s="1017"/>
      <c r="G1179" s="1017"/>
      <c r="H1179" s="1017"/>
      <c r="I1179" s="1019"/>
      <c r="J1179" s="1018"/>
      <c r="K1179" s="1020"/>
      <c r="L1179" s="1021"/>
      <c r="M1179" s="736"/>
      <c r="N1179" s="736"/>
      <c r="O1179" s="736"/>
    </row>
    <row r="1180">
      <c r="A1180" s="1014"/>
      <c r="B1180" s="1015"/>
      <c r="C1180" s="1016"/>
      <c r="D1180" s="1017"/>
      <c r="E1180" s="1018"/>
      <c r="F1180" s="1017"/>
      <c r="G1180" s="1017"/>
      <c r="H1180" s="1017"/>
      <c r="I1180" s="1019"/>
      <c r="J1180" s="1018"/>
      <c r="K1180" s="1020"/>
      <c r="L1180" s="1021"/>
      <c r="M1180" s="736"/>
      <c r="N1180" s="736"/>
      <c r="O1180" s="736"/>
    </row>
    <row r="1181">
      <c r="A1181" s="1014"/>
      <c r="B1181" s="1015"/>
      <c r="C1181" s="1016"/>
      <c r="D1181" s="1017"/>
      <c r="E1181" s="1018"/>
      <c r="F1181" s="1017"/>
      <c r="G1181" s="1017"/>
      <c r="H1181" s="1017"/>
      <c r="I1181" s="1019"/>
      <c r="J1181" s="1018"/>
      <c r="K1181" s="1020"/>
      <c r="L1181" s="1021"/>
      <c r="M1181" s="736"/>
      <c r="N1181" s="736"/>
      <c r="O1181" s="736"/>
    </row>
    <row r="1182">
      <c r="A1182" s="1014"/>
      <c r="B1182" s="1015"/>
      <c r="C1182" s="1016"/>
      <c r="D1182" s="1017"/>
      <c r="E1182" s="1018"/>
      <c r="F1182" s="1017"/>
      <c r="G1182" s="1017"/>
      <c r="H1182" s="1017"/>
      <c r="I1182" s="1019"/>
      <c r="J1182" s="1018"/>
      <c r="K1182" s="1020"/>
      <c r="L1182" s="1021"/>
      <c r="M1182" s="736"/>
      <c r="N1182" s="736"/>
      <c r="O1182" s="736"/>
    </row>
    <row r="1183">
      <c r="A1183" s="1014"/>
      <c r="B1183" s="1015"/>
      <c r="C1183" s="1016"/>
      <c r="D1183" s="1017"/>
      <c r="E1183" s="1018"/>
      <c r="F1183" s="1017"/>
      <c r="G1183" s="1017"/>
      <c r="H1183" s="1017"/>
      <c r="I1183" s="1019"/>
      <c r="J1183" s="1018"/>
      <c r="K1183" s="1020"/>
      <c r="L1183" s="1021"/>
      <c r="M1183" s="736"/>
      <c r="N1183" s="736"/>
      <c r="O1183" s="736"/>
    </row>
    <row r="1184">
      <c r="A1184" s="1014"/>
      <c r="B1184" s="1015"/>
      <c r="C1184" s="1016"/>
      <c r="D1184" s="1017"/>
      <c r="E1184" s="1018"/>
      <c r="F1184" s="1017"/>
      <c r="G1184" s="1017"/>
      <c r="H1184" s="1017"/>
      <c r="I1184" s="1019"/>
      <c r="J1184" s="1018"/>
      <c r="K1184" s="1020"/>
      <c r="L1184" s="1021"/>
      <c r="M1184" s="736"/>
      <c r="N1184" s="736"/>
      <c r="O1184" s="736"/>
    </row>
    <row r="1185">
      <c r="A1185" s="1014"/>
      <c r="B1185" s="1015"/>
      <c r="C1185" s="1016"/>
      <c r="D1185" s="1017"/>
      <c r="E1185" s="1018"/>
      <c r="F1185" s="1017"/>
      <c r="G1185" s="1017"/>
      <c r="H1185" s="1017"/>
      <c r="I1185" s="1019"/>
      <c r="J1185" s="1018"/>
      <c r="K1185" s="1020"/>
      <c r="L1185" s="1021"/>
      <c r="M1185" s="736"/>
      <c r="N1185" s="736"/>
      <c r="O1185" s="736"/>
    </row>
    <row r="1186">
      <c r="A1186" s="1014"/>
      <c r="B1186" s="1015"/>
      <c r="C1186" s="1016"/>
      <c r="D1186" s="1017"/>
      <c r="E1186" s="1018"/>
      <c r="F1186" s="1017"/>
      <c r="G1186" s="1017"/>
      <c r="H1186" s="1017"/>
      <c r="I1186" s="1019"/>
      <c r="J1186" s="1018"/>
      <c r="K1186" s="1020"/>
      <c r="L1186" s="1021"/>
      <c r="M1186" s="736"/>
      <c r="N1186" s="736"/>
      <c r="O1186" s="736"/>
    </row>
    <row r="1187">
      <c r="A1187" s="1014"/>
      <c r="B1187" s="1015"/>
      <c r="C1187" s="1016"/>
      <c r="D1187" s="1017"/>
      <c r="E1187" s="1018"/>
      <c r="F1187" s="1017"/>
      <c r="G1187" s="1017"/>
      <c r="H1187" s="1017"/>
      <c r="I1187" s="1019"/>
      <c r="J1187" s="1018"/>
      <c r="K1187" s="1020"/>
      <c r="L1187" s="1021"/>
      <c r="M1187" s="736"/>
      <c r="N1187" s="736"/>
      <c r="O1187" s="736"/>
    </row>
    <row r="1188">
      <c r="A1188" s="1014"/>
      <c r="B1188" s="1015"/>
      <c r="C1188" s="1016"/>
      <c r="D1188" s="1017"/>
      <c r="E1188" s="1018"/>
      <c r="F1188" s="1017"/>
      <c r="G1188" s="1017"/>
      <c r="H1188" s="1017"/>
      <c r="I1188" s="1019"/>
      <c r="J1188" s="1018"/>
      <c r="K1188" s="1020"/>
      <c r="L1188" s="1021"/>
      <c r="M1188" s="736"/>
      <c r="N1188" s="736"/>
      <c r="O1188" s="736"/>
    </row>
    <row r="1189">
      <c r="A1189" s="1014"/>
      <c r="B1189" s="1015"/>
      <c r="C1189" s="1016"/>
      <c r="D1189" s="1017"/>
      <c r="E1189" s="1018"/>
      <c r="F1189" s="1017"/>
      <c r="G1189" s="1017"/>
      <c r="H1189" s="1017"/>
      <c r="I1189" s="1019"/>
      <c r="J1189" s="1018"/>
      <c r="K1189" s="1020"/>
      <c r="L1189" s="1021"/>
      <c r="M1189" s="736"/>
      <c r="N1189" s="736"/>
      <c r="O1189" s="736"/>
    </row>
    <row r="1190">
      <c r="A1190" s="1014"/>
      <c r="B1190" s="1015"/>
      <c r="C1190" s="1016"/>
      <c r="D1190" s="1017"/>
      <c r="E1190" s="1018"/>
      <c r="F1190" s="1017"/>
      <c r="G1190" s="1017"/>
      <c r="H1190" s="1017"/>
      <c r="I1190" s="1019"/>
      <c r="J1190" s="1018"/>
      <c r="K1190" s="1020"/>
      <c r="L1190" s="1021"/>
      <c r="M1190" s="736"/>
      <c r="N1190" s="736"/>
      <c r="O1190" s="736"/>
    </row>
    <row r="1191">
      <c r="A1191" s="1014"/>
      <c r="B1191" s="1015"/>
      <c r="C1191" s="1016"/>
      <c r="D1191" s="1017"/>
      <c r="E1191" s="1018"/>
      <c r="F1191" s="1017"/>
      <c r="G1191" s="1017"/>
      <c r="H1191" s="1017"/>
      <c r="I1191" s="1019"/>
      <c r="J1191" s="1018"/>
      <c r="K1191" s="1020"/>
      <c r="L1191" s="1021"/>
      <c r="M1191" s="736"/>
      <c r="N1191" s="736"/>
      <c r="O1191" s="736"/>
    </row>
    <row r="1192">
      <c r="A1192" s="1014"/>
      <c r="B1192" s="1015"/>
      <c r="C1192" s="1016"/>
      <c r="D1192" s="1017"/>
      <c r="E1192" s="1018"/>
      <c r="F1192" s="1017"/>
      <c r="G1192" s="1017"/>
      <c r="H1192" s="1017"/>
      <c r="I1192" s="1019"/>
      <c r="J1192" s="1018"/>
      <c r="K1192" s="1020"/>
      <c r="L1192" s="1021"/>
      <c r="M1192" s="736"/>
      <c r="N1192" s="736"/>
      <c r="O1192" s="736"/>
    </row>
    <row r="1193">
      <c r="A1193" s="1014"/>
      <c r="B1193" s="1015"/>
      <c r="C1193" s="1016"/>
      <c r="D1193" s="1017"/>
      <c r="E1193" s="1018"/>
      <c r="F1193" s="1017"/>
      <c r="G1193" s="1017"/>
      <c r="H1193" s="1017"/>
      <c r="I1193" s="1019"/>
      <c r="J1193" s="1018"/>
      <c r="K1193" s="1020"/>
      <c r="L1193" s="1021"/>
      <c r="M1193" s="736"/>
      <c r="N1193" s="736"/>
      <c r="O1193" s="736"/>
    </row>
    <row r="1194">
      <c r="A1194" s="1014"/>
      <c r="B1194" s="1015"/>
      <c r="C1194" s="1016"/>
      <c r="D1194" s="1017"/>
      <c r="E1194" s="1018"/>
      <c r="F1194" s="1017"/>
      <c r="G1194" s="1017"/>
      <c r="H1194" s="1017"/>
      <c r="I1194" s="1019"/>
      <c r="J1194" s="1018"/>
      <c r="K1194" s="1020"/>
      <c r="L1194" s="1021"/>
      <c r="M1194" s="736"/>
      <c r="N1194" s="736"/>
      <c r="O1194" s="736"/>
    </row>
    <row r="1195">
      <c r="A1195" s="1014"/>
      <c r="B1195" s="1015"/>
      <c r="C1195" s="1016"/>
      <c r="D1195" s="1017"/>
      <c r="E1195" s="1018"/>
      <c r="F1195" s="1017"/>
      <c r="G1195" s="1017"/>
      <c r="H1195" s="1017"/>
      <c r="I1195" s="1019"/>
      <c r="J1195" s="1018"/>
      <c r="K1195" s="1020"/>
      <c r="L1195" s="1021"/>
      <c r="M1195" s="736"/>
      <c r="N1195" s="736"/>
      <c r="O1195" s="736"/>
    </row>
    <row r="1196">
      <c r="A1196" s="1014"/>
      <c r="B1196" s="1015"/>
      <c r="C1196" s="1016"/>
      <c r="D1196" s="1017"/>
      <c r="E1196" s="1018"/>
      <c r="F1196" s="1017"/>
      <c r="G1196" s="1017"/>
      <c r="H1196" s="1017"/>
      <c r="I1196" s="1019"/>
      <c r="J1196" s="1018"/>
      <c r="K1196" s="1020"/>
      <c r="L1196" s="1021"/>
      <c r="M1196" s="736"/>
      <c r="N1196" s="736"/>
      <c r="O1196" s="736"/>
    </row>
    <row r="1197">
      <c r="A1197" s="1014"/>
      <c r="B1197" s="1015"/>
      <c r="C1197" s="1016"/>
      <c r="D1197" s="1017"/>
      <c r="E1197" s="1018"/>
      <c r="F1197" s="1017"/>
      <c r="G1197" s="1017"/>
      <c r="H1197" s="1017"/>
      <c r="I1197" s="1019"/>
      <c r="J1197" s="1018"/>
      <c r="K1197" s="1020"/>
      <c r="L1197" s="1021"/>
      <c r="M1197" s="736"/>
      <c r="N1197" s="736"/>
      <c r="O1197" s="736"/>
    </row>
    <row r="1198">
      <c r="A1198" s="1014"/>
      <c r="B1198" s="1015"/>
      <c r="C1198" s="1016"/>
      <c r="D1198" s="1017"/>
      <c r="E1198" s="1018"/>
      <c r="F1198" s="1017"/>
      <c r="G1198" s="1017"/>
      <c r="H1198" s="1017"/>
      <c r="I1198" s="1019"/>
      <c r="J1198" s="1018"/>
      <c r="K1198" s="1020"/>
      <c r="L1198" s="1021"/>
      <c r="M1198" s="736"/>
      <c r="N1198" s="736"/>
      <c r="O1198" s="736"/>
    </row>
    <row r="1199">
      <c r="A1199" s="1014"/>
      <c r="B1199" s="1015"/>
      <c r="C1199" s="1016"/>
      <c r="D1199" s="1017"/>
      <c r="E1199" s="1018"/>
      <c r="F1199" s="1017"/>
      <c r="G1199" s="1017"/>
      <c r="H1199" s="1017"/>
      <c r="I1199" s="1019"/>
      <c r="J1199" s="1018"/>
      <c r="K1199" s="1020"/>
      <c r="L1199" s="1021"/>
      <c r="M1199" s="736"/>
      <c r="N1199" s="736"/>
      <c r="O1199" s="736"/>
    </row>
    <row r="1200">
      <c r="A1200" s="1014"/>
      <c r="B1200" s="1015"/>
      <c r="C1200" s="1016"/>
      <c r="D1200" s="1017"/>
      <c r="E1200" s="1018"/>
      <c r="F1200" s="1017"/>
      <c r="G1200" s="1017"/>
      <c r="H1200" s="1017"/>
      <c r="I1200" s="1019"/>
      <c r="J1200" s="1018"/>
      <c r="K1200" s="1020"/>
      <c r="L1200" s="1021"/>
      <c r="M1200" s="736"/>
      <c r="N1200" s="736"/>
      <c r="O1200" s="736"/>
    </row>
    <row r="1201">
      <c r="A1201" s="1014"/>
      <c r="B1201" s="1015"/>
      <c r="C1201" s="1016"/>
      <c r="D1201" s="1017"/>
      <c r="E1201" s="1018"/>
      <c r="F1201" s="1017"/>
      <c r="G1201" s="1017"/>
      <c r="H1201" s="1017"/>
      <c r="I1201" s="1019"/>
      <c r="J1201" s="1018"/>
      <c r="K1201" s="1020"/>
      <c r="L1201" s="1021"/>
      <c r="M1201" s="736"/>
      <c r="N1201" s="736"/>
      <c r="O1201" s="736"/>
    </row>
    <row r="1202">
      <c r="A1202" s="1014"/>
      <c r="B1202" s="1015"/>
      <c r="C1202" s="1016"/>
      <c r="D1202" s="1017"/>
      <c r="E1202" s="1018"/>
      <c r="F1202" s="1017"/>
      <c r="G1202" s="1017"/>
      <c r="H1202" s="1017"/>
      <c r="I1202" s="1019"/>
      <c r="J1202" s="1018"/>
      <c r="K1202" s="1020"/>
      <c r="L1202" s="1021"/>
      <c r="M1202" s="736"/>
      <c r="N1202" s="736"/>
      <c r="O1202" s="736"/>
    </row>
    <row r="1203">
      <c r="A1203" s="1014"/>
      <c r="B1203" s="1015"/>
      <c r="C1203" s="1016"/>
      <c r="D1203" s="1017"/>
      <c r="E1203" s="1018"/>
      <c r="F1203" s="1017"/>
      <c r="G1203" s="1017"/>
      <c r="H1203" s="1017"/>
      <c r="I1203" s="1019"/>
      <c r="J1203" s="1018"/>
      <c r="K1203" s="1020"/>
      <c r="L1203" s="1021"/>
      <c r="M1203" s="736"/>
      <c r="N1203" s="736"/>
      <c r="O1203" s="736"/>
    </row>
    <row r="1204">
      <c r="A1204" s="1014"/>
      <c r="B1204" s="1015"/>
      <c r="C1204" s="1016"/>
      <c r="D1204" s="1017"/>
      <c r="E1204" s="1018"/>
      <c r="F1204" s="1017"/>
      <c r="G1204" s="1017"/>
      <c r="H1204" s="1017"/>
      <c r="I1204" s="1019"/>
      <c r="J1204" s="1018"/>
      <c r="K1204" s="1020"/>
      <c r="L1204" s="1021"/>
      <c r="M1204" s="736"/>
      <c r="N1204" s="736"/>
      <c r="O1204" s="736"/>
    </row>
    <row r="1205">
      <c r="A1205" s="1014"/>
      <c r="B1205" s="1015"/>
      <c r="C1205" s="1016"/>
      <c r="D1205" s="1017"/>
      <c r="E1205" s="1018"/>
      <c r="F1205" s="1017"/>
      <c r="G1205" s="1017"/>
      <c r="H1205" s="1017"/>
      <c r="I1205" s="1019"/>
      <c r="J1205" s="1018"/>
      <c r="K1205" s="1020"/>
      <c r="L1205" s="1021"/>
      <c r="M1205" s="736"/>
      <c r="N1205" s="736"/>
      <c r="O1205" s="736"/>
    </row>
    <row r="1206">
      <c r="A1206" s="1014"/>
      <c r="B1206" s="1015"/>
      <c r="C1206" s="1016"/>
      <c r="D1206" s="1017"/>
      <c r="E1206" s="1018"/>
      <c r="F1206" s="1017"/>
      <c r="G1206" s="1017"/>
      <c r="H1206" s="1017"/>
      <c r="I1206" s="1019"/>
      <c r="J1206" s="1018"/>
      <c r="K1206" s="1020"/>
      <c r="L1206" s="1021"/>
      <c r="M1206" s="736"/>
      <c r="N1206" s="736"/>
      <c r="O1206" s="736"/>
    </row>
    <row r="1207">
      <c r="A1207" s="1014"/>
      <c r="B1207" s="1015"/>
      <c r="C1207" s="1016"/>
      <c r="D1207" s="1017"/>
      <c r="E1207" s="1018"/>
      <c r="F1207" s="1017"/>
      <c r="G1207" s="1017"/>
      <c r="H1207" s="1017"/>
      <c r="I1207" s="1019"/>
      <c r="J1207" s="1018"/>
      <c r="K1207" s="1020"/>
      <c r="L1207" s="1021"/>
      <c r="M1207" s="736"/>
      <c r="N1207" s="736"/>
      <c r="O1207" s="736"/>
    </row>
    <row r="1208">
      <c r="A1208" s="1014"/>
      <c r="B1208" s="1015"/>
      <c r="C1208" s="1016"/>
      <c r="D1208" s="1017"/>
      <c r="E1208" s="1018"/>
      <c r="F1208" s="1017"/>
      <c r="G1208" s="1017"/>
      <c r="H1208" s="1017"/>
      <c r="I1208" s="1019"/>
      <c r="J1208" s="1018"/>
      <c r="K1208" s="1020"/>
      <c r="L1208" s="1021"/>
      <c r="M1208" s="736"/>
      <c r="N1208" s="736"/>
      <c r="O1208" s="736"/>
    </row>
    <row r="1209">
      <c r="A1209" s="1014"/>
      <c r="B1209" s="1015"/>
      <c r="C1209" s="1016"/>
      <c r="D1209" s="1017"/>
      <c r="E1209" s="1018"/>
      <c r="F1209" s="1017"/>
      <c r="G1209" s="1017"/>
      <c r="H1209" s="1017"/>
      <c r="I1209" s="1019"/>
      <c r="J1209" s="1018"/>
      <c r="K1209" s="1020"/>
      <c r="L1209" s="1021"/>
      <c r="M1209" s="736"/>
      <c r="N1209" s="736"/>
      <c r="O1209" s="736"/>
    </row>
    <row r="1210">
      <c r="A1210" s="1014"/>
      <c r="B1210" s="1015"/>
      <c r="C1210" s="1016"/>
      <c r="D1210" s="1017"/>
      <c r="E1210" s="1018"/>
      <c r="F1210" s="1017"/>
      <c r="G1210" s="1017"/>
      <c r="H1210" s="1017"/>
      <c r="I1210" s="1019"/>
      <c r="J1210" s="1018"/>
      <c r="K1210" s="1020"/>
      <c r="L1210" s="1021"/>
      <c r="M1210" s="736"/>
      <c r="N1210" s="736"/>
      <c r="O1210" s="736"/>
    </row>
    <row r="1211">
      <c r="A1211" s="1014"/>
      <c r="B1211" s="1015"/>
      <c r="C1211" s="1016"/>
      <c r="D1211" s="1017"/>
      <c r="E1211" s="1018"/>
      <c r="F1211" s="1017"/>
      <c r="G1211" s="1017"/>
      <c r="H1211" s="1017"/>
      <c r="I1211" s="1019"/>
      <c r="J1211" s="1018"/>
      <c r="K1211" s="1020"/>
      <c r="L1211" s="1021"/>
      <c r="M1211" s="736"/>
      <c r="N1211" s="736"/>
      <c r="O1211" s="736"/>
    </row>
    <row r="1212">
      <c r="A1212" s="1014"/>
      <c r="B1212" s="1015"/>
      <c r="C1212" s="1016"/>
      <c r="D1212" s="1017"/>
      <c r="E1212" s="1018"/>
      <c r="F1212" s="1017"/>
      <c r="G1212" s="1017"/>
      <c r="H1212" s="1017"/>
      <c r="I1212" s="1019"/>
      <c r="J1212" s="1018"/>
      <c r="K1212" s="1020"/>
      <c r="L1212" s="1021"/>
      <c r="M1212" s="736"/>
      <c r="N1212" s="736"/>
      <c r="O1212" s="736"/>
    </row>
    <row r="1213">
      <c r="A1213" s="1014"/>
      <c r="B1213" s="1015"/>
      <c r="C1213" s="1016"/>
      <c r="D1213" s="1017"/>
      <c r="E1213" s="1018"/>
      <c r="F1213" s="1017"/>
      <c r="G1213" s="1017"/>
      <c r="H1213" s="1017"/>
      <c r="I1213" s="1019"/>
      <c r="J1213" s="1018"/>
      <c r="K1213" s="1020"/>
      <c r="L1213" s="1021"/>
      <c r="M1213" s="736"/>
      <c r="N1213" s="736"/>
      <c r="O1213" s="736"/>
    </row>
    <row r="1214">
      <c r="A1214" s="1014"/>
      <c r="B1214" s="1015"/>
      <c r="C1214" s="1016"/>
      <c r="D1214" s="1017"/>
      <c r="E1214" s="1018"/>
      <c r="F1214" s="1017"/>
      <c r="G1214" s="1017"/>
      <c r="H1214" s="1017"/>
      <c r="I1214" s="1019"/>
      <c r="J1214" s="1018"/>
      <c r="K1214" s="1020"/>
      <c r="L1214" s="1021"/>
      <c r="M1214" s="736"/>
      <c r="N1214" s="736"/>
      <c r="O1214" s="736"/>
    </row>
    <row r="1215">
      <c r="A1215" s="1014"/>
      <c r="B1215" s="1015"/>
      <c r="C1215" s="1016"/>
      <c r="D1215" s="1017"/>
      <c r="E1215" s="1018"/>
      <c r="F1215" s="1017"/>
      <c r="G1215" s="1017"/>
      <c r="H1215" s="1017"/>
      <c r="I1215" s="1019"/>
      <c r="J1215" s="1018"/>
      <c r="K1215" s="1020"/>
      <c r="L1215" s="1021"/>
      <c r="M1215" s="736"/>
      <c r="N1215" s="736"/>
      <c r="O1215" s="736"/>
    </row>
    <row r="1216">
      <c r="A1216" s="1014"/>
      <c r="B1216" s="1015"/>
      <c r="C1216" s="1016"/>
      <c r="D1216" s="1017"/>
      <c r="E1216" s="1018"/>
      <c r="F1216" s="1017"/>
      <c r="G1216" s="1017"/>
      <c r="H1216" s="1017"/>
      <c r="I1216" s="1019"/>
      <c r="J1216" s="1018"/>
      <c r="K1216" s="1020"/>
      <c r="L1216" s="1021"/>
      <c r="M1216" s="736"/>
      <c r="N1216" s="736"/>
      <c r="O1216" s="736"/>
    </row>
    <row r="1217">
      <c r="A1217" s="1014"/>
      <c r="B1217" s="1015"/>
      <c r="C1217" s="1016"/>
      <c r="D1217" s="1017"/>
      <c r="E1217" s="1018"/>
      <c r="F1217" s="1017"/>
      <c r="G1217" s="1017"/>
      <c r="H1217" s="1017"/>
      <c r="I1217" s="1019"/>
      <c r="J1217" s="1018"/>
      <c r="K1217" s="1020"/>
      <c r="L1217" s="1021"/>
      <c r="M1217" s="736"/>
      <c r="N1217" s="736"/>
      <c r="O1217" s="736"/>
    </row>
    <row r="1218">
      <c r="A1218" s="1014"/>
      <c r="B1218" s="1015"/>
      <c r="C1218" s="1016"/>
      <c r="D1218" s="1017"/>
      <c r="E1218" s="1018"/>
      <c r="F1218" s="1017"/>
      <c r="G1218" s="1017"/>
      <c r="H1218" s="1017"/>
      <c r="I1218" s="1019"/>
      <c r="J1218" s="1018"/>
      <c r="K1218" s="1020"/>
      <c r="L1218" s="1021"/>
      <c r="M1218" s="736"/>
      <c r="N1218" s="736"/>
      <c r="O1218" s="736"/>
    </row>
    <row r="1219">
      <c r="A1219" s="1014"/>
      <c r="B1219" s="1015"/>
      <c r="C1219" s="1016"/>
      <c r="D1219" s="1017"/>
      <c r="E1219" s="1018"/>
      <c r="F1219" s="1017"/>
      <c r="G1219" s="1017"/>
      <c r="H1219" s="1017"/>
      <c r="I1219" s="1019"/>
      <c r="J1219" s="1018"/>
      <c r="K1219" s="1020"/>
      <c r="L1219" s="1021"/>
      <c r="M1219" s="736"/>
      <c r="N1219" s="736"/>
      <c r="O1219" s="736"/>
    </row>
    <row r="1220">
      <c r="A1220" s="1014"/>
      <c r="B1220" s="1015"/>
      <c r="C1220" s="1016"/>
      <c r="D1220" s="1017"/>
      <c r="E1220" s="1018"/>
      <c r="F1220" s="1017"/>
      <c r="G1220" s="1017"/>
      <c r="H1220" s="1017"/>
      <c r="I1220" s="1019"/>
      <c r="J1220" s="1018"/>
      <c r="K1220" s="1020"/>
      <c r="L1220" s="1021"/>
      <c r="M1220" s="736"/>
      <c r="N1220" s="736"/>
      <c r="O1220" s="736"/>
    </row>
    <row r="1221">
      <c r="A1221" s="1014"/>
      <c r="B1221" s="1015"/>
      <c r="C1221" s="1016"/>
      <c r="D1221" s="1017"/>
      <c r="E1221" s="1018"/>
      <c r="F1221" s="1017"/>
      <c r="G1221" s="1017"/>
      <c r="H1221" s="1017"/>
      <c r="I1221" s="1019"/>
      <c r="J1221" s="1018"/>
      <c r="K1221" s="1020"/>
      <c r="L1221" s="1021"/>
      <c r="M1221" s="736"/>
      <c r="N1221" s="736"/>
      <c r="O1221" s="736"/>
    </row>
    <row r="1222">
      <c r="A1222" s="1014"/>
      <c r="B1222" s="1015"/>
      <c r="C1222" s="1016"/>
      <c r="D1222" s="1017"/>
      <c r="E1222" s="1018"/>
      <c r="F1222" s="1017"/>
      <c r="G1222" s="1017"/>
      <c r="H1222" s="1017"/>
      <c r="I1222" s="1019"/>
      <c r="J1222" s="1018"/>
      <c r="K1222" s="1020"/>
      <c r="L1222" s="1021"/>
      <c r="M1222" s="736"/>
      <c r="N1222" s="736"/>
      <c r="O1222" s="736"/>
    </row>
    <row r="1223">
      <c r="A1223" s="1014"/>
      <c r="B1223" s="1015"/>
      <c r="C1223" s="1016"/>
      <c r="D1223" s="1017"/>
      <c r="E1223" s="1018"/>
      <c r="F1223" s="1017"/>
      <c r="G1223" s="1017"/>
      <c r="H1223" s="1017"/>
      <c r="I1223" s="1019"/>
      <c r="J1223" s="1018"/>
      <c r="K1223" s="1020"/>
      <c r="L1223" s="1021"/>
      <c r="M1223" s="736"/>
      <c r="N1223" s="736"/>
      <c r="O1223" s="736"/>
    </row>
    <row r="1224">
      <c r="A1224" s="1014"/>
      <c r="B1224" s="1015"/>
      <c r="C1224" s="1016"/>
      <c r="D1224" s="1017"/>
      <c r="E1224" s="1018"/>
      <c r="F1224" s="1017"/>
      <c r="G1224" s="1017"/>
      <c r="H1224" s="1017"/>
      <c r="I1224" s="1019"/>
      <c r="J1224" s="1018"/>
      <c r="K1224" s="1020"/>
      <c r="L1224" s="1021"/>
      <c r="M1224" s="736"/>
      <c r="N1224" s="736"/>
      <c r="O1224" s="736"/>
    </row>
    <row r="1225">
      <c r="A1225" s="1014"/>
      <c r="B1225" s="1015"/>
      <c r="C1225" s="1016"/>
      <c r="D1225" s="1017"/>
      <c r="E1225" s="1018"/>
      <c r="F1225" s="1017"/>
      <c r="G1225" s="1017"/>
      <c r="H1225" s="1017"/>
      <c r="I1225" s="1019"/>
      <c r="J1225" s="1018"/>
      <c r="K1225" s="1020"/>
      <c r="L1225" s="1021"/>
      <c r="M1225" s="736"/>
      <c r="N1225" s="736"/>
      <c r="O1225" s="736"/>
    </row>
    <row r="1226">
      <c r="A1226" s="1014"/>
      <c r="B1226" s="1015"/>
      <c r="C1226" s="1016"/>
      <c r="D1226" s="1017"/>
      <c r="E1226" s="1018"/>
      <c r="F1226" s="1017"/>
      <c r="G1226" s="1017"/>
      <c r="H1226" s="1017"/>
      <c r="I1226" s="1019"/>
      <c r="J1226" s="1018"/>
      <c r="K1226" s="1020"/>
      <c r="L1226" s="1021"/>
      <c r="M1226" s="736"/>
      <c r="N1226" s="736"/>
      <c r="O1226" s="736"/>
    </row>
    <row r="1227">
      <c r="A1227" s="1014"/>
      <c r="B1227" s="1015"/>
      <c r="C1227" s="1016"/>
      <c r="D1227" s="1017"/>
      <c r="E1227" s="1018"/>
      <c r="F1227" s="1017"/>
      <c r="G1227" s="1017"/>
      <c r="H1227" s="1017"/>
      <c r="I1227" s="1019"/>
      <c r="J1227" s="1018"/>
      <c r="K1227" s="1020"/>
      <c r="L1227" s="1021"/>
      <c r="M1227" s="736"/>
      <c r="N1227" s="736"/>
      <c r="O1227" s="736"/>
    </row>
    <row r="1228">
      <c r="A1228" s="1014"/>
      <c r="B1228" s="1015"/>
      <c r="C1228" s="1016"/>
      <c r="D1228" s="1017"/>
      <c r="E1228" s="1018"/>
      <c r="F1228" s="1017"/>
      <c r="G1228" s="1017"/>
      <c r="H1228" s="1017"/>
      <c r="I1228" s="1019"/>
      <c r="J1228" s="1018"/>
      <c r="K1228" s="1020"/>
      <c r="L1228" s="1021"/>
      <c r="M1228" s="736"/>
      <c r="N1228" s="736"/>
      <c r="O1228" s="736"/>
    </row>
    <row r="1229">
      <c r="A1229" s="1014"/>
      <c r="B1229" s="1015"/>
      <c r="C1229" s="1016"/>
      <c r="D1229" s="1017"/>
      <c r="E1229" s="1018"/>
      <c r="F1229" s="1017"/>
      <c r="G1229" s="1017"/>
      <c r="H1229" s="1017"/>
      <c r="I1229" s="1019"/>
      <c r="J1229" s="1018"/>
      <c r="K1229" s="1020"/>
      <c r="L1229" s="1021"/>
      <c r="M1229" s="736"/>
      <c r="N1229" s="736"/>
      <c r="O1229" s="736"/>
    </row>
    <row r="1230">
      <c r="A1230" s="1014"/>
      <c r="B1230" s="1015"/>
      <c r="C1230" s="1016"/>
      <c r="D1230" s="1017"/>
      <c r="E1230" s="1018"/>
      <c r="F1230" s="1017"/>
      <c r="G1230" s="1017"/>
      <c r="H1230" s="1017"/>
      <c r="I1230" s="1019"/>
      <c r="J1230" s="1018"/>
      <c r="K1230" s="1020"/>
      <c r="L1230" s="1021"/>
      <c r="M1230" s="736"/>
      <c r="N1230" s="736"/>
      <c r="O1230" s="736"/>
    </row>
    <row r="1231">
      <c r="A1231" s="1014"/>
      <c r="B1231" s="1015"/>
      <c r="C1231" s="1016"/>
      <c r="D1231" s="1017"/>
      <c r="E1231" s="1018"/>
      <c r="F1231" s="1017"/>
      <c r="G1231" s="1017"/>
      <c r="H1231" s="1017"/>
      <c r="I1231" s="1019"/>
      <c r="J1231" s="1018"/>
      <c r="K1231" s="1020"/>
      <c r="L1231" s="1021"/>
      <c r="M1231" s="736"/>
      <c r="N1231" s="736"/>
      <c r="O1231" s="736"/>
    </row>
    <row r="1232">
      <c r="A1232" s="1014"/>
      <c r="B1232" s="1015"/>
      <c r="C1232" s="1016"/>
      <c r="D1232" s="1017"/>
      <c r="E1232" s="1018"/>
      <c r="F1232" s="1017"/>
      <c r="G1232" s="1017"/>
      <c r="H1232" s="1017"/>
      <c r="I1232" s="1019"/>
      <c r="J1232" s="1018"/>
      <c r="K1232" s="1020"/>
      <c r="L1232" s="1021"/>
      <c r="M1232" s="736"/>
      <c r="N1232" s="736"/>
      <c r="O1232" s="736"/>
    </row>
    <row r="1233">
      <c r="A1233" s="1014"/>
      <c r="B1233" s="1015"/>
      <c r="C1233" s="1016"/>
      <c r="D1233" s="1017"/>
      <c r="E1233" s="1018"/>
      <c r="F1233" s="1017"/>
      <c r="G1233" s="1017"/>
      <c r="H1233" s="1017"/>
      <c r="I1233" s="1019"/>
      <c r="J1233" s="1018"/>
      <c r="K1233" s="1020"/>
      <c r="L1233" s="1021"/>
      <c r="M1233" s="736"/>
      <c r="N1233" s="736"/>
      <c r="O1233" s="736"/>
    </row>
    <row r="1234">
      <c r="A1234" s="1014"/>
      <c r="B1234" s="1015"/>
      <c r="C1234" s="1016"/>
      <c r="D1234" s="1017"/>
      <c r="E1234" s="1018"/>
      <c r="F1234" s="1017"/>
      <c r="G1234" s="1017"/>
      <c r="H1234" s="1017"/>
      <c r="I1234" s="1019"/>
      <c r="J1234" s="1018"/>
      <c r="K1234" s="1020"/>
      <c r="L1234" s="1021"/>
      <c r="M1234" s="736"/>
      <c r="N1234" s="736"/>
      <c r="O1234" s="736"/>
    </row>
    <row r="1235">
      <c r="A1235" s="1014"/>
      <c r="B1235" s="1015"/>
      <c r="C1235" s="1016"/>
      <c r="D1235" s="1017"/>
      <c r="E1235" s="1018"/>
      <c r="F1235" s="1017"/>
      <c r="G1235" s="1017"/>
      <c r="H1235" s="1017"/>
      <c r="I1235" s="1019"/>
      <c r="J1235" s="1018"/>
      <c r="K1235" s="1020"/>
      <c r="L1235" s="1021"/>
      <c r="M1235" s="736"/>
      <c r="N1235" s="736"/>
      <c r="O1235" s="736"/>
    </row>
    <row r="1236">
      <c r="A1236" s="1014"/>
      <c r="B1236" s="1015"/>
      <c r="C1236" s="1016"/>
      <c r="D1236" s="1017"/>
      <c r="E1236" s="1018"/>
      <c r="F1236" s="1017"/>
      <c r="G1236" s="1017"/>
      <c r="H1236" s="1017"/>
      <c r="I1236" s="1019"/>
      <c r="J1236" s="1018"/>
      <c r="K1236" s="1020"/>
      <c r="L1236" s="1021"/>
      <c r="M1236" s="736"/>
      <c r="N1236" s="736"/>
      <c r="O1236" s="736"/>
    </row>
    <row r="1237">
      <c r="A1237" s="1014"/>
      <c r="B1237" s="1015"/>
      <c r="C1237" s="1016"/>
      <c r="D1237" s="1017"/>
      <c r="E1237" s="1018"/>
      <c r="F1237" s="1017"/>
      <c r="G1237" s="1017"/>
      <c r="H1237" s="1017"/>
      <c r="I1237" s="1019"/>
      <c r="J1237" s="1018"/>
      <c r="K1237" s="1020"/>
      <c r="L1237" s="1021"/>
      <c r="M1237" s="736"/>
      <c r="N1237" s="736"/>
      <c r="O1237" s="736"/>
    </row>
    <row r="1238">
      <c r="A1238" s="1014"/>
      <c r="B1238" s="1015"/>
      <c r="C1238" s="1016"/>
      <c r="D1238" s="1017"/>
      <c r="E1238" s="1018"/>
      <c r="F1238" s="1017"/>
      <c r="G1238" s="1017"/>
      <c r="H1238" s="1017"/>
      <c r="I1238" s="1019"/>
      <c r="J1238" s="1018"/>
      <c r="K1238" s="1020"/>
      <c r="L1238" s="1021"/>
      <c r="M1238" s="736"/>
      <c r="N1238" s="736"/>
      <c r="O1238" s="736"/>
    </row>
    <row r="1239">
      <c r="A1239" s="1014"/>
      <c r="B1239" s="1015"/>
      <c r="C1239" s="1016"/>
      <c r="D1239" s="1017"/>
      <c r="E1239" s="1018"/>
      <c r="F1239" s="1017"/>
      <c r="G1239" s="1017"/>
      <c r="H1239" s="1017"/>
      <c r="I1239" s="1019"/>
      <c r="J1239" s="1018"/>
      <c r="K1239" s="1020"/>
      <c r="L1239" s="1021"/>
      <c r="M1239" s="736"/>
      <c r="N1239" s="736"/>
      <c r="O1239" s="736"/>
    </row>
    <row r="1240">
      <c r="A1240" s="1014"/>
      <c r="B1240" s="1015"/>
      <c r="C1240" s="1016"/>
      <c r="D1240" s="1017"/>
      <c r="E1240" s="1018"/>
      <c r="F1240" s="1017"/>
      <c r="G1240" s="1017"/>
      <c r="H1240" s="1017"/>
      <c r="I1240" s="1019"/>
      <c r="J1240" s="1018"/>
      <c r="K1240" s="1020"/>
      <c r="L1240" s="1021"/>
      <c r="M1240" s="736"/>
      <c r="N1240" s="736"/>
      <c r="O1240" s="736"/>
    </row>
    <row r="1241">
      <c r="A1241" s="1014"/>
      <c r="B1241" s="1015"/>
      <c r="C1241" s="1016"/>
      <c r="D1241" s="1017"/>
      <c r="E1241" s="1018"/>
      <c r="F1241" s="1017"/>
      <c r="G1241" s="1017"/>
      <c r="H1241" s="1017"/>
      <c r="I1241" s="1019"/>
      <c r="J1241" s="1018"/>
      <c r="K1241" s="1020"/>
      <c r="L1241" s="1021"/>
      <c r="M1241" s="736"/>
      <c r="N1241" s="736"/>
      <c r="O1241" s="736"/>
    </row>
    <row r="1242">
      <c r="A1242" s="1014"/>
      <c r="B1242" s="1015"/>
      <c r="C1242" s="1016"/>
      <c r="D1242" s="1017"/>
      <c r="E1242" s="1018"/>
      <c r="F1242" s="1017"/>
      <c r="G1242" s="1017"/>
      <c r="H1242" s="1017"/>
      <c r="I1242" s="1019"/>
      <c r="J1242" s="1018"/>
      <c r="K1242" s="1020"/>
      <c r="L1242" s="1021"/>
      <c r="M1242" s="736"/>
      <c r="N1242" s="736"/>
      <c r="O1242" s="736"/>
    </row>
    <row r="1243">
      <c r="A1243" s="1014"/>
      <c r="B1243" s="1015"/>
      <c r="C1243" s="1016"/>
      <c r="D1243" s="1017"/>
      <c r="E1243" s="1018"/>
      <c r="F1243" s="1017"/>
      <c r="G1243" s="1017"/>
      <c r="H1243" s="1017"/>
      <c r="I1243" s="1019"/>
      <c r="J1243" s="1018"/>
      <c r="K1243" s="1020"/>
      <c r="L1243" s="1021"/>
      <c r="M1243" s="736"/>
      <c r="N1243" s="736"/>
      <c r="O1243" s="736"/>
    </row>
    <row r="1244">
      <c r="A1244" s="1014"/>
      <c r="B1244" s="1015"/>
      <c r="C1244" s="1016"/>
      <c r="D1244" s="1017"/>
      <c r="E1244" s="1018"/>
      <c r="F1244" s="1017"/>
      <c r="G1244" s="1017"/>
      <c r="H1244" s="1017"/>
      <c r="I1244" s="1019"/>
      <c r="J1244" s="1018"/>
      <c r="K1244" s="1020"/>
      <c r="L1244" s="1021"/>
      <c r="M1244" s="736"/>
      <c r="N1244" s="736"/>
      <c r="O1244" s="736"/>
    </row>
    <row r="1245">
      <c r="A1245" s="1014"/>
      <c r="B1245" s="1015"/>
      <c r="C1245" s="1016"/>
      <c r="D1245" s="1017"/>
      <c r="E1245" s="1018"/>
      <c r="F1245" s="1017"/>
      <c r="G1245" s="1017"/>
      <c r="H1245" s="1017"/>
      <c r="I1245" s="1019"/>
      <c r="J1245" s="1018"/>
      <c r="K1245" s="1020"/>
      <c r="L1245" s="1021"/>
      <c r="M1245" s="736"/>
      <c r="N1245" s="736"/>
      <c r="O1245" s="736"/>
    </row>
    <row r="1246">
      <c r="A1246" s="1014"/>
      <c r="B1246" s="1015"/>
      <c r="C1246" s="1016"/>
      <c r="D1246" s="1017"/>
      <c r="E1246" s="1018"/>
      <c r="F1246" s="1017"/>
      <c r="G1246" s="1017"/>
      <c r="H1246" s="1017"/>
      <c r="I1246" s="1019"/>
      <c r="J1246" s="1018"/>
      <c r="K1246" s="1020"/>
      <c r="L1246" s="1021"/>
      <c r="M1246" s="736"/>
      <c r="N1246" s="736"/>
      <c r="O1246" s="736"/>
    </row>
    <row r="1247">
      <c r="A1247" s="1014"/>
      <c r="B1247" s="1015"/>
      <c r="C1247" s="1016"/>
      <c r="D1247" s="1017"/>
      <c r="E1247" s="1018"/>
      <c r="F1247" s="1017"/>
      <c r="G1247" s="1017"/>
      <c r="H1247" s="1017"/>
      <c r="I1247" s="1019"/>
      <c r="J1247" s="1018"/>
      <c r="K1247" s="1020"/>
      <c r="L1247" s="1021"/>
      <c r="M1247" s="736"/>
      <c r="N1247" s="736"/>
      <c r="O1247" s="736"/>
    </row>
    <row r="1248">
      <c r="A1248" s="1014"/>
      <c r="B1248" s="1015"/>
      <c r="C1248" s="1016"/>
      <c r="D1248" s="1017"/>
      <c r="E1248" s="1018"/>
      <c r="F1248" s="1017"/>
      <c r="G1248" s="1017"/>
      <c r="H1248" s="1017"/>
      <c r="I1248" s="1019"/>
      <c r="J1248" s="1018"/>
      <c r="K1248" s="1020"/>
      <c r="L1248" s="1021"/>
      <c r="M1248" s="736"/>
      <c r="N1248" s="736"/>
      <c r="O1248" s="736"/>
    </row>
    <row r="1249">
      <c r="A1249" s="1014"/>
      <c r="B1249" s="1015"/>
      <c r="C1249" s="1016"/>
      <c r="D1249" s="1017"/>
      <c r="E1249" s="1018"/>
      <c r="F1249" s="1017"/>
      <c r="G1249" s="1017"/>
      <c r="H1249" s="1017"/>
      <c r="I1249" s="1019"/>
      <c r="J1249" s="1018"/>
      <c r="K1249" s="1020"/>
      <c r="L1249" s="1021"/>
      <c r="M1249" s="736"/>
      <c r="N1249" s="736"/>
      <c r="O1249" s="736"/>
    </row>
    <row r="1250">
      <c r="A1250" s="1014"/>
      <c r="B1250" s="1015"/>
      <c r="C1250" s="1016"/>
      <c r="D1250" s="1017"/>
      <c r="E1250" s="1018"/>
      <c r="F1250" s="1017"/>
      <c r="G1250" s="1017"/>
      <c r="H1250" s="1017"/>
      <c r="I1250" s="1019"/>
      <c r="J1250" s="1018"/>
      <c r="K1250" s="1020"/>
      <c r="L1250" s="1021"/>
      <c r="M1250" s="736"/>
      <c r="N1250" s="736"/>
      <c r="O1250" s="736"/>
    </row>
    <row r="1251">
      <c r="A1251" s="1014"/>
      <c r="B1251" s="1015"/>
      <c r="C1251" s="1016"/>
      <c r="D1251" s="1017"/>
      <c r="E1251" s="1018"/>
      <c r="F1251" s="1017"/>
      <c r="G1251" s="1017"/>
      <c r="H1251" s="1017"/>
      <c r="I1251" s="1019"/>
      <c r="J1251" s="1018"/>
      <c r="K1251" s="1020"/>
      <c r="L1251" s="1021"/>
      <c r="M1251" s="736"/>
      <c r="N1251" s="736"/>
      <c r="O1251" s="736"/>
    </row>
    <row r="1252">
      <c r="A1252" s="1014"/>
      <c r="B1252" s="1015"/>
      <c r="C1252" s="1016"/>
      <c r="D1252" s="1017"/>
      <c r="E1252" s="1018"/>
      <c r="F1252" s="1017"/>
      <c r="G1252" s="1017"/>
      <c r="H1252" s="1017"/>
      <c r="I1252" s="1019"/>
      <c r="J1252" s="1018"/>
      <c r="K1252" s="1020"/>
      <c r="L1252" s="1021"/>
      <c r="M1252" s="736"/>
      <c r="N1252" s="736"/>
      <c r="O1252" s="736"/>
    </row>
    <row r="1253">
      <c r="A1253" s="1014"/>
      <c r="B1253" s="1015"/>
      <c r="C1253" s="1016"/>
      <c r="D1253" s="1017"/>
      <c r="E1253" s="1018"/>
      <c r="F1253" s="1017"/>
      <c r="G1253" s="1017"/>
      <c r="H1253" s="1017"/>
      <c r="I1253" s="1019"/>
      <c r="J1253" s="1018"/>
      <c r="K1253" s="1020"/>
      <c r="L1253" s="1021"/>
      <c r="M1253" s="736"/>
      <c r="N1253" s="736"/>
      <c r="O1253" s="736"/>
    </row>
    <row r="1254">
      <c r="A1254" s="1014"/>
      <c r="B1254" s="1015"/>
      <c r="C1254" s="1016"/>
      <c r="D1254" s="1017"/>
      <c r="E1254" s="1018"/>
      <c r="F1254" s="1017"/>
      <c r="G1254" s="1017"/>
      <c r="H1254" s="1017"/>
      <c r="I1254" s="1019"/>
      <c r="J1254" s="1018"/>
      <c r="K1254" s="1020"/>
      <c r="L1254" s="1021"/>
      <c r="M1254" s="736"/>
      <c r="N1254" s="736"/>
      <c r="O1254" s="736"/>
    </row>
    <row r="1255">
      <c r="A1255" s="1014"/>
      <c r="B1255" s="1015"/>
      <c r="C1255" s="1016"/>
      <c r="D1255" s="1017"/>
      <c r="E1255" s="1018"/>
      <c r="F1255" s="1017"/>
      <c r="G1255" s="1017"/>
      <c r="H1255" s="1017"/>
      <c r="I1255" s="1019"/>
      <c r="J1255" s="1018"/>
      <c r="K1255" s="1020"/>
      <c r="L1255" s="1021"/>
      <c r="M1255" s="736"/>
      <c r="N1255" s="736"/>
      <c r="O1255" s="736"/>
    </row>
    <row r="1256">
      <c r="A1256" s="1014"/>
      <c r="B1256" s="1015"/>
      <c r="C1256" s="1016"/>
      <c r="D1256" s="1017"/>
      <c r="E1256" s="1018"/>
      <c r="F1256" s="1017"/>
      <c r="G1256" s="1017"/>
      <c r="H1256" s="1017"/>
      <c r="I1256" s="1019"/>
      <c r="J1256" s="1018"/>
      <c r="K1256" s="1020"/>
      <c r="L1256" s="1021"/>
      <c r="M1256" s="736"/>
      <c r="N1256" s="736"/>
      <c r="O1256" s="736"/>
    </row>
    <row r="1257">
      <c r="A1257" s="1014"/>
      <c r="B1257" s="1015"/>
      <c r="C1257" s="1016"/>
      <c r="D1257" s="1017"/>
      <c r="E1257" s="1018"/>
      <c r="F1257" s="1017"/>
      <c r="G1257" s="1017"/>
      <c r="H1257" s="1017"/>
      <c r="I1257" s="1019"/>
      <c r="J1257" s="1018"/>
      <c r="K1257" s="1020"/>
      <c r="L1257" s="1021"/>
      <c r="M1257" s="736"/>
      <c r="N1257" s="736"/>
      <c r="O1257" s="736"/>
    </row>
    <row r="1258">
      <c r="A1258" s="1014"/>
      <c r="B1258" s="1015"/>
      <c r="C1258" s="1016"/>
      <c r="D1258" s="1017"/>
      <c r="E1258" s="1018"/>
      <c r="F1258" s="1017"/>
      <c r="G1258" s="1017"/>
      <c r="H1258" s="1017"/>
      <c r="I1258" s="1019"/>
      <c r="J1258" s="1018"/>
      <c r="K1258" s="1020"/>
      <c r="L1258" s="1021"/>
      <c r="M1258" s="736"/>
      <c r="N1258" s="736"/>
      <c r="O1258" s="736"/>
    </row>
    <row r="1259">
      <c r="A1259" s="1014"/>
      <c r="B1259" s="1015"/>
      <c r="C1259" s="1016"/>
      <c r="D1259" s="1017"/>
      <c r="E1259" s="1018"/>
      <c r="F1259" s="1017"/>
      <c r="G1259" s="1017"/>
      <c r="H1259" s="1017"/>
      <c r="I1259" s="1019"/>
      <c r="J1259" s="1018"/>
      <c r="K1259" s="1020"/>
      <c r="L1259" s="1021"/>
      <c r="M1259" s="736"/>
      <c r="N1259" s="736"/>
      <c r="O1259" s="736"/>
    </row>
    <row r="1260">
      <c r="A1260" s="1014"/>
      <c r="B1260" s="1015"/>
      <c r="C1260" s="1016"/>
      <c r="D1260" s="1017"/>
      <c r="E1260" s="1018"/>
      <c r="F1260" s="1017"/>
      <c r="G1260" s="1017"/>
      <c r="H1260" s="1017"/>
      <c r="I1260" s="1019"/>
      <c r="J1260" s="1018"/>
      <c r="K1260" s="1020"/>
      <c r="L1260" s="1021"/>
      <c r="M1260" s="736"/>
      <c r="N1260" s="736"/>
      <c r="O1260" s="736"/>
    </row>
    <row r="1261">
      <c r="A1261" s="1014"/>
      <c r="B1261" s="1015"/>
      <c r="C1261" s="1016"/>
      <c r="D1261" s="1017"/>
      <c r="E1261" s="1018"/>
      <c r="F1261" s="1017"/>
      <c r="G1261" s="1017"/>
      <c r="H1261" s="1017"/>
      <c r="I1261" s="1019"/>
      <c r="J1261" s="1018"/>
      <c r="K1261" s="1020"/>
      <c r="L1261" s="1021"/>
      <c r="M1261" s="736"/>
      <c r="N1261" s="736"/>
      <c r="O1261" s="736"/>
    </row>
    <row r="1262">
      <c r="A1262" s="1014"/>
      <c r="B1262" s="1015"/>
      <c r="C1262" s="1016"/>
      <c r="D1262" s="1017"/>
      <c r="E1262" s="1018"/>
      <c r="F1262" s="1017"/>
      <c r="G1262" s="1017"/>
      <c r="H1262" s="1017"/>
      <c r="I1262" s="1019"/>
      <c r="J1262" s="1018"/>
      <c r="K1262" s="1020"/>
      <c r="L1262" s="1021"/>
      <c r="M1262" s="736"/>
      <c r="N1262" s="736"/>
      <c r="O1262" s="736"/>
    </row>
    <row r="1263">
      <c r="A1263" s="1014"/>
      <c r="B1263" s="1015"/>
      <c r="C1263" s="1016"/>
      <c r="D1263" s="1017"/>
      <c r="E1263" s="1018"/>
      <c r="F1263" s="1017"/>
      <c r="G1263" s="1017"/>
      <c r="H1263" s="1017"/>
      <c r="I1263" s="1019"/>
      <c r="J1263" s="1018"/>
      <c r="K1263" s="1020"/>
      <c r="L1263" s="1021"/>
      <c r="M1263" s="736"/>
      <c r="N1263" s="736"/>
      <c r="O1263" s="736"/>
    </row>
    <row r="1264">
      <c r="A1264" s="1014"/>
      <c r="B1264" s="1015"/>
      <c r="C1264" s="1016"/>
      <c r="D1264" s="1017"/>
      <c r="E1264" s="1018"/>
      <c r="F1264" s="1017"/>
      <c r="G1264" s="1017"/>
      <c r="H1264" s="1017"/>
      <c r="I1264" s="1019"/>
      <c r="J1264" s="1018"/>
      <c r="K1264" s="1020"/>
      <c r="L1264" s="1021"/>
      <c r="M1264" s="736"/>
      <c r="N1264" s="736"/>
      <c r="O1264" s="736"/>
    </row>
    <row r="1265">
      <c r="A1265" s="1014"/>
      <c r="B1265" s="1015"/>
      <c r="C1265" s="1016"/>
      <c r="D1265" s="1017"/>
      <c r="E1265" s="1018"/>
      <c r="F1265" s="1017"/>
      <c r="G1265" s="1017"/>
      <c r="H1265" s="1017"/>
      <c r="I1265" s="1019"/>
      <c r="J1265" s="1018"/>
      <c r="K1265" s="1020"/>
      <c r="L1265" s="1021"/>
      <c r="M1265" s="736"/>
      <c r="N1265" s="736"/>
      <c r="O1265" s="736"/>
    </row>
    <row r="1266">
      <c r="A1266" s="1014"/>
      <c r="B1266" s="1015"/>
      <c r="C1266" s="1016"/>
      <c r="D1266" s="1017"/>
      <c r="E1266" s="1018"/>
      <c r="F1266" s="1017"/>
      <c r="G1266" s="1017"/>
      <c r="H1266" s="1017"/>
      <c r="I1266" s="1019"/>
      <c r="J1266" s="1018"/>
      <c r="K1266" s="1020"/>
      <c r="L1266" s="1021"/>
      <c r="M1266" s="736"/>
      <c r="N1266" s="736"/>
      <c r="O1266" s="736"/>
    </row>
    <row r="1267">
      <c r="A1267" s="1014"/>
      <c r="B1267" s="1015"/>
      <c r="C1267" s="1016"/>
      <c r="D1267" s="1017"/>
      <c r="E1267" s="1018"/>
      <c r="F1267" s="1017"/>
      <c r="G1267" s="1017"/>
      <c r="H1267" s="1017"/>
      <c r="I1267" s="1019"/>
      <c r="J1267" s="1018"/>
      <c r="K1267" s="1020"/>
      <c r="L1267" s="1021"/>
      <c r="M1267" s="736"/>
      <c r="N1267" s="736"/>
      <c r="O1267" s="736"/>
    </row>
    <row r="1268">
      <c r="A1268" s="1014"/>
      <c r="B1268" s="1015"/>
      <c r="C1268" s="1016"/>
      <c r="D1268" s="1017"/>
      <c r="E1268" s="1018"/>
      <c r="F1268" s="1017"/>
      <c r="G1268" s="1017"/>
      <c r="H1268" s="1017"/>
      <c r="I1268" s="1019"/>
      <c r="J1268" s="1018"/>
      <c r="K1268" s="1020"/>
      <c r="L1268" s="1021"/>
      <c r="M1268" s="736"/>
      <c r="N1268" s="736"/>
      <c r="O1268" s="736"/>
    </row>
    <row r="1269">
      <c r="A1269" s="1014"/>
      <c r="B1269" s="1015"/>
      <c r="C1269" s="1016"/>
      <c r="D1269" s="1017"/>
      <c r="E1269" s="1018"/>
      <c r="F1269" s="1017"/>
      <c r="G1269" s="1017"/>
      <c r="H1269" s="1017"/>
      <c r="I1269" s="1019"/>
      <c r="J1269" s="1018"/>
      <c r="K1269" s="1020"/>
      <c r="L1269" s="1021"/>
      <c r="M1269" s="736"/>
      <c r="N1269" s="736"/>
      <c r="O1269" s="736"/>
    </row>
    <row r="1270">
      <c r="A1270" s="1014"/>
      <c r="B1270" s="1015"/>
      <c r="C1270" s="1016"/>
      <c r="D1270" s="1017"/>
      <c r="E1270" s="1018"/>
      <c r="F1270" s="1017"/>
      <c r="G1270" s="1017"/>
      <c r="H1270" s="1017"/>
      <c r="I1270" s="1019"/>
      <c r="J1270" s="1018"/>
      <c r="K1270" s="1020"/>
      <c r="L1270" s="1021"/>
      <c r="M1270" s="736"/>
      <c r="N1270" s="736"/>
      <c r="O1270" s="736"/>
    </row>
    <row r="1271">
      <c r="A1271" s="1014"/>
      <c r="B1271" s="1015"/>
      <c r="C1271" s="1016"/>
      <c r="D1271" s="1017"/>
      <c r="E1271" s="1018"/>
      <c r="F1271" s="1017"/>
      <c r="G1271" s="1017"/>
      <c r="H1271" s="1017"/>
      <c r="I1271" s="1019"/>
      <c r="J1271" s="1018"/>
      <c r="K1271" s="1020"/>
      <c r="L1271" s="1021"/>
      <c r="M1271" s="736"/>
      <c r="N1271" s="736"/>
      <c r="O1271" s="736"/>
    </row>
    <row r="1272">
      <c r="A1272" s="1014"/>
      <c r="B1272" s="1015"/>
      <c r="C1272" s="1016"/>
      <c r="D1272" s="1017"/>
      <c r="E1272" s="1018"/>
      <c r="F1272" s="1017"/>
      <c r="G1272" s="1017"/>
      <c r="H1272" s="1017"/>
      <c r="I1272" s="1019"/>
      <c r="J1272" s="1018"/>
      <c r="K1272" s="1020"/>
      <c r="L1272" s="1021"/>
      <c r="M1272" s="736"/>
      <c r="N1272" s="736"/>
      <c r="O1272" s="736"/>
    </row>
    <row r="1273">
      <c r="A1273" s="1014"/>
      <c r="B1273" s="1015"/>
      <c r="C1273" s="1016"/>
      <c r="D1273" s="1017"/>
      <c r="E1273" s="1018"/>
      <c r="F1273" s="1017"/>
      <c r="G1273" s="1017"/>
      <c r="H1273" s="1017"/>
      <c r="I1273" s="1019"/>
      <c r="J1273" s="1018"/>
      <c r="K1273" s="1020"/>
      <c r="L1273" s="1021"/>
      <c r="M1273" s="736"/>
      <c r="N1273" s="736"/>
      <c r="O1273" s="736"/>
    </row>
    <row r="1274">
      <c r="A1274" s="1014"/>
      <c r="B1274" s="1015"/>
      <c r="C1274" s="1016"/>
      <c r="D1274" s="1017"/>
      <c r="E1274" s="1018"/>
      <c r="F1274" s="1017"/>
      <c r="G1274" s="1017"/>
      <c r="H1274" s="1017"/>
      <c r="I1274" s="1019"/>
      <c r="J1274" s="1018"/>
      <c r="K1274" s="1020"/>
      <c r="L1274" s="1021"/>
      <c r="M1274" s="736"/>
      <c r="N1274" s="736"/>
      <c r="O1274" s="736"/>
    </row>
    <row r="1275">
      <c r="A1275" s="1014"/>
      <c r="B1275" s="1015"/>
      <c r="C1275" s="1016"/>
      <c r="D1275" s="1017"/>
      <c r="E1275" s="1018"/>
      <c r="F1275" s="1017"/>
      <c r="G1275" s="1017"/>
      <c r="H1275" s="1017"/>
      <c r="I1275" s="1019"/>
      <c r="J1275" s="1018"/>
      <c r="K1275" s="1020"/>
      <c r="L1275" s="1021"/>
      <c r="M1275" s="736"/>
      <c r="N1275" s="736"/>
      <c r="O1275" s="736"/>
    </row>
    <row r="1276">
      <c r="A1276" s="1014"/>
      <c r="B1276" s="1015"/>
      <c r="C1276" s="1016"/>
      <c r="D1276" s="1017"/>
      <c r="E1276" s="1018"/>
      <c r="F1276" s="1017"/>
      <c r="G1276" s="1017"/>
      <c r="H1276" s="1017"/>
      <c r="I1276" s="1019"/>
      <c r="J1276" s="1018"/>
      <c r="K1276" s="1020"/>
      <c r="L1276" s="1021"/>
      <c r="M1276" s="736"/>
      <c r="N1276" s="736"/>
      <c r="O1276" s="736"/>
    </row>
    <row r="1277">
      <c r="A1277" s="1014"/>
      <c r="B1277" s="1029"/>
      <c r="C1277" s="1017"/>
      <c r="D1277" s="1017"/>
      <c r="E1277" s="1017"/>
      <c r="F1277" s="1017"/>
      <c r="G1277" s="1017"/>
      <c r="H1277" s="1017"/>
      <c r="I1277" s="1017"/>
      <c r="J1277" s="1017"/>
      <c r="K1277" s="1031"/>
      <c r="L1277" s="1021"/>
      <c r="M1277" s="736"/>
      <c r="N1277" s="736"/>
      <c r="O1277" s="736"/>
    </row>
    <row r="1278">
      <c r="A1278" s="1014"/>
      <c r="B1278" s="1029"/>
      <c r="C1278" s="1017"/>
      <c r="D1278" s="1017"/>
      <c r="E1278" s="1017"/>
      <c r="F1278" s="1017"/>
      <c r="G1278" s="1017"/>
      <c r="H1278" s="1017"/>
      <c r="I1278" s="1017"/>
      <c r="J1278" s="1017"/>
      <c r="K1278" s="1031"/>
      <c r="L1278" s="1021"/>
      <c r="M1278" s="736"/>
      <c r="N1278" s="736"/>
      <c r="O1278" s="736"/>
    </row>
    <row r="1279">
      <c r="A1279" s="1014"/>
      <c r="B1279" s="1029"/>
      <c r="C1279" s="1017"/>
      <c r="D1279" s="1017"/>
      <c r="E1279" s="1017"/>
      <c r="F1279" s="1017"/>
      <c r="G1279" s="1017"/>
      <c r="H1279" s="1017"/>
      <c r="I1279" s="1017"/>
      <c r="J1279" s="1017"/>
      <c r="K1279" s="1031"/>
      <c r="L1279" s="1021"/>
      <c r="M1279" s="736"/>
      <c r="N1279" s="736"/>
      <c r="O1279" s="736"/>
    </row>
    <row r="1280">
      <c r="A1280" s="1014"/>
      <c r="B1280" s="1029"/>
      <c r="C1280" s="1017"/>
      <c r="D1280" s="1017"/>
      <c r="E1280" s="1017"/>
      <c r="F1280" s="1017"/>
      <c r="G1280" s="1017"/>
      <c r="H1280" s="1017"/>
      <c r="I1280" s="1017"/>
      <c r="J1280" s="1017"/>
      <c r="K1280" s="1031"/>
      <c r="L1280" s="1021"/>
      <c r="M1280" s="736"/>
      <c r="N1280" s="736"/>
      <c r="O1280" s="736"/>
    </row>
    <row r="1281">
      <c r="A1281" s="1014"/>
      <c r="B1281" s="1029"/>
      <c r="C1281" s="1017"/>
      <c r="D1281" s="1017"/>
      <c r="E1281" s="1017"/>
      <c r="F1281" s="1017"/>
      <c r="G1281" s="1017"/>
      <c r="H1281" s="1017"/>
      <c r="I1281" s="1017"/>
      <c r="J1281" s="1017"/>
      <c r="K1281" s="1031"/>
      <c r="L1281" s="1021"/>
      <c r="M1281" s="736"/>
      <c r="N1281" s="736"/>
      <c r="O1281" s="736"/>
    </row>
    <row r="1282">
      <c r="A1282" s="1014"/>
      <c r="B1282" s="1029"/>
      <c r="C1282" s="1017"/>
      <c r="D1282" s="1017"/>
      <c r="E1282" s="1017"/>
      <c r="F1282" s="1017"/>
      <c r="G1282" s="1017"/>
      <c r="H1282" s="1017"/>
      <c r="I1282" s="1017"/>
      <c r="J1282" s="1017"/>
      <c r="K1282" s="1031"/>
      <c r="L1282" s="1021"/>
      <c r="M1282" s="736"/>
      <c r="N1282" s="736"/>
      <c r="O1282" s="736"/>
    </row>
    <row r="1283">
      <c r="A1283" s="1014"/>
      <c r="B1283" s="1029"/>
      <c r="C1283" s="1017"/>
      <c r="D1283" s="1017"/>
      <c r="E1283" s="1017"/>
      <c r="F1283" s="1017"/>
      <c r="G1283" s="1017"/>
      <c r="H1283" s="1017"/>
      <c r="I1283" s="1017"/>
      <c r="J1283" s="1017"/>
      <c r="K1283" s="1031"/>
      <c r="L1283" s="1021"/>
      <c r="M1283" s="736"/>
      <c r="N1283" s="736"/>
      <c r="O1283" s="736"/>
    </row>
    <row r="1284">
      <c r="A1284" s="1014"/>
      <c r="B1284" s="1029"/>
      <c r="C1284" s="1017"/>
      <c r="D1284" s="1017"/>
      <c r="E1284" s="1017"/>
      <c r="F1284" s="1017"/>
      <c r="G1284" s="1017"/>
      <c r="H1284" s="1017"/>
      <c r="I1284" s="1017"/>
      <c r="J1284" s="1017"/>
      <c r="K1284" s="1031"/>
      <c r="L1284" s="1021"/>
      <c r="M1284" s="736"/>
      <c r="N1284" s="736"/>
      <c r="O1284" s="736"/>
    </row>
    <row r="1285">
      <c r="A1285" s="1014"/>
      <c r="B1285" s="1029"/>
      <c r="C1285" s="1017"/>
      <c r="D1285" s="1017"/>
      <c r="E1285" s="1017"/>
      <c r="F1285" s="1017"/>
      <c r="G1285" s="1017"/>
      <c r="H1285" s="1017"/>
      <c r="I1285" s="1017"/>
      <c r="J1285" s="1017"/>
      <c r="K1285" s="1031"/>
      <c r="L1285" s="1021"/>
      <c r="M1285" s="736"/>
      <c r="N1285" s="736"/>
      <c r="O1285" s="736"/>
    </row>
    <row r="1286">
      <c r="A1286" s="1014"/>
      <c r="B1286" s="1029"/>
      <c r="C1286" s="1017"/>
      <c r="D1286" s="1017"/>
      <c r="E1286" s="1017"/>
      <c r="F1286" s="1017"/>
      <c r="G1286" s="1017"/>
      <c r="H1286" s="1017"/>
      <c r="I1286" s="1017"/>
      <c r="J1286" s="1017"/>
      <c r="K1286" s="1031"/>
      <c r="L1286" s="1021"/>
      <c r="M1286" s="736"/>
      <c r="N1286" s="736"/>
      <c r="O1286" s="736"/>
    </row>
    <row r="1287">
      <c r="A1287" s="1014"/>
      <c r="B1287" s="1029"/>
      <c r="C1287" s="1017"/>
      <c r="D1287" s="1017"/>
      <c r="E1287" s="1017"/>
      <c r="F1287" s="1017"/>
      <c r="G1287" s="1017"/>
      <c r="H1287" s="1017"/>
      <c r="I1287" s="1017"/>
      <c r="J1287" s="1017"/>
      <c r="K1287" s="1031"/>
      <c r="L1287" s="1021"/>
      <c r="M1287" s="736"/>
      <c r="N1287" s="736"/>
      <c r="O1287" s="736"/>
    </row>
    <row r="1288">
      <c r="A1288" s="1014"/>
      <c r="B1288" s="1029"/>
      <c r="C1288" s="1017"/>
      <c r="D1288" s="1017"/>
      <c r="E1288" s="1017"/>
      <c r="F1288" s="1017"/>
      <c r="G1288" s="1017"/>
      <c r="H1288" s="1017"/>
      <c r="I1288" s="1017"/>
      <c r="J1288" s="1017"/>
      <c r="K1288" s="1031"/>
      <c r="L1288" s="1021"/>
      <c r="M1288" s="736"/>
      <c r="N1288" s="736"/>
      <c r="O1288" s="736"/>
    </row>
    <row r="1289">
      <c r="A1289" s="1014"/>
      <c r="B1289" s="1029"/>
      <c r="C1289" s="1017"/>
      <c r="D1289" s="1017"/>
      <c r="E1289" s="1017"/>
      <c r="F1289" s="1017"/>
      <c r="G1289" s="1017"/>
      <c r="H1289" s="1017"/>
      <c r="I1289" s="1017"/>
      <c r="J1289" s="1017"/>
      <c r="K1289" s="1031"/>
      <c r="L1289" s="1021"/>
      <c r="M1289" s="736"/>
      <c r="N1289" s="736"/>
      <c r="O1289" s="736"/>
    </row>
    <row r="1290">
      <c r="A1290" s="1014"/>
      <c r="B1290" s="1029"/>
      <c r="C1290" s="1017"/>
      <c r="D1290" s="1017"/>
      <c r="E1290" s="1017"/>
      <c r="F1290" s="1017"/>
      <c r="G1290" s="1017"/>
      <c r="H1290" s="1017"/>
      <c r="I1290" s="1017"/>
      <c r="J1290" s="1017"/>
      <c r="K1290" s="1031"/>
      <c r="L1290" s="1021"/>
      <c r="M1290" s="736"/>
      <c r="N1290" s="736"/>
      <c r="O1290" s="736"/>
    </row>
    <row r="1291">
      <c r="A1291" s="1014"/>
      <c r="B1291" s="1029"/>
      <c r="C1291" s="1017"/>
      <c r="D1291" s="1017"/>
      <c r="E1291" s="1017"/>
      <c r="F1291" s="1017"/>
      <c r="G1291" s="1017"/>
      <c r="H1291" s="1017"/>
      <c r="I1291" s="1017"/>
      <c r="J1291" s="1017"/>
      <c r="K1291" s="1031"/>
      <c r="L1291" s="1021"/>
      <c r="M1291" s="736"/>
      <c r="N1291" s="736"/>
      <c r="O1291" s="736"/>
    </row>
    <row r="1292">
      <c r="A1292" s="1014"/>
      <c r="B1292" s="1029"/>
      <c r="C1292" s="1017"/>
      <c r="D1292" s="1017"/>
      <c r="E1292" s="1017"/>
      <c r="F1292" s="1017"/>
      <c r="G1292" s="1017"/>
      <c r="H1292" s="1017"/>
      <c r="I1292" s="1017"/>
      <c r="J1292" s="1017"/>
      <c r="K1292" s="1031"/>
      <c r="L1292" s="1021"/>
      <c r="M1292" s="736"/>
      <c r="N1292" s="736"/>
      <c r="O1292" s="736"/>
    </row>
    <row r="1293">
      <c r="A1293" s="1014"/>
      <c r="B1293" s="1029"/>
      <c r="C1293" s="1017"/>
      <c r="D1293" s="1017"/>
      <c r="E1293" s="1017"/>
      <c r="F1293" s="1017"/>
      <c r="G1293" s="1017"/>
      <c r="H1293" s="1017"/>
      <c r="I1293" s="1017"/>
      <c r="J1293" s="1017"/>
      <c r="K1293" s="1031"/>
      <c r="L1293" s="1021"/>
      <c r="M1293" s="736"/>
      <c r="N1293" s="736"/>
      <c r="O1293" s="736"/>
    </row>
    <row r="1294">
      <c r="A1294" s="1014"/>
      <c r="B1294" s="1029"/>
      <c r="C1294" s="1017"/>
      <c r="D1294" s="1017"/>
      <c r="E1294" s="1017"/>
      <c r="F1294" s="1017"/>
      <c r="G1294" s="1017"/>
      <c r="H1294" s="1017"/>
      <c r="I1294" s="1017"/>
      <c r="J1294" s="1017"/>
      <c r="K1294" s="1031"/>
      <c r="L1294" s="1021"/>
      <c r="M1294" s="736"/>
      <c r="N1294" s="736"/>
      <c r="O1294" s="736"/>
    </row>
    <row r="1295">
      <c r="A1295" s="1014"/>
      <c r="B1295" s="1029"/>
      <c r="C1295" s="1017"/>
      <c r="D1295" s="1017"/>
      <c r="E1295" s="1017"/>
      <c r="F1295" s="1017"/>
      <c r="G1295" s="1017"/>
      <c r="H1295" s="1017"/>
      <c r="I1295" s="1017"/>
      <c r="J1295" s="1017"/>
      <c r="K1295" s="1031"/>
      <c r="L1295" s="1021"/>
      <c r="M1295" s="736"/>
      <c r="N1295" s="736"/>
      <c r="O1295" s="736"/>
    </row>
    <row r="1296">
      <c r="A1296" s="1014"/>
      <c r="B1296" s="1029"/>
      <c r="C1296" s="1017"/>
      <c r="D1296" s="1017"/>
      <c r="E1296" s="1017"/>
      <c r="F1296" s="1017"/>
      <c r="G1296" s="1017"/>
      <c r="H1296" s="1017"/>
      <c r="I1296" s="1017"/>
      <c r="J1296" s="1017"/>
      <c r="K1296" s="1031"/>
      <c r="L1296" s="1021"/>
      <c r="M1296" s="736"/>
      <c r="N1296" s="736"/>
      <c r="O1296" s="736"/>
    </row>
    <row r="1297">
      <c r="A1297" s="1014"/>
      <c r="B1297" s="1029"/>
      <c r="C1297" s="1017"/>
      <c r="D1297" s="1017"/>
      <c r="E1297" s="1017"/>
      <c r="F1297" s="1017"/>
      <c r="G1297" s="1017"/>
      <c r="H1297" s="1017"/>
      <c r="I1297" s="1017"/>
      <c r="J1297" s="1017"/>
      <c r="K1297" s="1031"/>
      <c r="L1297" s="1021"/>
      <c r="M1297" s="736"/>
      <c r="N1297" s="736"/>
      <c r="O1297" s="736"/>
    </row>
    <row r="1298">
      <c r="A1298" s="1014"/>
      <c r="B1298" s="1029"/>
      <c r="C1298" s="1017"/>
      <c r="D1298" s="1017"/>
      <c r="E1298" s="1017"/>
      <c r="F1298" s="1017"/>
      <c r="G1298" s="1017"/>
      <c r="H1298" s="1017"/>
      <c r="I1298" s="1017"/>
      <c r="J1298" s="1017"/>
      <c r="K1298" s="1031"/>
      <c r="L1298" s="1021"/>
      <c r="M1298" s="736"/>
      <c r="N1298" s="736"/>
      <c r="O1298" s="736"/>
    </row>
    <row r="1299">
      <c r="A1299" s="1014"/>
      <c r="B1299" s="1029"/>
      <c r="C1299" s="1017"/>
      <c r="D1299" s="1017"/>
      <c r="E1299" s="1017"/>
      <c r="F1299" s="1017"/>
      <c r="G1299" s="1017"/>
      <c r="H1299" s="1017"/>
      <c r="I1299" s="1017"/>
      <c r="J1299" s="1017"/>
      <c r="K1299" s="1031"/>
      <c r="L1299" s="1021"/>
      <c r="M1299" s="736"/>
      <c r="N1299" s="736"/>
      <c r="O1299" s="736"/>
    </row>
    <row r="1300">
      <c r="A1300" s="1014"/>
      <c r="B1300" s="1029"/>
      <c r="C1300" s="1017"/>
      <c r="D1300" s="1017"/>
      <c r="E1300" s="1017"/>
      <c r="F1300" s="1017"/>
      <c r="G1300" s="1017"/>
      <c r="H1300" s="1017"/>
      <c r="I1300" s="1017"/>
      <c r="J1300" s="1017"/>
      <c r="K1300" s="1031"/>
      <c r="L1300" s="1021"/>
      <c r="M1300" s="736"/>
      <c r="N1300" s="736"/>
      <c r="O1300" s="736"/>
    </row>
    <row r="1301">
      <c r="A1301" s="1014"/>
      <c r="B1301" s="1029"/>
      <c r="C1301" s="1017"/>
      <c r="D1301" s="1017"/>
      <c r="E1301" s="1017"/>
      <c r="F1301" s="1017"/>
      <c r="G1301" s="1017"/>
      <c r="H1301" s="1017"/>
      <c r="I1301" s="1017"/>
      <c r="J1301" s="1017"/>
      <c r="K1301" s="1031"/>
      <c r="L1301" s="1021"/>
      <c r="M1301" s="736"/>
      <c r="N1301" s="736"/>
      <c r="O1301" s="736"/>
    </row>
    <row r="1302">
      <c r="A1302" s="1014"/>
      <c r="B1302" s="1029"/>
      <c r="C1302" s="1017"/>
      <c r="D1302" s="1017"/>
      <c r="E1302" s="1017"/>
      <c r="F1302" s="1017"/>
      <c r="G1302" s="1017"/>
      <c r="H1302" s="1017"/>
      <c r="I1302" s="1017"/>
      <c r="J1302" s="1017"/>
      <c r="K1302" s="1031"/>
      <c r="L1302" s="1021"/>
      <c r="M1302" s="736"/>
      <c r="N1302" s="736"/>
      <c r="O1302" s="736"/>
    </row>
    <row r="1303">
      <c r="A1303" s="1014"/>
      <c r="B1303" s="1029"/>
      <c r="C1303" s="1017"/>
      <c r="D1303" s="1017"/>
      <c r="E1303" s="1017"/>
      <c r="F1303" s="1017"/>
      <c r="G1303" s="1017"/>
      <c r="H1303" s="1017"/>
      <c r="I1303" s="1017"/>
      <c r="J1303" s="1017"/>
      <c r="K1303" s="1031"/>
      <c r="L1303" s="1021"/>
      <c r="M1303" s="736"/>
      <c r="N1303" s="736"/>
      <c r="O1303" s="736"/>
    </row>
    <row r="1304">
      <c r="A1304" s="1014"/>
      <c r="B1304" s="1029"/>
      <c r="C1304" s="1017"/>
      <c r="D1304" s="1017"/>
      <c r="E1304" s="1017"/>
      <c r="F1304" s="1017"/>
      <c r="G1304" s="1017"/>
      <c r="H1304" s="1017"/>
      <c r="I1304" s="1017"/>
      <c r="J1304" s="1017"/>
      <c r="K1304" s="1031"/>
      <c r="L1304" s="1021"/>
      <c r="M1304" s="736"/>
      <c r="N1304" s="736"/>
      <c r="O1304" s="736"/>
    </row>
    <row r="1305">
      <c r="A1305" s="1014"/>
      <c r="B1305" s="1029"/>
      <c r="C1305" s="1017"/>
      <c r="D1305" s="1017"/>
      <c r="E1305" s="1017"/>
      <c r="F1305" s="1017"/>
      <c r="G1305" s="1017"/>
      <c r="H1305" s="1017"/>
      <c r="I1305" s="1017"/>
      <c r="J1305" s="1017"/>
      <c r="K1305" s="1031"/>
      <c r="L1305" s="1021"/>
      <c r="M1305" s="736"/>
      <c r="N1305" s="736"/>
      <c r="O1305" s="736"/>
    </row>
    <row r="1306">
      <c r="A1306" s="1014"/>
      <c r="B1306" s="1029"/>
      <c r="C1306" s="1017"/>
      <c r="D1306" s="1017"/>
      <c r="E1306" s="1017"/>
      <c r="F1306" s="1017"/>
      <c r="G1306" s="1017"/>
      <c r="H1306" s="1017"/>
      <c r="I1306" s="1017"/>
      <c r="J1306" s="1017"/>
      <c r="K1306" s="1031"/>
      <c r="L1306" s="1021"/>
      <c r="M1306" s="736"/>
      <c r="N1306" s="736"/>
      <c r="O1306" s="736"/>
    </row>
    <row r="1307">
      <c r="A1307" s="1014"/>
      <c r="B1307" s="1029"/>
      <c r="C1307" s="1017"/>
      <c r="D1307" s="1017"/>
      <c r="E1307" s="1017"/>
      <c r="F1307" s="1017"/>
      <c r="G1307" s="1017"/>
      <c r="H1307" s="1017"/>
      <c r="I1307" s="1017"/>
      <c r="J1307" s="1017"/>
      <c r="K1307" s="1031"/>
      <c r="L1307" s="1021"/>
      <c r="M1307" s="736"/>
      <c r="N1307" s="736"/>
      <c r="O1307" s="736"/>
    </row>
    <row r="1308">
      <c r="A1308" s="1014"/>
      <c r="B1308" s="1029"/>
      <c r="C1308" s="1017"/>
      <c r="D1308" s="1017"/>
      <c r="E1308" s="1017"/>
      <c r="F1308" s="1017"/>
      <c r="G1308" s="1017"/>
      <c r="H1308" s="1017"/>
      <c r="I1308" s="1017"/>
      <c r="J1308" s="1017"/>
      <c r="K1308" s="1031"/>
      <c r="L1308" s="1021"/>
      <c r="M1308" s="736"/>
      <c r="N1308" s="736"/>
      <c r="O1308" s="736"/>
    </row>
    <row r="1309">
      <c r="A1309" s="1014"/>
      <c r="B1309" s="1029"/>
      <c r="C1309" s="1017"/>
      <c r="D1309" s="1017"/>
      <c r="E1309" s="1017"/>
      <c r="F1309" s="1017"/>
      <c r="G1309" s="1017"/>
      <c r="H1309" s="1017"/>
      <c r="I1309" s="1017"/>
      <c r="J1309" s="1017"/>
      <c r="K1309" s="1031"/>
      <c r="L1309" s="1021"/>
      <c r="M1309" s="736"/>
      <c r="N1309" s="736"/>
      <c r="O1309" s="736"/>
    </row>
    <row r="1310">
      <c r="A1310" s="1014"/>
      <c r="B1310" s="1029"/>
      <c r="C1310" s="1017"/>
      <c r="D1310" s="1017"/>
      <c r="E1310" s="1017"/>
      <c r="F1310" s="1017"/>
      <c r="G1310" s="1017"/>
      <c r="H1310" s="1017"/>
      <c r="I1310" s="1017"/>
      <c r="J1310" s="1017"/>
      <c r="K1310" s="1031"/>
      <c r="L1310" s="1021"/>
      <c r="M1310" s="736"/>
      <c r="N1310" s="736"/>
      <c r="O1310" s="736"/>
    </row>
    <row r="1311">
      <c r="A1311" s="1014"/>
      <c r="B1311" s="1029"/>
      <c r="C1311" s="1017"/>
      <c r="D1311" s="1017"/>
      <c r="E1311" s="1017"/>
      <c r="F1311" s="1017"/>
      <c r="G1311" s="1017"/>
      <c r="H1311" s="1017"/>
      <c r="I1311" s="1017"/>
      <c r="J1311" s="1017"/>
      <c r="K1311" s="1031"/>
      <c r="L1311" s="1021"/>
      <c r="M1311" s="736"/>
      <c r="N1311" s="736"/>
      <c r="O1311" s="736"/>
    </row>
    <row r="1312">
      <c r="A1312" s="1014"/>
      <c r="B1312" s="1029"/>
      <c r="C1312" s="1017"/>
      <c r="D1312" s="1017"/>
      <c r="E1312" s="1017"/>
      <c r="F1312" s="1017"/>
      <c r="G1312" s="1017"/>
      <c r="H1312" s="1017"/>
      <c r="I1312" s="1017"/>
      <c r="J1312" s="1017"/>
      <c r="K1312" s="1031"/>
      <c r="L1312" s="1021"/>
      <c r="M1312" s="736"/>
      <c r="N1312" s="736"/>
      <c r="O1312" s="736"/>
    </row>
    <row r="1313">
      <c r="A1313" s="1014"/>
      <c r="B1313" s="1029"/>
      <c r="C1313" s="1017"/>
      <c r="D1313" s="1017"/>
      <c r="E1313" s="1017"/>
      <c r="F1313" s="1017"/>
      <c r="G1313" s="1017"/>
      <c r="H1313" s="1017"/>
      <c r="I1313" s="1017"/>
      <c r="J1313" s="1017"/>
      <c r="K1313" s="1031"/>
      <c r="L1313" s="1021"/>
      <c r="M1313" s="736"/>
      <c r="N1313" s="736"/>
      <c r="O1313" s="736"/>
    </row>
    <row r="1314">
      <c r="A1314" s="1014"/>
      <c r="B1314" s="1029"/>
      <c r="C1314" s="1017"/>
      <c r="D1314" s="1017"/>
      <c r="E1314" s="1017"/>
      <c r="F1314" s="1017"/>
      <c r="G1314" s="1017"/>
      <c r="H1314" s="1017"/>
      <c r="I1314" s="1017"/>
      <c r="J1314" s="1017"/>
      <c r="K1314" s="1031"/>
      <c r="L1314" s="1021"/>
      <c r="M1314" s="736"/>
      <c r="N1314" s="736"/>
      <c r="O1314" s="736"/>
    </row>
    <row r="1315">
      <c r="A1315" s="1014"/>
      <c r="B1315" s="1029"/>
      <c r="C1315" s="1017"/>
      <c r="D1315" s="1017"/>
      <c r="E1315" s="1017"/>
      <c r="F1315" s="1017"/>
      <c r="G1315" s="1017"/>
      <c r="H1315" s="1017"/>
      <c r="I1315" s="1017"/>
      <c r="J1315" s="1017"/>
      <c r="K1315" s="1031"/>
      <c r="L1315" s="1021"/>
      <c r="M1315" s="736"/>
      <c r="N1315" s="736"/>
      <c r="O1315" s="736"/>
    </row>
    <row r="1316">
      <c r="A1316" s="1014"/>
      <c r="B1316" s="1029"/>
      <c r="C1316" s="1017"/>
      <c r="D1316" s="1017"/>
      <c r="E1316" s="1017"/>
      <c r="F1316" s="1017"/>
      <c r="G1316" s="1017"/>
      <c r="H1316" s="1017"/>
      <c r="I1316" s="1017"/>
      <c r="J1316" s="1017"/>
      <c r="K1316" s="1031"/>
      <c r="L1316" s="1021"/>
      <c r="M1316" s="736"/>
      <c r="N1316" s="736"/>
      <c r="O1316" s="736"/>
    </row>
    <row r="1317">
      <c r="A1317" s="1014"/>
      <c r="B1317" s="1029"/>
      <c r="C1317" s="1017"/>
      <c r="D1317" s="1017"/>
      <c r="E1317" s="1017"/>
      <c r="F1317" s="1017"/>
      <c r="G1317" s="1017"/>
      <c r="H1317" s="1017"/>
      <c r="I1317" s="1017"/>
      <c r="J1317" s="1017"/>
      <c r="K1317" s="1031"/>
      <c r="L1317" s="1021"/>
      <c r="M1317" s="736"/>
      <c r="N1317" s="736"/>
      <c r="O1317" s="736"/>
    </row>
    <row r="1318">
      <c r="A1318" s="1014"/>
      <c r="B1318" s="1029"/>
      <c r="C1318" s="1017"/>
      <c r="D1318" s="1017"/>
      <c r="E1318" s="1017"/>
      <c r="F1318" s="1017"/>
      <c r="G1318" s="1017"/>
      <c r="H1318" s="1017"/>
      <c r="I1318" s="1017"/>
      <c r="J1318" s="1017"/>
      <c r="K1318" s="1031"/>
      <c r="L1318" s="1021"/>
      <c r="M1318" s="736"/>
      <c r="N1318" s="736"/>
      <c r="O1318" s="736"/>
    </row>
    <row r="1319">
      <c r="A1319" s="1014"/>
      <c r="B1319" s="1029"/>
      <c r="C1319" s="1017"/>
      <c r="D1319" s="1017"/>
      <c r="E1319" s="1017"/>
      <c r="F1319" s="1017"/>
      <c r="G1319" s="1017"/>
      <c r="H1319" s="1017"/>
      <c r="I1319" s="1017"/>
      <c r="J1319" s="1017"/>
      <c r="K1319" s="1031"/>
      <c r="L1319" s="1021"/>
      <c r="M1319" s="736"/>
      <c r="N1319" s="736"/>
      <c r="O1319" s="736"/>
    </row>
    <row r="1320">
      <c r="A1320" s="1014"/>
      <c r="B1320" s="1029"/>
      <c r="C1320" s="1017"/>
      <c r="D1320" s="1017"/>
      <c r="E1320" s="1017"/>
      <c r="F1320" s="1017"/>
      <c r="G1320" s="1017"/>
      <c r="H1320" s="1017"/>
      <c r="I1320" s="1017"/>
      <c r="J1320" s="1017"/>
      <c r="K1320" s="1031"/>
      <c r="L1320" s="1021"/>
      <c r="M1320" s="736"/>
      <c r="N1320" s="736"/>
      <c r="O1320" s="736"/>
    </row>
    <row r="1321">
      <c r="A1321" s="1014"/>
      <c r="B1321" s="1029"/>
      <c r="C1321" s="1017"/>
      <c r="D1321" s="1017"/>
      <c r="E1321" s="1017"/>
      <c r="F1321" s="1017"/>
      <c r="G1321" s="1017"/>
      <c r="H1321" s="1017"/>
      <c r="I1321" s="1017"/>
      <c r="J1321" s="1017"/>
      <c r="K1321" s="1031"/>
      <c r="L1321" s="1021"/>
      <c r="M1321" s="736"/>
      <c r="N1321" s="736"/>
      <c r="O1321" s="736"/>
    </row>
    <row r="1322">
      <c r="A1322" s="1014"/>
      <c r="B1322" s="1029"/>
      <c r="C1322" s="1017"/>
      <c r="D1322" s="1017"/>
      <c r="E1322" s="1017"/>
      <c r="F1322" s="1017"/>
      <c r="G1322" s="1017"/>
      <c r="H1322" s="1017"/>
      <c r="I1322" s="1017"/>
      <c r="J1322" s="1017"/>
      <c r="K1322" s="1031"/>
      <c r="L1322" s="1021"/>
      <c r="M1322" s="736"/>
      <c r="N1322" s="736"/>
      <c r="O1322" s="736"/>
    </row>
    <row r="1323">
      <c r="A1323" s="1014"/>
      <c r="B1323" s="1029"/>
      <c r="C1323" s="1017"/>
      <c r="D1323" s="1017"/>
      <c r="E1323" s="1017"/>
      <c r="F1323" s="1017"/>
      <c r="G1323" s="1017"/>
      <c r="H1323" s="1017"/>
      <c r="I1323" s="1017"/>
      <c r="J1323" s="1017"/>
      <c r="K1323" s="1031"/>
      <c r="L1323" s="1021"/>
      <c r="M1323" s="736"/>
      <c r="N1323" s="736"/>
      <c r="O1323" s="736"/>
    </row>
    <row r="1324">
      <c r="A1324" s="1014"/>
      <c r="B1324" s="1029"/>
      <c r="C1324" s="1017"/>
      <c r="D1324" s="1017"/>
      <c r="E1324" s="1017"/>
      <c r="F1324" s="1017"/>
      <c r="G1324" s="1017"/>
      <c r="H1324" s="1017"/>
      <c r="I1324" s="1017"/>
      <c r="J1324" s="1017"/>
      <c r="K1324" s="1031"/>
      <c r="L1324" s="1021"/>
      <c r="M1324" s="736"/>
      <c r="N1324" s="736"/>
      <c r="O1324" s="736"/>
    </row>
    <row r="1325">
      <c r="A1325" s="1014"/>
      <c r="B1325" s="1029"/>
      <c r="C1325" s="1017"/>
      <c r="D1325" s="1017"/>
      <c r="E1325" s="1017"/>
      <c r="F1325" s="1017"/>
      <c r="G1325" s="1017"/>
      <c r="H1325" s="1017"/>
      <c r="I1325" s="1017"/>
      <c r="J1325" s="1017"/>
      <c r="K1325" s="1031"/>
      <c r="L1325" s="1021"/>
      <c r="M1325" s="736"/>
      <c r="N1325" s="736"/>
      <c r="O1325" s="736"/>
    </row>
    <row r="1326">
      <c r="A1326" s="1014"/>
      <c r="B1326" s="1029"/>
      <c r="C1326" s="1017"/>
      <c r="D1326" s="1017"/>
      <c r="E1326" s="1017"/>
      <c r="F1326" s="1017"/>
      <c r="G1326" s="1017"/>
      <c r="H1326" s="1017"/>
      <c r="I1326" s="1017"/>
      <c r="J1326" s="1017"/>
      <c r="K1326" s="1031"/>
      <c r="L1326" s="1021"/>
      <c r="M1326" s="736"/>
      <c r="N1326" s="736"/>
      <c r="O1326" s="736"/>
    </row>
    <row r="1327">
      <c r="A1327" s="1014"/>
      <c r="B1327" s="1029"/>
      <c r="C1327" s="1017"/>
      <c r="D1327" s="1017"/>
      <c r="E1327" s="1017"/>
      <c r="F1327" s="1017"/>
      <c r="G1327" s="1017"/>
      <c r="H1327" s="1017"/>
      <c r="I1327" s="1017"/>
      <c r="J1327" s="1017"/>
      <c r="K1327" s="1031"/>
      <c r="L1327" s="1021"/>
      <c r="M1327" s="736"/>
      <c r="N1327" s="736"/>
      <c r="O1327" s="736"/>
    </row>
    <row r="1328">
      <c r="A1328" s="1014"/>
      <c r="B1328" s="1029"/>
      <c r="C1328" s="1017"/>
      <c r="D1328" s="1017"/>
      <c r="E1328" s="1017"/>
      <c r="F1328" s="1017"/>
      <c r="G1328" s="1017"/>
      <c r="H1328" s="1017"/>
      <c r="I1328" s="1017"/>
      <c r="J1328" s="1017"/>
      <c r="K1328" s="1031"/>
      <c r="L1328" s="1021"/>
      <c r="M1328" s="736"/>
      <c r="N1328" s="736"/>
      <c r="O1328" s="736"/>
    </row>
    <row r="1329">
      <c r="A1329" s="1014"/>
      <c r="B1329" s="1029"/>
      <c r="C1329" s="1017"/>
      <c r="D1329" s="1017"/>
      <c r="E1329" s="1017"/>
      <c r="F1329" s="1017"/>
      <c r="G1329" s="1017"/>
      <c r="H1329" s="1017"/>
      <c r="I1329" s="1017"/>
      <c r="J1329" s="1017"/>
      <c r="K1329" s="1031"/>
      <c r="L1329" s="1021"/>
      <c r="M1329" s="736"/>
      <c r="N1329" s="736"/>
      <c r="O1329" s="736"/>
    </row>
    <row r="1330">
      <c r="A1330" s="1014"/>
      <c r="B1330" s="1029"/>
      <c r="C1330" s="1017"/>
      <c r="D1330" s="1017"/>
      <c r="E1330" s="1017"/>
      <c r="F1330" s="1017"/>
      <c r="G1330" s="1017"/>
      <c r="H1330" s="1017"/>
      <c r="I1330" s="1017"/>
      <c r="J1330" s="1017"/>
      <c r="K1330" s="1031"/>
      <c r="L1330" s="1021"/>
      <c r="M1330" s="736"/>
      <c r="N1330" s="736"/>
      <c r="O1330" s="736"/>
    </row>
    <row r="1331">
      <c r="A1331" s="1014"/>
      <c r="B1331" s="1029"/>
      <c r="C1331" s="1017"/>
      <c r="D1331" s="1017"/>
      <c r="E1331" s="1017"/>
      <c r="F1331" s="1017"/>
      <c r="G1331" s="1017"/>
      <c r="H1331" s="1017"/>
      <c r="I1331" s="1017"/>
      <c r="J1331" s="1017"/>
      <c r="K1331" s="1031"/>
      <c r="L1331" s="1021"/>
      <c r="M1331" s="736"/>
      <c r="N1331" s="736"/>
      <c r="O1331" s="736"/>
    </row>
    <row r="1332">
      <c r="A1332" s="1014"/>
      <c r="B1332" s="1029"/>
      <c r="C1332" s="1017"/>
      <c r="D1332" s="1017"/>
      <c r="E1332" s="1017"/>
      <c r="F1332" s="1017"/>
      <c r="G1332" s="1017"/>
      <c r="H1332" s="1017"/>
      <c r="I1332" s="1017"/>
      <c r="J1332" s="1017"/>
      <c r="K1332" s="1031"/>
      <c r="L1332" s="1021"/>
      <c r="M1332" s="736"/>
      <c r="N1332" s="736"/>
      <c r="O1332" s="736"/>
    </row>
    <row r="1333">
      <c r="A1333" s="1014"/>
      <c r="B1333" s="1029"/>
      <c r="C1333" s="1017"/>
      <c r="D1333" s="1017"/>
      <c r="E1333" s="1017"/>
      <c r="F1333" s="1017"/>
      <c r="G1333" s="1017"/>
      <c r="H1333" s="1017"/>
      <c r="I1333" s="1017"/>
      <c r="J1333" s="1017"/>
      <c r="K1333" s="1031"/>
      <c r="L1333" s="1021"/>
      <c r="M1333" s="736"/>
      <c r="N1333" s="736"/>
      <c r="O1333" s="736"/>
    </row>
    <row r="1334">
      <c r="A1334" s="1014"/>
      <c r="B1334" s="1029"/>
      <c r="C1334" s="1017"/>
      <c r="D1334" s="1017"/>
      <c r="E1334" s="1017"/>
      <c r="F1334" s="1017"/>
      <c r="G1334" s="1017"/>
      <c r="H1334" s="1017"/>
      <c r="I1334" s="1017"/>
      <c r="J1334" s="1017"/>
      <c r="K1334" s="1031"/>
      <c r="L1334" s="1021"/>
      <c r="M1334" s="736"/>
      <c r="N1334" s="736"/>
      <c r="O1334" s="736"/>
    </row>
    <row r="1335">
      <c r="A1335" s="1014"/>
      <c r="B1335" s="1029"/>
      <c r="C1335" s="1017"/>
      <c r="D1335" s="1017"/>
      <c r="E1335" s="1017"/>
      <c r="F1335" s="1017"/>
      <c r="G1335" s="1017"/>
      <c r="H1335" s="1017"/>
      <c r="I1335" s="1017"/>
      <c r="J1335" s="1017"/>
      <c r="K1335" s="1031"/>
      <c r="L1335" s="1021"/>
      <c r="M1335" s="736"/>
      <c r="N1335" s="736"/>
      <c r="O1335" s="736"/>
    </row>
    <row r="1336">
      <c r="A1336" s="1014"/>
      <c r="B1336" s="1029"/>
      <c r="C1336" s="1017"/>
      <c r="D1336" s="1017"/>
      <c r="E1336" s="1017"/>
      <c r="F1336" s="1017"/>
      <c r="G1336" s="1017"/>
      <c r="H1336" s="1017"/>
      <c r="I1336" s="1017"/>
      <c r="J1336" s="1017"/>
      <c r="K1336" s="1031"/>
      <c r="L1336" s="1021"/>
      <c r="M1336" s="736"/>
      <c r="N1336" s="736"/>
      <c r="O1336" s="736"/>
    </row>
    <row r="1337">
      <c r="A1337" s="1014"/>
      <c r="B1337" s="1029"/>
      <c r="C1337" s="1017"/>
      <c r="D1337" s="1017"/>
      <c r="E1337" s="1017"/>
      <c r="F1337" s="1017"/>
      <c r="G1337" s="1017"/>
      <c r="H1337" s="1017"/>
      <c r="I1337" s="1017"/>
      <c r="J1337" s="1017"/>
      <c r="K1337" s="1031"/>
      <c r="L1337" s="1021"/>
      <c r="M1337" s="736"/>
      <c r="N1337" s="736"/>
      <c r="O1337" s="736"/>
    </row>
    <row r="1338">
      <c r="A1338" s="1014"/>
      <c r="B1338" s="1029"/>
      <c r="C1338" s="1017"/>
      <c r="D1338" s="1017"/>
      <c r="E1338" s="1017"/>
      <c r="F1338" s="1017"/>
      <c r="G1338" s="1017"/>
      <c r="H1338" s="1017"/>
      <c r="I1338" s="1017"/>
      <c r="J1338" s="1017"/>
      <c r="K1338" s="1031"/>
      <c r="L1338" s="1021"/>
      <c r="M1338" s="736"/>
      <c r="N1338" s="736"/>
      <c r="O1338" s="736"/>
    </row>
    <row r="1339">
      <c r="A1339" s="1014"/>
      <c r="B1339" s="1029"/>
      <c r="C1339" s="1017"/>
      <c r="D1339" s="1017"/>
      <c r="E1339" s="1017"/>
      <c r="F1339" s="1017"/>
      <c r="G1339" s="1017"/>
      <c r="H1339" s="1017"/>
      <c r="I1339" s="1017"/>
      <c r="J1339" s="1017"/>
      <c r="K1339" s="1031"/>
      <c r="L1339" s="1021"/>
      <c r="M1339" s="736"/>
      <c r="N1339" s="736"/>
      <c r="O1339" s="736"/>
    </row>
    <row r="1340">
      <c r="A1340" s="1014"/>
      <c r="B1340" s="1029"/>
      <c r="C1340" s="1017"/>
      <c r="D1340" s="1017"/>
      <c r="E1340" s="1017"/>
      <c r="F1340" s="1017"/>
      <c r="G1340" s="1017"/>
      <c r="H1340" s="1017"/>
      <c r="I1340" s="1017"/>
      <c r="J1340" s="1017"/>
      <c r="K1340" s="1031"/>
      <c r="L1340" s="1021"/>
      <c r="M1340" s="736"/>
      <c r="N1340" s="736"/>
      <c r="O1340" s="736"/>
    </row>
    <row r="1341">
      <c r="A1341" s="1014"/>
      <c r="B1341" s="1029"/>
      <c r="C1341" s="1017"/>
      <c r="D1341" s="1017"/>
      <c r="E1341" s="1017"/>
      <c r="F1341" s="1017"/>
      <c r="G1341" s="1017"/>
      <c r="H1341" s="1017"/>
      <c r="I1341" s="1017"/>
      <c r="J1341" s="1017"/>
      <c r="K1341" s="1031"/>
      <c r="L1341" s="1021"/>
      <c r="M1341" s="736"/>
      <c r="N1341" s="736"/>
      <c r="O1341" s="736"/>
    </row>
    <row r="1342">
      <c r="A1342" s="1014"/>
      <c r="B1342" s="1029"/>
      <c r="C1342" s="1017"/>
      <c r="D1342" s="1017"/>
      <c r="E1342" s="1017"/>
      <c r="F1342" s="1017"/>
      <c r="G1342" s="1017"/>
      <c r="H1342" s="1017"/>
      <c r="I1342" s="1017"/>
      <c r="J1342" s="1017"/>
      <c r="K1342" s="1031"/>
      <c r="L1342" s="1021"/>
      <c r="M1342" s="736"/>
      <c r="N1342" s="736"/>
      <c r="O1342" s="736"/>
    </row>
    <row r="1343">
      <c r="A1343" s="1014"/>
      <c r="B1343" s="1029"/>
      <c r="C1343" s="1017"/>
      <c r="D1343" s="1017"/>
      <c r="E1343" s="1017"/>
      <c r="F1343" s="1017"/>
      <c r="G1343" s="1017"/>
      <c r="H1343" s="1017"/>
      <c r="I1343" s="1017"/>
      <c r="J1343" s="1017"/>
      <c r="K1343" s="1031"/>
      <c r="L1343" s="1021"/>
      <c r="M1343" s="736"/>
      <c r="N1343" s="736"/>
      <c r="O1343" s="736"/>
    </row>
    <row r="1344">
      <c r="A1344" s="1014"/>
      <c r="B1344" s="1029"/>
      <c r="C1344" s="1017"/>
      <c r="D1344" s="1017"/>
      <c r="E1344" s="1017"/>
      <c r="F1344" s="1017"/>
      <c r="G1344" s="1017"/>
      <c r="H1344" s="1017"/>
      <c r="I1344" s="1017"/>
      <c r="J1344" s="1017"/>
      <c r="K1344" s="1031"/>
      <c r="L1344" s="1021"/>
      <c r="M1344" s="736"/>
      <c r="N1344" s="736"/>
      <c r="O1344" s="736"/>
    </row>
    <row r="1345">
      <c r="A1345" s="1014"/>
      <c r="B1345" s="1029"/>
      <c r="C1345" s="1017"/>
      <c r="D1345" s="1017"/>
      <c r="E1345" s="1017"/>
      <c r="F1345" s="1017"/>
      <c r="G1345" s="1017"/>
      <c r="H1345" s="1017"/>
      <c r="I1345" s="1017"/>
      <c r="J1345" s="1017"/>
      <c r="K1345" s="1031"/>
      <c r="L1345" s="1021"/>
      <c r="M1345" s="736"/>
      <c r="N1345" s="736"/>
      <c r="O1345" s="736"/>
    </row>
    <row r="1346">
      <c r="A1346" s="1014"/>
      <c r="B1346" s="1029"/>
      <c r="C1346" s="1017"/>
      <c r="D1346" s="1017"/>
      <c r="E1346" s="1017"/>
      <c r="F1346" s="1017"/>
      <c r="G1346" s="1017"/>
      <c r="H1346" s="1017"/>
      <c r="I1346" s="1017"/>
      <c r="J1346" s="1017"/>
      <c r="K1346" s="1031"/>
      <c r="L1346" s="1021"/>
      <c r="M1346" s="736"/>
      <c r="N1346" s="736"/>
      <c r="O1346" s="736"/>
    </row>
    <row r="1347">
      <c r="A1347" s="1014"/>
      <c r="B1347" s="1029"/>
      <c r="C1347" s="1017"/>
      <c r="D1347" s="1017"/>
      <c r="E1347" s="1017"/>
      <c r="F1347" s="1017"/>
      <c r="G1347" s="1017"/>
      <c r="H1347" s="1017"/>
      <c r="I1347" s="1017"/>
      <c r="J1347" s="1017"/>
      <c r="K1347" s="1031"/>
      <c r="L1347" s="1021"/>
      <c r="M1347" s="736"/>
      <c r="N1347" s="736"/>
      <c r="O1347" s="736"/>
    </row>
    <row r="1348">
      <c r="A1348" s="1014"/>
      <c r="B1348" s="1029"/>
      <c r="C1348" s="1017"/>
      <c r="D1348" s="1017"/>
      <c r="E1348" s="1017"/>
      <c r="F1348" s="1017"/>
      <c r="G1348" s="1017"/>
      <c r="H1348" s="1017"/>
      <c r="I1348" s="1017"/>
      <c r="J1348" s="1017"/>
      <c r="K1348" s="1031"/>
      <c r="L1348" s="1021"/>
      <c r="M1348" s="736"/>
      <c r="N1348" s="736"/>
      <c r="O1348" s="736"/>
    </row>
    <row r="1349">
      <c r="A1349" s="1014"/>
      <c r="B1349" s="1029"/>
      <c r="C1349" s="1017"/>
      <c r="D1349" s="1017"/>
      <c r="E1349" s="1017"/>
      <c r="F1349" s="1017"/>
      <c r="G1349" s="1017"/>
      <c r="H1349" s="1017"/>
      <c r="I1349" s="1017"/>
      <c r="J1349" s="1017"/>
      <c r="K1349" s="1031"/>
      <c r="L1349" s="1021"/>
      <c r="M1349" s="736"/>
      <c r="N1349" s="736"/>
      <c r="O1349" s="736"/>
    </row>
    <row r="1350">
      <c r="A1350" s="1014"/>
      <c r="B1350" s="1029"/>
      <c r="C1350" s="1017"/>
      <c r="D1350" s="1017"/>
      <c r="E1350" s="1017"/>
      <c r="F1350" s="1017"/>
      <c r="G1350" s="1017"/>
      <c r="H1350" s="1017"/>
      <c r="I1350" s="1017"/>
      <c r="J1350" s="1017"/>
      <c r="K1350" s="1031"/>
      <c r="L1350" s="1021"/>
      <c r="M1350" s="736"/>
      <c r="N1350" s="736"/>
      <c r="O1350" s="736"/>
    </row>
    <row r="1351">
      <c r="A1351" s="1014"/>
      <c r="B1351" s="1029"/>
      <c r="C1351" s="1017"/>
      <c r="D1351" s="1017"/>
      <c r="E1351" s="1017"/>
      <c r="F1351" s="1017"/>
      <c r="G1351" s="1017"/>
      <c r="H1351" s="1017"/>
      <c r="I1351" s="1017"/>
      <c r="J1351" s="1017"/>
      <c r="K1351" s="1031"/>
      <c r="L1351" s="1021"/>
      <c r="M1351" s="736"/>
      <c r="N1351" s="736"/>
      <c r="O1351" s="736"/>
    </row>
    <row r="1352">
      <c r="A1352" s="1014"/>
      <c r="B1352" s="1029"/>
      <c r="C1352" s="1017"/>
      <c r="D1352" s="1017"/>
      <c r="E1352" s="1017"/>
      <c r="F1352" s="1017"/>
      <c r="G1352" s="1017"/>
      <c r="H1352" s="1017"/>
      <c r="I1352" s="1017"/>
      <c r="J1352" s="1017"/>
      <c r="K1352" s="1031"/>
      <c r="L1352" s="1021"/>
      <c r="M1352" s="736"/>
      <c r="N1352" s="736"/>
      <c r="O1352" s="736"/>
    </row>
    <row r="1353">
      <c r="A1353" s="1014"/>
      <c r="B1353" s="1029"/>
      <c r="C1353" s="1017"/>
      <c r="D1353" s="1017"/>
      <c r="E1353" s="1017"/>
      <c r="F1353" s="1017"/>
      <c r="G1353" s="1017"/>
      <c r="H1353" s="1017"/>
      <c r="I1353" s="1017"/>
      <c r="J1353" s="1017"/>
      <c r="K1353" s="1031"/>
      <c r="L1353" s="1021"/>
      <c r="M1353" s="736"/>
      <c r="N1353" s="736"/>
      <c r="O1353" s="736"/>
    </row>
    <row r="1354">
      <c r="A1354" s="1014"/>
      <c r="B1354" s="1029"/>
      <c r="C1354" s="1017"/>
      <c r="D1354" s="1017"/>
      <c r="E1354" s="1017"/>
      <c r="F1354" s="1017"/>
      <c r="G1354" s="1017"/>
      <c r="H1354" s="1017"/>
      <c r="I1354" s="1017"/>
      <c r="J1354" s="1017"/>
      <c r="K1354" s="1031"/>
      <c r="L1354" s="1021"/>
      <c r="M1354" s="736"/>
      <c r="N1354" s="736"/>
      <c r="O1354" s="736"/>
    </row>
    <row r="1355">
      <c r="A1355" s="1014"/>
      <c r="B1355" s="1029"/>
      <c r="C1355" s="1017"/>
      <c r="D1355" s="1017"/>
      <c r="E1355" s="1017"/>
      <c r="F1355" s="1017"/>
      <c r="G1355" s="1017"/>
      <c r="H1355" s="1017"/>
      <c r="I1355" s="1017"/>
      <c r="J1355" s="1017"/>
      <c r="K1355" s="1031"/>
      <c r="L1355" s="1021"/>
      <c r="M1355" s="736"/>
      <c r="N1355" s="736"/>
      <c r="O1355" s="736"/>
    </row>
    <row r="1356">
      <c r="A1356" s="1014"/>
      <c r="B1356" s="1029"/>
      <c r="C1356" s="1017"/>
      <c r="D1356" s="1017"/>
      <c r="E1356" s="1017"/>
      <c r="F1356" s="1017"/>
      <c r="G1356" s="1017"/>
      <c r="H1356" s="1017"/>
      <c r="I1356" s="1017"/>
      <c r="J1356" s="1017"/>
      <c r="K1356" s="1031"/>
      <c r="L1356" s="1021"/>
      <c r="M1356" s="736"/>
      <c r="N1356" s="736"/>
      <c r="O1356" s="736"/>
    </row>
    <row r="1357">
      <c r="A1357" s="1014"/>
      <c r="B1357" s="1029"/>
      <c r="C1357" s="1017"/>
      <c r="D1357" s="1017"/>
      <c r="E1357" s="1017"/>
      <c r="F1357" s="1017"/>
      <c r="G1357" s="1017"/>
      <c r="H1357" s="1017"/>
      <c r="I1357" s="1017"/>
      <c r="J1357" s="1017"/>
      <c r="K1357" s="1031"/>
      <c r="L1357" s="1021"/>
      <c r="M1357" s="736"/>
      <c r="N1357" s="736"/>
      <c r="O1357" s="736"/>
    </row>
    <row r="1358">
      <c r="A1358" s="1014"/>
      <c r="B1358" s="1029"/>
      <c r="C1358" s="1017"/>
      <c r="D1358" s="1017"/>
      <c r="E1358" s="1017"/>
      <c r="F1358" s="1017"/>
      <c r="G1358" s="1017"/>
      <c r="H1358" s="1017"/>
      <c r="I1358" s="1017"/>
      <c r="J1358" s="1017"/>
      <c r="K1358" s="1031"/>
      <c r="L1358" s="1021"/>
      <c r="M1358" s="736"/>
      <c r="N1358" s="736"/>
      <c r="O1358" s="736"/>
    </row>
    <row r="1359">
      <c r="A1359" s="1014"/>
      <c r="B1359" s="1029"/>
      <c r="C1359" s="1017"/>
      <c r="D1359" s="1017"/>
      <c r="E1359" s="1017"/>
      <c r="F1359" s="1017"/>
      <c r="G1359" s="1017"/>
      <c r="H1359" s="1017"/>
      <c r="I1359" s="1017"/>
      <c r="J1359" s="1017"/>
      <c r="K1359" s="1031"/>
      <c r="L1359" s="1021"/>
      <c r="M1359" s="736"/>
      <c r="N1359" s="736"/>
      <c r="O1359" s="736"/>
    </row>
    <row r="1360">
      <c r="A1360" s="1014"/>
      <c r="B1360" s="1029"/>
      <c r="C1360" s="1017"/>
      <c r="D1360" s="1017"/>
      <c r="E1360" s="1017"/>
      <c r="F1360" s="1017"/>
      <c r="G1360" s="1017"/>
      <c r="H1360" s="1017"/>
      <c r="I1360" s="1017"/>
      <c r="J1360" s="1017"/>
      <c r="K1360" s="1031"/>
      <c r="L1360" s="1021"/>
      <c r="M1360" s="736"/>
      <c r="N1360" s="736"/>
      <c r="O1360" s="736"/>
    </row>
    <row r="1361">
      <c r="A1361" s="1014"/>
      <c r="B1361" s="1029"/>
      <c r="C1361" s="1017"/>
      <c r="D1361" s="1017"/>
      <c r="E1361" s="1017"/>
      <c r="F1361" s="1017"/>
      <c r="G1361" s="1017"/>
      <c r="H1361" s="1017"/>
      <c r="I1361" s="1017"/>
      <c r="J1361" s="1017"/>
      <c r="K1361" s="1031"/>
      <c r="L1361" s="1021"/>
      <c r="M1361" s="736"/>
      <c r="N1361" s="736"/>
      <c r="O1361" s="736"/>
    </row>
    <row r="1362">
      <c r="A1362" s="1014"/>
      <c r="B1362" s="1029"/>
      <c r="C1362" s="1017"/>
      <c r="D1362" s="1017"/>
      <c r="E1362" s="1017"/>
      <c r="F1362" s="1017"/>
      <c r="G1362" s="1017"/>
      <c r="H1362" s="1017"/>
      <c r="I1362" s="1017"/>
      <c r="J1362" s="1017"/>
      <c r="K1362" s="1031"/>
      <c r="L1362" s="1021"/>
      <c r="M1362" s="736"/>
      <c r="N1362" s="736"/>
      <c r="O1362" s="736"/>
    </row>
    <row r="1363">
      <c r="A1363" s="1014"/>
      <c r="B1363" s="1029"/>
      <c r="C1363" s="1017"/>
      <c r="D1363" s="1017"/>
      <c r="E1363" s="1017"/>
      <c r="F1363" s="1017"/>
      <c r="G1363" s="1017"/>
      <c r="H1363" s="1017"/>
      <c r="I1363" s="1017"/>
      <c r="J1363" s="1017"/>
      <c r="K1363" s="1031"/>
      <c r="L1363" s="1021"/>
      <c r="M1363" s="736"/>
      <c r="N1363" s="736"/>
      <c r="O1363" s="736"/>
    </row>
    <row r="1364">
      <c r="A1364" s="1014"/>
      <c r="B1364" s="1029"/>
      <c r="C1364" s="1017"/>
      <c r="D1364" s="1017"/>
      <c r="E1364" s="1017"/>
      <c r="F1364" s="1017"/>
      <c r="G1364" s="1017"/>
      <c r="H1364" s="1017"/>
      <c r="I1364" s="1017"/>
      <c r="J1364" s="1017"/>
      <c r="K1364" s="1031"/>
      <c r="L1364" s="1021"/>
      <c r="M1364" s="736"/>
      <c r="N1364" s="736"/>
      <c r="O1364" s="736"/>
    </row>
    <row r="1365">
      <c r="A1365" s="1014"/>
      <c r="B1365" s="1029"/>
      <c r="C1365" s="1017"/>
      <c r="D1365" s="1017"/>
      <c r="E1365" s="1017"/>
      <c r="F1365" s="1017"/>
      <c r="G1365" s="1017"/>
      <c r="H1365" s="1017"/>
      <c r="I1365" s="1017"/>
      <c r="J1365" s="1017"/>
      <c r="K1365" s="1031"/>
      <c r="L1365" s="1021"/>
      <c r="M1365" s="736"/>
      <c r="N1365" s="736"/>
      <c r="O1365" s="736"/>
    </row>
    <row r="1366">
      <c r="A1366" s="1014"/>
      <c r="B1366" s="1029"/>
      <c r="C1366" s="1017"/>
      <c r="D1366" s="1017"/>
      <c r="E1366" s="1017"/>
      <c r="F1366" s="1017"/>
      <c r="G1366" s="1017"/>
      <c r="H1366" s="1017"/>
      <c r="I1366" s="1017"/>
      <c r="J1366" s="1017"/>
      <c r="K1366" s="1031"/>
      <c r="L1366" s="1021"/>
      <c r="M1366" s="736"/>
      <c r="N1366" s="736"/>
      <c r="O1366" s="736"/>
    </row>
    <row r="1367">
      <c r="A1367" s="1014"/>
      <c r="B1367" s="1029"/>
      <c r="C1367" s="1017"/>
      <c r="D1367" s="1017"/>
      <c r="E1367" s="1017"/>
      <c r="F1367" s="1017"/>
      <c r="G1367" s="1017"/>
      <c r="H1367" s="1017"/>
      <c r="I1367" s="1017"/>
      <c r="J1367" s="1017"/>
      <c r="K1367" s="1031"/>
      <c r="L1367" s="1021"/>
      <c r="M1367" s="736"/>
      <c r="N1367" s="736"/>
      <c r="O1367" s="736"/>
    </row>
    <row r="1368">
      <c r="A1368" s="1014"/>
      <c r="B1368" s="1029"/>
      <c r="C1368" s="1017"/>
      <c r="D1368" s="1017"/>
      <c r="E1368" s="1017"/>
      <c r="F1368" s="1017"/>
      <c r="G1368" s="1017"/>
      <c r="H1368" s="1017"/>
      <c r="I1368" s="1017"/>
      <c r="J1368" s="1017"/>
      <c r="K1368" s="1031"/>
      <c r="L1368" s="1021"/>
      <c r="M1368" s="736"/>
      <c r="N1368" s="736"/>
      <c r="O1368" s="736"/>
    </row>
    <row r="1369">
      <c r="A1369" s="1014"/>
      <c r="B1369" s="1029"/>
      <c r="C1369" s="1017"/>
      <c r="D1369" s="1017"/>
      <c r="E1369" s="1017"/>
      <c r="F1369" s="1017"/>
      <c r="G1369" s="1017"/>
      <c r="H1369" s="1017"/>
      <c r="I1369" s="1017"/>
      <c r="J1369" s="1017"/>
      <c r="K1369" s="1031"/>
      <c r="L1369" s="1021"/>
      <c r="M1369" s="736"/>
      <c r="N1369" s="736"/>
      <c r="O1369" s="736"/>
    </row>
    <row r="1370">
      <c r="A1370" s="1014"/>
      <c r="B1370" s="1029"/>
      <c r="C1370" s="1017"/>
      <c r="D1370" s="1017"/>
      <c r="E1370" s="1017"/>
      <c r="F1370" s="1017"/>
      <c r="G1370" s="1017"/>
      <c r="H1370" s="1017"/>
      <c r="I1370" s="1017"/>
      <c r="J1370" s="1017"/>
      <c r="K1370" s="1031"/>
      <c r="L1370" s="1021"/>
      <c r="M1370" s="736"/>
      <c r="N1370" s="736"/>
      <c r="O1370" s="736"/>
    </row>
    <row r="1371">
      <c r="A1371" s="1014"/>
      <c r="B1371" s="1029"/>
      <c r="C1371" s="1017"/>
      <c r="D1371" s="1017"/>
      <c r="E1371" s="1017"/>
      <c r="F1371" s="1017"/>
      <c r="G1371" s="1017"/>
      <c r="H1371" s="1017"/>
      <c r="I1371" s="1017"/>
      <c r="J1371" s="1017"/>
      <c r="K1371" s="1031"/>
      <c r="L1371" s="1021"/>
      <c r="M1371" s="736"/>
      <c r="N1371" s="736"/>
      <c r="O1371" s="736"/>
    </row>
    <row r="1372">
      <c r="A1372" s="1014"/>
      <c r="B1372" s="1029"/>
      <c r="C1372" s="1017"/>
      <c r="D1372" s="1017"/>
      <c r="E1372" s="1017"/>
      <c r="F1372" s="1017"/>
      <c r="G1372" s="1017"/>
      <c r="H1372" s="1017"/>
      <c r="I1372" s="1017"/>
      <c r="J1372" s="1017"/>
      <c r="K1372" s="1031"/>
      <c r="L1372" s="1021"/>
      <c r="M1372" s="736"/>
      <c r="N1372" s="736"/>
      <c r="O1372" s="736"/>
    </row>
    <row r="1373">
      <c r="A1373" s="1014"/>
      <c r="B1373" s="1029"/>
      <c r="C1373" s="1017"/>
      <c r="D1373" s="1017"/>
      <c r="E1373" s="1017"/>
      <c r="F1373" s="1017"/>
      <c r="G1373" s="1017"/>
      <c r="H1373" s="1017"/>
      <c r="I1373" s="1017"/>
      <c r="J1373" s="1017"/>
      <c r="K1373" s="1031"/>
      <c r="L1373" s="1021"/>
      <c r="M1373" s="736"/>
      <c r="N1373" s="736"/>
      <c r="O1373" s="736"/>
    </row>
    <row r="1374">
      <c r="A1374" s="1014"/>
      <c r="B1374" s="1029"/>
      <c r="C1374" s="1017"/>
      <c r="D1374" s="1017"/>
      <c r="E1374" s="1017"/>
      <c r="F1374" s="1017"/>
      <c r="G1374" s="1017"/>
      <c r="H1374" s="1017"/>
      <c r="I1374" s="1017"/>
      <c r="J1374" s="1017"/>
      <c r="K1374" s="1031"/>
      <c r="L1374" s="1021"/>
      <c r="M1374" s="736"/>
      <c r="N1374" s="736"/>
      <c r="O1374" s="736"/>
    </row>
    <row r="1375">
      <c r="A1375" s="1014"/>
      <c r="B1375" s="1029"/>
      <c r="C1375" s="1017"/>
      <c r="D1375" s="1017"/>
      <c r="E1375" s="1017"/>
      <c r="F1375" s="1017"/>
      <c r="G1375" s="1017"/>
      <c r="H1375" s="1017"/>
      <c r="I1375" s="1017"/>
      <c r="J1375" s="1017"/>
      <c r="K1375" s="1031"/>
      <c r="L1375" s="1021"/>
      <c r="M1375" s="736"/>
      <c r="N1375" s="736"/>
      <c r="O1375" s="736"/>
    </row>
    <row r="1376">
      <c r="A1376" s="1014"/>
      <c r="B1376" s="1029"/>
      <c r="C1376" s="1017"/>
      <c r="D1376" s="1017"/>
      <c r="E1376" s="1017"/>
      <c r="F1376" s="1017"/>
      <c r="G1376" s="1017"/>
      <c r="H1376" s="1017"/>
      <c r="I1376" s="1017"/>
      <c r="J1376" s="1017"/>
      <c r="K1376" s="1031"/>
      <c r="L1376" s="1021"/>
      <c r="M1376" s="736"/>
      <c r="N1376" s="736"/>
      <c r="O1376" s="736"/>
    </row>
    <row r="1377">
      <c r="A1377" s="1014"/>
      <c r="B1377" s="1029"/>
      <c r="C1377" s="1017"/>
      <c r="D1377" s="1017"/>
      <c r="E1377" s="1017"/>
      <c r="F1377" s="1017"/>
      <c r="G1377" s="1017"/>
      <c r="H1377" s="1017"/>
      <c r="I1377" s="1017"/>
      <c r="J1377" s="1017"/>
      <c r="K1377" s="1031"/>
      <c r="L1377" s="1021"/>
      <c r="M1377" s="736"/>
      <c r="N1377" s="736"/>
      <c r="O1377" s="736"/>
    </row>
    <row r="1378">
      <c r="A1378" s="1014"/>
      <c r="B1378" s="1029"/>
      <c r="C1378" s="1017"/>
      <c r="D1378" s="1017"/>
      <c r="E1378" s="1017"/>
      <c r="F1378" s="1017"/>
      <c r="G1378" s="1017"/>
      <c r="H1378" s="1017"/>
      <c r="I1378" s="1017"/>
      <c r="J1378" s="1017"/>
      <c r="K1378" s="1031"/>
      <c r="L1378" s="1021"/>
      <c r="M1378" s="736"/>
      <c r="N1378" s="736"/>
      <c r="O1378" s="736"/>
    </row>
    <row r="1379">
      <c r="A1379" s="1014"/>
      <c r="B1379" s="1029"/>
      <c r="C1379" s="1017"/>
      <c r="D1379" s="1017"/>
      <c r="E1379" s="1017"/>
      <c r="F1379" s="1017"/>
      <c r="G1379" s="1017"/>
      <c r="H1379" s="1017"/>
      <c r="I1379" s="1017"/>
      <c r="J1379" s="1017"/>
      <c r="K1379" s="1031"/>
      <c r="L1379" s="1021"/>
      <c r="M1379" s="736"/>
      <c r="N1379" s="736"/>
      <c r="O1379" s="736"/>
    </row>
    <row r="1380">
      <c r="A1380" s="1014"/>
      <c r="B1380" s="1029"/>
      <c r="C1380" s="1017"/>
      <c r="D1380" s="1017"/>
      <c r="E1380" s="1017"/>
      <c r="F1380" s="1017"/>
      <c r="G1380" s="1017"/>
      <c r="H1380" s="1017"/>
      <c r="I1380" s="1017"/>
      <c r="J1380" s="1017"/>
      <c r="K1380" s="1031"/>
      <c r="L1380" s="1021"/>
      <c r="M1380" s="736"/>
      <c r="N1380" s="736"/>
      <c r="O1380" s="736"/>
    </row>
    <row r="1381">
      <c r="A1381" s="1014"/>
      <c r="B1381" s="1029"/>
      <c r="C1381" s="1017"/>
      <c r="D1381" s="1017"/>
      <c r="E1381" s="1017"/>
      <c r="F1381" s="1017"/>
      <c r="G1381" s="1017"/>
      <c r="H1381" s="1017"/>
      <c r="I1381" s="1017"/>
      <c r="J1381" s="1017"/>
      <c r="K1381" s="1031"/>
      <c r="L1381" s="1021"/>
      <c r="M1381" s="736"/>
      <c r="N1381" s="736"/>
      <c r="O1381" s="736"/>
    </row>
    <row r="1382">
      <c r="A1382" s="1014"/>
      <c r="B1382" s="1029"/>
      <c r="C1382" s="1017"/>
      <c r="D1382" s="1017"/>
      <c r="E1382" s="1017"/>
      <c r="F1382" s="1017"/>
      <c r="G1382" s="1017"/>
      <c r="H1382" s="1017"/>
      <c r="I1382" s="1017"/>
      <c r="J1382" s="1017"/>
      <c r="K1382" s="1031"/>
      <c r="L1382" s="1021"/>
      <c r="M1382" s="736"/>
      <c r="N1382" s="736"/>
      <c r="O1382" s="736"/>
    </row>
    <row r="1383">
      <c r="A1383" s="1014"/>
      <c r="B1383" s="1029"/>
      <c r="C1383" s="1017"/>
      <c r="D1383" s="1017"/>
      <c r="E1383" s="1017"/>
      <c r="F1383" s="1017"/>
      <c r="G1383" s="1017"/>
      <c r="H1383" s="1017"/>
      <c r="I1383" s="1017"/>
      <c r="J1383" s="1017"/>
      <c r="K1383" s="1031"/>
      <c r="L1383" s="1021"/>
      <c r="M1383" s="736"/>
      <c r="N1383" s="736"/>
      <c r="O1383" s="736"/>
    </row>
    <row r="1384">
      <c r="A1384" s="1014"/>
      <c r="B1384" s="1029"/>
      <c r="C1384" s="1017"/>
      <c r="D1384" s="1017"/>
      <c r="E1384" s="1017"/>
      <c r="F1384" s="1017"/>
      <c r="G1384" s="1017"/>
      <c r="H1384" s="1017"/>
      <c r="I1384" s="1017"/>
      <c r="J1384" s="1017"/>
      <c r="K1384" s="1031"/>
      <c r="L1384" s="1021"/>
      <c r="M1384" s="736"/>
      <c r="N1384" s="736"/>
      <c r="O1384" s="736"/>
    </row>
    <row r="1385">
      <c r="A1385" s="1014"/>
      <c r="B1385" s="1029"/>
      <c r="C1385" s="1017"/>
      <c r="D1385" s="1017"/>
      <c r="E1385" s="1017"/>
      <c r="F1385" s="1017"/>
      <c r="G1385" s="1017"/>
      <c r="H1385" s="1017"/>
      <c r="I1385" s="1017"/>
      <c r="J1385" s="1017"/>
      <c r="K1385" s="1031"/>
      <c r="L1385" s="1021"/>
      <c r="M1385" s="736"/>
      <c r="N1385" s="736"/>
      <c r="O1385" s="736"/>
    </row>
    <row r="1386">
      <c r="A1386" s="1014"/>
      <c r="B1386" s="1029"/>
      <c r="C1386" s="1017"/>
      <c r="D1386" s="1017"/>
      <c r="E1386" s="1017"/>
      <c r="F1386" s="1017"/>
      <c r="G1386" s="1017"/>
      <c r="H1386" s="1017"/>
      <c r="I1386" s="1017"/>
      <c r="J1386" s="1017"/>
      <c r="K1386" s="1031"/>
      <c r="L1386" s="1021"/>
      <c r="M1386" s="736"/>
      <c r="N1386" s="736"/>
      <c r="O1386" s="736"/>
    </row>
    <row r="1387">
      <c r="A1387" s="1014"/>
      <c r="B1387" s="1029"/>
      <c r="C1387" s="1017"/>
      <c r="D1387" s="1017"/>
      <c r="E1387" s="1017"/>
      <c r="F1387" s="1017"/>
      <c r="G1387" s="1017"/>
      <c r="H1387" s="1017"/>
      <c r="I1387" s="1017"/>
      <c r="J1387" s="1017"/>
      <c r="K1387" s="1031"/>
      <c r="L1387" s="1021"/>
      <c r="M1387" s="736"/>
      <c r="N1387" s="736"/>
      <c r="O1387" s="736"/>
    </row>
    <row r="1388">
      <c r="A1388" s="1014"/>
      <c r="B1388" s="1029"/>
      <c r="C1388" s="1017"/>
      <c r="D1388" s="1017"/>
      <c r="E1388" s="1017"/>
      <c r="F1388" s="1017"/>
      <c r="G1388" s="1017"/>
      <c r="H1388" s="1017"/>
      <c r="I1388" s="1017"/>
      <c r="J1388" s="1017"/>
      <c r="K1388" s="1031"/>
      <c r="L1388" s="1021"/>
      <c r="M1388" s="736"/>
      <c r="N1388" s="736"/>
      <c r="O1388" s="736"/>
    </row>
    <row r="1389">
      <c r="A1389" s="1014"/>
      <c r="B1389" s="1029"/>
      <c r="C1389" s="1017"/>
      <c r="D1389" s="1017"/>
      <c r="E1389" s="1017"/>
      <c r="F1389" s="1017"/>
      <c r="G1389" s="1017"/>
      <c r="H1389" s="1017"/>
      <c r="I1389" s="1017"/>
      <c r="J1389" s="1017"/>
      <c r="K1389" s="1031"/>
      <c r="L1389" s="1021"/>
      <c r="M1389" s="736"/>
      <c r="N1389" s="736"/>
      <c r="O1389" s="736"/>
    </row>
    <row r="1390">
      <c r="A1390" s="1014"/>
      <c r="B1390" s="1029"/>
      <c r="C1390" s="1017"/>
      <c r="D1390" s="1017"/>
      <c r="E1390" s="1017"/>
      <c r="F1390" s="1017"/>
      <c r="G1390" s="1017"/>
      <c r="H1390" s="1017"/>
      <c r="I1390" s="1017"/>
      <c r="J1390" s="1017"/>
      <c r="K1390" s="1031"/>
      <c r="L1390" s="1021"/>
      <c r="M1390" s="736"/>
      <c r="N1390" s="736"/>
      <c r="O1390" s="736"/>
    </row>
    <row r="1391">
      <c r="A1391" s="1014"/>
      <c r="B1391" s="1029"/>
      <c r="C1391" s="1017"/>
      <c r="D1391" s="1017"/>
      <c r="E1391" s="1017"/>
      <c r="F1391" s="1017"/>
      <c r="G1391" s="1017"/>
      <c r="H1391" s="1017"/>
      <c r="I1391" s="1017"/>
      <c r="J1391" s="1017"/>
      <c r="K1391" s="1031"/>
      <c r="L1391" s="1021"/>
      <c r="M1391" s="736"/>
      <c r="N1391" s="736"/>
      <c r="O1391" s="736"/>
    </row>
    <row r="1392">
      <c r="A1392" s="1014"/>
      <c r="B1392" s="1029"/>
      <c r="C1392" s="1017"/>
      <c r="D1392" s="1017"/>
      <c r="E1392" s="1017"/>
      <c r="F1392" s="1017"/>
      <c r="G1392" s="1017"/>
      <c r="H1392" s="1017"/>
      <c r="I1392" s="1017"/>
      <c r="J1392" s="1017"/>
      <c r="K1392" s="1031"/>
      <c r="L1392" s="1021"/>
      <c r="M1392" s="736"/>
      <c r="N1392" s="736"/>
      <c r="O1392" s="736"/>
    </row>
    <row r="1393">
      <c r="A1393" s="1014"/>
      <c r="B1393" s="1029"/>
      <c r="C1393" s="1017"/>
      <c r="D1393" s="1017"/>
      <c r="E1393" s="1017"/>
      <c r="F1393" s="1017"/>
      <c r="G1393" s="1017"/>
      <c r="H1393" s="1017"/>
      <c r="I1393" s="1017"/>
      <c r="J1393" s="1017"/>
      <c r="K1393" s="1031"/>
      <c r="L1393" s="1021"/>
      <c r="M1393" s="736"/>
      <c r="N1393" s="736"/>
      <c r="O1393" s="736"/>
    </row>
    <row r="1394">
      <c r="A1394" s="1014"/>
      <c r="B1394" s="1029"/>
      <c r="C1394" s="1017"/>
      <c r="D1394" s="1017"/>
      <c r="E1394" s="1017"/>
      <c r="F1394" s="1017"/>
      <c r="G1394" s="1017"/>
      <c r="H1394" s="1017"/>
      <c r="I1394" s="1017"/>
      <c r="J1394" s="1017"/>
      <c r="K1394" s="1031"/>
      <c r="L1394" s="1021"/>
      <c r="M1394" s="736"/>
      <c r="N1394" s="736"/>
      <c r="O1394" s="736"/>
    </row>
    <row r="1395">
      <c r="A1395" s="1014"/>
      <c r="B1395" s="1029"/>
      <c r="C1395" s="1017"/>
      <c r="D1395" s="1017"/>
      <c r="E1395" s="1017"/>
      <c r="F1395" s="1017"/>
      <c r="G1395" s="1017"/>
      <c r="H1395" s="1017"/>
      <c r="I1395" s="1017"/>
      <c r="J1395" s="1017"/>
      <c r="K1395" s="1031"/>
      <c r="L1395" s="1021"/>
      <c r="M1395" s="736"/>
      <c r="N1395" s="736"/>
      <c r="O1395" s="736"/>
    </row>
    <row r="1396">
      <c r="A1396" s="1014"/>
      <c r="B1396" s="1029"/>
      <c r="C1396" s="1017"/>
      <c r="D1396" s="1017"/>
      <c r="E1396" s="1017"/>
      <c r="F1396" s="1017"/>
      <c r="G1396" s="1017"/>
      <c r="H1396" s="1017"/>
      <c r="I1396" s="1017"/>
      <c r="J1396" s="1017"/>
      <c r="K1396" s="1031"/>
      <c r="L1396" s="1021"/>
      <c r="M1396" s="736"/>
      <c r="N1396" s="736"/>
      <c r="O1396" s="736"/>
    </row>
    <row r="1397">
      <c r="A1397" s="1014"/>
      <c r="B1397" s="1029"/>
      <c r="C1397" s="1017"/>
      <c r="D1397" s="1017"/>
      <c r="E1397" s="1017"/>
      <c r="F1397" s="1017"/>
      <c r="G1397" s="1017"/>
      <c r="H1397" s="1017"/>
      <c r="I1397" s="1017"/>
      <c r="J1397" s="1017"/>
      <c r="K1397" s="1031"/>
      <c r="L1397" s="1021"/>
      <c r="M1397" s="736"/>
      <c r="N1397" s="736"/>
      <c r="O1397" s="736"/>
    </row>
    <row r="1398">
      <c r="A1398" s="1014"/>
      <c r="B1398" s="1029"/>
      <c r="C1398" s="1017"/>
      <c r="D1398" s="1017"/>
      <c r="E1398" s="1017"/>
      <c r="F1398" s="1017"/>
      <c r="G1398" s="1017"/>
      <c r="H1398" s="1017"/>
      <c r="I1398" s="1017"/>
      <c r="J1398" s="1017"/>
      <c r="K1398" s="1031"/>
      <c r="L1398" s="1021"/>
      <c r="M1398" s="736"/>
      <c r="N1398" s="736"/>
      <c r="O1398" s="736"/>
    </row>
    <row r="1399">
      <c r="A1399" s="1014"/>
      <c r="B1399" s="1029"/>
      <c r="C1399" s="1017"/>
      <c r="D1399" s="1017"/>
      <c r="E1399" s="1017"/>
      <c r="F1399" s="1017"/>
      <c r="G1399" s="1017"/>
      <c r="H1399" s="1017"/>
      <c r="I1399" s="1017"/>
      <c r="J1399" s="1017"/>
      <c r="K1399" s="1031"/>
      <c r="L1399" s="1021"/>
      <c r="M1399" s="736"/>
      <c r="N1399" s="736"/>
      <c r="O1399" s="736"/>
    </row>
    <row r="1400">
      <c r="A1400" s="1014"/>
      <c r="B1400" s="1029"/>
      <c r="C1400" s="1017"/>
      <c r="D1400" s="1017"/>
      <c r="E1400" s="1017"/>
      <c r="F1400" s="1017"/>
      <c r="G1400" s="1017"/>
      <c r="H1400" s="1017"/>
      <c r="I1400" s="1017"/>
      <c r="J1400" s="1017"/>
      <c r="K1400" s="1031"/>
      <c r="L1400" s="1021"/>
      <c r="M1400" s="736"/>
      <c r="N1400" s="736"/>
      <c r="O1400" s="736"/>
    </row>
    <row r="1401">
      <c r="A1401" s="1014"/>
      <c r="B1401" s="1029"/>
      <c r="C1401" s="1017"/>
      <c r="D1401" s="1017"/>
      <c r="E1401" s="1017"/>
      <c r="F1401" s="1017"/>
      <c r="G1401" s="1017"/>
      <c r="H1401" s="1017"/>
      <c r="I1401" s="1017"/>
      <c r="J1401" s="1017"/>
      <c r="K1401" s="1031"/>
      <c r="L1401" s="1021"/>
      <c r="M1401" s="736"/>
      <c r="N1401" s="736"/>
      <c r="O1401" s="736"/>
    </row>
    <row r="1402">
      <c r="A1402" s="1014"/>
      <c r="B1402" s="1029"/>
      <c r="C1402" s="1017"/>
      <c r="D1402" s="1017"/>
      <c r="E1402" s="1017"/>
      <c r="F1402" s="1017"/>
      <c r="G1402" s="1017"/>
      <c r="H1402" s="1017"/>
      <c r="I1402" s="1017"/>
      <c r="J1402" s="1017"/>
      <c r="K1402" s="1031"/>
      <c r="L1402" s="1021"/>
      <c r="M1402" s="736"/>
      <c r="N1402" s="736"/>
      <c r="O1402" s="736"/>
    </row>
    <row r="1403">
      <c r="A1403" s="1014"/>
      <c r="B1403" s="1029"/>
      <c r="C1403" s="1017"/>
      <c r="D1403" s="1017"/>
      <c r="E1403" s="1017"/>
      <c r="F1403" s="1017"/>
      <c r="G1403" s="1017"/>
      <c r="H1403" s="1017"/>
      <c r="I1403" s="1017"/>
      <c r="J1403" s="1017"/>
      <c r="K1403" s="1031"/>
      <c r="L1403" s="1021"/>
      <c r="M1403" s="736"/>
      <c r="N1403" s="736"/>
      <c r="O1403" s="736"/>
    </row>
    <row r="1404">
      <c r="A1404" s="1014"/>
      <c r="B1404" s="1029"/>
      <c r="C1404" s="1017"/>
      <c r="D1404" s="1017"/>
      <c r="E1404" s="1017"/>
      <c r="F1404" s="1017"/>
      <c r="G1404" s="1017"/>
      <c r="H1404" s="1017"/>
      <c r="I1404" s="1017"/>
      <c r="J1404" s="1017"/>
      <c r="K1404" s="1031"/>
      <c r="L1404" s="1021"/>
      <c r="M1404" s="736"/>
      <c r="N1404" s="736"/>
      <c r="O1404" s="736"/>
    </row>
    <row r="1405">
      <c r="A1405" s="1014"/>
      <c r="B1405" s="1029"/>
      <c r="C1405" s="1017"/>
      <c r="D1405" s="1017"/>
      <c r="E1405" s="1017"/>
      <c r="F1405" s="1017"/>
      <c r="G1405" s="1017"/>
      <c r="H1405" s="1017"/>
      <c r="I1405" s="1017"/>
      <c r="J1405" s="1017"/>
      <c r="K1405" s="1031"/>
      <c r="L1405" s="1021"/>
      <c r="M1405" s="736"/>
      <c r="N1405" s="736"/>
      <c r="O1405" s="736"/>
    </row>
    <row r="1406">
      <c r="A1406" s="1014"/>
      <c r="B1406" s="1029"/>
      <c r="C1406" s="1017"/>
      <c r="D1406" s="1017"/>
      <c r="E1406" s="1017"/>
      <c r="F1406" s="1017"/>
      <c r="G1406" s="1017"/>
      <c r="H1406" s="1017"/>
      <c r="I1406" s="1017"/>
      <c r="J1406" s="1017"/>
      <c r="K1406" s="1031"/>
      <c r="L1406" s="1021"/>
      <c r="M1406" s="736"/>
      <c r="N1406" s="736"/>
      <c r="O1406" s="736"/>
    </row>
    <row r="1407">
      <c r="A1407" s="1014"/>
      <c r="B1407" s="1029"/>
      <c r="C1407" s="1017"/>
      <c r="D1407" s="1017"/>
      <c r="E1407" s="1017"/>
      <c r="F1407" s="1017"/>
      <c r="G1407" s="1017"/>
      <c r="H1407" s="1017"/>
      <c r="I1407" s="1017"/>
      <c r="J1407" s="1017"/>
      <c r="K1407" s="1031"/>
      <c r="L1407" s="1021"/>
      <c r="M1407" s="736"/>
      <c r="N1407" s="736"/>
      <c r="O1407" s="736"/>
    </row>
    <row r="1408">
      <c r="A1408" s="1014"/>
      <c r="B1408" s="1029"/>
      <c r="C1408" s="1017"/>
      <c r="D1408" s="1017"/>
      <c r="E1408" s="1017"/>
      <c r="F1408" s="1017"/>
      <c r="G1408" s="1017"/>
      <c r="H1408" s="1017"/>
      <c r="I1408" s="1017"/>
      <c r="J1408" s="1017"/>
      <c r="K1408" s="1031"/>
      <c r="L1408" s="1021"/>
      <c r="M1408" s="736"/>
      <c r="N1408" s="736"/>
      <c r="O1408" s="736"/>
    </row>
    <row r="1409">
      <c r="A1409" s="1014"/>
      <c r="B1409" s="1029"/>
      <c r="C1409" s="1017"/>
      <c r="D1409" s="1017"/>
      <c r="E1409" s="1017"/>
      <c r="F1409" s="1017"/>
      <c r="G1409" s="1017"/>
      <c r="H1409" s="1017"/>
      <c r="I1409" s="1017"/>
      <c r="J1409" s="1017"/>
      <c r="K1409" s="1031"/>
      <c r="L1409" s="1021"/>
      <c r="M1409" s="736"/>
      <c r="N1409" s="736"/>
      <c r="O1409" s="736"/>
    </row>
    <row r="1410">
      <c r="A1410" s="1014"/>
      <c r="B1410" s="1029"/>
      <c r="C1410" s="1017"/>
      <c r="D1410" s="1017"/>
      <c r="E1410" s="1017"/>
      <c r="F1410" s="1017"/>
      <c r="G1410" s="1017"/>
      <c r="H1410" s="1017"/>
      <c r="I1410" s="1017"/>
      <c r="J1410" s="1017"/>
      <c r="K1410" s="1031"/>
      <c r="L1410" s="1021"/>
      <c r="M1410" s="736"/>
      <c r="N1410" s="736"/>
      <c r="O1410" s="736"/>
    </row>
    <row r="1411">
      <c r="A1411" s="1014"/>
      <c r="B1411" s="1029"/>
      <c r="C1411" s="1017"/>
      <c r="D1411" s="1017"/>
      <c r="E1411" s="1017"/>
      <c r="F1411" s="1017"/>
      <c r="G1411" s="1017"/>
      <c r="H1411" s="1017"/>
      <c r="I1411" s="1017"/>
      <c r="J1411" s="1017"/>
      <c r="K1411" s="1031"/>
      <c r="L1411" s="1021"/>
      <c r="M1411" s="736"/>
      <c r="N1411" s="736"/>
      <c r="O1411" s="736"/>
    </row>
    <row r="1412">
      <c r="A1412" s="1014"/>
      <c r="B1412" s="1029"/>
      <c r="C1412" s="1017"/>
      <c r="D1412" s="1017"/>
      <c r="E1412" s="1017"/>
      <c r="F1412" s="1017"/>
      <c r="G1412" s="1017"/>
      <c r="H1412" s="1017"/>
      <c r="I1412" s="1017"/>
      <c r="J1412" s="1017"/>
      <c r="K1412" s="1031"/>
      <c r="L1412" s="1021"/>
      <c r="M1412" s="736"/>
      <c r="N1412" s="736"/>
      <c r="O1412" s="736"/>
    </row>
    <row r="1413">
      <c r="A1413" s="1014"/>
      <c r="B1413" s="1029"/>
      <c r="C1413" s="1017"/>
      <c r="D1413" s="1017"/>
      <c r="E1413" s="1017"/>
      <c r="F1413" s="1017"/>
      <c r="G1413" s="1017"/>
      <c r="H1413" s="1017"/>
      <c r="I1413" s="1017"/>
      <c r="J1413" s="1017"/>
      <c r="K1413" s="1031"/>
      <c r="L1413" s="1021"/>
      <c r="M1413" s="736"/>
      <c r="N1413" s="736"/>
      <c r="O1413" s="736"/>
    </row>
    <row r="1414">
      <c r="A1414" s="1014"/>
      <c r="B1414" s="1029"/>
      <c r="C1414" s="1017"/>
      <c r="D1414" s="1017"/>
      <c r="E1414" s="1017"/>
      <c r="F1414" s="1017"/>
      <c r="G1414" s="1017"/>
      <c r="H1414" s="1017"/>
      <c r="I1414" s="1017"/>
      <c r="J1414" s="1017"/>
      <c r="K1414" s="1031"/>
      <c r="L1414" s="1021"/>
      <c r="M1414" s="736"/>
      <c r="N1414" s="736"/>
      <c r="O1414" s="736"/>
    </row>
    <row r="1415">
      <c r="A1415" s="1014"/>
      <c r="B1415" s="1029"/>
      <c r="C1415" s="1017"/>
      <c r="D1415" s="1017"/>
      <c r="E1415" s="1017"/>
      <c r="F1415" s="1017"/>
      <c r="G1415" s="1017"/>
      <c r="H1415" s="1017"/>
      <c r="I1415" s="1017"/>
      <c r="J1415" s="1017"/>
      <c r="K1415" s="1031"/>
      <c r="L1415" s="1021"/>
      <c r="M1415" s="736"/>
      <c r="N1415" s="736"/>
      <c r="O1415" s="736"/>
    </row>
    <row r="1416">
      <c r="A1416" s="1014"/>
      <c r="B1416" s="1029"/>
      <c r="C1416" s="1017"/>
      <c r="D1416" s="1017"/>
      <c r="E1416" s="1017"/>
      <c r="F1416" s="1017"/>
      <c r="G1416" s="1017"/>
      <c r="H1416" s="1017"/>
      <c r="I1416" s="1017"/>
      <c r="J1416" s="1017"/>
      <c r="K1416" s="1031"/>
      <c r="L1416" s="1021"/>
      <c r="M1416" s="736"/>
      <c r="N1416" s="736"/>
      <c r="O1416" s="736"/>
    </row>
    <row r="1417">
      <c r="A1417" s="1014"/>
      <c r="B1417" s="1029"/>
      <c r="C1417" s="1017"/>
      <c r="D1417" s="1017"/>
      <c r="E1417" s="1017"/>
      <c r="F1417" s="1017"/>
      <c r="G1417" s="1017"/>
      <c r="H1417" s="1017"/>
      <c r="I1417" s="1017"/>
      <c r="J1417" s="1017"/>
      <c r="K1417" s="1031"/>
      <c r="L1417" s="1021"/>
      <c r="M1417" s="736"/>
      <c r="N1417" s="736"/>
      <c r="O1417" s="736"/>
    </row>
    <row r="1418">
      <c r="A1418" s="1014"/>
      <c r="B1418" s="1029"/>
      <c r="C1418" s="1017"/>
      <c r="D1418" s="1017"/>
      <c r="E1418" s="1017"/>
      <c r="F1418" s="1017"/>
      <c r="G1418" s="1017"/>
      <c r="H1418" s="1017"/>
      <c r="I1418" s="1017"/>
      <c r="J1418" s="1017"/>
      <c r="K1418" s="1031"/>
      <c r="L1418" s="1021"/>
      <c r="M1418" s="736"/>
      <c r="N1418" s="736"/>
      <c r="O1418" s="736"/>
    </row>
    <row r="1419">
      <c r="A1419" s="1014"/>
      <c r="B1419" s="1029"/>
      <c r="C1419" s="1017"/>
      <c r="D1419" s="1017"/>
      <c r="E1419" s="1017"/>
      <c r="F1419" s="1017"/>
      <c r="G1419" s="1017"/>
      <c r="H1419" s="1017"/>
      <c r="I1419" s="1017"/>
      <c r="J1419" s="1017"/>
      <c r="K1419" s="1031"/>
      <c r="L1419" s="1021"/>
      <c r="M1419" s="736"/>
      <c r="N1419" s="736"/>
      <c r="O1419" s="736"/>
    </row>
    <row r="1420">
      <c r="A1420" s="1014"/>
      <c r="B1420" s="1029"/>
      <c r="C1420" s="1017"/>
      <c r="D1420" s="1017"/>
      <c r="E1420" s="1017"/>
      <c r="F1420" s="1017"/>
      <c r="G1420" s="1017"/>
      <c r="H1420" s="1017"/>
      <c r="I1420" s="1017"/>
      <c r="J1420" s="1017"/>
      <c r="K1420" s="1031"/>
      <c r="L1420" s="1021"/>
      <c r="M1420" s="736"/>
      <c r="N1420" s="736"/>
      <c r="O1420" s="736"/>
    </row>
    <row r="1421">
      <c r="A1421" s="1014"/>
      <c r="B1421" s="1029"/>
      <c r="C1421" s="1017"/>
      <c r="D1421" s="1017"/>
      <c r="E1421" s="1017"/>
      <c r="F1421" s="1017"/>
      <c r="G1421" s="1017"/>
      <c r="H1421" s="1017"/>
      <c r="I1421" s="1017"/>
      <c r="J1421" s="1017"/>
      <c r="K1421" s="1031"/>
      <c r="L1421" s="1021"/>
      <c r="M1421" s="736"/>
      <c r="N1421" s="736"/>
      <c r="O1421" s="736"/>
    </row>
    <row r="1422">
      <c r="A1422" s="1014"/>
      <c r="B1422" s="1029"/>
      <c r="C1422" s="1017"/>
      <c r="D1422" s="1017"/>
      <c r="E1422" s="1017"/>
      <c r="F1422" s="1017"/>
      <c r="G1422" s="1017"/>
      <c r="H1422" s="1017"/>
      <c r="I1422" s="1017"/>
      <c r="J1422" s="1017"/>
      <c r="K1422" s="1031"/>
      <c r="L1422" s="1021"/>
      <c r="M1422" s="736"/>
      <c r="N1422" s="736"/>
      <c r="O1422" s="736"/>
    </row>
    <row r="1423">
      <c r="A1423" s="1014"/>
      <c r="B1423" s="1029"/>
      <c r="C1423" s="1017"/>
      <c r="D1423" s="1017"/>
      <c r="E1423" s="1017"/>
      <c r="F1423" s="1017"/>
      <c r="G1423" s="1017"/>
      <c r="H1423" s="1017"/>
      <c r="I1423" s="1017"/>
      <c r="J1423" s="1017"/>
      <c r="K1423" s="1031"/>
      <c r="L1423" s="1021"/>
      <c r="M1423" s="736"/>
      <c r="N1423" s="736"/>
      <c r="O1423" s="736"/>
    </row>
    <row r="1424">
      <c r="A1424" s="1014"/>
      <c r="B1424" s="1029"/>
      <c r="C1424" s="1017"/>
      <c r="D1424" s="1017"/>
      <c r="E1424" s="1017"/>
      <c r="F1424" s="1017"/>
      <c r="G1424" s="1017"/>
      <c r="H1424" s="1017"/>
      <c r="I1424" s="1017"/>
      <c r="J1424" s="1017"/>
      <c r="K1424" s="1031"/>
      <c r="L1424" s="1021"/>
      <c r="M1424" s="736"/>
      <c r="N1424" s="736"/>
      <c r="O1424" s="736"/>
    </row>
    <row r="1425">
      <c r="A1425" s="1014"/>
      <c r="B1425" s="1029"/>
      <c r="C1425" s="1017"/>
      <c r="D1425" s="1017"/>
      <c r="E1425" s="1017"/>
      <c r="F1425" s="1017"/>
      <c r="G1425" s="1017"/>
      <c r="H1425" s="1017"/>
      <c r="I1425" s="1017"/>
      <c r="J1425" s="1017"/>
      <c r="K1425" s="1031"/>
      <c r="L1425" s="1021"/>
      <c r="M1425" s="736"/>
      <c r="N1425" s="736"/>
      <c r="O1425" s="736"/>
    </row>
    <row r="1426">
      <c r="A1426" s="1014"/>
      <c r="B1426" s="1029"/>
      <c r="C1426" s="1017"/>
      <c r="D1426" s="1017"/>
      <c r="E1426" s="1017"/>
      <c r="F1426" s="1017"/>
      <c r="G1426" s="1017"/>
      <c r="H1426" s="1017"/>
      <c r="I1426" s="1017"/>
      <c r="J1426" s="1017"/>
      <c r="K1426" s="1031"/>
      <c r="L1426" s="1021"/>
      <c r="M1426" s="736"/>
      <c r="N1426" s="736"/>
      <c r="O1426" s="736"/>
    </row>
    <row r="1427">
      <c r="A1427" s="1014"/>
      <c r="B1427" s="1029"/>
      <c r="C1427" s="1017"/>
      <c r="D1427" s="1017"/>
      <c r="E1427" s="1017"/>
      <c r="F1427" s="1017"/>
      <c r="G1427" s="1017"/>
      <c r="H1427" s="1017"/>
      <c r="I1427" s="1017"/>
      <c r="J1427" s="1017"/>
      <c r="K1427" s="1031"/>
      <c r="L1427" s="1021"/>
      <c r="M1427" s="736"/>
      <c r="N1427" s="736"/>
      <c r="O1427" s="736"/>
    </row>
    <row r="1428">
      <c r="A1428" s="1014"/>
      <c r="B1428" s="1029"/>
      <c r="C1428" s="1017"/>
      <c r="D1428" s="1017"/>
      <c r="E1428" s="1017"/>
      <c r="F1428" s="1017"/>
      <c r="G1428" s="1017"/>
      <c r="H1428" s="1017"/>
      <c r="I1428" s="1017"/>
      <c r="J1428" s="1017"/>
      <c r="K1428" s="1031"/>
      <c r="L1428" s="1021"/>
      <c r="M1428" s="736"/>
      <c r="N1428" s="736"/>
      <c r="O1428" s="736"/>
    </row>
    <row r="1429">
      <c r="A1429" s="1014"/>
      <c r="B1429" s="1029"/>
      <c r="C1429" s="1017"/>
      <c r="D1429" s="1017"/>
      <c r="E1429" s="1017"/>
      <c r="F1429" s="1017"/>
      <c r="G1429" s="1017"/>
      <c r="H1429" s="1017"/>
      <c r="I1429" s="1017"/>
      <c r="J1429" s="1017"/>
      <c r="K1429" s="1031"/>
      <c r="L1429" s="1021"/>
      <c r="M1429" s="736"/>
      <c r="N1429" s="736"/>
      <c r="O1429" s="736"/>
    </row>
    <row r="1430">
      <c r="A1430" s="1014"/>
      <c r="B1430" s="1029"/>
      <c r="C1430" s="1017"/>
      <c r="D1430" s="1017"/>
      <c r="E1430" s="1017"/>
      <c r="F1430" s="1017"/>
      <c r="G1430" s="1017"/>
      <c r="H1430" s="1017"/>
      <c r="I1430" s="1017"/>
      <c r="J1430" s="1017"/>
      <c r="K1430" s="1031"/>
      <c r="L1430" s="1021"/>
      <c r="M1430" s="736"/>
      <c r="N1430" s="736"/>
      <c r="O1430" s="736"/>
    </row>
    <row r="1431">
      <c r="A1431" s="1014"/>
      <c r="B1431" s="1029"/>
      <c r="C1431" s="1017"/>
      <c r="D1431" s="1017"/>
      <c r="E1431" s="1017"/>
      <c r="F1431" s="1017"/>
      <c r="G1431" s="1017"/>
      <c r="H1431" s="1017"/>
      <c r="I1431" s="1017"/>
      <c r="J1431" s="1017"/>
      <c r="K1431" s="1031"/>
      <c r="L1431" s="1021"/>
      <c r="M1431" s="736"/>
      <c r="N1431" s="736"/>
      <c r="O1431" s="736"/>
    </row>
    <row r="1432">
      <c r="A1432" s="1014"/>
      <c r="B1432" s="1029"/>
      <c r="C1432" s="1017"/>
      <c r="D1432" s="1017"/>
      <c r="E1432" s="1017"/>
      <c r="F1432" s="1017"/>
      <c r="G1432" s="1017"/>
      <c r="H1432" s="1017"/>
      <c r="I1432" s="1017"/>
      <c r="J1432" s="1017"/>
      <c r="K1432" s="1031"/>
      <c r="L1432" s="1021"/>
      <c r="M1432" s="736"/>
      <c r="N1432" s="736"/>
      <c r="O1432" s="736"/>
    </row>
    <row r="1433">
      <c r="A1433" s="1014"/>
      <c r="B1433" s="1029"/>
      <c r="C1433" s="1017"/>
      <c r="D1433" s="1017"/>
      <c r="E1433" s="1017"/>
      <c r="F1433" s="1017"/>
      <c r="G1433" s="1017"/>
      <c r="H1433" s="1017"/>
      <c r="I1433" s="1017"/>
      <c r="J1433" s="1017"/>
      <c r="K1433" s="1031"/>
      <c r="L1433" s="1021"/>
      <c r="M1433" s="736"/>
      <c r="N1433" s="736"/>
      <c r="O1433" s="736"/>
    </row>
    <row r="1434">
      <c r="A1434" s="1014"/>
      <c r="B1434" s="1029"/>
      <c r="C1434" s="1017"/>
      <c r="D1434" s="1017"/>
      <c r="E1434" s="1017"/>
      <c r="F1434" s="1017"/>
      <c r="G1434" s="1017"/>
      <c r="H1434" s="1017"/>
      <c r="I1434" s="1017"/>
      <c r="J1434" s="1017"/>
      <c r="K1434" s="1031"/>
      <c r="L1434" s="1021"/>
      <c r="M1434" s="736"/>
      <c r="N1434" s="736"/>
      <c r="O1434" s="736"/>
    </row>
    <row r="1435">
      <c r="A1435" s="1014"/>
      <c r="B1435" s="1029"/>
      <c r="C1435" s="1017"/>
      <c r="D1435" s="1017"/>
      <c r="E1435" s="1017"/>
      <c r="F1435" s="1017"/>
      <c r="G1435" s="1017"/>
      <c r="H1435" s="1017"/>
      <c r="I1435" s="1017"/>
      <c r="J1435" s="1017"/>
      <c r="K1435" s="1031"/>
      <c r="L1435" s="1021"/>
      <c r="M1435" s="736"/>
      <c r="N1435" s="736"/>
      <c r="O1435" s="736"/>
    </row>
    <row r="1436">
      <c r="A1436" s="1014"/>
      <c r="B1436" s="1029"/>
      <c r="C1436" s="1017"/>
      <c r="D1436" s="1017"/>
      <c r="E1436" s="1017"/>
      <c r="F1436" s="1017"/>
      <c r="G1436" s="1017"/>
      <c r="H1436" s="1017"/>
      <c r="I1436" s="1017"/>
      <c r="J1436" s="1017"/>
      <c r="K1436" s="1031"/>
      <c r="L1436" s="1021"/>
      <c r="M1436" s="736"/>
      <c r="N1436" s="736"/>
      <c r="O1436" s="736"/>
    </row>
    <row r="1437">
      <c r="A1437" s="1014"/>
      <c r="B1437" s="1029"/>
      <c r="C1437" s="1017"/>
      <c r="D1437" s="1017"/>
      <c r="E1437" s="1017"/>
      <c r="F1437" s="1017"/>
      <c r="G1437" s="1017"/>
      <c r="H1437" s="1017"/>
      <c r="I1437" s="1017"/>
      <c r="J1437" s="1017"/>
      <c r="K1437" s="1031"/>
      <c r="L1437" s="1021"/>
      <c r="M1437" s="736"/>
      <c r="N1437" s="736"/>
      <c r="O1437" s="736"/>
    </row>
    <row r="1438">
      <c r="A1438" s="1014"/>
      <c r="B1438" s="1029"/>
      <c r="C1438" s="1017"/>
      <c r="D1438" s="1017"/>
      <c r="E1438" s="1017"/>
      <c r="F1438" s="1017"/>
      <c r="G1438" s="1017"/>
      <c r="H1438" s="1017"/>
      <c r="I1438" s="1017"/>
      <c r="J1438" s="1017"/>
      <c r="K1438" s="1031"/>
      <c r="L1438" s="1021"/>
      <c r="M1438" s="736"/>
      <c r="N1438" s="736"/>
      <c r="O1438" s="736"/>
    </row>
    <row r="1439">
      <c r="A1439" s="1014"/>
      <c r="B1439" s="1029"/>
      <c r="C1439" s="1017"/>
      <c r="D1439" s="1017"/>
      <c r="E1439" s="1017"/>
      <c r="F1439" s="1017"/>
      <c r="G1439" s="1017"/>
      <c r="H1439" s="1017"/>
      <c r="I1439" s="1017"/>
      <c r="J1439" s="1017"/>
      <c r="K1439" s="1031"/>
      <c r="L1439" s="1021"/>
      <c r="M1439" s="736"/>
      <c r="N1439" s="736"/>
      <c r="O1439" s="736"/>
    </row>
    <row r="1440">
      <c r="A1440" s="1014"/>
      <c r="B1440" s="1029"/>
      <c r="C1440" s="1017"/>
      <c r="D1440" s="1017"/>
      <c r="E1440" s="1017"/>
      <c r="F1440" s="1017"/>
      <c r="G1440" s="1017"/>
      <c r="H1440" s="1017"/>
      <c r="I1440" s="1017"/>
      <c r="J1440" s="1017"/>
      <c r="K1440" s="1031"/>
      <c r="L1440" s="1021"/>
      <c r="M1440" s="736"/>
      <c r="N1440" s="736"/>
      <c r="O1440" s="736"/>
    </row>
    <row r="1441">
      <c r="A1441" s="1014"/>
      <c r="B1441" s="1029"/>
      <c r="C1441" s="1017"/>
      <c r="D1441" s="1017"/>
      <c r="E1441" s="1017"/>
      <c r="F1441" s="1017"/>
      <c r="G1441" s="1017"/>
      <c r="H1441" s="1017"/>
      <c r="I1441" s="1017"/>
      <c r="J1441" s="1017"/>
      <c r="K1441" s="1031"/>
      <c r="L1441" s="1021"/>
      <c r="M1441" s="736"/>
      <c r="N1441" s="736"/>
      <c r="O1441" s="736"/>
    </row>
    <row r="1442">
      <c r="A1442" s="1014"/>
      <c r="B1442" s="1029"/>
      <c r="C1442" s="1017"/>
      <c r="D1442" s="1017"/>
      <c r="E1442" s="1017"/>
      <c r="F1442" s="1017"/>
      <c r="G1442" s="1017"/>
      <c r="H1442" s="1017"/>
      <c r="I1442" s="1017"/>
      <c r="J1442" s="1017"/>
      <c r="K1442" s="1031"/>
      <c r="L1442" s="1021"/>
      <c r="M1442" s="736"/>
      <c r="N1442" s="736"/>
      <c r="O1442" s="736"/>
    </row>
    <row r="1443">
      <c r="A1443" s="1014"/>
      <c r="B1443" s="1029"/>
      <c r="C1443" s="1017"/>
      <c r="D1443" s="1017"/>
      <c r="E1443" s="1017"/>
      <c r="F1443" s="1017"/>
      <c r="G1443" s="1017"/>
      <c r="H1443" s="1017"/>
      <c r="I1443" s="1017"/>
      <c r="J1443" s="1017"/>
      <c r="K1443" s="1031"/>
      <c r="L1443" s="1021"/>
      <c r="M1443" s="736"/>
      <c r="N1443" s="736"/>
      <c r="O1443" s="736"/>
    </row>
    <row r="1444">
      <c r="A1444" s="1014"/>
      <c r="B1444" s="1029"/>
      <c r="C1444" s="1017"/>
      <c r="D1444" s="1017"/>
      <c r="E1444" s="1017"/>
      <c r="F1444" s="1017"/>
      <c r="G1444" s="1017"/>
      <c r="H1444" s="1017"/>
      <c r="I1444" s="1017"/>
      <c r="J1444" s="1017"/>
      <c r="K1444" s="1031"/>
      <c r="L1444" s="1021"/>
      <c r="M1444" s="736"/>
      <c r="N1444" s="736"/>
      <c r="O1444" s="736"/>
    </row>
    <row r="1445">
      <c r="A1445" s="1014"/>
      <c r="B1445" s="1029"/>
      <c r="C1445" s="1017"/>
      <c r="D1445" s="1017"/>
      <c r="E1445" s="1017"/>
      <c r="F1445" s="1017"/>
      <c r="G1445" s="1017"/>
      <c r="H1445" s="1017"/>
      <c r="I1445" s="1017"/>
      <c r="J1445" s="1017"/>
      <c r="K1445" s="1031"/>
      <c r="L1445" s="1021"/>
      <c r="M1445" s="736"/>
      <c r="N1445" s="736"/>
      <c r="O1445" s="736"/>
    </row>
    <row r="1446">
      <c r="A1446" s="1014"/>
      <c r="B1446" s="1029"/>
      <c r="C1446" s="1017"/>
      <c r="D1446" s="1017"/>
      <c r="E1446" s="1017"/>
      <c r="F1446" s="1017"/>
      <c r="G1446" s="1017"/>
      <c r="H1446" s="1017"/>
      <c r="I1446" s="1017"/>
      <c r="J1446" s="1017"/>
      <c r="K1446" s="1031"/>
      <c r="L1446" s="1021"/>
      <c r="M1446" s="736"/>
      <c r="N1446" s="736"/>
      <c r="O1446" s="736"/>
    </row>
    <row r="1447">
      <c r="A1447" s="1014"/>
      <c r="B1447" s="1029"/>
      <c r="C1447" s="1017"/>
      <c r="D1447" s="1017"/>
      <c r="E1447" s="1017"/>
      <c r="F1447" s="1017"/>
      <c r="G1447" s="1017"/>
      <c r="H1447" s="1017"/>
      <c r="I1447" s="1017"/>
      <c r="J1447" s="1017"/>
      <c r="K1447" s="1031"/>
      <c r="L1447" s="1021"/>
      <c r="M1447" s="736"/>
      <c r="N1447" s="736"/>
      <c r="O1447" s="736"/>
    </row>
    <row r="1448">
      <c r="A1448" s="1014"/>
      <c r="B1448" s="1029"/>
      <c r="C1448" s="1017"/>
      <c r="D1448" s="1017"/>
      <c r="E1448" s="1017"/>
      <c r="F1448" s="1017"/>
      <c r="G1448" s="1017"/>
      <c r="H1448" s="1017"/>
      <c r="I1448" s="1017"/>
      <c r="J1448" s="1017"/>
      <c r="K1448" s="1031"/>
      <c r="L1448" s="1021"/>
      <c r="M1448" s="736"/>
      <c r="N1448" s="736"/>
      <c r="O1448" s="736"/>
    </row>
    <row r="1449">
      <c r="A1449" s="1014"/>
      <c r="B1449" s="1029"/>
      <c r="C1449" s="1017"/>
      <c r="D1449" s="1017"/>
      <c r="E1449" s="1017"/>
      <c r="F1449" s="1017"/>
      <c r="G1449" s="1017"/>
      <c r="H1449" s="1017"/>
      <c r="I1449" s="1017"/>
      <c r="J1449" s="1017"/>
      <c r="K1449" s="1031"/>
      <c r="L1449" s="1021"/>
      <c r="M1449" s="736"/>
      <c r="N1449" s="736"/>
      <c r="O1449" s="736"/>
    </row>
    <row r="1450">
      <c r="A1450" s="1014"/>
      <c r="B1450" s="1029"/>
      <c r="C1450" s="1017"/>
      <c r="D1450" s="1017"/>
      <c r="E1450" s="1017"/>
      <c r="F1450" s="1017"/>
      <c r="G1450" s="1017"/>
      <c r="H1450" s="1017"/>
      <c r="I1450" s="1017"/>
      <c r="J1450" s="1017"/>
      <c r="K1450" s="1031"/>
      <c r="L1450" s="1021"/>
      <c r="M1450" s="736"/>
      <c r="N1450" s="736"/>
      <c r="O1450" s="736"/>
    </row>
    <row r="1451">
      <c r="A1451" s="1014"/>
      <c r="B1451" s="1029"/>
      <c r="C1451" s="1017"/>
      <c r="D1451" s="1017"/>
      <c r="E1451" s="1017"/>
      <c r="F1451" s="1017"/>
      <c r="G1451" s="1017"/>
      <c r="H1451" s="1017"/>
      <c r="I1451" s="1017"/>
      <c r="J1451" s="1017"/>
      <c r="K1451" s="1031"/>
      <c r="L1451" s="1021"/>
      <c r="M1451" s="736"/>
      <c r="N1451" s="736"/>
      <c r="O1451" s="736"/>
    </row>
    <row r="1452">
      <c r="A1452" s="1014"/>
      <c r="B1452" s="1029"/>
      <c r="C1452" s="1017"/>
      <c r="D1452" s="1017"/>
      <c r="E1452" s="1017"/>
      <c r="F1452" s="1017"/>
      <c r="G1452" s="1017"/>
      <c r="H1452" s="1017"/>
      <c r="I1452" s="1017"/>
      <c r="J1452" s="1017"/>
      <c r="K1452" s="1031"/>
      <c r="L1452" s="1021"/>
      <c r="M1452" s="736"/>
      <c r="N1452" s="736"/>
      <c r="O1452" s="736"/>
    </row>
    <row r="1453">
      <c r="A1453" s="1014"/>
      <c r="B1453" s="1029"/>
      <c r="C1453" s="1017"/>
      <c r="D1453" s="1017"/>
      <c r="E1453" s="1017"/>
      <c r="F1453" s="1017"/>
      <c r="G1453" s="1017"/>
      <c r="H1453" s="1017"/>
      <c r="I1453" s="1017"/>
      <c r="J1453" s="1017"/>
      <c r="K1453" s="1031"/>
      <c r="L1453" s="1021"/>
      <c r="M1453" s="736"/>
      <c r="N1453" s="736"/>
      <c r="O1453" s="736"/>
    </row>
    <row r="1454">
      <c r="A1454" s="1014"/>
      <c r="B1454" s="1029"/>
      <c r="C1454" s="1017"/>
      <c r="D1454" s="1017"/>
      <c r="E1454" s="1017"/>
      <c r="F1454" s="1017"/>
      <c r="G1454" s="1017"/>
      <c r="H1454" s="1017"/>
      <c r="I1454" s="1017"/>
      <c r="J1454" s="1017"/>
      <c r="K1454" s="1031"/>
      <c r="L1454" s="1021"/>
      <c r="M1454" s="736"/>
      <c r="N1454" s="736"/>
      <c r="O1454" s="736"/>
    </row>
    <row r="1455">
      <c r="A1455" s="1014"/>
      <c r="B1455" s="1029"/>
      <c r="C1455" s="1017"/>
      <c r="D1455" s="1017"/>
      <c r="E1455" s="1017"/>
      <c r="F1455" s="1017"/>
      <c r="G1455" s="1017"/>
      <c r="H1455" s="1017"/>
      <c r="I1455" s="1017"/>
      <c r="J1455" s="1017"/>
      <c r="K1455" s="1031"/>
      <c r="L1455" s="1021"/>
      <c r="M1455" s="736"/>
      <c r="N1455" s="736"/>
      <c r="O1455" s="736"/>
    </row>
    <row r="1456">
      <c r="A1456" s="1014"/>
      <c r="B1456" s="1029"/>
      <c r="C1456" s="1017"/>
      <c r="D1456" s="1017"/>
      <c r="E1456" s="1017"/>
      <c r="F1456" s="1017"/>
      <c r="G1456" s="1017"/>
      <c r="H1456" s="1017"/>
      <c r="I1456" s="1017"/>
      <c r="J1456" s="1017"/>
      <c r="K1456" s="1031"/>
      <c r="L1456" s="1021"/>
      <c r="M1456" s="736"/>
      <c r="N1456" s="736"/>
      <c r="O1456" s="736"/>
    </row>
    <row r="1457">
      <c r="A1457" s="1014"/>
      <c r="B1457" s="1029"/>
      <c r="C1457" s="1017"/>
      <c r="D1457" s="1017"/>
      <c r="E1457" s="1017"/>
      <c r="F1457" s="1017"/>
      <c r="G1457" s="1017"/>
      <c r="H1457" s="1017"/>
      <c r="I1457" s="1017"/>
      <c r="J1457" s="1017"/>
      <c r="K1457" s="1031"/>
      <c r="L1457" s="1021"/>
      <c r="M1457" s="736"/>
      <c r="N1457" s="736"/>
      <c r="O1457" s="736"/>
    </row>
    <row r="1458">
      <c r="A1458" s="1014"/>
      <c r="B1458" s="1029"/>
      <c r="C1458" s="1017"/>
      <c r="D1458" s="1017"/>
      <c r="E1458" s="1017"/>
      <c r="F1458" s="1017"/>
      <c r="G1458" s="1017"/>
      <c r="H1458" s="1017"/>
      <c r="I1458" s="1017"/>
      <c r="J1458" s="1017"/>
      <c r="K1458" s="1031"/>
      <c r="L1458" s="1021"/>
      <c r="M1458" s="736"/>
      <c r="N1458" s="736"/>
      <c r="O1458" s="736"/>
    </row>
    <row r="1459">
      <c r="A1459" s="1014"/>
      <c r="B1459" s="1029"/>
      <c r="C1459" s="1017"/>
      <c r="D1459" s="1017"/>
      <c r="E1459" s="1017"/>
      <c r="F1459" s="1017"/>
      <c r="G1459" s="1017"/>
      <c r="H1459" s="1017"/>
      <c r="I1459" s="1017"/>
      <c r="J1459" s="1017"/>
      <c r="K1459" s="1031"/>
      <c r="L1459" s="1021"/>
      <c r="M1459" s="736"/>
      <c r="N1459" s="736"/>
      <c r="O1459" s="736"/>
    </row>
    <row r="1460">
      <c r="A1460" s="1014"/>
      <c r="B1460" s="1029"/>
      <c r="C1460" s="1017"/>
      <c r="D1460" s="1017"/>
      <c r="E1460" s="1017"/>
      <c r="F1460" s="1017"/>
      <c r="G1460" s="1017"/>
      <c r="H1460" s="1017"/>
      <c r="I1460" s="1017"/>
      <c r="J1460" s="1017"/>
      <c r="K1460" s="1031"/>
      <c r="L1460" s="1021"/>
      <c r="M1460" s="736"/>
      <c r="N1460" s="736"/>
      <c r="O1460" s="736"/>
    </row>
    <row r="1461">
      <c r="A1461" s="1014"/>
      <c r="B1461" s="1029"/>
      <c r="C1461" s="1017"/>
      <c r="D1461" s="1017"/>
      <c r="E1461" s="1017"/>
      <c r="F1461" s="1017"/>
      <c r="G1461" s="1017"/>
      <c r="H1461" s="1017"/>
      <c r="I1461" s="1017"/>
      <c r="J1461" s="1017"/>
      <c r="K1461" s="1031"/>
      <c r="L1461" s="1021"/>
      <c r="M1461" s="736"/>
      <c r="N1461" s="736"/>
      <c r="O1461" s="736"/>
    </row>
    <row r="1462">
      <c r="A1462" s="1014"/>
      <c r="B1462" s="1029"/>
      <c r="C1462" s="1017"/>
      <c r="D1462" s="1017"/>
      <c r="E1462" s="1017"/>
      <c r="F1462" s="1017"/>
      <c r="G1462" s="1017"/>
      <c r="H1462" s="1017"/>
      <c r="I1462" s="1017"/>
      <c r="J1462" s="1017"/>
      <c r="K1462" s="1031"/>
      <c r="L1462" s="1021"/>
      <c r="M1462" s="736"/>
      <c r="N1462" s="736"/>
      <c r="O1462" s="736"/>
    </row>
    <row r="1463">
      <c r="A1463" s="1014"/>
      <c r="B1463" s="1029"/>
      <c r="C1463" s="1017"/>
      <c r="D1463" s="1017"/>
      <c r="E1463" s="1017"/>
      <c r="F1463" s="1017"/>
      <c r="G1463" s="1017"/>
      <c r="H1463" s="1017"/>
      <c r="I1463" s="1017"/>
      <c r="J1463" s="1017"/>
      <c r="K1463" s="1031"/>
      <c r="L1463" s="1021"/>
      <c r="M1463" s="736"/>
      <c r="N1463" s="736"/>
      <c r="O1463" s="736"/>
    </row>
    <row r="1464">
      <c r="A1464" s="1014"/>
      <c r="B1464" s="1029"/>
      <c r="C1464" s="1017"/>
      <c r="D1464" s="1017"/>
      <c r="E1464" s="1017"/>
      <c r="F1464" s="1017"/>
      <c r="G1464" s="1017"/>
      <c r="H1464" s="1017"/>
      <c r="I1464" s="1017"/>
      <c r="J1464" s="1017"/>
      <c r="K1464" s="1031"/>
      <c r="L1464" s="1021"/>
      <c r="M1464" s="736"/>
      <c r="N1464" s="736"/>
      <c r="O1464" s="736"/>
    </row>
    <row r="1465">
      <c r="A1465" s="1014"/>
      <c r="B1465" s="1029"/>
      <c r="C1465" s="1017"/>
      <c r="D1465" s="1017"/>
      <c r="E1465" s="1017"/>
      <c r="F1465" s="1017"/>
      <c r="G1465" s="1017"/>
      <c r="H1465" s="1017"/>
      <c r="I1465" s="1017"/>
      <c r="J1465" s="1017"/>
      <c r="K1465" s="1031"/>
      <c r="L1465" s="1021"/>
      <c r="M1465" s="736"/>
      <c r="N1465" s="736"/>
      <c r="O1465" s="736"/>
    </row>
    <row r="1466">
      <c r="A1466" s="1014"/>
      <c r="B1466" s="1029"/>
      <c r="C1466" s="1017"/>
      <c r="D1466" s="1017"/>
      <c r="E1466" s="1017"/>
      <c r="F1466" s="1017"/>
      <c r="G1466" s="1017"/>
      <c r="H1466" s="1017"/>
      <c r="I1466" s="1017"/>
      <c r="J1466" s="1017"/>
      <c r="K1466" s="1031"/>
      <c r="L1466" s="1021"/>
      <c r="M1466" s="736"/>
      <c r="N1466" s="736"/>
      <c r="O1466" s="736"/>
    </row>
    <row r="1467">
      <c r="A1467" s="1014"/>
      <c r="B1467" s="1029"/>
      <c r="C1467" s="1017"/>
      <c r="D1467" s="1017"/>
      <c r="E1467" s="1017"/>
      <c r="F1467" s="1017"/>
      <c r="G1467" s="1017"/>
      <c r="H1467" s="1017"/>
      <c r="I1467" s="1017"/>
      <c r="J1467" s="1017"/>
      <c r="K1467" s="1031"/>
      <c r="L1467" s="1021"/>
      <c r="M1467" s="736"/>
      <c r="N1467" s="736"/>
      <c r="O1467" s="736"/>
    </row>
    <row r="1468">
      <c r="A1468" s="1014"/>
      <c r="B1468" s="1029"/>
      <c r="C1468" s="1017"/>
      <c r="D1468" s="1017"/>
      <c r="E1468" s="1017"/>
      <c r="F1468" s="1017"/>
      <c r="G1468" s="1017"/>
      <c r="H1468" s="1017"/>
      <c r="I1468" s="1017"/>
      <c r="J1468" s="1017"/>
      <c r="K1468" s="1031"/>
      <c r="L1468" s="1021"/>
      <c r="M1468" s="736"/>
      <c r="N1468" s="736"/>
      <c r="O1468" s="736"/>
    </row>
    <row r="1469">
      <c r="A1469" s="1014"/>
      <c r="B1469" s="1029"/>
      <c r="C1469" s="1017"/>
      <c r="D1469" s="1017"/>
      <c r="E1469" s="1017"/>
      <c r="F1469" s="1017"/>
      <c r="G1469" s="1017"/>
      <c r="H1469" s="1017"/>
      <c r="I1469" s="1017"/>
      <c r="J1469" s="1017"/>
      <c r="K1469" s="1031"/>
      <c r="L1469" s="1021"/>
      <c r="M1469" s="736"/>
      <c r="N1469" s="736"/>
      <c r="O1469" s="736"/>
    </row>
    <row r="1470">
      <c r="A1470" s="1014"/>
      <c r="B1470" s="1029"/>
      <c r="C1470" s="1017"/>
      <c r="D1470" s="1017"/>
      <c r="E1470" s="1017"/>
      <c r="F1470" s="1017"/>
      <c r="G1470" s="1017"/>
      <c r="H1470" s="1017"/>
      <c r="I1470" s="1017"/>
      <c r="J1470" s="1017"/>
      <c r="K1470" s="1031"/>
      <c r="L1470" s="1021"/>
      <c r="M1470" s="736"/>
      <c r="N1470" s="736"/>
      <c r="O1470" s="736"/>
    </row>
    <row r="1471">
      <c r="A1471" s="1014"/>
      <c r="B1471" s="1029"/>
      <c r="C1471" s="1017"/>
      <c r="D1471" s="1017"/>
      <c r="E1471" s="1017"/>
      <c r="F1471" s="1017"/>
      <c r="G1471" s="1017"/>
      <c r="H1471" s="1017"/>
      <c r="I1471" s="1017"/>
      <c r="J1471" s="1017"/>
      <c r="K1471" s="1031"/>
      <c r="L1471" s="1021"/>
      <c r="M1471" s="736"/>
      <c r="N1471" s="736"/>
      <c r="O1471" s="736"/>
    </row>
    <row r="1472">
      <c r="A1472" s="1014"/>
      <c r="B1472" s="1029"/>
      <c r="C1472" s="1017"/>
      <c r="D1472" s="1017"/>
      <c r="E1472" s="1017"/>
      <c r="F1472" s="1017"/>
      <c r="G1472" s="1017"/>
      <c r="H1472" s="1017"/>
      <c r="I1472" s="1017"/>
      <c r="J1472" s="1017"/>
      <c r="K1472" s="1031"/>
      <c r="L1472" s="1021"/>
      <c r="M1472" s="736"/>
      <c r="N1472" s="736"/>
      <c r="O1472" s="736"/>
    </row>
    <row r="1473">
      <c r="A1473" s="1014"/>
      <c r="B1473" s="1029"/>
      <c r="C1473" s="1017"/>
      <c r="D1473" s="1017"/>
      <c r="E1473" s="1017"/>
      <c r="F1473" s="1017"/>
      <c r="G1473" s="1017"/>
      <c r="H1473" s="1017"/>
      <c r="I1473" s="1017"/>
      <c r="J1473" s="1017"/>
      <c r="K1473" s="1031"/>
      <c r="L1473" s="1021"/>
      <c r="M1473" s="736"/>
      <c r="N1473" s="736"/>
      <c r="O1473" s="736"/>
    </row>
    <row r="1474">
      <c r="A1474" s="1014"/>
      <c r="B1474" s="1029"/>
      <c r="C1474" s="1017"/>
      <c r="D1474" s="1017"/>
      <c r="E1474" s="1017"/>
      <c r="F1474" s="1017"/>
      <c r="G1474" s="1017"/>
      <c r="H1474" s="1017"/>
      <c r="I1474" s="1017"/>
      <c r="J1474" s="1017"/>
      <c r="K1474" s="1031"/>
      <c r="L1474" s="1021"/>
      <c r="M1474" s="736"/>
      <c r="N1474" s="736"/>
      <c r="O1474" s="736"/>
    </row>
    <row r="1475">
      <c r="A1475" s="1014"/>
      <c r="B1475" s="1029"/>
      <c r="C1475" s="1017"/>
      <c r="D1475" s="1017"/>
      <c r="E1475" s="1017"/>
      <c r="F1475" s="1017"/>
      <c r="G1475" s="1017"/>
      <c r="H1475" s="1017"/>
      <c r="I1475" s="1017"/>
      <c r="J1475" s="1017"/>
      <c r="K1475" s="1031"/>
      <c r="L1475" s="1021"/>
      <c r="M1475" s="736"/>
      <c r="N1475" s="736"/>
      <c r="O1475" s="736"/>
    </row>
    <row r="1476">
      <c r="A1476" s="1014"/>
      <c r="B1476" s="1029"/>
      <c r="C1476" s="1017"/>
      <c r="D1476" s="1017"/>
      <c r="E1476" s="1017"/>
      <c r="F1476" s="1017"/>
      <c r="G1476" s="1017"/>
      <c r="H1476" s="1017"/>
      <c r="I1476" s="1017"/>
      <c r="J1476" s="1017"/>
      <c r="K1476" s="1031"/>
      <c r="L1476" s="1021"/>
      <c r="M1476" s="736"/>
      <c r="N1476" s="736"/>
      <c r="O1476" s="736"/>
    </row>
    <row r="1477">
      <c r="A1477" s="1014"/>
      <c r="B1477" s="1029"/>
      <c r="C1477" s="1017"/>
      <c r="D1477" s="1017"/>
      <c r="E1477" s="1017"/>
      <c r="F1477" s="1017"/>
      <c r="G1477" s="1017"/>
      <c r="H1477" s="1017"/>
      <c r="I1477" s="1017"/>
      <c r="J1477" s="1017"/>
      <c r="K1477" s="1031"/>
      <c r="L1477" s="1021"/>
      <c r="M1477" s="736"/>
      <c r="N1477" s="736"/>
      <c r="O1477" s="736"/>
    </row>
    <row r="1478">
      <c r="A1478" s="1014"/>
      <c r="B1478" s="1029"/>
      <c r="C1478" s="1017"/>
      <c r="D1478" s="1017"/>
      <c r="E1478" s="1017"/>
      <c r="F1478" s="1017"/>
      <c r="G1478" s="1017"/>
      <c r="H1478" s="1017"/>
      <c r="I1478" s="1017"/>
      <c r="J1478" s="1017"/>
      <c r="K1478" s="1031"/>
      <c r="L1478" s="1021"/>
      <c r="M1478" s="736"/>
      <c r="N1478" s="736"/>
      <c r="O1478" s="736"/>
    </row>
    <row r="1479">
      <c r="A1479" s="1014"/>
      <c r="B1479" s="1029"/>
      <c r="C1479" s="1017"/>
      <c r="D1479" s="1017"/>
      <c r="E1479" s="1017"/>
      <c r="F1479" s="1017"/>
      <c r="G1479" s="1017"/>
      <c r="H1479" s="1017"/>
      <c r="I1479" s="1017"/>
      <c r="J1479" s="1017"/>
      <c r="K1479" s="1031"/>
      <c r="L1479" s="1021"/>
      <c r="M1479" s="736"/>
      <c r="N1479" s="736"/>
      <c r="O1479" s="736"/>
    </row>
    <row r="1480">
      <c r="A1480" s="1014"/>
      <c r="B1480" s="1029"/>
      <c r="C1480" s="1017"/>
      <c r="D1480" s="1017"/>
      <c r="E1480" s="1017"/>
      <c r="F1480" s="1017"/>
      <c r="G1480" s="1017"/>
      <c r="H1480" s="1017"/>
      <c r="I1480" s="1017"/>
      <c r="J1480" s="1017"/>
      <c r="K1480" s="1031"/>
      <c r="L1480" s="1021"/>
      <c r="M1480" s="736"/>
      <c r="N1480" s="736"/>
      <c r="O1480" s="736"/>
    </row>
    <row r="1481">
      <c r="A1481" s="1014"/>
      <c r="B1481" s="1029"/>
      <c r="C1481" s="1017"/>
      <c r="D1481" s="1017"/>
      <c r="E1481" s="1017"/>
      <c r="F1481" s="1017"/>
      <c r="G1481" s="1017"/>
      <c r="H1481" s="1017"/>
      <c r="I1481" s="1017"/>
      <c r="J1481" s="1017"/>
      <c r="K1481" s="1031"/>
      <c r="L1481" s="1021"/>
      <c r="M1481" s="736"/>
      <c r="N1481" s="736"/>
      <c r="O1481" s="736"/>
    </row>
    <row r="1482">
      <c r="A1482" s="1014"/>
      <c r="B1482" s="1029"/>
      <c r="C1482" s="1017"/>
      <c r="D1482" s="1017"/>
      <c r="E1482" s="1017"/>
      <c r="F1482" s="1017"/>
      <c r="G1482" s="1017"/>
      <c r="H1482" s="1017"/>
      <c r="I1482" s="1017"/>
      <c r="J1482" s="1017"/>
      <c r="K1482" s="1031"/>
      <c r="L1482" s="1021"/>
      <c r="M1482" s="736"/>
      <c r="N1482" s="736"/>
      <c r="O1482" s="736"/>
    </row>
    <row r="1483">
      <c r="A1483" s="1014"/>
      <c r="B1483" s="1029"/>
      <c r="C1483" s="1017"/>
      <c r="D1483" s="1017"/>
      <c r="E1483" s="1017"/>
      <c r="F1483" s="1017"/>
      <c r="G1483" s="1017"/>
      <c r="H1483" s="1017"/>
      <c r="I1483" s="1017"/>
      <c r="J1483" s="1017"/>
      <c r="K1483" s="1031"/>
      <c r="L1483" s="1021"/>
      <c r="M1483" s="736"/>
      <c r="N1483" s="736"/>
      <c r="O1483" s="736"/>
    </row>
    <row r="1484">
      <c r="A1484" s="1014"/>
      <c r="B1484" s="1029"/>
      <c r="C1484" s="1017"/>
      <c r="D1484" s="1017"/>
      <c r="E1484" s="1017"/>
      <c r="F1484" s="1017"/>
      <c r="G1484" s="1017"/>
      <c r="H1484" s="1017"/>
      <c r="I1484" s="1017"/>
      <c r="J1484" s="1017"/>
      <c r="K1484" s="1031"/>
      <c r="L1484" s="1021"/>
      <c r="M1484" s="736"/>
      <c r="N1484" s="736"/>
      <c r="O1484" s="736"/>
    </row>
    <row r="1485">
      <c r="A1485" s="1014"/>
      <c r="B1485" s="1029"/>
      <c r="C1485" s="1017"/>
      <c r="D1485" s="1017"/>
      <c r="E1485" s="1017"/>
      <c r="F1485" s="1017"/>
      <c r="G1485" s="1017"/>
      <c r="H1485" s="1017"/>
      <c r="I1485" s="1017"/>
      <c r="J1485" s="1017"/>
      <c r="K1485" s="1031"/>
      <c r="L1485" s="1021"/>
      <c r="M1485" s="736"/>
      <c r="N1485" s="736"/>
      <c r="O1485" s="736"/>
    </row>
    <row r="1486">
      <c r="A1486" s="1014"/>
      <c r="B1486" s="1029"/>
      <c r="C1486" s="1017"/>
      <c r="D1486" s="1017"/>
      <c r="E1486" s="1017"/>
      <c r="F1486" s="1017"/>
      <c r="G1486" s="1017"/>
      <c r="H1486" s="1017"/>
      <c r="I1486" s="1017"/>
      <c r="J1486" s="1017"/>
      <c r="K1486" s="1031"/>
      <c r="L1486" s="1021"/>
      <c r="M1486" s="736"/>
      <c r="N1486" s="736"/>
      <c r="O1486" s="736"/>
    </row>
    <row r="1487">
      <c r="A1487" s="1014"/>
      <c r="B1487" s="1029"/>
      <c r="C1487" s="1017"/>
      <c r="D1487" s="1017"/>
      <c r="E1487" s="1017"/>
      <c r="F1487" s="1017"/>
      <c r="G1487" s="1017"/>
      <c r="H1487" s="1017"/>
      <c r="I1487" s="1017"/>
      <c r="J1487" s="1017"/>
      <c r="K1487" s="1031"/>
      <c r="L1487" s="1021"/>
      <c r="M1487" s="736"/>
      <c r="N1487" s="736"/>
      <c r="O1487" s="736"/>
    </row>
    <row r="1488">
      <c r="A1488" s="1014"/>
      <c r="B1488" s="1029"/>
      <c r="C1488" s="1017"/>
      <c r="D1488" s="1017"/>
      <c r="E1488" s="1017"/>
      <c r="F1488" s="1017"/>
      <c r="G1488" s="1017"/>
      <c r="H1488" s="1017"/>
      <c r="I1488" s="1017"/>
      <c r="J1488" s="1017"/>
      <c r="K1488" s="1031"/>
      <c r="L1488" s="1021"/>
      <c r="M1488" s="736"/>
      <c r="N1488" s="736"/>
      <c r="O1488" s="736"/>
    </row>
    <row r="1489">
      <c r="A1489" s="1014"/>
      <c r="B1489" s="1029"/>
      <c r="C1489" s="1017"/>
      <c r="D1489" s="1017"/>
      <c r="E1489" s="1017"/>
      <c r="F1489" s="1017"/>
      <c r="G1489" s="1017"/>
      <c r="H1489" s="1017"/>
      <c r="I1489" s="1017"/>
      <c r="J1489" s="1017"/>
      <c r="K1489" s="1031"/>
      <c r="L1489" s="1021"/>
      <c r="M1489" s="736"/>
      <c r="N1489" s="736"/>
      <c r="O1489" s="736"/>
    </row>
    <row r="1490">
      <c r="A1490" s="1014"/>
      <c r="B1490" s="1029"/>
      <c r="C1490" s="1017"/>
      <c r="D1490" s="1017"/>
      <c r="E1490" s="1017"/>
      <c r="F1490" s="1017"/>
      <c r="G1490" s="1017"/>
      <c r="H1490" s="1017"/>
      <c r="I1490" s="1017"/>
      <c r="J1490" s="1017"/>
      <c r="K1490" s="1031"/>
      <c r="L1490" s="1021"/>
      <c r="M1490" s="736"/>
      <c r="N1490" s="736"/>
      <c r="O1490" s="736"/>
    </row>
    <row r="1491">
      <c r="A1491" s="1014"/>
      <c r="B1491" s="1029"/>
      <c r="C1491" s="1017"/>
      <c r="D1491" s="1017"/>
      <c r="E1491" s="1017"/>
      <c r="F1491" s="1017"/>
      <c r="G1491" s="1017"/>
      <c r="H1491" s="1017"/>
      <c r="I1491" s="1017"/>
      <c r="J1491" s="1017"/>
      <c r="K1491" s="1031"/>
      <c r="L1491" s="1021"/>
      <c r="M1491" s="736"/>
      <c r="N1491" s="736"/>
      <c r="O1491" s="736"/>
    </row>
    <row r="1492">
      <c r="A1492" s="1014"/>
      <c r="B1492" s="1029"/>
      <c r="C1492" s="1017"/>
      <c r="D1492" s="1017"/>
      <c r="E1492" s="1017"/>
      <c r="F1492" s="1017"/>
      <c r="G1492" s="1017"/>
      <c r="H1492" s="1017"/>
      <c r="I1492" s="1017"/>
      <c r="J1492" s="1017"/>
      <c r="K1492" s="1031"/>
      <c r="L1492" s="1021"/>
      <c r="M1492" s="736"/>
      <c r="N1492" s="736"/>
      <c r="O1492" s="736"/>
    </row>
    <row r="1493">
      <c r="A1493" s="1014"/>
      <c r="B1493" s="1029"/>
      <c r="C1493" s="1017"/>
      <c r="D1493" s="1017"/>
      <c r="E1493" s="1017"/>
      <c r="F1493" s="1017"/>
      <c r="G1493" s="1017"/>
      <c r="H1493" s="1017"/>
      <c r="I1493" s="1017"/>
      <c r="J1493" s="1017"/>
      <c r="K1493" s="1031"/>
      <c r="L1493" s="1021"/>
      <c r="M1493" s="736"/>
      <c r="N1493" s="736"/>
      <c r="O1493" s="736"/>
    </row>
    <row r="1494">
      <c r="A1494" s="1014"/>
      <c r="B1494" s="1029"/>
      <c r="C1494" s="1017"/>
      <c r="D1494" s="1017"/>
      <c r="E1494" s="1017"/>
      <c r="F1494" s="1017"/>
      <c r="G1494" s="1017"/>
      <c r="H1494" s="1017"/>
      <c r="I1494" s="1017"/>
      <c r="J1494" s="1017"/>
      <c r="K1494" s="1031"/>
      <c r="L1494" s="1021"/>
      <c r="M1494" s="736"/>
      <c r="N1494" s="736"/>
      <c r="O1494" s="736"/>
    </row>
    <row r="1495">
      <c r="A1495" s="1014"/>
      <c r="B1495" s="1029"/>
      <c r="C1495" s="1017"/>
      <c r="D1495" s="1017"/>
      <c r="E1495" s="1017"/>
      <c r="F1495" s="1017"/>
      <c r="G1495" s="1017"/>
      <c r="H1495" s="1017"/>
      <c r="I1495" s="1017"/>
      <c r="J1495" s="1017"/>
      <c r="K1495" s="1031"/>
      <c r="L1495" s="1021"/>
      <c r="M1495" s="736"/>
      <c r="N1495" s="736"/>
      <c r="O1495" s="736"/>
    </row>
    <row r="1496">
      <c r="A1496" s="1014"/>
      <c r="B1496" s="1029"/>
      <c r="C1496" s="1017"/>
      <c r="D1496" s="1017"/>
      <c r="E1496" s="1017"/>
      <c r="F1496" s="1017"/>
      <c r="G1496" s="1017"/>
      <c r="H1496" s="1017"/>
      <c r="I1496" s="1017"/>
      <c r="J1496" s="1017"/>
      <c r="K1496" s="1031"/>
      <c r="L1496" s="1021"/>
      <c r="M1496" s="736"/>
      <c r="N1496" s="736"/>
      <c r="O1496" s="736"/>
    </row>
    <row r="1497">
      <c r="A1497" s="1014"/>
      <c r="B1497" s="1029"/>
      <c r="C1497" s="1017"/>
      <c r="D1497" s="1017"/>
      <c r="E1497" s="1017"/>
      <c r="F1497" s="1017"/>
      <c r="G1497" s="1017"/>
      <c r="H1497" s="1017"/>
      <c r="I1497" s="1017"/>
      <c r="J1497" s="1017"/>
      <c r="K1497" s="1031"/>
      <c r="L1497" s="1021"/>
      <c r="M1497" s="736"/>
      <c r="N1497" s="736"/>
      <c r="O1497" s="736"/>
    </row>
    <row r="1498">
      <c r="A1498" s="1014"/>
      <c r="B1498" s="1029"/>
      <c r="C1498" s="1017"/>
      <c r="D1498" s="1017"/>
      <c r="E1498" s="1017"/>
      <c r="F1498" s="1017"/>
      <c r="G1498" s="1017"/>
      <c r="H1498" s="1017"/>
      <c r="I1498" s="1017"/>
      <c r="J1498" s="1017"/>
      <c r="K1498" s="1031"/>
      <c r="L1498" s="1021"/>
      <c r="M1498" s="736"/>
      <c r="N1498" s="736"/>
      <c r="O1498" s="736"/>
    </row>
    <row r="1499">
      <c r="A1499" s="1014"/>
      <c r="B1499" s="1029"/>
      <c r="C1499" s="1017"/>
      <c r="D1499" s="1017"/>
      <c r="E1499" s="1017"/>
      <c r="F1499" s="1017"/>
      <c r="G1499" s="1017"/>
      <c r="H1499" s="1017"/>
      <c r="I1499" s="1017"/>
      <c r="J1499" s="1017"/>
      <c r="K1499" s="1031"/>
      <c r="L1499" s="1021"/>
      <c r="M1499" s="736"/>
      <c r="N1499" s="736"/>
      <c r="O1499" s="736"/>
    </row>
    <row r="1500">
      <c r="A1500" s="1014"/>
      <c r="B1500" s="1029"/>
      <c r="C1500" s="1017"/>
      <c r="D1500" s="1017"/>
      <c r="E1500" s="1017"/>
      <c r="F1500" s="1017"/>
      <c r="G1500" s="1017"/>
      <c r="H1500" s="1017"/>
      <c r="I1500" s="1017"/>
      <c r="J1500" s="1017"/>
      <c r="K1500" s="1031"/>
      <c r="L1500" s="1021"/>
      <c r="M1500" s="736"/>
      <c r="N1500" s="736"/>
      <c r="O1500" s="736"/>
    </row>
    <row r="1501">
      <c r="A1501" s="1014"/>
      <c r="B1501" s="1029"/>
      <c r="C1501" s="1017"/>
      <c r="D1501" s="1017"/>
      <c r="E1501" s="1017"/>
      <c r="F1501" s="1017"/>
      <c r="G1501" s="1017"/>
      <c r="H1501" s="1017"/>
      <c r="I1501" s="1017"/>
      <c r="J1501" s="1017"/>
      <c r="K1501" s="1031"/>
      <c r="L1501" s="1021"/>
      <c r="M1501" s="736"/>
      <c r="N1501" s="736"/>
      <c r="O1501" s="736"/>
    </row>
    <row r="1502">
      <c r="A1502" s="1014"/>
      <c r="B1502" s="1029"/>
      <c r="C1502" s="1017"/>
      <c r="D1502" s="1017"/>
      <c r="E1502" s="1017"/>
      <c r="F1502" s="1017"/>
      <c r="G1502" s="1017"/>
      <c r="H1502" s="1017"/>
      <c r="I1502" s="1017"/>
      <c r="J1502" s="1017"/>
      <c r="K1502" s="1031"/>
      <c r="L1502" s="1021"/>
      <c r="M1502" s="736"/>
      <c r="N1502" s="736"/>
      <c r="O1502" s="736"/>
    </row>
    <row r="1503">
      <c r="A1503" s="1014"/>
      <c r="B1503" s="1029"/>
      <c r="C1503" s="1017"/>
      <c r="D1503" s="1017"/>
      <c r="E1503" s="1017"/>
      <c r="F1503" s="1017"/>
      <c r="G1503" s="1017"/>
      <c r="H1503" s="1017"/>
      <c r="I1503" s="1017"/>
      <c r="J1503" s="1017"/>
      <c r="K1503" s="1031"/>
      <c r="L1503" s="1021"/>
      <c r="M1503" s="736"/>
      <c r="N1503" s="736"/>
      <c r="O1503" s="736"/>
    </row>
    <row r="1504">
      <c r="A1504" s="1014"/>
      <c r="B1504" s="1029"/>
      <c r="C1504" s="1017"/>
      <c r="D1504" s="1017"/>
      <c r="E1504" s="1017"/>
      <c r="F1504" s="1017"/>
      <c r="G1504" s="1017"/>
      <c r="H1504" s="1017"/>
      <c r="I1504" s="1017"/>
      <c r="J1504" s="1017"/>
      <c r="K1504" s="1031"/>
      <c r="L1504" s="1021"/>
      <c r="M1504" s="736"/>
      <c r="N1504" s="736"/>
      <c r="O1504" s="736"/>
    </row>
    <row r="1505">
      <c r="A1505" s="1014"/>
      <c r="B1505" s="1029"/>
      <c r="C1505" s="1017"/>
      <c r="D1505" s="1017"/>
      <c r="E1505" s="1017"/>
      <c r="F1505" s="1017"/>
      <c r="G1505" s="1017"/>
      <c r="H1505" s="1017"/>
      <c r="I1505" s="1017"/>
      <c r="J1505" s="1017"/>
      <c r="K1505" s="1031"/>
      <c r="L1505" s="1021"/>
      <c r="M1505" s="736"/>
      <c r="N1505" s="736"/>
      <c r="O1505" s="736"/>
    </row>
    <row r="1506">
      <c r="A1506" s="1014"/>
      <c r="B1506" s="1029"/>
      <c r="C1506" s="1017"/>
      <c r="D1506" s="1017"/>
      <c r="E1506" s="1017"/>
      <c r="F1506" s="1017"/>
      <c r="G1506" s="1017"/>
      <c r="H1506" s="1017"/>
      <c r="I1506" s="1017"/>
      <c r="J1506" s="1017"/>
      <c r="K1506" s="1031"/>
      <c r="L1506" s="1021"/>
      <c r="M1506" s="736"/>
      <c r="N1506" s="736"/>
      <c r="O1506" s="736"/>
    </row>
    <row r="1507">
      <c r="A1507" s="1014"/>
      <c r="B1507" s="1029"/>
      <c r="C1507" s="1017"/>
      <c r="D1507" s="1017"/>
      <c r="E1507" s="1017"/>
      <c r="F1507" s="1017"/>
      <c r="G1507" s="1017"/>
      <c r="H1507" s="1017"/>
      <c r="I1507" s="1017"/>
      <c r="J1507" s="1017"/>
      <c r="K1507" s="1031"/>
      <c r="L1507" s="1021"/>
      <c r="M1507" s="736"/>
      <c r="N1507" s="736"/>
      <c r="O1507" s="736"/>
    </row>
    <row r="1508">
      <c r="A1508" s="1014"/>
      <c r="B1508" s="1029"/>
      <c r="C1508" s="1017"/>
      <c r="D1508" s="1017"/>
      <c r="E1508" s="1017"/>
      <c r="F1508" s="1017"/>
      <c r="G1508" s="1017"/>
      <c r="H1508" s="1017"/>
      <c r="I1508" s="1017"/>
      <c r="J1508" s="1017"/>
      <c r="K1508" s="1031"/>
      <c r="L1508" s="1021"/>
      <c r="M1508" s="736"/>
      <c r="N1508" s="736"/>
      <c r="O1508" s="736"/>
    </row>
    <row r="1509">
      <c r="A1509" s="1014"/>
      <c r="B1509" s="1029"/>
      <c r="C1509" s="1017"/>
      <c r="D1509" s="1017"/>
      <c r="E1509" s="1017"/>
      <c r="F1509" s="1017"/>
      <c r="G1509" s="1017"/>
      <c r="H1509" s="1017"/>
      <c r="I1509" s="1017"/>
      <c r="J1509" s="1017"/>
      <c r="K1509" s="1031"/>
      <c r="L1509" s="1021"/>
      <c r="M1509" s="736"/>
      <c r="N1509" s="736"/>
      <c r="O1509" s="736"/>
    </row>
    <row r="1510">
      <c r="A1510" s="1014"/>
      <c r="B1510" s="1029"/>
      <c r="C1510" s="1017"/>
      <c r="D1510" s="1017"/>
      <c r="E1510" s="1017"/>
      <c r="F1510" s="1017"/>
      <c r="G1510" s="1017"/>
      <c r="H1510" s="1017"/>
      <c r="I1510" s="1017"/>
      <c r="J1510" s="1017"/>
      <c r="K1510" s="1031"/>
      <c r="L1510" s="1021"/>
      <c r="M1510" s="736"/>
      <c r="N1510" s="736"/>
      <c r="O1510" s="736"/>
    </row>
    <row r="1511">
      <c r="A1511" s="1014"/>
      <c r="B1511" s="1029"/>
      <c r="C1511" s="1017"/>
      <c r="D1511" s="1017"/>
      <c r="E1511" s="1017"/>
      <c r="F1511" s="1017"/>
      <c r="G1511" s="1017"/>
      <c r="H1511" s="1017"/>
      <c r="I1511" s="1017"/>
      <c r="J1511" s="1017"/>
      <c r="K1511" s="1031"/>
      <c r="L1511" s="1021"/>
      <c r="M1511" s="736"/>
      <c r="N1511" s="736"/>
      <c r="O1511" s="736"/>
    </row>
    <row r="1512">
      <c r="A1512" s="1014"/>
      <c r="B1512" s="1029"/>
      <c r="C1512" s="1017"/>
      <c r="D1512" s="1017"/>
      <c r="E1512" s="1017"/>
      <c r="F1512" s="1017"/>
      <c r="G1512" s="1017"/>
      <c r="H1512" s="1017"/>
      <c r="I1512" s="1017"/>
      <c r="J1512" s="1017"/>
      <c r="K1512" s="1031"/>
      <c r="L1512" s="1021"/>
      <c r="M1512" s="736"/>
      <c r="N1512" s="736"/>
      <c r="O1512" s="736"/>
    </row>
    <row r="1513">
      <c r="A1513" s="1014"/>
      <c r="B1513" s="1029"/>
      <c r="C1513" s="1017"/>
      <c r="D1513" s="1017"/>
      <c r="E1513" s="1017"/>
      <c r="F1513" s="1017"/>
      <c r="G1513" s="1017"/>
      <c r="H1513" s="1017"/>
      <c r="I1513" s="1017"/>
      <c r="J1513" s="1017"/>
      <c r="K1513" s="1031"/>
      <c r="L1513" s="1021"/>
      <c r="M1513" s="736"/>
      <c r="N1513" s="736"/>
      <c r="O1513" s="736"/>
    </row>
    <row r="1514">
      <c r="A1514" s="1014"/>
      <c r="B1514" s="1029"/>
      <c r="C1514" s="1017"/>
      <c r="D1514" s="1017"/>
      <c r="E1514" s="1017"/>
      <c r="F1514" s="1017"/>
      <c r="G1514" s="1017"/>
      <c r="H1514" s="1017"/>
      <c r="I1514" s="1017"/>
      <c r="J1514" s="1017"/>
      <c r="K1514" s="1031"/>
      <c r="L1514" s="1021"/>
      <c r="M1514" s="736"/>
      <c r="N1514" s="736"/>
      <c r="O1514" s="736"/>
    </row>
    <row r="1515">
      <c r="A1515" s="1014"/>
      <c r="B1515" s="1029"/>
      <c r="C1515" s="1017"/>
      <c r="D1515" s="1017"/>
      <c r="E1515" s="1017"/>
      <c r="F1515" s="1017"/>
      <c r="G1515" s="1017"/>
      <c r="H1515" s="1017"/>
      <c r="I1515" s="1017"/>
      <c r="J1515" s="1017"/>
      <c r="K1515" s="1031"/>
      <c r="L1515" s="1021"/>
      <c r="M1515" s="736"/>
      <c r="N1515" s="736"/>
      <c r="O1515" s="736"/>
    </row>
    <row r="1516">
      <c r="A1516" s="1014"/>
      <c r="B1516" s="1029"/>
      <c r="C1516" s="1017"/>
      <c r="D1516" s="1017"/>
      <c r="E1516" s="1017"/>
      <c r="F1516" s="1017"/>
      <c r="G1516" s="1017"/>
      <c r="H1516" s="1017"/>
      <c r="I1516" s="1017"/>
      <c r="J1516" s="1017"/>
      <c r="K1516" s="1031"/>
      <c r="L1516" s="1021"/>
      <c r="M1516" s="736"/>
      <c r="N1516" s="736"/>
      <c r="O1516" s="736"/>
    </row>
    <row r="1517">
      <c r="A1517" s="1014"/>
      <c r="B1517" s="1029"/>
      <c r="C1517" s="1017"/>
      <c r="D1517" s="1017"/>
      <c r="E1517" s="1017"/>
      <c r="F1517" s="1017"/>
      <c r="G1517" s="1017"/>
      <c r="H1517" s="1017"/>
      <c r="I1517" s="1017"/>
      <c r="J1517" s="1017"/>
      <c r="K1517" s="1031"/>
      <c r="L1517" s="1021"/>
      <c r="M1517" s="736"/>
      <c r="N1517" s="736"/>
      <c r="O1517" s="736"/>
    </row>
    <row r="1518">
      <c r="A1518" s="1014"/>
      <c r="B1518" s="1029"/>
      <c r="C1518" s="1017"/>
      <c r="D1518" s="1017"/>
      <c r="E1518" s="1017"/>
      <c r="F1518" s="1017"/>
      <c r="G1518" s="1017"/>
      <c r="H1518" s="1017"/>
      <c r="I1518" s="1017"/>
      <c r="J1518" s="1017"/>
      <c r="K1518" s="1031"/>
      <c r="L1518" s="1021"/>
      <c r="M1518" s="736"/>
      <c r="N1518" s="736"/>
      <c r="O1518" s="736"/>
    </row>
    <row r="1519">
      <c r="A1519" s="1014"/>
      <c r="B1519" s="1029"/>
      <c r="C1519" s="1017"/>
      <c r="D1519" s="1017"/>
      <c r="E1519" s="1017"/>
      <c r="F1519" s="1017"/>
      <c r="G1519" s="1017"/>
      <c r="H1519" s="1017"/>
      <c r="I1519" s="1017"/>
      <c r="J1519" s="1017"/>
      <c r="K1519" s="1031"/>
      <c r="L1519" s="1021"/>
      <c r="M1519" s="736"/>
      <c r="N1519" s="736"/>
      <c r="O1519" s="736"/>
    </row>
    <row r="1520">
      <c r="A1520" s="1014"/>
      <c r="B1520" s="1029"/>
      <c r="C1520" s="1017"/>
      <c r="D1520" s="1017"/>
      <c r="E1520" s="1017"/>
      <c r="F1520" s="1017"/>
      <c r="G1520" s="1017"/>
      <c r="H1520" s="1017"/>
      <c r="I1520" s="1017"/>
      <c r="J1520" s="1017"/>
      <c r="K1520" s="1031"/>
      <c r="L1520" s="1021"/>
      <c r="M1520" s="736"/>
      <c r="N1520" s="736"/>
      <c r="O1520" s="736"/>
    </row>
    <row r="1521">
      <c r="A1521" s="1014"/>
      <c r="B1521" s="1029"/>
      <c r="C1521" s="1017"/>
      <c r="D1521" s="1017"/>
      <c r="E1521" s="1017"/>
      <c r="F1521" s="1017"/>
      <c r="G1521" s="1017"/>
      <c r="H1521" s="1017"/>
      <c r="I1521" s="1017"/>
      <c r="J1521" s="1017"/>
      <c r="K1521" s="1031"/>
      <c r="L1521" s="1021"/>
      <c r="M1521" s="736"/>
      <c r="N1521" s="736"/>
      <c r="O1521" s="736"/>
    </row>
    <row r="1522">
      <c r="A1522" s="1014"/>
      <c r="B1522" s="1029"/>
      <c r="C1522" s="1017"/>
      <c r="D1522" s="1017"/>
      <c r="E1522" s="1017"/>
      <c r="F1522" s="1017"/>
      <c r="G1522" s="1017"/>
      <c r="H1522" s="1017"/>
      <c r="I1522" s="1017"/>
      <c r="J1522" s="1017"/>
      <c r="K1522" s="1031"/>
      <c r="L1522" s="1021"/>
      <c r="M1522" s="736"/>
      <c r="N1522" s="736"/>
      <c r="O1522" s="736"/>
    </row>
    <row r="1523">
      <c r="A1523" s="1014"/>
      <c r="B1523" s="1029"/>
      <c r="C1523" s="1017"/>
      <c r="D1523" s="1017"/>
      <c r="E1523" s="1017"/>
      <c r="F1523" s="1017"/>
      <c r="G1523" s="1017"/>
      <c r="H1523" s="1017"/>
      <c r="I1523" s="1017"/>
      <c r="J1523" s="1017"/>
      <c r="K1523" s="1031"/>
      <c r="L1523" s="1021"/>
      <c r="M1523" s="736"/>
      <c r="N1523" s="736"/>
      <c r="O1523" s="736"/>
    </row>
    <row r="1524">
      <c r="A1524" s="1014"/>
      <c r="B1524" s="1029"/>
      <c r="C1524" s="1017"/>
      <c r="D1524" s="1017"/>
      <c r="E1524" s="1017"/>
      <c r="F1524" s="1017"/>
      <c r="G1524" s="1017"/>
      <c r="H1524" s="1017"/>
      <c r="I1524" s="1017"/>
      <c r="J1524" s="1017"/>
      <c r="K1524" s="1031"/>
      <c r="L1524" s="1021"/>
      <c r="M1524" s="736"/>
      <c r="N1524" s="736"/>
      <c r="O1524" s="736"/>
    </row>
    <row r="1525">
      <c r="A1525" s="1014"/>
      <c r="B1525" s="1029"/>
      <c r="C1525" s="1017"/>
      <c r="D1525" s="1017"/>
      <c r="E1525" s="1017"/>
      <c r="F1525" s="1017"/>
      <c r="G1525" s="1017"/>
      <c r="H1525" s="1017"/>
      <c r="I1525" s="1017"/>
      <c r="J1525" s="1017"/>
      <c r="K1525" s="1031"/>
      <c r="L1525" s="1021"/>
      <c r="M1525" s="736"/>
      <c r="N1525" s="736"/>
      <c r="O1525" s="736"/>
    </row>
    <row r="1526">
      <c r="A1526" s="1014"/>
      <c r="B1526" s="1029"/>
      <c r="C1526" s="1017"/>
      <c r="D1526" s="1017"/>
      <c r="E1526" s="1017"/>
      <c r="F1526" s="1017"/>
      <c r="G1526" s="1017"/>
      <c r="H1526" s="1017"/>
      <c r="I1526" s="1017"/>
      <c r="J1526" s="1017"/>
      <c r="K1526" s="1031"/>
      <c r="L1526" s="1021"/>
      <c r="M1526" s="736"/>
      <c r="N1526" s="736"/>
      <c r="O1526" s="736"/>
    </row>
    <row r="1527">
      <c r="A1527" s="1014"/>
      <c r="B1527" s="1029"/>
      <c r="C1527" s="1017"/>
      <c r="D1527" s="1017"/>
      <c r="E1527" s="1017"/>
      <c r="F1527" s="1017"/>
      <c r="G1527" s="1017"/>
      <c r="H1527" s="1017"/>
      <c r="I1527" s="1017"/>
      <c r="J1527" s="1017"/>
      <c r="K1527" s="1031"/>
      <c r="L1527" s="1021"/>
      <c r="M1527" s="736"/>
      <c r="N1527" s="736"/>
      <c r="O1527" s="736"/>
    </row>
  </sheetData>
  <drawing r:id="rId1"/>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pane ySplit="1.0" topLeftCell="A2" activePane="bottomLeft" state="frozen"/>
      <selection activeCell="B3" sqref="B3" pane="bottomLeft"/>
    </sheetView>
  </sheetViews>
  <sheetFormatPr customHeight="1" defaultColWidth="14.43" defaultRowHeight="15.75"/>
  <cols>
    <col customWidth="1" min="1" max="1" width="23.29"/>
    <col customWidth="1" min="2" max="4" width="25.0"/>
    <col customWidth="1" min="5" max="7" width="20.14"/>
    <col customWidth="1" min="13" max="13" width="13.71"/>
  </cols>
  <sheetData>
    <row r="1">
      <c r="A1" s="991" t="s">
        <v>14</v>
      </c>
      <c r="B1" s="992" t="s">
        <v>17</v>
      </c>
      <c r="C1" s="993" t="s">
        <v>2767</v>
      </c>
      <c r="D1" s="994" t="s">
        <v>2768</v>
      </c>
      <c r="E1" s="995" t="s">
        <v>2769</v>
      </c>
      <c r="F1" s="995" t="s">
        <v>2769</v>
      </c>
      <c r="G1" s="995" t="s">
        <v>2770</v>
      </c>
      <c r="I1" s="996" t="s">
        <v>2768</v>
      </c>
      <c r="J1" s="997" t="s">
        <v>2771</v>
      </c>
      <c r="L1" s="998" t="s">
        <v>2768</v>
      </c>
      <c r="M1" s="999" t="s">
        <v>2772</v>
      </c>
      <c r="N1" s="999" t="s">
        <v>2773</v>
      </c>
      <c r="O1" s="1000" t="s">
        <v>2774</v>
      </c>
      <c r="P1" s="1001" t="s">
        <v>2772</v>
      </c>
      <c r="Q1" s="1001" t="s">
        <v>2773</v>
      </c>
      <c r="R1" s="1002" t="s">
        <v>2774</v>
      </c>
    </row>
    <row r="2">
      <c r="A2" t="s">
        <v>1784</v>
      </c>
      <c r="B2" s="1003">
        <v>42736.0</v>
      </c>
      <c r="C2" s="1004">
        <f t="shared" ref="C2:C1146" si="1">B2-date(year(B2),1,1)+1</f>
        <v>1</v>
      </c>
      <c r="D2" s="1005">
        <f t="shared" ref="D2:D1146" si="2">C2/366*12</f>
        <v>0.03278688525</v>
      </c>
      <c r="E2" s="1006">
        <f t="shared" ref="E2:E1146" si="3">ROUNDUP(D2)</f>
        <v>1</v>
      </c>
      <c r="F2" s="1006" t="str">
        <f t="array" ref="F2:F1527">if(E2:E1527="","",vlookup(E2:E1527,L31:M42,2,0))</f>
        <v>January</v>
      </c>
      <c r="G2" s="1007">
        <v>0.008908418404448892</v>
      </c>
      <c r="H2" s="1008">
        <f t="array" ref="H2:H1527">if(G2:G1527="","",if(G2:G1527&lt;-1%,-1,if(G2:G1527&gt;1%,1,0)))</f>
        <v>0</v>
      </c>
      <c r="I2" s="1009">
        <v>0.0</v>
      </c>
      <c r="J2" s="1010">
        <v>-0.004848471940829907</v>
      </c>
      <c r="L2" s="338">
        <v>1.0</v>
      </c>
      <c r="M2">
        <f t="shared" ref="M2:M13" si="4">sumifs(H3:H1527,E3:E1527,"="&amp;L2,H3:H1527,-1)</f>
        <v>-17</v>
      </c>
      <c r="N2">
        <f t="shared" ref="N2:N13" si="5">sumifs(H3:H1527,E3:E1527,"="&amp;L2,H3:H1527,1)</f>
        <v>11</v>
      </c>
      <c r="O2" s="338">
        <f t="shared" ref="O2:O13" si="6">M2+N2</f>
        <v>-6</v>
      </c>
      <c r="P2" s="1011">
        <f t="shared" ref="P2:P13" si="7">M2/(ABS(M2)+N2)</f>
        <v>-0.6071428571</v>
      </c>
      <c r="Q2" s="1011">
        <f t="shared" ref="Q2:Q13" si="8">N2/(ABS(M2)+N2)</f>
        <v>0.3928571429</v>
      </c>
      <c r="R2" s="1011">
        <f t="shared" ref="R2:R13" si="9">O2/(ABS(M2)+N2)</f>
        <v>-0.2142857143</v>
      </c>
    </row>
    <row r="3">
      <c r="A3" t="s">
        <v>607</v>
      </c>
      <c r="B3" s="1003">
        <v>42736.0</v>
      </c>
      <c r="C3" s="1004">
        <f t="shared" si="1"/>
        <v>1</v>
      </c>
      <c r="D3" s="1005">
        <f t="shared" si="2"/>
        <v>0.03278688525</v>
      </c>
      <c r="E3" s="1006">
        <f t="shared" si="3"/>
        <v>1</v>
      </c>
      <c r="F3" s="1006" t="s">
        <v>2775</v>
      </c>
      <c r="G3" s="1007">
        <v>0.00420423889995869</v>
      </c>
      <c r="H3" s="1012">
        <v>0.0</v>
      </c>
      <c r="I3" s="1009">
        <v>0.1</v>
      </c>
      <c r="J3" s="1010">
        <v>-0.0010730699842151025</v>
      </c>
      <c r="L3" s="338">
        <v>2.0</v>
      </c>
      <c r="M3">
        <f t="shared" si="4"/>
        <v>-28</v>
      </c>
      <c r="N3">
        <f t="shared" si="5"/>
        <v>16</v>
      </c>
      <c r="O3" s="338">
        <f t="shared" si="6"/>
        <v>-12</v>
      </c>
      <c r="P3" s="1011">
        <f t="shared" si="7"/>
        <v>-0.6363636364</v>
      </c>
      <c r="Q3" s="1011">
        <f t="shared" si="8"/>
        <v>0.3636363636</v>
      </c>
      <c r="R3" s="1011">
        <f t="shared" si="9"/>
        <v>-0.2727272727</v>
      </c>
    </row>
    <row r="4">
      <c r="A4" t="s">
        <v>169</v>
      </c>
      <c r="B4" s="1003">
        <v>42370.0</v>
      </c>
      <c r="C4" s="1004">
        <f t="shared" si="1"/>
        <v>1</v>
      </c>
      <c r="D4" s="1005">
        <f t="shared" si="2"/>
        <v>0.03278688525</v>
      </c>
      <c r="E4" s="1006">
        <f t="shared" si="3"/>
        <v>1</v>
      </c>
      <c r="F4" s="1006" t="s">
        <v>2775</v>
      </c>
      <c r="G4" s="1007">
        <v>-0.01707122037938036</v>
      </c>
      <c r="H4" s="1012">
        <v>-1.0</v>
      </c>
      <c r="I4" s="1009">
        <v>0.2</v>
      </c>
      <c r="J4" s="1010">
        <v>-6.47671869475941E-4</v>
      </c>
      <c r="L4" s="338">
        <v>3.0</v>
      </c>
      <c r="M4">
        <f t="shared" si="4"/>
        <v>-20</v>
      </c>
      <c r="N4">
        <f t="shared" si="5"/>
        <v>23</v>
      </c>
      <c r="O4" s="338">
        <f t="shared" si="6"/>
        <v>3</v>
      </c>
      <c r="P4" s="1011">
        <f t="shared" si="7"/>
        <v>-0.4651162791</v>
      </c>
      <c r="Q4" s="1011">
        <f t="shared" si="8"/>
        <v>0.5348837209</v>
      </c>
      <c r="R4" s="1011">
        <f t="shared" si="9"/>
        <v>0.06976744186</v>
      </c>
    </row>
    <row r="5">
      <c r="A5" t="s">
        <v>218</v>
      </c>
      <c r="B5" s="1003">
        <v>42005.0</v>
      </c>
      <c r="C5" s="1004">
        <f t="shared" si="1"/>
        <v>1</v>
      </c>
      <c r="D5" s="1005">
        <f t="shared" si="2"/>
        <v>0.03278688525</v>
      </c>
      <c r="E5" s="1006">
        <f t="shared" si="3"/>
        <v>1</v>
      </c>
      <c r="F5" s="1006" t="s">
        <v>2775</v>
      </c>
      <c r="G5" s="1007">
        <v>-0.015435324688346852</v>
      </c>
      <c r="H5" s="1012">
        <v>-1.0</v>
      </c>
      <c r="I5" s="1009">
        <v>0.3</v>
      </c>
      <c r="J5" s="1010">
        <v>-0.004750857619073586</v>
      </c>
      <c r="L5" s="338">
        <v>4.0</v>
      </c>
      <c r="M5">
        <f t="shared" si="4"/>
        <v>-19</v>
      </c>
      <c r="N5">
        <f t="shared" si="5"/>
        <v>29</v>
      </c>
      <c r="O5" s="338">
        <f t="shared" si="6"/>
        <v>10</v>
      </c>
      <c r="P5" s="1011">
        <f t="shared" si="7"/>
        <v>-0.3958333333</v>
      </c>
      <c r="Q5" s="1011">
        <f t="shared" si="8"/>
        <v>0.6041666667</v>
      </c>
      <c r="R5" s="1011">
        <f t="shared" si="9"/>
        <v>0.2083333333</v>
      </c>
    </row>
    <row r="6">
      <c r="A6" t="s">
        <v>143</v>
      </c>
      <c r="B6" s="1003">
        <v>42737.0</v>
      </c>
      <c r="C6" s="1004">
        <f t="shared" si="1"/>
        <v>2</v>
      </c>
      <c r="D6" s="1005">
        <f t="shared" si="2"/>
        <v>0.06557377049</v>
      </c>
      <c r="E6" s="1006">
        <f t="shared" si="3"/>
        <v>1</v>
      </c>
      <c r="F6" s="1006" t="s">
        <v>2775</v>
      </c>
      <c r="G6" s="1007">
        <v>0.006178299275154897</v>
      </c>
      <c r="H6" s="1012">
        <v>0.0</v>
      </c>
      <c r="I6" s="1009">
        <v>0.4</v>
      </c>
      <c r="J6" s="1010">
        <v>-0.015589485945261716</v>
      </c>
      <c r="L6" s="338">
        <v>5.0</v>
      </c>
      <c r="M6">
        <f t="shared" si="4"/>
        <v>-12</v>
      </c>
      <c r="N6">
        <f t="shared" si="5"/>
        <v>33</v>
      </c>
      <c r="O6" s="338">
        <f t="shared" si="6"/>
        <v>21</v>
      </c>
      <c r="P6" s="1011">
        <f t="shared" si="7"/>
        <v>-0.2666666667</v>
      </c>
      <c r="Q6" s="1011">
        <f t="shared" si="8"/>
        <v>0.7333333333</v>
      </c>
      <c r="R6" s="1011">
        <f t="shared" si="9"/>
        <v>0.4666666667</v>
      </c>
    </row>
    <row r="7">
      <c r="A7" t="s">
        <v>1791</v>
      </c>
      <c r="B7" s="1003">
        <v>42371.0</v>
      </c>
      <c r="C7" s="1004">
        <f t="shared" si="1"/>
        <v>2</v>
      </c>
      <c r="D7" s="1005">
        <f t="shared" si="2"/>
        <v>0.06557377049</v>
      </c>
      <c r="E7" s="1006">
        <f t="shared" si="3"/>
        <v>1</v>
      </c>
      <c r="F7" s="1006" t="s">
        <v>2775</v>
      </c>
      <c r="G7" s="1007">
        <v>-0.027427225131898214</v>
      </c>
      <c r="H7" s="1012">
        <v>-1.0</v>
      </c>
      <c r="I7" s="1009">
        <v>0.5</v>
      </c>
      <c r="J7" s="1010">
        <v>-0.002511817201385276</v>
      </c>
      <c r="L7" s="338">
        <v>6.0</v>
      </c>
      <c r="M7">
        <f t="shared" si="4"/>
        <v>-21</v>
      </c>
      <c r="N7">
        <f t="shared" si="5"/>
        <v>32</v>
      </c>
      <c r="O7" s="338">
        <f t="shared" si="6"/>
        <v>11</v>
      </c>
      <c r="P7" s="1011">
        <f t="shared" si="7"/>
        <v>-0.3962264151</v>
      </c>
      <c r="Q7" s="1011">
        <f t="shared" si="8"/>
        <v>0.6037735849</v>
      </c>
      <c r="R7" s="1011">
        <f t="shared" si="9"/>
        <v>0.2075471698</v>
      </c>
    </row>
    <row r="8">
      <c r="A8" t="s">
        <v>1817</v>
      </c>
      <c r="B8" s="1003">
        <v>42372.0</v>
      </c>
      <c r="C8" s="1004">
        <f t="shared" si="1"/>
        <v>3</v>
      </c>
      <c r="D8" s="1005">
        <f t="shared" si="2"/>
        <v>0.09836065574</v>
      </c>
      <c r="E8" s="1006">
        <f t="shared" si="3"/>
        <v>1</v>
      </c>
      <c r="F8" s="1006" t="s">
        <v>2775</v>
      </c>
      <c r="G8" s="1007">
        <v>0.01602354745212642</v>
      </c>
      <c r="H8" s="1012">
        <v>1.0</v>
      </c>
      <c r="I8" s="1009">
        <v>0.6</v>
      </c>
      <c r="J8" s="1010">
        <v>-3.1230202330312373E-6</v>
      </c>
      <c r="L8" s="338">
        <v>7.0</v>
      </c>
      <c r="M8">
        <f t="shared" si="4"/>
        <v>-14</v>
      </c>
      <c r="N8">
        <f t="shared" si="5"/>
        <v>25</v>
      </c>
      <c r="O8" s="338">
        <f t="shared" si="6"/>
        <v>11</v>
      </c>
      <c r="P8" s="1011">
        <f t="shared" si="7"/>
        <v>-0.358974359</v>
      </c>
      <c r="Q8" s="1011">
        <f t="shared" si="8"/>
        <v>0.641025641</v>
      </c>
      <c r="R8" s="1011">
        <f t="shared" si="9"/>
        <v>0.2820512821</v>
      </c>
    </row>
    <row r="9">
      <c r="A9" t="s">
        <v>466</v>
      </c>
      <c r="B9" s="1003">
        <v>42007.0</v>
      </c>
      <c r="C9" s="1004">
        <f t="shared" si="1"/>
        <v>3</v>
      </c>
      <c r="D9" s="1005">
        <f t="shared" si="2"/>
        <v>0.09836065574</v>
      </c>
      <c r="E9" s="1006">
        <f t="shared" si="3"/>
        <v>1</v>
      </c>
      <c r="F9" s="1006" t="s">
        <v>2775</v>
      </c>
      <c r="G9" s="1007">
        <v>-0.014673699756108105</v>
      </c>
      <c r="H9" s="1012">
        <v>-1.0</v>
      </c>
      <c r="I9" s="1009">
        <v>0.7</v>
      </c>
      <c r="J9" s="1010">
        <v>-8.929531523368553E-5</v>
      </c>
      <c r="L9" s="338">
        <v>8.0</v>
      </c>
      <c r="M9">
        <f t="shared" si="4"/>
        <v>-27</v>
      </c>
      <c r="N9">
        <f t="shared" si="5"/>
        <v>47</v>
      </c>
      <c r="O9" s="338">
        <f t="shared" si="6"/>
        <v>20</v>
      </c>
      <c r="P9" s="1011">
        <f t="shared" si="7"/>
        <v>-0.3648648649</v>
      </c>
      <c r="Q9" s="1011">
        <f t="shared" si="8"/>
        <v>0.6351351351</v>
      </c>
      <c r="R9" s="1011">
        <f t="shared" si="9"/>
        <v>0.2702702703</v>
      </c>
    </row>
    <row r="10">
      <c r="A10" t="s">
        <v>513</v>
      </c>
      <c r="B10" s="1003">
        <v>42373.0</v>
      </c>
      <c r="C10" s="1004">
        <f t="shared" si="1"/>
        <v>4</v>
      </c>
      <c r="D10" s="1005">
        <f t="shared" si="2"/>
        <v>0.131147541</v>
      </c>
      <c r="E10" s="1006">
        <f t="shared" si="3"/>
        <v>1</v>
      </c>
      <c r="F10" s="1006" t="s">
        <v>2775</v>
      </c>
      <c r="G10" s="1007">
        <v>0.01453372823964949</v>
      </c>
      <c r="H10" s="1012">
        <v>1.0</v>
      </c>
      <c r="I10" s="1009">
        <v>0.8</v>
      </c>
      <c r="J10" s="1010">
        <v>-0.004896950338040511</v>
      </c>
      <c r="L10" s="338">
        <v>9.0</v>
      </c>
      <c r="M10">
        <f t="shared" si="4"/>
        <v>-31</v>
      </c>
      <c r="N10">
        <f t="shared" si="5"/>
        <v>47</v>
      </c>
      <c r="O10" s="338">
        <f t="shared" si="6"/>
        <v>16</v>
      </c>
      <c r="P10" s="1011">
        <f t="shared" si="7"/>
        <v>-0.3974358974</v>
      </c>
      <c r="Q10" s="1011">
        <f t="shared" si="8"/>
        <v>0.6025641026</v>
      </c>
      <c r="R10" s="1011">
        <f t="shared" si="9"/>
        <v>0.2051282051</v>
      </c>
    </row>
    <row r="11">
      <c r="A11" t="s">
        <v>1796</v>
      </c>
      <c r="B11" s="1003">
        <v>42374.0</v>
      </c>
      <c r="C11" s="1004">
        <f t="shared" si="1"/>
        <v>5</v>
      </c>
      <c r="D11" s="1005">
        <f t="shared" si="2"/>
        <v>0.1639344262</v>
      </c>
      <c r="E11" s="1006">
        <f t="shared" si="3"/>
        <v>1</v>
      </c>
      <c r="F11" s="1006" t="s">
        <v>2775</v>
      </c>
      <c r="G11" s="1007">
        <v>0.01021126865746902</v>
      </c>
      <c r="H11" s="1012">
        <v>1.0</v>
      </c>
      <c r="I11" s="1009">
        <v>0.9</v>
      </c>
      <c r="J11" s="1010">
        <v>0.00845131984920855</v>
      </c>
      <c r="L11" s="338">
        <v>10.0</v>
      </c>
      <c r="M11">
        <f t="shared" si="4"/>
        <v>-31</v>
      </c>
      <c r="N11">
        <f t="shared" si="5"/>
        <v>45</v>
      </c>
      <c r="O11" s="338">
        <f t="shared" si="6"/>
        <v>14</v>
      </c>
      <c r="P11" s="1011">
        <f t="shared" si="7"/>
        <v>-0.4078947368</v>
      </c>
      <c r="Q11" s="1011">
        <f t="shared" si="8"/>
        <v>0.5921052632</v>
      </c>
      <c r="R11" s="1011">
        <f t="shared" si="9"/>
        <v>0.1842105263</v>
      </c>
    </row>
    <row r="12">
      <c r="A12" t="s">
        <v>161</v>
      </c>
      <c r="B12" s="1003">
        <v>42374.0</v>
      </c>
      <c r="C12" s="1004">
        <f t="shared" si="1"/>
        <v>5</v>
      </c>
      <c r="D12" s="1005">
        <f t="shared" si="2"/>
        <v>0.1639344262</v>
      </c>
      <c r="E12" s="1006">
        <f t="shared" si="3"/>
        <v>1</v>
      </c>
      <c r="F12" s="1006" t="s">
        <v>2775</v>
      </c>
      <c r="G12" s="1007">
        <v>-0.014479028873884858</v>
      </c>
      <c r="H12" s="1012">
        <v>-1.0</v>
      </c>
      <c r="I12" s="1009">
        <v>1.0</v>
      </c>
      <c r="J12" s="1010">
        <v>0.00485182081406077</v>
      </c>
      <c r="L12" s="338">
        <v>11.0</v>
      </c>
      <c r="M12">
        <f t="shared" si="4"/>
        <v>-29</v>
      </c>
      <c r="N12">
        <f t="shared" si="5"/>
        <v>23</v>
      </c>
      <c r="O12" s="338">
        <f t="shared" si="6"/>
        <v>-6</v>
      </c>
      <c r="P12" s="1011">
        <f t="shared" si="7"/>
        <v>-0.5576923077</v>
      </c>
      <c r="Q12" s="1011">
        <f t="shared" si="8"/>
        <v>0.4423076923</v>
      </c>
      <c r="R12" s="1011">
        <f t="shared" si="9"/>
        <v>-0.1153846154</v>
      </c>
    </row>
    <row r="13">
      <c r="A13" t="s">
        <v>1726</v>
      </c>
      <c r="B13" s="1003">
        <v>42741.0</v>
      </c>
      <c r="C13" s="1004">
        <f t="shared" si="1"/>
        <v>6</v>
      </c>
      <c r="D13" s="1005">
        <f t="shared" si="2"/>
        <v>0.1967213115</v>
      </c>
      <c r="E13" s="1006">
        <f t="shared" si="3"/>
        <v>1</v>
      </c>
      <c r="F13" s="1006" t="s">
        <v>2775</v>
      </c>
      <c r="G13" s="1007">
        <v>0.004138011117555185</v>
      </c>
      <c r="H13" s="1012">
        <v>0.0</v>
      </c>
      <c r="I13" s="1009">
        <v>1.1</v>
      </c>
      <c r="J13" s="1010">
        <v>-0.0028373424822024334</v>
      </c>
      <c r="L13" s="338">
        <v>12.0</v>
      </c>
      <c r="M13">
        <f t="shared" si="4"/>
        <v>-33</v>
      </c>
      <c r="N13">
        <f t="shared" si="5"/>
        <v>24</v>
      </c>
      <c r="O13" s="338">
        <f t="shared" si="6"/>
        <v>-9</v>
      </c>
      <c r="P13" s="1011">
        <f t="shared" si="7"/>
        <v>-0.5789473684</v>
      </c>
      <c r="Q13" s="1011">
        <f t="shared" si="8"/>
        <v>0.4210526316</v>
      </c>
      <c r="R13" s="1011">
        <f t="shared" si="9"/>
        <v>-0.1578947368</v>
      </c>
    </row>
    <row r="14">
      <c r="A14" t="s">
        <v>181</v>
      </c>
      <c r="B14" s="1003">
        <v>42010.0</v>
      </c>
      <c r="C14" s="1004">
        <f t="shared" si="1"/>
        <v>6</v>
      </c>
      <c r="D14" s="1005">
        <f t="shared" si="2"/>
        <v>0.1967213115</v>
      </c>
      <c r="E14" s="1006">
        <f t="shared" si="3"/>
        <v>1</v>
      </c>
      <c r="F14" s="1006" t="s">
        <v>2775</v>
      </c>
      <c r="G14" s="1007">
        <v>0.008740800701268925</v>
      </c>
      <c r="H14" s="1012">
        <v>0.0</v>
      </c>
      <c r="I14" s="1009">
        <v>1.2</v>
      </c>
      <c r="J14" s="1010">
        <v>-0.008729185902691942</v>
      </c>
    </row>
    <row r="15">
      <c r="A15" t="s">
        <v>300</v>
      </c>
      <c r="B15" s="1003">
        <v>42376.0</v>
      </c>
      <c r="C15" s="1004">
        <f t="shared" si="1"/>
        <v>7</v>
      </c>
      <c r="D15" s="1005">
        <f t="shared" si="2"/>
        <v>0.2295081967</v>
      </c>
      <c r="E15" s="1006">
        <f t="shared" si="3"/>
        <v>1</v>
      </c>
      <c r="F15" s="1006" t="s">
        <v>2775</v>
      </c>
      <c r="G15" s="1007">
        <v>-0.011849410949787975</v>
      </c>
      <c r="H15" s="1012">
        <v>-1.0</v>
      </c>
      <c r="I15" s="1009">
        <v>1.3</v>
      </c>
      <c r="J15" s="1010">
        <v>0.010643926828455358</v>
      </c>
      <c r="L15" s="426"/>
      <c r="M15" s="426"/>
    </row>
    <row r="16">
      <c r="A16" t="s">
        <v>1726</v>
      </c>
      <c r="B16" s="1003">
        <v>42377.0</v>
      </c>
      <c r="C16" s="1004">
        <f t="shared" si="1"/>
        <v>8</v>
      </c>
      <c r="D16" s="1005">
        <f t="shared" si="2"/>
        <v>0.262295082</v>
      </c>
      <c r="E16" s="1006">
        <f t="shared" si="3"/>
        <v>1</v>
      </c>
      <c r="F16" s="1006" t="s">
        <v>2775</v>
      </c>
      <c r="G16" s="1007">
        <v>-0.022509700574006475</v>
      </c>
      <c r="H16" s="1012">
        <v>-1.0</v>
      </c>
      <c r="I16" s="1009">
        <v>1.4</v>
      </c>
      <c r="J16" s="1010">
        <v>0.014777330570816339</v>
      </c>
      <c r="L16" s="426"/>
      <c r="M16" s="426"/>
    </row>
    <row r="17">
      <c r="A17" t="s">
        <v>423</v>
      </c>
      <c r="B17" s="1003">
        <v>42377.0</v>
      </c>
      <c r="C17" s="1004">
        <f t="shared" si="1"/>
        <v>8</v>
      </c>
      <c r="D17" s="1005">
        <f t="shared" si="2"/>
        <v>0.262295082</v>
      </c>
      <c r="E17" s="1006">
        <f t="shared" si="3"/>
        <v>1</v>
      </c>
      <c r="F17" s="1006" t="s">
        <v>2775</v>
      </c>
      <c r="G17" s="1007">
        <v>-0.0013835243170469136</v>
      </c>
      <c r="H17" s="1012">
        <v>0.0</v>
      </c>
      <c r="I17" s="1009">
        <v>1.5</v>
      </c>
      <c r="J17" s="1010">
        <v>-0.008025762892459246</v>
      </c>
      <c r="L17" s="426"/>
      <c r="M17" s="426"/>
    </row>
    <row r="18">
      <c r="A18" t="s">
        <v>361</v>
      </c>
      <c r="B18" s="1003">
        <v>42744.0</v>
      </c>
      <c r="C18" s="1004">
        <f t="shared" si="1"/>
        <v>9</v>
      </c>
      <c r="D18" s="1005">
        <f t="shared" si="2"/>
        <v>0.2950819672</v>
      </c>
      <c r="E18" s="1006">
        <f t="shared" si="3"/>
        <v>1</v>
      </c>
      <c r="F18" s="1006" t="s">
        <v>2775</v>
      </c>
      <c r="G18" s="1007">
        <v>0.00895443629071535</v>
      </c>
      <c r="H18" s="1012">
        <v>0.0</v>
      </c>
      <c r="I18" s="1009">
        <v>1.6</v>
      </c>
      <c r="J18" s="1010">
        <v>-0.019087472494655283</v>
      </c>
      <c r="L18" s="426"/>
      <c r="M18" s="426"/>
    </row>
    <row r="19">
      <c r="A19" t="s">
        <v>449</v>
      </c>
      <c r="B19" s="1003">
        <v>42745.0</v>
      </c>
      <c r="C19" s="1004">
        <f t="shared" si="1"/>
        <v>10</v>
      </c>
      <c r="D19" s="1005">
        <f t="shared" si="2"/>
        <v>0.3278688525</v>
      </c>
      <c r="E19" s="1006">
        <f t="shared" si="3"/>
        <v>1</v>
      </c>
      <c r="F19" s="1006" t="s">
        <v>2775</v>
      </c>
      <c r="G19" s="1007">
        <v>-0.018395049233028926</v>
      </c>
      <c r="H19" s="1012">
        <v>-1.0</v>
      </c>
      <c r="I19" s="1009">
        <v>1.7</v>
      </c>
      <c r="J19" s="1010">
        <v>-0.008673914787660664</v>
      </c>
      <c r="L19" s="426"/>
      <c r="M19" s="426"/>
    </row>
    <row r="20">
      <c r="A20" t="s">
        <v>1803</v>
      </c>
      <c r="B20" s="1003">
        <v>42379.0</v>
      </c>
      <c r="C20" s="1004">
        <f t="shared" si="1"/>
        <v>10</v>
      </c>
      <c r="D20" s="1005">
        <f t="shared" si="2"/>
        <v>0.3278688525</v>
      </c>
      <c r="E20" s="1006">
        <f t="shared" si="3"/>
        <v>1</v>
      </c>
      <c r="F20" s="1006" t="s">
        <v>2775</v>
      </c>
      <c r="G20" s="1007">
        <v>0.007756676764636983</v>
      </c>
      <c r="H20" s="1012">
        <v>0.0</v>
      </c>
      <c r="I20" s="1009">
        <v>1.8</v>
      </c>
      <c r="J20" s="1010">
        <v>0.0034071691867375944</v>
      </c>
    </row>
    <row r="21">
      <c r="A21" t="s">
        <v>237</v>
      </c>
      <c r="B21" s="1003">
        <v>42379.0</v>
      </c>
      <c r="C21" s="1004">
        <f t="shared" si="1"/>
        <v>10</v>
      </c>
      <c r="D21" s="1005">
        <f t="shared" si="2"/>
        <v>0.3278688525</v>
      </c>
      <c r="E21" s="1006">
        <f t="shared" si="3"/>
        <v>1</v>
      </c>
      <c r="F21" s="1006" t="s">
        <v>2775</v>
      </c>
      <c r="G21" s="1007">
        <v>-0.0029279846457115344</v>
      </c>
      <c r="H21" s="1012">
        <v>0.0</v>
      </c>
      <c r="I21" s="1009">
        <v>1.9</v>
      </c>
      <c r="J21" s="1010">
        <v>-0.016554297895061763</v>
      </c>
    </row>
    <row r="22">
      <c r="A22" t="s">
        <v>147</v>
      </c>
      <c r="B22" s="1003">
        <v>42381.0</v>
      </c>
      <c r="C22" s="1004">
        <f t="shared" si="1"/>
        <v>12</v>
      </c>
      <c r="D22" s="1005">
        <f t="shared" si="2"/>
        <v>0.393442623</v>
      </c>
      <c r="E22" s="1006">
        <f t="shared" si="3"/>
        <v>1</v>
      </c>
      <c r="F22" s="1006" t="s">
        <v>2775</v>
      </c>
      <c r="G22" s="1007">
        <v>-0.010730421845065674</v>
      </c>
      <c r="H22" s="1012">
        <v>-1.0</v>
      </c>
      <c r="I22" s="1009">
        <v>2.0</v>
      </c>
      <c r="J22" s="1010">
        <v>0.01065851211063592</v>
      </c>
    </row>
    <row r="23">
      <c r="A23" t="s">
        <v>1617</v>
      </c>
      <c r="B23" s="1003">
        <v>42382.0</v>
      </c>
      <c r="C23" s="1004">
        <f t="shared" si="1"/>
        <v>13</v>
      </c>
      <c r="D23" s="1005">
        <f t="shared" si="2"/>
        <v>0.4262295082</v>
      </c>
      <c r="E23" s="1006">
        <f t="shared" si="3"/>
        <v>1</v>
      </c>
      <c r="F23" s="1006" t="s">
        <v>2775</v>
      </c>
      <c r="G23" s="1007">
        <v>-0.02044855004545776</v>
      </c>
      <c r="H23" s="1012">
        <v>-1.0</v>
      </c>
      <c r="I23" s="1009">
        <v>2.1</v>
      </c>
      <c r="J23" s="1010">
        <v>-0.006296802868570779</v>
      </c>
    </row>
    <row r="24">
      <c r="A24" t="s">
        <v>1775</v>
      </c>
      <c r="B24" s="1003">
        <v>42749.0</v>
      </c>
      <c r="C24" s="1004">
        <f t="shared" si="1"/>
        <v>14</v>
      </c>
      <c r="D24" s="1005">
        <f t="shared" si="2"/>
        <v>0.4590163934</v>
      </c>
      <c r="E24" s="1006">
        <f t="shared" si="3"/>
        <v>1</v>
      </c>
      <c r="F24" s="1006" t="s">
        <v>2775</v>
      </c>
      <c r="G24" s="1007">
        <v>0.009469960843395908</v>
      </c>
      <c r="H24" s="1012">
        <v>0.0</v>
      </c>
      <c r="I24" s="1009">
        <v>2.2</v>
      </c>
      <c r="J24" s="1010">
        <v>-0.0046081147327752415</v>
      </c>
    </row>
    <row r="25">
      <c r="A25" t="s">
        <v>376</v>
      </c>
      <c r="B25" s="1003">
        <v>42383.0</v>
      </c>
      <c r="C25" s="1004">
        <f t="shared" si="1"/>
        <v>14</v>
      </c>
      <c r="D25" s="1005">
        <f t="shared" si="2"/>
        <v>0.4590163934</v>
      </c>
      <c r="E25" s="1006">
        <f t="shared" si="3"/>
        <v>1</v>
      </c>
      <c r="F25" s="1006" t="s">
        <v>2775</v>
      </c>
      <c r="G25" s="1007">
        <v>-0.03309570230722114</v>
      </c>
      <c r="H25" s="1012">
        <v>-1.0</v>
      </c>
      <c r="I25" s="1009">
        <v>2.3</v>
      </c>
      <c r="J25" s="1010">
        <v>-0.008390094184442764</v>
      </c>
    </row>
    <row r="26">
      <c r="A26" t="s">
        <v>1637</v>
      </c>
      <c r="B26" s="1003">
        <v>42383.0</v>
      </c>
      <c r="C26" s="1004">
        <f t="shared" si="1"/>
        <v>14</v>
      </c>
      <c r="D26" s="1005">
        <f t="shared" si="2"/>
        <v>0.4590163934</v>
      </c>
      <c r="E26" s="1006">
        <f t="shared" si="3"/>
        <v>1</v>
      </c>
      <c r="F26" s="1006" t="s">
        <v>2775</v>
      </c>
      <c r="G26" s="1007">
        <v>0.013759336566395053</v>
      </c>
      <c r="H26" s="1012">
        <v>1.0</v>
      </c>
      <c r="I26" s="1009">
        <v>2.4</v>
      </c>
      <c r="J26" s="1010">
        <v>0.016919648786013874</v>
      </c>
    </row>
    <row r="27">
      <c r="A27" t="s">
        <v>457</v>
      </c>
      <c r="B27" s="1003">
        <v>42019.0</v>
      </c>
      <c r="C27" s="1004">
        <f t="shared" si="1"/>
        <v>15</v>
      </c>
      <c r="D27" s="1005">
        <f t="shared" si="2"/>
        <v>0.4918032787</v>
      </c>
      <c r="E27" s="1006">
        <f t="shared" si="3"/>
        <v>1</v>
      </c>
      <c r="F27" s="1006" t="s">
        <v>2775</v>
      </c>
      <c r="G27" s="1007">
        <v>0.0066809615500906805</v>
      </c>
      <c r="H27" s="1012">
        <v>0.0</v>
      </c>
      <c r="I27" s="1009">
        <v>2.5</v>
      </c>
      <c r="J27" s="1010">
        <v>-0.0015505456049355842</v>
      </c>
    </row>
    <row r="28">
      <c r="A28" t="s">
        <v>477</v>
      </c>
      <c r="B28" s="1003">
        <v>42019.0</v>
      </c>
      <c r="C28" s="1004">
        <f t="shared" si="1"/>
        <v>15</v>
      </c>
      <c r="D28" s="1005">
        <f t="shared" si="2"/>
        <v>0.4918032787</v>
      </c>
      <c r="E28" s="1006">
        <f t="shared" si="3"/>
        <v>1</v>
      </c>
      <c r="F28" s="1006" t="s">
        <v>2775</v>
      </c>
      <c r="G28" s="1007">
        <v>0.0019204906041150327</v>
      </c>
      <c r="H28" s="1012">
        <v>0.0</v>
      </c>
      <c r="I28" s="1009">
        <v>2.6</v>
      </c>
      <c r="J28" s="1010">
        <v>-0.003202259651197907</v>
      </c>
    </row>
    <row r="29">
      <c r="A29" t="s">
        <v>480</v>
      </c>
      <c r="B29" s="1003">
        <v>42019.0</v>
      </c>
      <c r="C29" s="1004">
        <f t="shared" si="1"/>
        <v>15</v>
      </c>
      <c r="D29" s="1005">
        <f t="shared" si="2"/>
        <v>0.4918032787</v>
      </c>
      <c r="E29" s="1006">
        <f t="shared" si="3"/>
        <v>1</v>
      </c>
      <c r="F29" s="1006" t="s">
        <v>2775</v>
      </c>
      <c r="G29" s="1007">
        <v>0.0024152016705356605</v>
      </c>
      <c r="H29" s="1012">
        <v>0.0</v>
      </c>
      <c r="I29" s="1009">
        <v>2.7</v>
      </c>
      <c r="J29" s="1010">
        <v>-0.006783126181157395</v>
      </c>
    </row>
    <row r="30">
      <c r="A30" t="s">
        <v>192</v>
      </c>
      <c r="B30" s="1003">
        <v>42019.0</v>
      </c>
      <c r="C30" s="1004">
        <f t="shared" si="1"/>
        <v>15</v>
      </c>
      <c r="D30" s="1005">
        <f t="shared" si="2"/>
        <v>0.4918032787</v>
      </c>
      <c r="E30" s="1006">
        <f t="shared" si="3"/>
        <v>1</v>
      </c>
      <c r="F30" s="1006" t="s">
        <v>2775</v>
      </c>
      <c r="G30" s="1007">
        <v>3.0017122642067573E-4</v>
      </c>
      <c r="H30" s="1012">
        <v>0.0</v>
      </c>
      <c r="I30" s="1009">
        <v>2.8</v>
      </c>
      <c r="J30" s="1010">
        <v>0.004997723021162353</v>
      </c>
    </row>
    <row r="31">
      <c r="A31" t="s">
        <v>488</v>
      </c>
      <c r="B31" s="1003">
        <v>42019.0</v>
      </c>
      <c r="C31" s="1004">
        <f t="shared" si="1"/>
        <v>15</v>
      </c>
      <c r="D31" s="1005">
        <f t="shared" si="2"/>
        <v>0.4918032787</v>
      </c>
      <c r="E31" s="1006">
        <f t="shared" si="3"/>
        <v>1</v>
      </c>
      <c r="F31" s="1006" t="s">
        <v>2775</v>
      </c>
      <c r="G31" s="1007">
        <v>-0.002092820769940662</v>
      </c>
      <c r="H31" s="1012">
        <v>0.0</v>
      </c>
      <c r="I31" s="1009">
        <v>2.9</v>
      </c>
      <c r="J31" s="1010">
        <v>-0.005631254526590698</v>
      </c>
      <c r="L31" s="338">
        <v>1.0</v>
      </c>
      <c r="M31" s="338" t="s">
        <v>2775</v>
      </c>
    </row>
    <row r="32">
      <c r="A32" t="s">
        <v>300</v>
      </c>
      <c r="B32" s="1003">
        <v>42019.0</v>
      </c>
      <c r="C32" s="1004">
        <f t="shared" si="1"/>
        <v>15</v>
      </c>
      <c r="D32" s="1005">
        <f t="shared" si="2"/>
        <v>0.4918032787</v>
      </c>
      <c r="E32" s="1006">
        <f t="shared" si="3"/>
        <v>1</v>
      </c>
      <c r="F32" s="1006" t="s">
        <v>2775</v>
      </c>
      <c r="G32" s="1007">
        <v>0.012130312891226236</v>
      </c>
      <c r="H32" s="1012">
        <v>1.0</v>
      </c>
      <c r="I32" s="1009">
        <v>3.0</v>
      </c>
      <c r="J32" s="1010">
        <v>0.002911294997062841</v>
      </c>
      <c r="L32" s="338">
        <v>2.0</v>
      </c>
      <c r="M32" s="338" t="s">
        <v>2776</v>
      </c>
    </row>
    <row r="33">
      <c r="A33" t="s">
        <v>147</v>
      </c>
      <c r="B33" s="1003">
        <v>42019.0</v>
      </c>
      <c r="C33" s="1004">
        <f t="shared" si="1"/>
        <v>15</v>
      </c>
      <c r="D33" s="1005">
        <f t="shared" si="2"/>
        <v>0.4918032787</v>
      </c>
      <c r="E33" s="1006">
        <f t="shared" si="3"/>
        <v>1</v>
      </c>
      <c r="F33" s="1006" t="s">
        <v>2775</v>
      </c>
      <c r="G33" s="1007">
        <v>-0.006028635557835282</v>
      </c>
      <c r="H33" s="1012">
        <v>0.0</v>
      </c>
      <c r="I33" s="1009">
        <v>3.1</v>
      </c>
      <c r="J33" s="1010">
        <v>-0.008830330275224308</v>
      </c>
      <c r="L33" s="338">
        <v>3.0</v>
      </c>
      <c r="M33" s="338" t="s">
        <v>2777</v>
      </c>
    </row>
    <row r="34">
      <c r="A34" t="s">
        <v>212</v>
      </c>
      <c r="B34" s="1003">
        <v>42019.0</v>
      </c>
      <c r="C34" s="1004">
        <f t="shared" si="1"/>
        <v>15</v>
      </c>
      <c r="D34" s="1005">
        <f t="shared" si="2"/>
        <v>0.4918032787</v>
      </c>
      <c r="E34" s="1006">
        <f t="shared" si="3"/>
        <v>1</v>
      </c>
      <c r="F34" s="1006" t="s">
        <v>2775</v>
      </c>
      <c r="G34" s="1007">
        <v>-0.006467756634166322</v>
      </c>
      <c r="H34" s="1012">
        <v>0.0</v>
      </c>
      <c r="I34" s="1009">
        <v>3.2</v>
      </c>
      <c r="J34" s="1010">
        <v>0.0019207887491584394</v>
      </c>
      <c r="L34" s="338">
        <v>4.0</v>
      </c>
      <c r="M34" s="338" t="s">
        <v>2778</v>
      </c>
    </row>
    <row r="35">
      <c r="A35" t="s">
        <v>640</v>
      </c>
      <c r="B35" s="1003">
        <v>42751.0</v>
      </c>
      <c r="C35" s="1004">
        <f t="shared" si="1"/>
        <v>16</v>
      </c>
      <c r="D35" s="1005">
        <f t="shared" si="2"/>
        <v>0.5245901639</v>
      </c>
      <c r="E35" s="1006">
        <f t="shared" si="3"/>
        <v>1</v>
      </c>
      <c r="F35" s="1006" t="s">
        <v>2775</v>
      </c>
      <c r="G35" s="1007">
        <v>1.85487368706716E-4</v>
      </c>
      <c r="H35" s="1012">
        <v>0.0</v>
      </c>
      <c r="I35" s="1009">
        <v>3.3</v>
      </c>
      <c r="J35" s="1010">
        <v>-0.004835479699093402</v>
      </c>
      <c r="L35" s="338">
        <v>5.0</v>
      </c>
      <c r="M35" s="338" t="s">
        <v>2779</v>
      </c>
    </row>
    <row r="36">
      <c r="A36" t="s">
        <v>78</v>
      </c>
      <c r="B36" s="1003">
        <v>42751.0</v>
      </c>
      <c r="C36" s="1004">
        <f t="shared" si="1"/>
        <v>16</v>
      </c>
      <c r="D36" s="1005">
        <f t="shared" si="2"/>
        <v>0.5245901639</v>
      </c>
      <c r="E36" s="1006">
        <f t="shared" si="3"/>
        <v>1</v>
      </c>
      <c r="F36" s="1006" t="s">
        <v>2775</v>
      </c>
      <c r="G36" s="1007">
        <v>-0.006399615529724012</v>
      </c>
      <c r="H36" s="1012">
        <v>0.0</v>
      </c>
      <c r="I36" s="1009">
        <v>3.4</v>
      </c>
      <c r="J36" s="1010">
        <v>0.005423341496827536</v>
      </c>
      <c r="L36" s="338">
        <v>6.0</v>
      </c>
      <c r="M36" s="338" t="s">
        <v>2780</v>
      </c>
    </row>
    <row r="37">
      <c r="A37" t="s">
        <v>126</v>
      </c>
      <c r="B37" s="1003">
        <v>42020.0</v>
      </c>
      <c r="C37" s="1004">
        <f t="shared" si="1"/>
        <v>16</v>
      </c>
      <c r="D37" s="1005">
        <f t="shared" si="2"/>
        <v>0.5245901639</v>
      </c>
      <c r="E37" s="1006">
        <f t="shared" si="3"/>
        <v>1</v>
      </c>
      <c r="F37" s="1006" t="s">
        <v>2775</v>
      </c>
      <c r="G37" s="1007">
        <v>-0.007900371891537694</v>
      </c>
      <c r="H37" s="1012">
        <v>0.0</v>
      </c>
      <c r="I37" s="1009">
        <v>3.5</v>
      </c>
      <c r="J37" s="1010">
        <v>3.0444954030965643E-4</v>
      </c>
      <c r="L37" s="338">
        <v>7.0</v>
      </c>
      <c r="M37" s="338" t="s">
        <v>2487</v>
      </c>
    </row>
    <row r="38">
      <c r="A38" t="s">
        <v>192</v>
      </c>
      <c r="B38" s="1003">
        <v>42020.0</v>
      </c>
      <c r="C38" s="1004">
        <f t="shared" si="1"/>
        <v>16</v>
      </c>
      <c r="D38" s="1005">
        <f t="shared" si="2"/>
        <v>0.5245901639</v>
      </c>
      <c r="E38" s="1006">
        <f t="shared" si="3"/>
        <v>1</v>
      </c>
      <c r="F38" s="1006" t="s">
        <v>2775</v>
      </c>
      <c r="G38" s="1007">
        <v>3.201567083558343E-4</v>
      </c>
      <c r="H38" s="1012">
        <v>0.0</v>
      </c>
      <c r="I38" s="1009">
        <v>3.6</v>
      </c>
      <c r="J38" s="1010">
        <v>-2.4632679541858327E-4</v>
      </c>
      <c r="L38" s="338">
        <v>8.0</v>
      </c>
      <c r="M38" s="338" t="s">
        <v>2781</v>
      </c>
    </row>
    <row r="39">
      <c r="A39" t="s">
        <v>288</v>
      </c>
      <c r="B39" s="1003">
        <v>42020.0</v>
      </c>
      <c r="C39" s="1004">
        <f t="shared" si="1"/>
        <v>16</v>
      </c>
      <c r="D39" s="1005">
        <f t="shared" si="2"/>
        <v>0.5245901639</v>
      </c>
      <c r="E39" s="1006">
        <f t="shared" si="3"/>
        <v>1</v>
      </c>
      <c r="F39" s="1006" t="s">
        <v>2775</v>
      </c>
      <c r="G39" s="1007">
        <v>-0.0253862519609811</v>
      </c>
      <c r="H39" s="1012">
        <v>-1.0</v>
      </c>
      <c r="I39" s="1009">
        <v>3.7</v>
      </c>
      <c r="J39" s="1010">
        <v>-0.0027886343258622425</v>
      </c>
      <c r="L39" s="338">
        <v>9.0</v>
      </c>
      <c r="M39" s="338" t="s">
        <v>2782</v>
      </c>
    </row>
    <row r="40">
      <c r="A40" t="s">
        <v>126</v>
      </c>
      <c r="B40" s="1003">
        <v>42752.0</v>
      </c>
      <c r="C40" s="1004">
        <f t="shared" si="1"/>
        <v>17</v>
      </c>
      <c r="D40" s="1005">
        <f t="shared" si="2"/>
        <v>0.5573770492</v>
      </c>
      <c r="E40" s="1006">
        <f t="shared" si="3"/>
        <v>1</v>
      </c>
      <c r="F40" s="1006" t="s">
        <v>2775</v>
      </c>
      <c r="G40" s="1007">
        <v>-0.02054101670431774</v>
      </c>
      <c r="H40" s="1012">
        <v>-1.0</v>
      </c>
      <c r="I40" s="1009">
        <v>3.8</v>
      </c>
      <c r="J40" s="1010">
        <v>0.0066853068562669204</v>
      </c>
      <c r="L40" s="338">
        <v>10.0</v>
      </c>
      <c r="M40" s="338" t="s">
        <v>2783</v>
      </c>
    </row>
    <row r="41">
      <c r="A41" t="s">
        <v>381</v>
      </c>
      <c r="B41" s="1003">
        <v>42021.0</v>
      </c>
      <c r="C41" s="1004">
        <f t="shared" si="1"/>
        <v>17</v>
      </c>
      <c r="D41" s="1005">
        <f t="shared" si="2"/>
        <v>0.5573770492</v>
      </c>
      <c r="E41" s="1006">
        <f t="shared" si="3"/>
        <v>1</v>
      </c>
      <c r="F41" s="1006" t="s">
        <v>2775</v>
      </c>
      <c r="G41" s="1007">
        <v>0.0016128531953307768</v>
      </c>
      <c r="H41" s="1012">
        <v>0.0</v>
      </c>
      <c r="I41" s="1009">
        <v>3.9</v>
      </c>
      <c r="J41" s="1010">
        <v>-0.001415257235185969</v>
      </c>
      <c r="L41" s="338">
        <v>11.0</v>
      </c>
      <c r="M41" s="338" t="s">
        <v>2784</v>
      </c>
    </row>
    <row r="42">
      <c r="A42" t="s">
        <v>339</v>
      </c>
      <c r="B42" s="1003">
        <v>42021.0</v>
      </c>
      <c r="C42" s="1004">
        <f t="shared" si="1"/>
        <v>17</v>
      </c>
      <c r="D42" s="1005">
        <f t="shared" si="2"/>
        <v>0.5573770492</v>
      </c>
      <c r="E42" s="1006">
        <f t="shared" si="3"/>
        <v>1</v>
      </c>
      <c r="F42" s="1006" t="s">
        <v>2775</v>
      </c>
      <c r="G42" s="1007">
        <v>0.014017164415202066</v>
      </c>
      <c r="H42" s="1012">
        <v>1.0</v>
      </c>
      <c r="I42" s="1009">
        <v>4.0</v>
      </c>
      <c r="J42" s="1010">
        <v>0.007426375173559112</v>
      </c>
      <c r="L42" s="338">
        <v>12.0</v>
      </c>
      <c r="M42" s="338" t="s">
        <v>2785</v>
      </c>
    </row>
    <row r="43">
      <c r="A43" t="s">
        <v>513</v>
      </c>
      <c r="B43" s="1003">
        <v>42022.0</v>
      </c>
      <c r="C43" s="1004">
        <f t="shared" si="1"/>
        <v>18</v>
      </c>
      <c r="D43" s="1005">
        <f t="shared" si="2"/>
        <v>0.5901639344</v>
      </c>
      <c r="E43" s="1006">
        <f t="shared" si="3"/>
        <v>1</v>
      </c>
      <c r="F43" s="1006" t="s">
        <v>2775</v>
      </c>
      <c r="G43" s="1007">
        <v>0.005162457986066404</v>
      </c>
      <c r="H43" s="1012">
        <v>0.0</v>
      </c>
      <c r="I43" s="1009">
        <v>4.1</v>
      </c>
      <c r="J43" s="1010">
        <v>0.006864997730735301</v>
      </c>
    </row>
    <row r="44">
      <c r="A44" t="s">
        <v>155</v>
      </c>
      <c r="B44" s="1003">
        <v>42022.0</v>
      </c>
      <c r="C44" s="1004">
        <f t="shared" si="1"/>
        <v>18</v>
      </c>
      <c r="D44" s="1005">
        <f t="shared" si="2"/>
        <v>0.5901639344</v>
      </c>
      <c r="E44" s="1006">
        <f t="shared" si="3"/>
        <v>1</v>
      </c>
      <c r="F44" s="1006" t="s">
        <v>2775</v>
      </c>
      <c r="G44" s="1007">
        <v>0.005842836733478407</v>
      </c>
      <c r="H44" s="1012">
        <v>0.0</v>
      </c>
      <c r="I44" s="1009">
        <v>4.2</v>
      </c>
      <c r="J44" s="1010">
        <v>-0.0025176536085063372</v>
      </c>
    </row>
    <row r="45">
      <c r="A45" t="s">
        <v>1827</v>
      </c>
      <c r="B45" s="1003">
        <v>42754.0</v>
      </c>
      <c r="C45" s="1004">
        <f t="shared" si="1"/>
        <v>19</v>
      </c>
      <c r="D45" s="1005">
        <f t="shared" si="2"/>
        <v>0.6229508197</v>
      </c>
      <c r="E45" s="1006">
        <f t="shared" si="3"/>
        <v>1</v>
      </c>
      <c r="F45" s="1006" t="s">
        <v>2775</v>
      </c>
      <c r="G45" s="1007">
        <v>-0.004100241354614509</v>
      </c>
      <c r="H45" s="1012">
        <v>0.0</v>
      </c>
      <c r="I45" s="1009">
        <v>4.3</v>
      </c>
      <c r="J45" s="1010">
        <v>0.007435351555670572</v>
      </c>
    </row>
    <row r="46">
      <c r="A46" t="s">
        <v>76</v>
      </c>
      <c r="B46" s="1003">
        <v>42023.0</v>
      </c>
      <c r="C46" s="1004">
        <f t="shared" si="1"/>
        <v>19</v>
      </c>
      <c r="D46" s="1005">
        <f t="shared" si="2"/>
        <v>0.6229508197</v>
      </c>
      <c r="E46" s="1006">
        <f t="shared" si="3"/>
        <v>1</v>
      </c>
      <c r="F46" s="1006" t="s">
        <v>2775</v>
      </c>
      <c r="G46" s="1007">
        <v>0.0051308952923988516</v>
      </c>
      <c r="H46" s="1012">
        <v>0.0</v>
      </c>
      <c r="I46" s="1009">
        <v>4.4</v>
      </c>
      <c r="J46" s="1010">
        <v>-0.0014440114394279834</v>
      </c>
    </row>
    <row r="47">
      <c r="A47" t="s">
        <v>241</v>
      </c>
      <c r="B47" s="1003">
        <v>42023.0</v>
      </c>
      <c r="C47" s="1004">
        <f t="shared" si="1"/>
        <v>19</v>
      </c>
      <c r="D47" s="1005">
        <f t="shared" si="2"/>
        <v>0.6229508197</v>
      </c>
      <c r="E47" s="1006">
        <f t="shared" si="3"/>
        <v>1</v>
      </c>
      <c r="F47" s="1006" t="s">
        <v>2775</v>
      </c>
      <c r="G47" s="1007">
        <v>-0.007149933725408508</v>
      </c>
      <c r="H47" s="1012">
        <v>0.0</v>
      </c>
      <c r="I47" s="1009">
        <v>4.5</v>
      </c>
      <c r="J47" s="1010">
        <v>0.004588084694455275</v>
      </c>
    </row>
    <row r="48">
      <c r="A48" t="s">
        <v>126</v>
      </c>
      <c r="B48" s="1003">
        <v>42389.0</v>
      </c>
      <c r="C48" s="1004">
        <f t="shared" si="1"/>
        <v>20</v>
      </c>
      <c r="D48" s="1005">
        <f t="shared" si="2"/>
        <v>0.6557377049</v>
      </c>
      <c r="E48" s="1006">
        <f t="shared" si="3"/>
        <v>1</v>
      </c>
      <c r="F48" s="1006" t="s">
        <v>2775</v>
      </c>
      <c r="G48" s="1007">
        <v>-0.033110703348474546</v>
      </c>
      <c r="H48" s="1012">
        <v>-1.0</v>
      </c>
      <c r="I48" s="1009">
        <v>4.6</v>
      </c>
      <c r="J48" s="1010">
        <v>0.0069860652180872345</v>
      </c>
    </row>
    <row r="49">
      <c r="A49" t="s">
        <v>354</v>
      </c>
      <c r="B49" s="1003">
        <v>42024.0</v>
      </c>
      <c r="C49" s="1004">
        <f t="shared" si="1"/>
        <v>20</v>
      </c>
      <c r="D49" s="1005">
        <f t="shared" si="2"/>
        <v>0.6557377049</v>
      </c>
      <c r="E49" s="1006">
        <f t="shared" si="3"/>
        <v>1</v>
      </c>
      <c r="F49" s="1006" t="s">
        <v>2775</v>
      </c>
      <c r="G49" s="1007">
        <v>0.004364511992775877</v>
      </c>
      <c r="H49" s="1012">
        <v>0.0</v>
      </c>
      <c r="I49" s="1009">
        <v>4.7</v>
      </c>
      <c r="J49" s="1010">
        <v>-6.669220566219674E-5</v>
      </c>
    </row>
    <row r="50">
      <c r="A50" t="s">
        <v>132</v>
      </c>
      <c r="B50" s="1003">
        <v>42024.0</v>
      </c>
      <c r="C50" s="1004">
        <f t="shared" si="1"/>
        <v>20</v>
      </c>
      <c r="D50" s="1005">
        <f t="shared" si="2"/>
        <v>0.6557377049</v>
      </c>
      <c r="E50" s="1006">
        <f t="shared" si="3"/>
        <v>1</v>
      </c>
      <c r="F50" s="1006" t="s">
        <v>2775</v>
      </c>
      <c r="G50" s="1007">
        <v>0.00439276024529911</v>
      </c>
      <c r="H50" s="1012">
        <v>0.0</v>
      </c>
      <c r="I50" s="1009">
        <v>4.8</v>
      </c>
      <c r="J50" s="1010">
        <v>0.006976460759250913</v>
      </c>
    </row>
    <row r="51">
      <c r="A51" t="s">
        <v>1784</v>
      </c>
      <c r="B51" s="1003">
        <v>42756.0</v>
      </c>
      <c r="C51" s="1004">
        <f t="shared" si="1"/>
        <v>21</v>
      </c>
      <c r="D51" s="1005">
        <f t="shared" si="2"/>
        <v>0.6885245902</v>
      </c>
      <c r="E51" s="1006">
        <f t="shared" si="3"/>
        <v>1</v>
      </c>
      <c r="F51" s="1006" t="s">
        <v>2775</v>
      </c>
      <c r="G51" s="1007">
        <v>0.012009875797310055</v>
      </c>
      <c r="H51" s="1012">
        <v>1.0</v>
      </c>
      <c r="I51" s="1009">
        <v>4.9</v>
      </c>
      <c r="J51" s="1010">
        <v>-0.006389573379920928</v>
      </c>
    </row>
    <row r="52">
      <c r="A52" t="s">
        <v>324</v>
      </c>
      <c r="B52" s="1003">
        <v>42025.0</v>
      </c>
      <c r="C52" s="1004">
        <f t="shared" si="1"/>
        <v>21</v>
      </c>
      <c r="D52" s="1005">
        <f t="shared" si="2"/>
        <v>0.6885245902</v>
      </c>
      <c r="E52" s="1006">
        <f t="shared" si="3"/>
        <v>1</v>
      </c>
      <c r="F52" s="1006" t="s">
        <v>2775</v>
      </c>
      <c r="G52" s="1007">
        <v>-0.0011704213913387163</v>
      </c>
      <c r="H52" s="1012">
        <v>0.0</v>
      </c>
      <c r="I52" s="1009">
        <v>5.0</v>
      </c>
      <c r="J52" s="1010">
        <v>0.0016223430886161008</v>
      </c>
    </row>
    <row r="53">
      <c r="A53" t="s">
        <v>339</v>
      </c>
      <c r="B53" s="1003">
        <v>42026.0</v>
      </c>
      <c r="C53" s="1004">
        <f t="shared" si="1"/>
        <v>22</v>
      </c>
      <c r="D53" s="1005">
        <f t="shared" si="2"/>
        <v>0.7213114754</v>
      </c>
      <c r="E53" s="1006">
        <f t="shared" si="3"/>
        <v>1</v>
      </c>
      <c r="F53" s="1006" t="s">
        <v>2775</v>
      </c>
      <c r="G53" s="1007">
        <v>0.012961742826627765</v>
      </c>
      <c r="H53" s="1012">
        <v>1.0</v>
      </c>
      <c r="I53" s="1009">
        <v>5.1</v>
      </c>
      <c r="J53" s="1010">
        <v>-0.00606678784014375</v>
      </c>
    </row>
    <row r="54">
      <c r="A54" t="s">
        <v>541</v>
      </c>
      <c r="B54" s="1003">
        <v>42026.0</v>
      </c>
      <c r="C54" s="1004">
        <f t="shared" si="1"/>
        <v>22</v>
      </c>
      <c r="D54" s="1005">
        <f t="shared" si="2"/>
        <v>0.7213114754</v>
      </c>
      <c r="E54" s="1006">
        <f t="shared" si="3"/>
        <v>1</v>
      </c>
      <c r="F54" s="1006" t="s">
        <v>2775</v>
      </c>
      <c r="G54" s="1007">
        <v>-7.283332883534221E-5</v>
      </c>
      <c r="H54" s="1012">
        <v>0.0</v>
      </c>
      <c r="I54" s="1009">
        <v>5.2</v>
      </c>
      <c r="J54" s="1010">
        <v>-0.011247049187805877</v>
      </c>
    </row>
    <row r="55">
      <c r="A55" t="s">
        <v>513</v>
      </c>
      <c r="B55" s="1003">
        <v>42393.0</v>
      </c>
      <c r="C55" s="1004">
        <f t="shared" si="1"/>
        <v>24</v>
      </c>
      <c r="D55" s="1005">
        <f t="shared" si="2"/>
        <v>0.7868852459</v>
      </c>
      <c r="E55" s="1006">
        <f t="shared" si="3"/>
        <v>1</v>
      </c>
      <c r="F55" s="1006" t="s">
        <v>2775</v>
      </c>
      <c r="G55" s="1007">
        <v>0.017690924788672957</v>
      </c>
      <c r="H55" s="1012">
        <v>1.0</v>
      </c>
      <c r="I55" s="1009">
        <v>5.3</v>
      </c>
      <c r="J55" s="1010">
        <v>0.009890532712804115</v>
      </c>
    </row>
    <row r="56">
      <c r="A56" t="s">
        <v>1745</v>
      </c>
      <c r="B56" s="1003">
        <v>42393.0</v>
      </c>
      <c r="C56" s="1004">
        <f t="shared" si="1"/>
        <v>24</v>
      </c>
      <c r="D56" s="1005">
        <f t="shared" si="2"/>
        <v>0.7868852459</v>
      </c>
      <c r="E56" s="1006">
        <f t="shared" si="3"/>
        <v>1</v>
      </c>
      <c r="F56" s="1006" t="s">
        <v>2775</v>
      </c>
      <c r="G56" s="1007">
        <v>0.004523905175750742</v>
      </c>
      <c r="H56" s="1012">
        <v>0.0</v>
      </c>
      <c r="I56" s="1009">
        <v>5.4</v>
      </c>
      <c r="J56" s="1010">
        <v>-0.007205921544870823</v>
      </c>
    </row>
    <row r="57">
      <c r="A57" t="s">
        <v>84</v>
      </c>
      <c r="B57" s="1003">
        <v>42393.0</v>
      </c>
      <c r="C57" s="1004">
        <f t="shared" si="1"/>
        <v>24</v>
      </c>
      <c r="D57" s="1005">
        <f t="shared" si="2"/>
        <v>0.7868852459</v>
      </c>
      <c r="E57" s="1006">
        <f t="shared" si="3"/>
        <v>1</v>
      </c>
      <c r="F57" s="1006" t="s">
        <v>2775</v>
      </c>
      <c r="G57" s="1007">
        <v>-0.0034306867139919373</v>
      </c>
      <c r="H57" s="1012">
        <v>0.0</v>
      </c>
      <c r="I57" s="1009">
        <v>5.5</v>
      </c>
      <c r="J57" s="1010">
        <v>0.009647910011459945</v>
      </c>
    </row>
    <row r="58">
      <c r="A58" t="s">
        <v>285</v>
      </c>
      <c r="B58" s="1003">
        <v>42028.0</v>
      </c>
      <c r="C58" s="1004">
        <f t="shared" si="1"/>
        <v>24</v>
      </c>
      <c r="D58" s="1005">
        <f t="shared" si="2"/>
        <v>0.7868852459</v>
      </c>
      <c r="E58" s="1006">
        <f t="shared" si="3"/>
        <v>1</v>
      </c>
      <c r="F58" s="1006" t="s">
        <v>2775</v>
      </c>
      <c r="G58" s="1007">
        <v>0.007057466892140374</v>
      </c>
      <c r="H58" s="1012">
        <v>0.0</v>
      </c>
      <c r="I58" s="1009">
        <v>5.6</v>
      </c>
      <c r="J58" s="1010">
        <v>0.010238224419041621</v>
      </c>
    </row>
    <row r="59">
      <c r="A59" t="s">
        <v>1852</v>
      </c>
      <c r="B59" s="1003">
        <v>42394.0</v>
      </c>
      <c r="C59" s="1004">
        <f t="shared" si="1"/>
        <v>25</v>
      </c>
      <c r="D59" s="1005">
        <f t="shared" si="2"/>
        <v>0.8196721311</v>
      </c>
      <c r="E59" s="1006">
        <f t="shared" si="3"/>
        <v>1</v>
      </c>
      <c r="F59" s="1006" t="s">
        <v>2775</v>
      </c>
      <c r="G59" s="1007">
        <v>-0.04521232304555989</v>
      </c>
      <c r="H59" s="1012">
        <v>-1.0</v>
      </c>
      <c r="I59" s="1009">
        <v>5.7</v>
      </c>
      <c r="J59" s="1010">
        <v>0.010276267962011738</v>
      </c>
    </row>
    <row r="60">
      <c r="A60" t="s">
        <v>548</v>
      </c>
      <c r="B60" s="1003">
        <v>42029.0</v>
      </c>
      <c r="C60" s="1004">
        <f t="shared" si="1"/>
        <v>25</v>
      </c>
      <c r="D60" s="1005">
        <f t="shared" si="2"/>
        <v>0.8196721311</v>
      </c>
      <c r="E60" s="1006">
        <f t="shared" si="3"/>
        <v>1</v>
      </c>
      <c r="F60" s="1006" t="s">
        <v>2775</v>
      </c>
      <c r="G60" s="1007">
        <v>-0.01177042139133877</v>
      </c>
      <c r="H60" s="1012">
        <v>-1.0</v>
      </c>
      <c r="I60" s="1009">
        <v>5.8</v>
      </c>
      <c r="J60" s="1010">
        <v>-0.006016526506990361</v>
      </c>
    </row>
    <row r="61">
      <c r="A61" t="s">
        <v>212</v>
      </c>
      <c r="B61" s="1003">
        <v>42029.0</v>
      </c>
      <c r="C61" s="1004">
        <f t="shared" si="1"/>
        <v>25</v>
      </c>
      <c r="D61" s="1005">
        <f t="shared" si="2"/>
        <v>0.8196721311</v>
      </c>
      <c r="E61" s="1006">
        <f t="shared" si="3"/>
        <v>1</v>
      </c>
      <c r="F61" s="1006" t="s">
        <v>2775</v>
      </c>
      <c r="G61" s="1007">
        <v>-0.0031375180719570572</v>
      </c>
      <c r="H61" s="1012">
        <v>0.0</v>
      </c>
      <c r="I61" s="1009">
        <v>5.9</v>
      </c>
      <c r="J61" s="1010">
        <v>4.979202647045053E-4</v>
      </c>
    </row>
    <row r="62">
      <c r="A62" t="s">
        <v>1637</v>
      </c>
      <c r="B62" s="1003">
        <v>42761.0</v>
      </c>
      <c r="C62" s="1004">
        <f t="shared" si="1"/>
        <v>26</v>
      </c>
      <c r="D62" s="1005">
        <f t="shared" si="2"/>
        <v>0.8524590164</v>
      </c>
      <c r="E62" s="1006">
        <f t="shared" si="3"/>
        <v>1</v>
      </c>
      <c r="F62" s="1006" t="s">
        <v>2775</v>
      </c>
      <c r="G62" s="1007">
        <v>0.02945611989171315</v>
      </c>
      <c r="H62" s="1012">
        <v>1.0</v>
      </c>
      <c r="I62" s="1009">
        <v>6.0</v>
      </c>
      <c r="J62" s="1010">
        <v>0.005017859540655112</v>
      </c>
    </row>
    <row r="63">
      <c r="A63" t="s">
        <v>554</v>
      </c>
      <c r="B63" s="1003">
        <v>42031.0</v>
      </c>
      <c r="C63" s="1004">
        <f t="shared" si="1"/>
        <v>27</v>
      </c>
      <c r="D63" s="1005">
        <f t="shared" si="2"/>
        <v>0.8852459016</v>
      </c>
      <c r="E63" s="1006">
        <f t="shared" si="3"/>
        <v>1</v>
      </c>
      <c r="F63" s="1006" t="s">
        <v>2775</v>
      </c>
      <c r="G63" s="1007">
        <v>-0.007516102981927952</v>
      </c>
      <c r="H63" s="1012">
        <v>0.0</v>
      </c>
      <c r="I63" s="1009">
        <v>6.1</v>
      </c>
      <c r="J63" s="1010">
        <v>-0.0038787799917912036</v>
      </c>
    </row>
    <row r="64">
      <c r="A64" t="s">
        <v>1681</v>
      </c>
      <c r="B64" s="1003">
        <v>42397.0</v>
      </c>
      <c r="C64" s="1004">
        <f t="shared" si="1"/>
        <v>28</v>
      </c>
      <c r="D64" s="1005">
        <f t="shared" si="2"/>
        <v>0.9180327869</v>
      </c>
      <c r="E64" s="1006">
        <f t="shared" si="3"/>
        <v>1</v>
      </c>
      <c r="F64" s="1006" t="s">
        <v>2775</v>
      </c>
      <c r="G64" s="1007">
        <v>0.0034139426378404503</v>
      </c>
      <c r="H64" s="1012">
        <v>0.0</v>
      </c>
      <c r="I64" s="1009">
        <v>6.2</v>
      </c>
      <c r="J64" s="1010">
        <v>-0.005159132872028238</v>
      </c>
    </row>
    <row r="65">
      <c r="A65" t="s">
        <v>640</v>
      </c>
      <c r="B65" s="1003">
        <v>42398.0</v>
      </c>
      <c r="C65" s="1004">
        <f t="shared" si="1"/>
        <v>29</v>
      </c>
      <c r="D65" s="1005">
        <f t="shared" si="2"/>
        <v>0.9508196721</v>
      </c>
      <c r="E65" s="1006">
        <f t="shared" si="3"/>
        <v>1</v>
      </c>
      <c r="F65" s="1006" t="s">
        <v>2775</v>
      </c>
      <c r="G65" s="1007">
        <v>-0.01124722246308918</v>
      </c>
      <c r="H65" s="1012">
        <v>-1.0</v>
      </c>
      <c r="I65" s="1009">
        <v>6.3</v>
      </c>
      <c r="J65" s="1010">
        <v>0.007121715944741387</v>
      </c>
    </row>
    <row r="66">
      <c r="A66" t="s">
        <v>227</v>
      </c>
      <c r="B66" s="1003">
        <v>42398.0</v>
      </c>
      <c r="C66" s="1004">
        <f t="shared" si="1"/>
        <v>29</v>
      </c>
      <c r="D66" s="1005">
        <f t="shared" si="2"/>
        <v>0.9508196721</v>
      </c>
      <c r="E66" s="1006">
        <f t="shared" si="3"/>
        <v>1</v>
      </c>
      <c r="F66" s="1006" t="s">
        <v>2775</v>
      </c>
      <c r="G66" s="1007">
        <v>-0.004360763844046378</v>
      </c>
      <c r="H66" s="1012">
        <v>0.0</v>
      </c>
      <c r="I66" s="1009">
        <v>6.4</v>
      </c>
      <c r="J66" s="1010">
        <v>0.0077513264484360455</v>
      </c>
    </row>
    <row r="67">
      <c r="A67" t="s">
        <v>279</v>
      </c>
      <c r="B67" s="1003">
        <v>42033.0</v>
      </c>
      <c r="C67" s="1004">
        <f t="shared" si="1"/>
        <v>29</v>
      </c>
      <c r="D67" s="1005">
        <f t="shared" si="2"/>
        <v>0.9508196721</v>
      </c>
      <c r="E67" s="1006">
        <f t="shared" si="3"/>
        <v>1</v>
      </c>
      <c r="F67" s="1006" t="s">
        <v>2775</v>
      </c>
      <c r="G67" s="1007">
        <v>0.012191129183119931</v>
      </c>
      <c r="H67" s="1012">
        <v>1.0</v>
      </c>
      <c r="I67" s="1009">
        <v>6.5</v>
      </c>
      <c r="J67" s="1010">
        <v>0.0026920397860395514</v>
      </c>
    </row>
    <row r="68">
      <c r="A68" t="s">
        <v>1628</v>
      </c>
      <c r="B68" s="1003">
        <v>42766.0</v>
      </c>
      <c r="C68" s="1004">
        <f t="shared" si="1"/>
        <v>31</v>
      </c>
      <c r="D68" s="1005">
        <f t="shared" si="2"/>
        <v>1.016393443</v>
      </c>
      <c r="E68" s="1006">
        <f t="shared" si="3"/>
        <v>2</v>
      </c>
      <c r="F68" s="1006" t="s">
        <v>2776</v>
      </c>
      <c r="G68" s="1007">
        <v>-3.9373079425009117E-4</v>
      </c>
      <c r="H68" s="1012">
        <v>0.0</v>
      </c>
      <c r="I68" s="1009">
        <v>6.6</v>
      </c>
      <c r="J68" s="1010">
        <v>0.007809280611306128</v>
      </c>
    </row>
    <row r="69">
      <c r="A69" t="s">
        <v>1833</v>
      </c>
      <c r="B69" s="1003">
        <v>42766.0</v>
      </c>
      <c r="C69" s="1004">
        <f t="shared" si="1"/>
        <v>31</v>
      </c>
      <c r="D69" s="1005">
        <f t="shared" si="2"/>
        <v>1.016393443</v>
      </c>
      <c r="E69" s="1006">
        <f t="shared" si="3"/>
        <v>2</v>
      </c>
      <c r="F69" s="1006" t="s">
        <v>2776</v>
      </c>
      <c r="G69" s="1007">
        <v>0.0177913707726568</v>
      </c>
      <c r="H69" s="1012">
        <v>1.0</v>
      </c>
      <c r="I69" s="1009">
        <v>6.7</v>
      </c>
      <c r="J69" s="1010">
        <v>0.008415614861219167</v>
      </c>
    </row>
    <row r="70">
      <c r="A70" t="s">
        <v>465</v>
      </c>
      <c r="B70" s="1003">
        <v>42400.0</v>
      </c>
      <c r="C70" s="1004">
        <f t="shared" si="1"/>
        <v>31</v>
      </c>
      <c r="D70" s="1005">
        <f t="shared" si="2"/>
        <v>1.016393443</v>
      </c>
      <c r="E70" s="1006">
        <f t="shared" si="3"/>
        <v>2</v>
      </c>
      <c r="F70" s="1006" t="s">
        <v>2776</v>
      </c>
      <c r="G70" s="1007">
        <v>-0.02222818463849685</v>
      </c>
      <c r="H70" s="1012">
        <v>-1.0</v>
      </c>
      <c r="I70" s="1009">
        <v>6.8</v>
      </c>
      <c r="J70" s="1010">
        <v>0.012652772045902622</v>
      </c>
    </row>
    <row r="71">
      <c r="A71" t="s">
        <v>361</v>
      </c>
      <c r="B71" s="1003">
        <v>42035.0</v>
      </c>
      <c r="C71" s="1004">
        <f t="shared" si="1"/>
        <v>31</v>
      </c>
      <c r="D71" s="1005">
        <f t="shared" si="2"/>
        <v>1.016393443</v>
      </c>
      <c r="E71" s="1006">
        <f t="shared" si="3"/>
        <v>2</v>
      </c>
      <c r="F71" s="1006" t="s">
        <v>2776</v>
      </c>
      <c r="G71" s="1007">
        <v>0.034741714829512715</v>
      </c>
      <c r="H71" s="1012">
        <v>1.0</v>
      </c>
      <c r="I71" s="1009">
        <v>6.9</v>
      </c>
      <c r="J71" s="1010">
        <v>0.008332105967538528</v>
      </c>
    </row>
    <row r="72">
      <c r="A72" t="s">
        <v>513</v>
      </c>
      <c r="B72" s="1003">
        <v>42035.0</v>
      </c>
      <c r="C72" s="1004">
        <f t="shared" si="1"/>
        <v>31</v>
      </c>
      <c r="D72" s="1005">
        <f t="shared" si="2"/>
        <v>1.016393443</v>
      </c>
      <c r="E72" s="1006">
        <f t="shared" si="3"/>
        <v>2</v>
      </c>
      <c r="F72" s="1006" t="s">
        <v>2776</v>
      </c>
      <c r="G72" s="1007">
        <v>0.012320253467079212</v>
      </c>
      <c r="H72" s="1012">
        <v>1.0</v>
      </c>
      <c r="I72" s="1009">
        <v>7.0</v>
      </c>
      <c r="J72" s="1010">
        <v>-0.004574168234570001</v>
      </c>
    </row>
    <row r="73">
      <c r="A73" t="s">
        <v>1644</v>
      </c>
      <c r="B73" s="1003">
        <v>42767.0</v>
      </c>
      <c r="C73" s="1004">
        <f t="shared" si="1"/>
        <v>32</v>
      </c>
      <c r="D73" s="1005">
        <f t="shared" si="2"/>
        <v>1.049180328</v>
      </c>
      <c r="E73" s="1006">
        <f t="shared" si="3"/>
        <v>2</v>
      </c>
      <c r="F73" s="1006" t="s">
        <v>2776</v>
      </c>
      <c r="G73" s="1007">
        <v>0.00258108997356854</v>
      </c>
      <c r="H73" s="1012">
        <v>0.0</v>
      </c>
      <c r="I73" s="1009">
        <v>7.1</v>
      </c>
      <c r="J73" s="1010">
        <v>0.008259869318013228</v>
      </c>
    </row>
    <row r="74">
      <c r="A74" t="s">
        <v>739</v>
      </c>
      <c r="B74" s="1003">
        <v>42767.0</v>
      </c>
      <c r="C74" s="1004">
        <f t="shared" si="1"/>
        <v>32</v>
      </c>
      <c r="D74" s="1005">
        <f t="shared" si="2"/>
        <v>1.049180328</v>
      </c>
      <c r="E74" s="1006">
        <f t="shared" si="3"/>
        <v>2</v>
      </c>
      <c r="F74" s="1006" t="s">
        <v>2776</v>
      </c>
      <c r="G74" s="1007">
        <v>-0.023361739792324365</v>
      </c>
      <c r="H74" s="1012">
        <v>-1.0</v>
      </c>
      <c r="I74" s="1009">
        <v>7.2</v>
      </c>
      <c r="J74" s="1010">
        <v>-0.003403950405043585</v>
      </c>
    </row>
    <row r="75">
      <c r="A75" t="s">
        <v>328</v>
      </c>
      <c r="B75" s="1003">
        <v>42402.0</v>
      </c>
      <c r="C75" s="1004">
        <f t="shared" si="1"/>
        <v>33</v>
      </c>
      <c r="D75" s="1005">
        <f t="shared" si="2"/>
        <v>1.081967213</v>
      </c>
      <c r="E75" s="1006">
        <f t="shared" si="3"/>
        <v>2</v>
      </c>
      <c r="F75" s="1006" t="s">
        <v>2776</v>
      </c>
      <c r="G75" s="1007">
        <v>-0.004486376375293699</v>
      </c>
      <c r="H75" s="1012">
        <v>0.0</v>
      </c>
      <c r="I75" s="1009">
        <v>7.3</v>
      </c>
      <c r="J75" s="1010">
        <v>0.005427749919895405</v>
      </c>
    </row>
    <row r="76">
      <c r="A76" t="s">
        <v>566</v>
      </c>
      <c r="B76" s="1003">
        <v>42037.0</v>
      </c>
      <c r="C76" s="1004">
        <f t="shared" si="1"/>
        <v>33</v>
      </c>
      <c r="D76" s="1005">
        <f t="shared" si="2"/>
        <v>1.081967213</v>
      </c>
      <c r="E76" s="1006">
        <f t="shared" si="3"/>
        <v>2</v>
      </c>
      <c r="F76" s="1006" t="s">
        <v>2776</v>
      </c>
      <c r="G76" s="1007">
        <v>0.005018327000368972</v>
      </c>
      <c r="H76" s="1012">
        <v>0.0</v>
      </c>
      <c r="I76" s="1009">
        <v>7.4</v>
      </c>
      <c r="J76" s="1010">
        <v>-0.002018628282708379</v>
      </c>
    </row>
    <row r="77">
      <c r="A77" t="s">
        <v>571</v>
      </c>
      <c r="B77" s="1003">
        <v>42037.0</v>
      </c>
      <c r="C77" s="1004">
        <f t="shared" si="1"/>
        <v>33</v>
      </c>
      <c r="D77" s="1005">
        <f t="shared" si="2"/>
        <v>1.081967213</v>
      </c>
      <c r="E77" s="1006">
        <f t="shared" si="3"/>
        <v>2</v>
      </c>
      <c r="F77" s="1006" t="s">
        <v>2776</v>
      </c>
      <c r="G77" s="1007">
        <v>0.018633317698853902</v>
      </c>
      <c r="H77" s="1012">
        <v>1.0</v>
      </c>
      <c r="I77" s="1009">
        <v>7.5</v>
      </c>
      <c r="J77" s="1010">
        <v>-0.011424335048454509</v>
      </c>
    </row>
    <row r="78">
      <c r="A78" t="s">
        <v>1726</v>
      </c>
      <c r="B78" s="1003">
        <v>42769.0</v>
      </c>
      <c r="C78" s="1004">
        <f t="shared" si="1"/>
        <v>34</v>
      </c>
      <c r="D78" s="1005">
        <f t="shared" si="2"/>
        <v>1.114754098</v>
      </c>
      <c r="E78" s="1006">
        <f t="shared" si="3"/>
        <v>2</v>
      </c>
      <c r="F78" s="1006" t="s">
        <v>2776</v>
      </c>
      <c r="G78" s="1007">
        <v>-0.0020432658586841956</v>
      </c>
      <c r="H78" s="1012">
        <v>0.0</v>
      </c>
      <c r="I78" s="1009">
        <v>7.6</v>
      </c>
      <c r="J78" s="1010">
        <v>0.004580577312976175</v>
      </c>
    </row>
    <row r="79">
      <c r="A79" t="s">
        <v>623</v>
      </c>
      <c r="B79" s="1003">
        <v>42403.0</v>
      </c>
      <c r="C79" s="1004">
        <f t="shared" si="1"/>
        <v>34</v>
      </c>
      <c r="D79" s="1005">
        <f t="shared" si="2"/>
        <v>1.114754098</v>
      </c>
      <c r="E79" s="1006">
        <f t="shared" si="3"/>
        <v>2</v>
      </c>
      <c r="F79" s="1006" t="s">
        <v>2776</v>
      </c>
      <c r="G79" s="1007">
        <v>-0.016202750021906187</v>
      </c>
      <c r="H79" s="1012">
        <v>-1.0</v>
      </c>
      <c r="I79" s="1009">
        <v>7.7</v>
      </c>
      <c r="J79" s="1010">
        <v>0.001434336417295114</v>
      </c>
    </row>
    <row r="80">
      <c r="A80" t="s">
        <v>1703</v>
      </c>
      <c r="B80" s="1003">
        <v>42404.0</v>
      </c>
      <c r="C80" s="1004">
        <f t="shared" si="1"/>
        <v>35</v>
      </c>
      <c r="D80" s="1005">
        <f t="shared" si="2"/>
        <v>1.147540984</v>
      </c>
      <c r="E80" s="1006">
        <f t="shared" si="3"/>
        <v>2</v>
      </c>
      <c r="F80" s="1006" t="s">
        <v>2776</v>
      </c>
      <c r="G80" s="1007">
        <v>0.007293009910448123</v>
      </c>
      <c r="H80" s="1012">
        <v>0.0</v>
      </c>
      <c r="I80" s="1009">
        <v>7.8</v>
      </c>
      <c r="J80" s="1010">
        <v>0.004034199929929039</v>
      </c>
    </row>
    <row r="81">
      <c r="A81" t="s">
        <v>348</v>
      </c>
      <c r="B81" s="1003">
        <v>42039.0</v>
      </c>
      <c r="C81" s="1004">
        <f t="shared" si="1"/>
        <v>35</v>
      </c>
      <c r="D81" s="1005">
        <f t="shared" si="2"/>
        <v>1.147540984</v>
      </c>
      <c r="E81" s="1006">
        <f t="shared" si="3"/>
        <v>2</v>
      </c>
      <c r="F81" s="1006" t="s">
        <v>2776</v>
      </c>
      <c r="G81" s="1007">
        <v>-0.012026206795551109</v>
      </c>
      <c r="H81" s="1012">
        <v>-1.0</v>
      </c>
      <c r="I81" s="1009">
        <v>7.9</v>
      </c>
      <c r="J81" s="1010">
        <v>0.008309771235110272</v>
      </c>
    </row>
    <row r="82">
      <c r="A82" t="s">
        <v>1727</v>
      </c>
      <c r="B82" s="1003">
        <v>42771.0</v>
      </c>
      <c r="C82" s="1004">
        <f t="shared" si="1"/>
        <v>36</v>
      </c>
      <c r="D82" s="1005">
        <f t="shared" si="2"/>
        <v>1.180327869</v>
      </c>
      <c r="E82" s="1006">
        <f t="shared" si="3"/>
        <v>2</v>
      </c>
      <c r="F82" s="1006" t="s">
        <v>2776</v>
      </c>
      <c r="G82" s="1007">
        <v>-0.019682959663360866</v>
      </c>
      <c r="H82" s="1012">
        <v>-1.0</v>
      </c>
      <c r="I82" s="1009">
        <v>8.0</v>
      </c>
      <c r="J82" s="1010">
        <v>-0.0036220862749151454</v>
      </c>
    </row>
    <row r="83">
      <c r="A83" t="s">
        <v>548</v>
      </c>
      <c r="B83" s="1003">
        <v>42771.0</v>
      </c>
      <c r="C83" s="1004">
        <f t="shared" si="1"/>
        <v>36</v>
      </c>
      <c r="D83" s="1005">
        <f t="shared" si="2"/>
        <v>1.180327869</v>
      </c>
      <c r="E83" s="1006">
        <f t="shared" si="3"/>
        <v>2</v>
      </c>
      <c r="F83" s="1006" t="s">
        <v>2776</v>
      </c>
      <c r="G83" s="1007">
        <v>0.004080070292369786</v>
      </c>
      <c r="H83" s="1012">
        <v>0.0</v>
      </c>
      <c r="I83" s="1009">
        <v>8.1</v>
      </c>
      <c r="J83" s="1010">
        <v>-8.153683531882142E-4</v>
      </c>
    </row>
    <row r="84">
      <c r="A84" t="s">
        <v>620</v>
      </c>
      <c r="B84" s="1003">
        <v>42405.0</v>
      </c>
      <c r="C84" s="1004">
        <f t="shared" si="1"/>
        <v>36</v>
      </c>
      <c r="D84" s="1005">
        <f t="shared" si="2"/>
        <v>1.180327869</v>
      </c>
      <c r="E84" s="1006">
        <f t="shared" si="3"/>
        <v>2</v>
      </c>
      <c r="F84" s="1006" t="s">
        <v>2776</v>
      </c>
      <c r="G84" s="1007">
        <v>-0.01208637637529375</v>
      </c>
      <c r="H84" s="1012">
        <v>-1.0</v>
      </c>
      <c r="I84" s="1009">
        <v>8.2</v>
      </c>
      <c r="J84" s="1010">
        <v>0.011369038664574782</v>
      </c>
    </row>
    <row r="85">
      <c r="A85" t="s">
        <v>1726</v>
      </c>
      <c r="B85" s="1003">
        <v>42405.0</v>
      </c>
      <c r="C85" s="1004">
        <f t="shared" si="1"/>
        <v>36</v>
      </c>
      <c r="D85" s="1005">
        <f t="shared" si="2"/>
        <v>1.180327869</v>
      </c>
      <c r="E85" s="1006">
        <f t="shared" si="3"/>
        <v>2</v>
      </c>
      <c r="F85" s="1006" t="s">
        <v>2776</v>
      </c>
      <c r="G85" s="1007">
        <v>-0.017420384755055918</v>
      </c>
      <c r="H85" s="1012">
        <v>-1.0</v>
      </c>
      <c r="I85" s="1009">
        <v>8.3</v>
      </c>
      <c r="J85" s="1010">
        <v>0.0033624782305967335</v>
      </c>
    </row>
    <row r="86">
      <c r="A86" t="s">
        <v>1783</v>
      </c>
      <c r="B86" s="1003">
        <v>42405.0</v>
      </c>
      <c r="C86" s="1004">
        <f t="shared" si="1"/>
        <v>36</v>
      </c>
      <c r="D86" s="1005">
        <f t="shared" si="2"/>
        <v>1.180327869</v>
      </c>
      <c r="E86" s="1006">
        <f t="shared" si="3"/>
        <v>2</v>
      </c>
      <c r="F86" s="1006" t="s">
        <v>2776</v>
      </c>
      <c r="G86" s="1007">
        <v>5.129690554217525E-4</v>
      </c>
      <c r="H86" s="1012">
        <v>0.0</v>
      </c>
      <c r="I86" s="1009">
        <v>8.4</v>
      </c>
      <c r="J86" s="1010">
        <v>0.003243725215724001</v>
      </c>
    </row>
    <row r="87">
      <c r="A87" t="s">
        <v>1870</v>
      </c>
      <c r="B87" s="1003">
        <v>42040.0</v>
      </c>
      <c r="C87" s="1004">
        <f t="shared" si="1"/>
        <v>36</v>
      </c>
      <c r="D87" s="1005">
        <f t="shared" si="2"/>
        <v>1.180327869</v>
      </c>
      <c r="E87" s="1006">
        <f t="shared" si="3"/>
        <v>2</v>
      </c>
      <c r="F87" s="1006" t="s">
        <v>2776</v>
      </c>
      <c r="G87" s="1007">
        <v>-0.021711167175843538</v>
      </c>
      <c r="H87" s="1012">
        <v>-1.0</v>
      </c>
      <c r="I87" s="1009">
        <v>8.5</v>
      </c>
      <c r="J87" s="1010">
        <v>-0.008916335636230661</v>
      </c>
    </row>
    <row r="88">
      <c r="A88" t="s">
        <v>449</v>
      </c>
      <c r="B88" s="1003">
        <v>42041.0</v>
      </c>
      <c r="C88" s="1004">
        <f t="shared" si="1"/>
        <v>37</v>
      </c>
      <c r="D88" s="1005">
        <f t="shared" si="2"/>
        <v>1.213114754</v>
      </c>
      <c r="E88" s="1006">
        <f t="shared" si="3"/>
        <v>2</v>
      </c>
      <c r="F88" s="1006" t="s">
        <v>2776</v>
      </c>
      <c r="G88" s="1007">
        <v>-0.00752162761736197</v>
      </c>
      <c r="H88" s="1012">
        <v>0.0</v>
      </c>
      <c r="I88" s="1009">
        <v>8.6</v>
      </c>
      <c r="J88" s="1010">
        <v>0.0059481846917614</v>
      </c>
    </row>
    <row r="89">
      <c r="A89" t="s">
        <v>1825</v>
      </c>
      <c r="B89" s="1003">
        <v>42408.0</v>
      </c>
      <c r="C89" s="1004">
        <f t="shared" si="1"/>
        <v>39</v>
      </c>
      <c r="D89" s="1005">
        <f t="shared" si="2"/>
        <v>1.278688525</v>
      </c>
      <c r="E89" s="1006">
        <f t="shared" si="3"/>
        <v>2</v>
      </c>
      <c r="F89" s="1006" t="s">
        <v>2776</v>
      </c>
      <c r="G89" s="1007">
        <v>0.008179757283574562</v>
      </c>
      <c r="H89" s="1012">
        <v>0.0</v>
      </c>
      <c r="I89" s="1009">
        <v>8.7</v>
      </c>
      <c r="J89" s="1010">
        <v>-0.0027378572769081277</v>
      </c>
    </row>
    <row r="90">
      <c r="A90" t="s">
        <v>1683</v>
      </c>
      <c r="B90" s="1003">
        <v>42775.0</v>
      </c>
      <c r="C90" s="1004">
        <f t="shared" si="1"/>
        <v>40</v>
      </c>
      <c r="D90" s="1005">
        <f t="shared" si="2"/>
        <v>1.31147541</v>
      </c>
      <c r="E90" s="1006">
        <f t="shared" si="3"/>
        <v>2</v>
      </c>
      <c r="F90" s="1006" t="s">
        <v>2776</v>
      </c>
      <c r="G90" s="1007">
        <v>0.021297182139497273</v>
      </c>
      <c r="H90" s="1012">
        <v>1.0</v>
      </c>
      <c r="I90" s="1009">
        <v>8.8</v>
      </c>
      <c r="J90" s="1010">
        <v>0.0014354579461200753</v>
      </c>
    </row>
    <row r="91">
      <c r="A91" t="s">
        <v>1783</v>
      </c>
      <c r="B91" s="1003">
        <v>42776.0</v>
      </c>
      <c r="C91" s="1004">
        <f t="shared" si="1"/>
        <v>41</v>
      </c>
      <c r="D91" s="1005">
        <f t="shared" si="2"/>
        <v>1.344262295</v>
      </c>
      <c r="E91" s="1006">
        <f t="shared" si="3"/>
        <v>2</v>
      </c>
      <c r="F91" s="1006" t="s">
        <v>2776</v>
      </c>
      <c r="G91" s="1007">
        <v>0.01800809888906907</v>
      </c>
      <c r="H91" s="1012">
        <v>1.0</v>
      </c>
      <c r="I91" s="1009">
        <v>8.9</v>
      </c>
      <c r="J91" s="1010">
        <v>-0.001912448422350499</v>
      </c>
    </row>
    <row r="92">
      <c r="A92" t="s">
        <v>147</v>
      </c>
      <c r="B92" s="1003">
        <v>42410.0</v>
      </c>
      <c r="C92" s="1004">
        <f t="shared" si="1"/>
        <v>41</v>
      </c>
      <c r="D92" s="1005">
        <f t="shared" si="2"/>
        <v>1.344262295</v>
      </c>
      <c r="E92" s="1006">
        <f t="shared" si="3"/>
        <v>2</v>
      </c>
      <c r="F92" s="1006" t="s">
        <v>2776</v>
      </c>
      <c r="G92" s="1007">
        <v>-0.004909330998319472</v>
      </c>
      <c r="H92" s="1012">
        <v>0.0</v>
      </c>
      <c r="I92" s="1009">
        <v>9.0</v>
      </c>
      <c r="J92" s="1010">
        <v>-0.0012058344354184706</v>
      </c>
    </row>
    <row r="93">
      <c r="A93" t="s">
        <v>1127</v>
      </c>
      <c r="B93" s="1003">
        <v>42412.0</v>
      </c>
      <c r="C93" s="1004">
        <f t="shared" si="1"/>
        <v>43</v>
      </c>
      <c r="D93" s="1005">
        <f t="shared" si="2"/>
        <v>1.409836066</v>
      </c>
      <c r="E93" s="1006">
        <f t="shared" si="3"/>
        <v>2</v>
      </c>
      <c r="F93" s="1006" t="s">
        <v>2776</v>
      </c>
      <c r="G93" s="1007">
        <v>0.0027250069471090876</v>
      </c>
      <c r="H93" s="1012">
        <v>0.0</v>
      </c>
      <c r="I93" s="1009">
        <v>9.1</v>
      </c>
      <c r="J93" s="1010">
        <v>0.007505619929381285</v>
      </c>
    </row>
    <row r="94">
      <c r="A94" t="s">
        <v>582</v>
      </c>
      <c r="B94" s="1003">
        <v>42047.0</v>
      </c>
      <c r="C94" s="1004">
        <f t="shared" si="1"/>
        <v>43</v>
      </c>
      <c r="D94" s="1005">
        <f t="shared" si="2"/>
        <v>1.409836066</v>
      </c>
      <c r="E94" s="1006">
        <f t="shared" si="3"/>
        <v>2</v>
      </c>
      <c r="F94" s="1006" t="s">
        <v>2776</v>
      </c>
      <c r="G94" s="1007">
        <v>0.0046295786086612</v>
      </c>
      <c r="H94" s="1012">
        <v>0.0</v>
      </c>
      <c r="I94" s="1009">
        <v>9.2</v>
      </c>
      <c r="J94" s="1010">
        <v>0.0031527404710052025</v>
      </c>
    </row>
    <row r="95">
      <c r="A95" t="s">
        <v>1874</v>
      </c>
      <c r="B95" s="1003">
        <v>42779.0</v>
      </c>
      <c r="C95" s="1004">
        <f t="shared" si="1"/>
        <v>44</v>
      </c>
      <c r="D95" s="1005">
        <f t="shared" si="2"/>
        <v>1.442622951</v>
      </c>
      <c r="E95" s="1006">
        <f t="shared" si="3"/>
        <v>2</v>
      </c>
      <c r="F95" s="1006" t="s">
        <v>2776</v>
      </c>
      <c r="G95" s="1007">
        <v>0.03588710136149764</v>
      </c>
      <c r="H95" s="1012">
        <v>1.0</v>
      </c>
      <c r="I95" s="1009">
        <v>9.3</v>
      </c>
      <c r="J95" s="1010">
        <v>-6.595025447190631E-4</v>
      </c>
    </row>
    <row r="96">
      <c r="A96" t="s">
        <v>407</v>
      </c>
      <c r="B96" s="1003">
        <v>42413.0</v>
      </c>
      <c r="C96" s="1004">
        <f t="shared" si="1"/>
        <v>44</v>
      </c>
      <c r="D96" s="1005">
        <f t="shared" si="2"/>
        <v>1.442622951</v>
      </c>
      <c r="E96" s="1006">
        <f t="shared" si="3"/>
        <v>2</v>
      </c>
      <c r="F96" s="1006" t="s">
        <v>2776</v>
      </c>
      <c r="G96" s="1007">
        <v>0.015307892289044833</v>
      </c>
      <c r="H96" s="1012">
        <v>1.0</v>
      </c>
      <c r="I96" s="1009">
        <v>9.4</v>
      </c>
      <c r="J96" s="1010">
        <v>0.005203722102272245</v>
      </c>
    </row>
    <row r="97">
      <c r="A97" t="s">
        <v>126</v>
      </c>
      <c r="B97" s="1003">
        <v>42048.0</v>
      </c>
      <c r="C97" s="1004">
        <f t="shared" si="1"/>
        <v>44</v>
      </c>
      <c r="D97" s="1005">
        <f t="shared" si="2"/>
        <v>1.442622951</v>
      </c>
      <c r="E97" s="1006">
        <f t="shared" si="3"/>
        <v>2</v>
      </c>
      <c r="F97" s="1006" t="s">
        <v>2776</v>
      </c>
      <c r="G97" s="1007">
        <v>0.015337073647768928</v>
      </c>
      <c r="H97" s="1012">
        <v>1.0</v>
      </c>
      <c r="I97" s="1009">
        <v>9.5</v>
      </c>
      <c r="J97" s="1010">
        <v>0.00530571774533789</v>
      </c>
    </row>
    <row r="98">
      <c r="A98" t="s">
        <v>1615</v>
      </c>
      <c r="B98" s="1003">
        <v>42780.0</v>
      </c>
      <c r="C98" s="1004">
        <f t="shared" si="1"/>
        <v>45</v>
      </c>
      <c r="D98" s="1005">
        <f t="shared" si="2"/>
        <v>1.475409836</v>
      </c>
      <c r="E98" s="1006">
        <f t="shared" si="3"/>
        <v>2</v>
      </c>
      <c r="F98" s="1006" t="s">
        <v>2776</v>
      </c>
      <c r="G98" s="1007">
        <v>-0.014037018518625155</v>
      </c>
      <c r="H98" s="1012">
        <v>-1.0</v>
      </c>
      <c r="I98" s="1009">
        <v>9.6</v>
      </c>
      <c r="J98" s="1010">
        <v>-0.0040097369961399456</v>
      </c>
    </row>
    <row r="99">
      <c r="A99" t="s">
        <v>541</v>
      </c>
      <c r="B99" s="1003">
        <v>42414.0</v>
      </c>
      <c r="C99" s="1004">
        <f t="shared" si="1"/>
        <v>45</v>
      </c>
      <c r="D99" s="1005">
        <f t="shared" si="2"/>
        <v>1.475409836</v>
      </c>
      <c r="E99" s="1006">
        <f t="shared" si="3"/>
        <v>2</v>
      </c>
      <c r="F99" s="1006" t="s">
        <v>2776</v>
      </c>
      <c r="G99" s="1007">
        <v>-7.301304324769387E-5</v>
      </c>
      <c r="H99" s="1012">
        <v>0.0</v>
      </c>
      <c r="I99" s="1009">
        <v>9.7</v>
      </c>
      <c r="J99" s="1010">
        <v>-0.002801276373572742</v>
      </c>
    </row>
    <row r="100">
      <c r="A100" t="s">
        <v>541</v>
      </c>
      <c r="B100" s="1003">
        <v>42414.0</v>
      </c>
      <c r="C100" s="1004">
        <f t="shared" si="1"/>
        <v>45</v>
      </c>
      <c r="D100" s="1005">
        <f t="shared" si="2"/>
        <v>1.475409836</v>
      </c>
      <c r="E100" s="1006">
        <f t="shared" si="3"/>
        <v>2</v>
      </c>
      <c r="F100" s="1006" t="s">
        <v>2776</v>
      </c>
      <c r="G100" s="1007">
        <v>0.007709286751903077</v>
      </c>
      <c r="H100" s="1012">
        <v>0.0</v>
      </c>
      <c r="I100" s="1009">
        <v>9.8</v>
      </c>
      <c r="J100" s="1010">
        <v>-0.009517266019608984</v>
      </c>
    </row>
    <row r="101">
      <c r="A101" t="s">
        <v>589</v>
      </c>
      <c r="B101" s="1003">
        <v>42049.0</v>
      </c>
      <c r="C101" s="1004">
        <f t="shared" si="1"/>
        <v>45</v>
      </c>
      <c r="D101" s="1005">
        <f t="shared" si="2"/>
        <v>1.475409836</v>
      </c>
      <c r="E101" s="1006">
        <f t="shared" si="3"/>
        <v>2</v>
      </c>
      <c r="F101" s="1006" t="s">
        <v>2776</v>
      </c>
      <c r="G101" s="1007">
        <v>-0.012625728607300712</v>
      </c>
      <c r="H101" s="1012">
        <v>-1.0</v>
      </c>
      <c r="I101" s="1009">
        <v>9.9</v>
      </c>
      <c r="J101" s="1010">
        <v>0.014339563781220394</v>
      </c>
    </row>
    <row r="102">
      <c r="A102" t="s">
        <v>595</v>
      </c>
      <c r="B102" s="1003">
        <v>42049.0</v>
      </c>
      <c r="C102" s="1004">
        <f t="shared" si="1"/>
        <v>45</v>
      </c>
      <c r="D102" s="1005">
        <f t="shared" si="2"/>
        <v>1.475409836</v>
      </c>
      <c r="E102" s="1006">
        <f t="shared" si="3"/>
        <v>2</v>
      </c>
      <c r="F102" s="1006" t="s">
        <v>2776</v>
      </c>
      <c r="G102" s="1007">
        <v>-0.02059286375736269</v>
      </c>
      <c r="H102" s="1012">
        <v>-1.0</v>
      </c>
      <c r="I102" s="1009">
        <v>10.0</v>
      </c>
      <c r="J102" s="1010">
        <v>-3.040576818238943E-4</v>
      </c>
    </row>
    <row r="103">
      <c r="A103" t="s">
        <v>615</v>
      </c>
      <c r="B103" s="1003">
        <v>42781.0</v>
      </c>
      <c r="C103" s="1004">
        <f t="shared" si="1"/>
        <v>46</v>
      </c>
      <c r="D103" s="1005">
        <f t="shared" si="2"/>
        <v>1.508196721</v>
      </c>
      <c r="E103" s="1006">
        <f t="shared" si="3"/>
        <v>2</v>
      </c>
      <c r="F103" s="1006" t="s">
        <v>2776</v>
      </c>
      <c r="G103" s="1007">
        <v>0.019282438842097127</v>
      </c>
      <c r="H103" s="1012">
        <v>1.0</v>
      </c>
      <c r="I103" s="1009">
        <v>10.1</v>
      </c>
      <c r="J103" s="1010">
        <v>0.005104850482361501</v>
      </c>
    </row>
    <row r="104">
      <c r="A104" t="s">
        <v>1868</v>
      </c>
      <c r="B104" s="1003">
        <v>42415.0</v>
      </c>
      <c r="C104" s="1004">
        <f t="shared" si="1"/>
        <v>46</v>
      </c>
      <c r="D104" s="1005">
        <f t="shared" si="2"/>
        <v>1.508196721</v>
      </c>
      <c r="E104" s="1006">
        <f t="shared" si="3"/>
        <v>2</v>
      </c>
      <c r="F104" s="1006" t="s">
        <v>2776</v>
      </c>
      <c r="G104" s="1007">
        <v>-0.04288408397577981</v>
      </c>
      <c r="H104" s="1012">
        <v>-1.0</v>
      </c>
      <c r="I104" s="1009">
        <v>10.2</v>
      </c>
      <c r="J104" s="1010">
        <v>-0.006030317829994268</v>
      </c>
    </row>
    <row r="105">
      <c r="A105" t="s">
        <v>1856</v>
      </c>
      <c r="B105" s="1003">
        <v>42415.0</v>
      </c>
      <c r="C105" s="1004">
        <f t="shared" si="1"/>
        <v>46</v>
      </c>
      <c r="D105" s="1005">
        <f t="shared" si="2"/>
        <v>1.508196721</v>
      </c>
      <c r="E105" s="1006">
        <f t="shared" si="3"/>
        <v>2</v>
      </c>
      <c r="F105" s="1006" t="s">
        <v>2776</v>
      </c>
      <c r="G105" s="1007">
        <v>-0.011017358908938069</v>
      </c>
      <c r="H105" s="1012">
        <v>-1.0</v>
      </c>
      <c r="I105" s="1009">
        <v>10.3</v>
      </c>
      <c r="J105" s="1010">
        <v>-6.645099469179793E-4</v>
      </c>
    </row>
    <row r="106">
      <c r="A106" t="s">
        <v>181</v>
      </c>
      <c r="B106" s="1003">
        <v>42415.0</v>
      </c>
      <c r="C106" s="1004">
        <f t="shared" si="1"/>
        <v>46</v>
      </c>
      <c r="D106" s="1005">
        <f t="shared" si="2"/>
        <v>1.508196721</v>
      </c>
      <c r="E106" s="1006">
        <f t="shared" si="3"/>
        <v>2</v>
      </c>
      <c r="F106" s="1006" t="s">
        <v>2776</v>
      </c>
      <c r="G106" s="1007">
        <v>-0.018749803249945796</v>
      </c>
      <c r="H106" s="1012">
        <v>-1.0</v>
      </c>
      <c r="I106" s="1009">
        <v>10.4</v>
      </c>
      <c r="J106" s="1010">
        <v>-0.0019167265013934195</v>
      </c>
    </row>
    <row r="107">
      <c r="A107" t="s">
        <v>181</v>
      </c>
      <c r="B107" s="1003">
        <v>42415.0</v>
      </c>
      <c r="C107" s="1004">
        <f t="shared" si="1"/>
        <v>46</v>
      </c>
      <c r="D107" s="1005">
        <f t="shared" si="2"/>
        <v>1.508196721</v>
      </c>
      <c r="E107" s="1006">
        <f t="shared" si="3"/>
        <v>2</v>
      </c>
      <c r="F107" s="1006" t="s">
        <v>2776</v>
      </c>
      <c r="G107" s="1007">
        <v>0.012035968045368106</v>
      </c>
      <c r="H107" s="1012">
        <v>1.0</v>
      </c>
      <c r="I107" s="1009">
        <v>10.5</v>
      </c>
      <c r="J107" s="1010">
        <v>-0.006153269788369098</v>
      </c>
    </row>
    <row r="108">
      <c r="A108" t="s">
        <v>331</v>
      </c>
      <c r="B108" s="1003">
        <v>42050.0</v>
      </c>
      <c r="C108" s="1004">
        <f t="shared" si="1"/>
        <v>46</v>
      </c>
      <c r="D108" s="1005">
        <f t="shared" si="2"/>
        <v>1.508196721</v>
      </c>
      <c r="E108" s="1006">
        <f t="shared" si="3"/>
        <v>2</v>
      </c>
      <c r="F108" s="1006" t="s">
        <v>2776</v>
      </c>
      <c r="G108" s="1007">
        <v>0.0143655749892031</v>
      </c>
      <c r="H108" s="1012">
        <v>1.0</v>
      </c>
      <c r="I108" s="1009">
        <v>10.6</v>
      </c>
      <c r="J108" s="1010">
        <v>0.009434084894170663</v>
      </c>
    </row>
    <row r="109">
      <c r="A109" t="s">
        <v>126</v>
      </c>
      <c r="B109" s="1003">
        <v>42416.0</v>
      </c>
      <c r="C109" s="1004">
        <f t="shared" si="1"/>
        <v>47</v>
      </c>
      <c r="D109" s="1005">
        <f t="shared" si="2"/>
        <v>1.540983607</v>
      </c>
      <c r="E109" s="1006">
        <f t="shared" si="3"/>
        <v>2</v>
      </c>
      <c r="F109" s="1006" t="s">
        <v>2776</v>
      </c>
      <c r="G109" s="1007">
        <v>-0.029722553276882446</v>
      </c>
      <c r="H109" s="1012">
        <v>-1.0</v>
      </c>
      <c r="I109" s="1009">
        <v>10.7</v>
      </c>
      <c r="J109" s="1010">
        <v>0.0032850744294375513</v>
      </c>
    </row>
    <row r="110">
      <c r="A110" t="s">
        <v>210</v>
      </c>
      <c r="B110" s="1003">
        <v>42783.0</v>
      </c>
      <c r="C110" s="1004">
        <f t="shared" si="1"/>
        <v>48</v>
      </c>
      <c r="D110" s="1005">
        <f t="shared" si="2"/>
        <v>1.573770492</v>
      </c>
      <c r="E110" s="1006">
        <f t="shared" si="3"/>
        <v>2</v>
      </c>
      <c r="F110" s="1006" t="s">
        <v>2776</v>
      </c>
      <c r="G110" s="1007">
        <v>0.0010906690016805332</v>
      </c>
      <c r="H110" s="1012">
        <v>0.0</v>
      </c>
      <c r="I110" s="1009">
        <v>10.8</v>
      </c>
      <c r="J110" s="1010">
        <v>-0.0015898952111497934</v>
      </c>
    </row>
    <row r="111">
      <c r="A111" t="s">
        <v>761</v>
      </c>
      <c r="B111" s="1003">
        <v>42784.0</v>
      </c>
      <c r="C111" s="1004">
        <f t="shared" si="1"/>
        <v>49</v>
      </c>
      <c r="D111" s="1005">
        <f t="shared" si="2"/>
        <v>1.606557377</v>
      </c>
      <c r="E111" s="1006">
        <f t="shared" si="3"/>
        <v>2</v>
      </c>
      <c r="F111" s="1006" t="s">
        <v>2776</v>
      </c>
      <c r="G111" s="1007">
        <v>-0.011992957775224355</v>
      </c>
      <c r="H111" s="1012">
        <v>-1.0</v>
      </c>
      <c r="I111" s="1009">
        <v>10.9</v>
      </c>
      <c r="J111" s="1010">
        <v>-0.004814175606518019</v>
      </c>
    </row>
    <row r="112">
      <c r="A112" t="s">
        <v>1693</v>
      </c>
      <c r="B112" s="1003">
        <v>42419.0</v>
      </c>
      <c r="C112" s="1004">
        <f t="shared" si="1"/>
        <v>50</v>
      </c>
      <c r="D112" s="1005">
        <f t="shared" si="2"/>
        <v>1.639344262</v>
      </c>
      <c r="E112" s="1006">
        <f t="shared" si="3"/>
        <v>2</v>
      </c>
      <c r="F112" s="1006" t="s">
        <v>2776</v>
      </c>
      <c r="G112" s="1007">
        <v>-0.01076989765665004</v>
      </c>
      <c r="H112" s="1012">
        <v>-1.0</v>
      </c>
      <c r="I112" s="1009">
        <v>11.0</v>
      </c>
      <c r="J112" s="1010">
        <v>0.012158603931054772</v>
      </c>
    </row>
    <row r="113">
      <c r="A113" t="s">
        <v>761</v>
      </c>
      <c r="B113" s="1003">
        <v>42419.0</v>
      </c>
      <c r="C113" s="1004">
        <f t="shared" si="1"/>
        <v>50</v>
      </c>
      <c r="D113" s="1005">
        <f t="shared" si="2"/>
        <v>1.639344262</v>
      </c>
      <c r="E113" s="1006">
        <f t="shared" si="3"/>
        <v>2</v>
      </c>
      <c r="F113" s="1006" t="s">
        <v>2776</v>
      </c>
      <c r="G113" s="1007">
        <v>-0.05467770354842727</v>
      </c>
      <c r="H113" s="1012">
        <v>-1.0</v>
      </c>
      <c r="I113" s="1009">
        <v>11.1</v>
      </c>
      <c r="J113" s="1010">
        <v>-3.2824618397074367E-4</v>
      </c>
    </row>
    <row r="114">
      <c r="A114" t="s">
        <v>449</v>
      </c>
      <c r="B114" s="1003">
        <v>42786.0</v>
      </c>
      <c r="C114" s="1004">
        <f t="shared" si="1"/>
        <v>51</v>
      </c>
      <c r="D114" s="1005">
        <f t="shared" si="2"/>
        <v>1.672131148</v>
      </c>
      <c r="E114" s="1006">
        <f t="shared" si="3"/>
        <v>2</v>
      </c>
      <c r="F114" s="1006" t="s">
        <v>2776</v>
      </c>
      <c r="G114" s="1007">
        <v>-0.010202563172493573</v>
      </c>
      <c r="H114" s="1012">
        <v>-1.0</v>
      </c>
      <c r="I114" s="1009">
        <v>11.2</v>
      </c>
      <c r="J114" s="1010">
        <v>0.0064946381075486155</v>
      </c>
    </row>
    <row r="115">
      <c r="A115" t="s">
        <v>449</v>
      </c>
      <c r="B115" s="1003">
        <v>42420.0</v>
      </c>
      <c r="C115" s="1004">
        <f t="shared" si="1"/>
        <v>51</v>
      </c>
      <c r="D115" s="1005">
        <f t="shared" si="2"/>
        <v>1.672131148</v>
      </c>
      <c r="E115" s="1006">
        <f t="shared" si="3"/>
        <v>2</v>
      </c>
      <c r="F115" s="1006" t="s">
        <v>2776</v>
      </c>
      <c r="G115" s="1007">
        <v>-0.019600840466886926</v>
      </c>
      <c r="H115" s="1012">
        <v>-1.0</v>
      </c>
      <c r="I115" s="1009">
        <v>11.3</v>
      </c>
      <c r="J115" s="1010">
        <v>-0.010529403937410461</v>
      </c>
    </row>
    <row r="116">
      <c r="A116" t="s">
        <v>761</v>
      </c>
      <c r="B116" s="1003">
        <v>42420.0</v>
      </c>
      <c r="C116" s="1004">
        <f t="shared" si="1"/>
        <v>51</v>
      </c>
      <c r="D116" s="1005">
        <f t="shared" si="2"/>
        <v>1.672131148</v>
      </c>
      <c r="E116" s="1006">
        <f t="shared" si="3"/>
        <v>2</v>
      </c>
      <c r="F116" s="1006" t="s">
        <v>2776</v>
      </c>
      <c r="G116" s="1007">
        <v>-0.05206276338889204</v>
      </c>
      <c r="H116" s="1012">
        <v>-1.0</v>
      </c>
      <c r="I116" s="1009">
        <v>11.4</v>
      </c>
      <c r="J116" s="1010">
        <v>-0.008485176350167371</v>
      </c>
    </row>
    <row r="117">
      <c r="A117" t="s">
        <v>566</v>
      </c>
      <c r="B117" s="1003">
        <v>42420.0</v>
      </c>
      <c r="C117" s="1004">
        <f t="shared" si="1"/>
        <v>51</v>
      </c>
      <c r="D117" s="1005">
        <f t="shared" si="2"/>
        <v>1.672131148</v>
      </c>
      <c r="E117" s="1006">
        <f t="shared" si="3"/>
        <v>2</v>
      </c>
      <c r="F117" s="1006" t="s">
        <v>2776</v>
      </c>
      <c r="G117" s="1007">
        <v>-0.003043502242056406</v>
      </c>
      <c r="H117" s="1012">
        <v>0.0</v>
      </c>
      <c r="I117" s="1009">
        <v>11.5</v>
      </c>
      <c r="J117" s="1010">
        <v>-0.009180128538226433</v>
      </c>
    </row>
    <row r="118">
      <c r="A118" t="s">
        <v>457</v>
      </c>
      <c r="B118" s="1003">
        <v>42055.0</v>
      </c>
      <c r="C118" s="1004">
        <f t="shared" si="1"/>
        <v>51</v>
      </c>
      <c r="D118" s="1005">
        <f t="shared" si="2"/>
        <v>1.672131148</v>
      </c>
      <c r="E118" s="1006">
        <f t="shared" si="3"/>
        <v>2</v>
      </c>
      <c r="F118" s="1006" t="s">
        <v>2776</v>
      </c>
      <c r="G118" s="1007">
        <v>0.0225202534670792</v>
      </c>
      <c r="H118" s="1012">
        <v>1.0</v>
      </c>
      <c r="I118" s="1009">
        <v>11.6</v>
      </c>
      <c r="J118" s="1010">
        <v>-0.007710953906743392</v>
      </c>
    </row>
    <row r="119">
      <c r="A119" t="s">
        <v>96</v>
      </c>
      <c r="B119" s="1003">
        <v>42055.0</v>
      </c>
      <c r="C119" s="1004">
        <f t="shared" si="1"/>
        <v>51</v>
      </c>
      <c r="D119" s="1005">
        <f t="shared" si="2"/>
        <v>1.672131148</v>
      </c>
      <c r="E119" s="1006">
        <f t="shared" si="3"/>
        <v>2</v>
      </c>
      <c r="F119" s="1006" t="s">
        <v>2776</v>
      </c>
      <c r="G119" s="1007">
        <v>-0.012336990851653185</v>
      </c>
      <c r="H119" s="1012">
        <v>-1.0</v>
      </c>
      <c r="I119" s="1009">
        <v>11.7</v>
      </c>
      <c r="J119" s="1010">
        <v>0.005017492498838483</v>
      </c>
    </row>
    <row r="120">
      <c r="A120" t="s">
        <v>605</v>
      </c>
      <c r="B120" s="1003">
        <v>42056.0</v>
      </c>
      <c r="C120" s="1004">
        <f t="shared" si="1"/>
        <v>52</v>
      </c>
      <c r="D120" s="1005">
        <f t="shared" si="2"/>
        <v>1.704918033</v>
      </c>
      <c r="E120" s="1006">
        <f t="shared" si="3"/>
        <v>2</v>
      </c>
      <c r="F120" s="1006" t="s">
        <v>2776</v>
      </c>
      <c r="G120" s="1007">
        <v>0.006716485141011752</v>
      </c>
      <c r="H120" s="1012">
        <v>0.0</v>
      </c>
      <c r="I120" s="1009">
        <v>11.8</v>
      </c>
      <c r="J120" s="1010">
        <v>0.006692128460857279</v>
      </c>
    </row>
    <row r="121">
      <c r="A121" t="s">
        <v>1818</v>
      </c>
      <c r="B121" s="1003">
        <v>42422.0</v>
      </c>
      <c r="C121" s="1004">
        <f t="shared" si="1"/>
        <v>53</v>
      </c>
      <c r="D121" s="1005">
        <f t="shared" si="2"/>
        <v>1.737704918</v>
      </c>
      <c r="E121" s="1006">
        <f t="shared" si="3"/>
        <v>2</v>
      </c>
      <c r="F121" s="1006" t="s">
        <v>2776</v>
      </c>
      <c r="G121" s="1007">
        <v>-0.001381396787394129</v>
      </c>
      <c r="H121" s="1012">
        <v>0.0</v>
      </c>
      <c r="I121" s="1009">
        <v>11.9</v>
      </c>
      <c r="J121" s="1010">
        <v>-0.0035649084601210995</v>
      </c>
    </row>
    <row r="122">
      <c r="A122" t="s">
        <v>1703</v>
      </c>
      <c r="B122" s="1003">
        <v>42423.0</v>
      </c>
      <c r="C122" s="1004">
        <f t="shared" si="1"/>
        <v>54</v>
      </c>
      <c r="D122" s="1005">
        <f t="shared" si="2"/>
        <v>1.770491803</v>
      </c>
      <c r="E122" s="1006">
        <f t="shared" si="3"/>
        <v>2</v>
      </c>
      <c r="F122" s="1006" t="s">
        <v>2776</v>
      </c>
      <c r="G122" s="1007">
        <v>0.009119604577880525</v>
      </c>
      <c r="H122" s="1012">
        <v>0.0</v>
      </c>
      <c r="I122" s="1009">
        <v>12.0</v>
      </c>
      <c r="J122" s="1010">
        <v>0.010417415484599164</v>
      </c>
    </row>
    <row r="123">
      <c r="A123" t="s">
        <v>339</v>
      </c>
      <c r="B123" s="1003">
        <v>42058.0</v>
      </c>
      <c r="C123" s="1004">
        <f t="shared" si="1"/>
        <v>54</v>
      </c>
      <c r="D123" s="1005">
        <f t="shared" si="2"/>
        <v>1.770491803</v>
      </c>
      <c r="E123" s="1006">
        <f t="shared" si="3"/>
        <v>2</v>
      </c>
      <c r="F123" s="1006" t="s">
        <v>2776</v>
      </c>
      <c r="G123" s="1007">
        <v>0.005503388028213707</v>
      </c>
      <c r="H123" s="1012">
        <v>0.0</v>
      </c>
      <c r="I123" s="1009"/>
    </row>
    <row r="124">
      <c r="A124" t="s">
        <v>212</v>
      </c>
      <c r="B124" s="1003">
        <v>42060.0</v>
      </c>
      <c r="C124" s="1004">
        <f t="shared" si="1"/>
        <v>56</v>
      </c>
      <c r="D124" s="1005">
        <f t="shared" si="2"/>
        <v>1.836065574</v>
      </c>
      <c r="E124" s="1006">
        <f t="shared" si="3"/>
        <v>2</v>
      </c>
      <c r="F124" s="1006" t="s">
        <v>2776</v>
      </c>
      <c r="G124" s="1007">
        <v>-0.004401485045881448</v>
      </c>
      <c r="H124" s="1012">
        <v>0.0</v>
      </c>
      <c r="I124" s="1009"/>
    </row>
    <row r="125">
      <c r="A125" t="s">
        <v>328</v>
      </c>
      <c r="B125" s="1003">
        <v>42793.0</v>
      </c>
      <c r="C125" s="1004">
        <f t="shared" si="1"/>
        <v>58</v>
      </c>
      <c r="D125" s="1005">
        <f t="shared" si="2"/>
        <v>1.901639344</v>
      </c>
      <c r="E125" s="1006">
        <f t="shared" si="3"/>
        <v>2</v>
      </c>
      <c r="F125" s="1006" t="s">
        <v>2776</v>
      </c>
      <c r="G125" s="1007">
        <v>-0.02270681325605306</v>
      </c>
      <c r="H125" s="1012">
        <v>-1.0</v>
      </c>
      <c r="I125" s="1009"/>
    </row>
    <row r="126">
      <c r="A126" t="s">
        <v>1876</v>
      </c>
      <c r="B126" s="1003">
        <v>42427.0</v>
      </c>
      <c r="C126" s="1004">
        <f t="shared" si="1"/>
        <v>58</v>
      </c>
      <c r="D126" s="1005">
        <f t="shared" si="2"/>
        <v>1.901639344</v>
      </c>
      <c r="E126" s="1006">
        <f t="shared" si="3"/>
        <v>2</v>
      </c>
      <c r="F126" s="1006" t="s">
        <v>2776</v>
      </c>
      <c r="G126" s="1007">
        <v>-0.0327121746616873</v>
      </c>
      <c r="H126" s="1012">
        <v>-1.0</v>
      </c>
      <c r="I126" s="1009"/>
    </row>
    <row r="127">
      <c r="A127" t="s">
        <v>1748</v>
      </c>
      <c r="B127" s="1003">
        <v>42427.0</v>
      </c>
      <c r="C127" s="1004">
        <f t="shared" si="1"/>
        <v>58</v>
      </c>
      <c r="D127" s="1005">
        <f t="shared" si="2"/>
        <v>1.901639344</v>
      </c>
      <c r="E127" s="1006">
        <f t="shared" si="3"/>
        <v>2</v>
      </c>
      <c r="F127" s="1006" t="s">
        <v>2776</v>
      </c>
      <c r="G127" s="1007">
        <v>-0.004673699756108096</v>
      </c>
      <c r="H127" s="1012">
        <v>0.0</v>
      </c>
      <c r="I127" s="1009"/>
    </row>
    <row r="128">
      <c r="A128" t="s">
        <v>339</v>
      </c>
      <c r="B128" s="1003">
        <v>42427.0</v>
      </c>
      <c r="C128" s="1004">
        <f t="shared" si="1"/>
        <v>58</v>
      </c>
      <c r="D128" s="1005">
        <f t="shared" si="2"/>
        <v>1.901639344</v>
      </c>
      <c r="E128" s="1006">
        <f t="shared" si="3"/>
        <v>2</v>
      </c>
      <c r="F128" s="1006" t="s">
        <v>2776</v>
      </c>
      <c r="G128" s="1007">
        <v>-0.027865743033618995</v>
      </c>
      <c r="H128" s="1012">
        <v>-1.0</v>
      </c>
      <c r="I128" s="1009"/>
    </row>
    <row r="129">
      <c r="A129" t="s">
        <v>1812</v>
      </c>
      <c r="B129" s="1003">
        <v>42794.0</v>
      </c>
      <c r="C129" s="1004">
        <f t="shared" si="1"/>
        <v>59</v>
      </c>
      <c r="D129" s="1005">
        <f t="shared" si="2"/>
        <v>1.93442623</v>
      </c>
      <c r="E129" s="1006">
        <f t="shared" si="3"/>
        <v>2</v>
      </c>
      <c r="F129" s="1006" t="s">
        <v>2776</v>
      </c>
      <c r="G129" s="1007">
        <v>-0.05653488758630787</v>
      </c>
      <c r="H129" s="1012">
        <v>-1.0</v>
      </c>
      <c r="I129" s="1009"/>
    </row>
    <row r="130">
      <c r="A130" t="s">
        <v>1611</v>
      </c>
      <c r="B130" s="1003">
        <v>42794.0</v>
      </c>
      <c r="C130" s="1004">
        <f t="shared" si="1"/>
        <v>59</v>
      </c>
      <c r="D130" s="1005">
        <f t="shared" si="2"/>
        <v>1.93442623</v>
      </c>
      <c r="E130" s="1006">
        <f t="shared" si="3"/>
        <v>2</v>
      </c>
      <c r="F130" s="1006" t="s">
        <v>2776</v>
      </c>
      <c r="G130" s="1007">
        <v>0.009530578155581226</v>
      </c>
      <c r="H130" s="1012">
        <v>0.0</v>
      </c>
      <c r="I130" s="1009"/>
    </row>
    <row r="131">
      <c r="A131" t="s">
        <v>339</v>
      </c>
      <c r="B131" s="1003">
        <v>42428.0</v>
      </c>
      <c r="C131" s="1004">
        <f t="shared" si="1"/>
        <v>59</v>
      </c>
      <c r="D131" s="1005">
        <f t="shared" si="2"/>
        <v>1.93442623</v>
      </c>
      <c r="E131" s="1006">
        <f t="shared" si="3"/>
        <v>2</v>
      </c>
      <c r="F131" s="1006" t="s">
        <v>2776</v>
      </c>
      <c r="G131" s="1007">
        <v>-0.02517929898945437</v>
      </c>
      <c r="H131" s="1012">
        <v>-1.0</v>
      </c>
      <c r="I131" s="1009"/>
    </row>
    <row r="132">
      <c r="A132" t="s">
        <v>138</v>
      </c>
      <c r="B132" s="1003">
        <v>42428.0</v>
      </c>
      <c r="C132" s="1004">
        <f t="shared" si="1"/>
        <v>59</v>
      </c>
      <c r="D132" s="1005">
        <f t="shared" si="2"/>
        <v>1.93442623</v>
      </c>
      <c r="E132" s="1006">
        <f t="shared" si="3"/>
        <v>2</v>
      </c>
      <c r="F132" s="1006" t="s">
        <v>2776</v>
      </c>
      <c r="G132" s="1007">
        <v>0.004525840881154153</v>
      </c>
      <c r="H132" s="1012">
        <v>0.0</v>
      </c>
      <c r="I132" s="1009"/>
    </row>
    <row r="133">
      <c r="A133" t="s">
        <v>620</v>
      </c>
      <c r="B133" s="1003">
        <v>42063.0</v>
      </c>
      <c r="C133" s="1004">
        <f t="shared" si="1"/>
        <v>59</v>
      </c>
      <c r="D133" s="1005">
        <f t="shared" si="2"/>
        <v>1.93442623</v>
      </c>
      <c r="E133" s="1006">
        <f t="shared" si="3"/>
        <v>2</v>
      </c>
      <c r="F133" s="1006" t="s">
        <v>2776</v>
      </c>
      <c r="G133" s="1007">
        <v>-8.737014146970035E-4</v>
      </c>
      <c r="H133" s="1012">
        <v>0.0</v>
      </c>
      <c r="I133" s="1009"/>
    </row>
    <row r="134">
      <c r="A134" t="s">
        <v>623</v>
      </c>
      <c r="B134" s="1003">
        <v>42063.0</v>
      </c>
      <c r="C134" s="1004">
        <f t="shared" si="1"/>
        <v>59</v>
      </c>
      <c r="D134" s="1005">
        <f t="shared" si="2"/>
        <v>1.93442623</v>
      </c>
      <c r="E134" s="1006">
        <f t="shared" si="3"/>
        <v>2</v>
      </c>
      <c r="F134" s="1006" t="s">
        <v>2776</v>
      </c>
      <c r="G134" s="1007">
        <v>-0.009053079289426336</v>
      </c>
      <c r="H134" s="1012">
        <v>0.0</v>
      </c>
      <c r="I134" s="1009"/>
    </row>
    <row r="135">
      <c r="A135" t="s">
        <v>126</v>
      </c>
      <c r="B135" s="1003">
        <v>42795.0</v>
      </c>
      <c r="C135" s="1004">
        <f t="shared" si="1"/>
        <v>60</v>
      </c>
      <c r="D135" s="1005">
        <f t="shared" si="2"/>
        <v>1.967213115</v>
      </c>
      <c r="E135" s="1006">
        <f t="shared" si="3"/>
        <v>2</v>
      </c>
      <c r="F135" s="1006" t="s">
        <v>2776</v>
      </c>
      <c r="G135" s="1007">
        <v>-0.01039265091917585</v>
      </c>
      <c r="H135" s="1012">
        <v>-1.0</v>
      </c>
      <c r="I135" s="1009"/>
    </row>
    <row r="136">
      <c r="A136" t="s">
        <v>1668</v>
      </c>
      <c r="B136" s="1003">
        <v>42795.0</v>
      </c>
      <c r="C136" s="1004">
        <f t="shared" si="1"/>
        <v>60</v>
      </c>
      <c r="D136" s="1005">
        <f t="shared" si="2"/>
        <v>1.967213115</v>
      </c>
      <c r="E136" s="1006">
        <f t="shared" si="3"/>
        <v>2</v>
      </c>
      <c r="F136" s="1006" t="s">
        <v>2776</v>
      </c>
      <c r="G136" s="1007">
        <v>0.04881950036363658</v>
      </c>
      <c r="H136" s="1012">
        <v>1.0</v>
      </c>
      <c r="I136" s="1009"/>
    </row>
    <row r="137">
      <c r="A137" t="s">
        <v>331</v>
      </c>
      <c r="B137" s="1003">
        <v>42064.0</v>
      </c>
      <c r="C137" s="1004">
        <f t="shared" si="1"/>
        <v>60</v>
      </c>
      <c r="D137" s="1005">
        <f t="shared" si="2"/>
        <v>1.967213115</v>
      </c>
      <c r="E137" s="1006">
        <f t="shared" si="3"/>
        <v>2</v>
      </c>
      <c r="F137" s="1006" t="s">
        <v>2776</v>
      </c>
      <c r="G137" s="1007">
        <v>0.012118555646951301</v>
      </c>
      <c r="H137" s="1012">
        <v>1.0</v>
      </c>
      <c r="I137" s="1009"/>
    </row>
    <row r="138">
      <c r="A138" t="s">
        <v>1127</v>
      </c>
      <c r="B138" s="1003">
        <v>42796.0</v>
      </c>
      <c r="C138" s="1004">
        <f t="shared" si="1"/>
        <v>61</v>
      </c>
      <c r="D138" s="1005">
        <f t="shared" si="2"/>
        <v>2</v>
      </c>
      <c r="E138" s="1006">
        <f t="shared" si="3"/>
        <v>2</v>
      </c>
      <c r="F138" s="1006" t="s">
        <v>2776</v>
      </c>
      <c r="G138" s="1007">
        <v>0.02150104994576485</v>
      </c>
      <c r="H138" s="1012">
        <v>1.0</v>
      </c>
      <c r="I138" s="1009"/>
    </row>
    <row r="139">
      <c r="A139" t="s">
        <v>76</v>
      </c>
      <c r="B139" s="1003">
        <v>42065.0</v>
      </c>
      <c r="C139" s="1004">
        <f t="shared" si="1"/>
        <v>61</v>
      </c>
      <c r="D139" s="1005">
        <f t="shared" si="2"/>
        <v>2</v>
      </c>
      <c r="E139" s="1006">
        <f t="shared" si="3"/>
        <v>2</v>
      </c>
      <c r="F139" s="1006" t="s">
        <v>2776</v>
      </c>
      <c r="G139" s="1007">
        <v>0.007167605166240265</v>
      </c>
      <c r="H139" s="1012">
        <v>0.0</v>
      </c>
      <c r="I139" s="1009"/>
    </row>
    <row r="140">
      <c r="A140" t="s">
        <v>1637</v>
      </c>
      <c r="B140" s="1003">
        <v>42797.0</v>
      </c>
      <c r="C140" s="1004">
        <f t="shared" si="1"/>
        <v>62</v>
      </c>
      <c r="D140" s="1005">
        <f t="shared" si="2"/>
        <v>2.032786885</v>
      </c>
      <c r="E140" s="1006">
        <f t="shared" si="3"/>
        <v>3</v>
      </c>
      <c r="F140" s="1006" t="s">
        <v>2777</v>
      </c>
      <c r="G140" s="1007">
        <v>0.022527838818338197</v>
      </c>
      <c r="H140" s="1012">
        <v>1.0</v>
      </c>
      <c r="I140" s="1009"/>
    </row>
    <row r="141">
      <c r="A141" t="s">
        <v>300</v>
      </c>
      <c r="B141" s="1003">
        <v>42797.0</v>
      </c>
      <c r="C141" s="1004">
        <f t="shared" si="1"/>
        <v>62</v>
      </c>
      <c r="D141" s="1005">
        <f t="shared" si="2"/>
        <v>2.032786885</v>
      </c>
      <c r="E141" s="1006">
        <f t="shared" si="3"/>
        <v>3</v>
      </c>
      <c r="F141" s="1006" t="s">
        <v>2777</v>
      </c>
      <c r="G141" s="1007">
        <v>5.517047926817398E-5</v>
      </c>
      <c r="H141" s="1012">
        <v>0.0</v>
      </c>
      <c r="I141" s="1009"/>
    </row>
    <row r="142">
      <c r="A142" t="s">
        <v>1890</v>
      </c>
      <c r="B142" s="1003">
        <v>42797.0</v>
      </c>
      <c r="C142" s="1004">
        <f t="shared" si="1"/>
        <v>62</v>
      </c>
      <c r="D142" s="1005">
        <f t="shared" si="2"/>
        <v>2.032786885</v>
      </c>
      <c r="E142" s="1006">
        <f t="shared" si="3"/>
        <v>3</v>
      </c>
      <c r="F142" s="1006" t="s">
        <v>2777</v>
      </c>
      <c r="G142" s="1007">
        <v>-0.01837609482424918</v>
      </c>
      <c r="H142" s="1012">
        <v>-1.0</v>
      </c>
      <c r="I142" s="1009"/>
    </row>
    <row r="143">
      <c r="A143" t="s">
        <v>1746</v>
      </c>
      <c r="B143" s="1003">
        <v>42797.0</v>
      </c>
      <c r="C143" s="1004">
        <f t="shared" si="1"/>
        <v>62</v>
      </c>
      <c r="D143" s="1005">
        <f t="shared" si="2"/>
        <v>2.032786885</v>
      </c>
      <c r="E143" s="1006">
        <f t="shared" si="3"/>
        <v>3</v>
      </c>
      <c r="F143" s="1006" t="s">
        <v>2777</v>
      </c>
      <c r="G143" s="1007">
        <v>0.012136413720360006</v>
      </c>
      <c r="H143" s="1012">
        <v>1.0</v>
      </c>
      <c r="I143" s="1009"/>
    </row>
    <row r="144">
      <c r="A144" t="s">
        <v>1691</v>
      </c>
      <c r="B144" s="1003">
        <v>42431.0</v>
      </c>
      <c r="C144" s="1004">
        <f t="shared" si="1"/>
        <v>62</v>
      </c>
      <c r="D144" s="1005">
        <f t="shared" si="2"/>
        <v>2.032786885</v>
      </c>
      <c r="E144" s="1006">
        <f t="shared" si="3"/>
        <v>3</v>
      </c>
      <c r="F144" s="1006" t="s">
        <v>2777</v>
      </c>
      <c r="G144" s="1007">
        <v>0.011027732709224858</v>
      </c>
      <c r="H144" s="1012">
        <v>1.0</v>
      </c>
      <c r="I144" s="1009"/>
    </row>
    <row r="145">
      <c r="A145" t="s">
        <v>1836</v>
      </c>
      <c r="B145" s="1003">
        <v>42433.0</v>
      </c>
      <c r="C145" s="1004">
        <f t="shared" si="1"/>
        <v>64</v>
      </c>
      <c r="D145" s="1005">
        <f t="shared" si="2"/>
        <v>2.098360656</v>
      </c>
      <c r="E145" s="1006">
        <f t="shared" si="3"/>
        <v>3</v>
      </c>
      <c r="F145" s="1006" t="s">
        <v>2777</v>
      </c>
      <c r="G145" s="1007">
        <v>0.003934480143051866</v>
      </c>
      <c r="H145" s="1012">
        <v>0.0</v>
      </c>
      <c r="I145" s="1009"/>
    </row>
    <row r="146">
      <c r="A146" t="s">
        <v>1726</v>
      </c>
      <c r="B146" s="1003">
        <v>42433.0</v>
      </c>
      <c r="C146" s="1004">
        <f t="shared" si="1"/>
        <v>64</v>
      </c>
      <c r="D146" s="1005">
        <f t="shared" si="2"/>
        <v>2.098360656</v>
      </c>
      <c r="E146" s="1006">
        <f t="shared" si="3"/>
        <v>3</v>
      </c>
      <c r="F146" s="1006" t="s">
        <v>2777</v>
      </c>
      <c r="G146" s="1007">
        <v>-0.026209616653591228</v>
      </c>
      <c r="H146" s="1012">
        <v>-1.0</v>
      </c>
      <c r="I146" s="1009"/>
    </row>
    <row r="147">
      <c r="A147" t="s">
        <v>1627</v>
      </c>
      <c r="B147" s="1003">
        <v>42433.0</v>
      </c>
      <c r="C147" s="1004">
        <f t="shared" si="1"/>
        <v>64</v>
      </c>
      <c r="D147" s="1005">
        <f t="shared" si="2"/>
        <v>2.098360656</v>
      </c>
      <c r="E147" s="1006">
        <f t="shared" si="3"/>
        <v>3</v>
      </c>
      <c r="F147" s="1006" t="s">
        <v>2777</v>
      </c>
      <c r="G147" s="1007">
        <v>-0.007718630814747662</v>
      </c>
      <c r="H147" s="1012">
        <v>0.0</v>
      </c>
      <c r="I147" s="1009"/>
    </row>
    <row r="148">
      <c r="A148" t="s">
        <v>513</v>
      </c>
      <c r="B148" s="1003">
        <v>42068.0</v>
      </c>
      <c r="C148" s="1004">
        <f t="shared" si="1"/>
        <v>64</v>
      </c>
      <c r="D148" s="1005">
        <f t="shared" si="2"/>
        <v>2.098360656</v>
      </c>
      <c r="E148" s="1006">
        <f t="shared" si="3"/>
        <v>3</v>
      </c>
      <c r="F148" s="1006" t="s">
        <v>2777</v>
      </c>
      <c r="G148" s="1007">
        <v>0.019232301513215866</v>
      </c>
      <c r="H148" s="1012">
        <v>1.0</v>
      </c>
      <c r="I148" s="1009"/>
    </row>
    <row r="149">
      <c r="A149" t="s">
        <v>1493</v>
      </c>
      <c r="B149" s="1003">
        <v>42434.0</v>
      </c>
      <c r="C149" s="1004">
        <f t="shared" si="1"/>
        <v>65</v>
      </c>
      <c r="D149" s="1005">
        <f t="shared" si="2"/>
        <v>2.131147541</v>
      </c>
      <c r="E149" s="1006">
        <f t="shared" si="3"/>
        <v>3</v>
      </c>
      <c r="F149" s="1006" t="s">
        <v>2777</v>
      </c>
      <c r="G149" s="1007">
        <v>-0.025700092189185786</v>
      </c>
      <c r="H149" s="1012">
        <v>-1.0</v>
      </c>
      <c r="I149" s="1009"/>
    </row>
    <row r="150">
      <c r="A150" t="s">
        <v>640</v>
      </c>
      <c r="B150" s="1003">
        <v>42069.0</v>
      </c>
      <c r="C150" s="1004">
        <f t="shared" si="1"/>
        <v>65</v>
      </c>
      <c r="D150" s="1005">
        <f t="shared" si="2"/>
        <v>2.131147541</v>
      </c>
      <c r="E150" s="1006">
        <f t="shared" si="3"/>
        <v>3</v>
      </c>
      <c r="F150" s="1006" t="s">
        <v>2777</v>
      </c>
      <c r="G150" s="1007">
        <v>-0.0013192592101677336</v>
      </c>
      <c r="H150" s="1012">
        <v>0.0</v>
      </c>
      <c r="I150" s="1009"/>
    </row>
    <row r="151">
      <c r="A151" t="s">
        <v>147</v>
      </c>
      <c r="B151" s="1003">
        <v>42070.0</v>
      </c>
      <c r="C151" s="1004">
        <f t="shared" si="1"/>
        <v>66</v>
      </c>
      <c r="D151" s="1005">
        <f t="shared" si="2"/>
        <v>2.163934426</v>
      </c>
      <c r="E151" s="1006">
        <f t="shared" si="3"/>
        <v>3</v>
      </c>
      <c r="F151" s="1006" t="s">
        <v>2777</v>
      </c>
      <c r="G151" s="1007">
        <v>-0.0037013319187375604</v>
      </c>
      <c r="H151" s="1012">
        <v>0.0</v>
      </c>
      <c r="I151" s="1009"/>
    </row>
    <row r="152">
      <c r="A152" t="s">
        <v>1810</v>
      </c>
      <c r="B152" s="1003">
        <v>42802.0</v>
      </c>
      <c r="C152" s="1004">
        <f t="shared" si="1"/>
        <v>67</v>
      </c>
      <c r="D152" s="1005">
        <f t="shared" si="2"/>
        <v>2.196721311</v>
      </c>
      <c r="E152" s="1006">
        <f t="shared" si="3"/>
        <v>3</v>
      </c>
      <c r="F152" s="1006" t="s">
        <v>2777</v>
      </c>
      <c r="G152" s="1007">
        <v>0.045174027848092435</v>
      </c>
      <c r="H152" s="1012">
        <v>1.0</v>
      </c>
      <c r="I152" s="1009"/>
    </row>
    <row r="153">
      <c r="A153" t="s">
        <v>1692</v>
      </c>
      <c r="B153" s="1003">
        <v>42802.0</v>
      </c>
      <c r="C153" s="1004">
        <f t="shared" si="1"/>
        <v>67</v>
      </c>
      <c r="D153" s="1005">
        <f t="shared" si="2"/>
        <v>2.196721311</v>
      </c>
      <c r="E153" s="1006">
        <f t="shared" si="3"/>
        <v>3</v>
      </c>
      <c r="F153" s="1006" t="s">
        <v>2777</v>
      </c>
      <c r="G153" s="1007">
        <v>-0.03366942184441879</v>
      </c>
      <c r="H153" s="1012">
        <v>-1.0</v>
      </c>
      <c r="I153" s="1009"/>
    </row>
    <row r="154">
      <c r="A154" t="s">
        <v>1692</v>
      </c>
      <c r="B154" s="1003">
        <v>42436.0</v>
      </c>
      <c r="C154" s="1004">
        <f t="shared" si="1"/>
        <v>67</v>
      </c>
      <c r="D154" s="1005">
        <f t="shared" si="2"/>
        <v>2.196721311</v>
      </c>
      <c r="E154" s="1006">
        <f t="shared" si="3"/>
        <v>3</v>
      </c>
      <c r="F154" s="1006" t="s">
        <v>2777</v>
      </c>
      <c r="G154" s="1007">
        <v>-0.03813223077702477</v>
      </c>
      <c r="H154" s="1012">
        <v>-1.0</v>
      </c>
      <c r="I154" s="1009"/>
    </row>
    <row r="155">
      <c r="A155" t="s">
        <v>617</v>
      </c>
      <c r="B155" s="1003">
        <v>42803.0</v>
      </c>
      <c r="C155" s="1004">
        <f t="shared" si="1"/>
        <v>68</v>
      </c>
      <c r="D155" s="1005">
        <f t="shared" si="2"/>
        <v>2.229508197</v>
      </c>
      <c r="E155" s="1006">
        <f t="shared" si="3"/>
        <v>3</v>
      </c>
      <c r="F155" s="1006" t="s">
        <v>2777</v>
      </c>
      <c r="G155" s="1007">
        <v>0.01169410147770944</v>
      </c>
      <c r="H155" s="1012">
        <v>1.0</v>
      </c>
      <c r="I155" s="1009"/>
    </row>
    <row r="156">
      <c r="A156" t="s">
        <v>161</v>
      </c>
      <c r="B156" s="1003">
        <v>42437.0</v>
      </c>
      <c r="C156" s="1004">
        <f t="shared" si="1"/>
        <v>68</v>
      </c>
      <c r="D156" s="1005">
        <f t="shared" si="2"/>
        <v>2.229508197</v>
      </c>
      <c r="E156" s="1006">
        <f t="shared" si="3"/>
        <v>3</v>
      </c>
      <c r="F156" s="1006" t="s">
        <v>2777</v>
      </c>
      <c r="G156" s="1007">
        <v>-0.010100848599962964</v>
      </c>
      <c r="H156" s="1012">
        <v>-1.0</v>
      </c>
      <c r="I156" s="1009"/>
    </row>
    <row r="157">
      <c r="A157" t="s">
        <v>650</v>
      </c>
      <c r="B157" s="1003">
        <v>42072.0</v>
      </c>
      <c r="C157" s="1004">
        <f t="shared" si="1"/>
        <v>68</v>
      </c>
      <c r="D157" s="1005">
        <f t="shared" si="2"/>
        <v>2.229508197</v>
      </c>
      <c r="E157" s="1006">
        <f t="shared" si="3"/>
        <v>3</v>
      </c>
      <c r="F157" s="1006" t="s">
        <v>2777</v>
      </c>
      <c r="G157" s="1007">
        <v>-0.003521099315084486</v>
      </c>
      <c r="H157" s="1012">
        <v>0.0</v>
      </c>
      <c r="I157" s="1009"/>
    </row>
    <row r="158">
      <c r="A158" t="s">
        <v>361</v>
      </c>
      <c r="B158" s="1003">
        <v>42438.0</v>
      </c>
      <c r="C158" s="1004">
        <f t="shared" si="1"/>
        <v>69</v>
      </c>
      <c r="D158" s="1005">
        <f t="shared" si="2"/>
        <v>2.262295082</v>
      </c>
      <c r="E158" s="1006">
        <f t="shared" si="3"/>
        <v>3</v>
      </c>
      <c r="F158" s="1006" t="s">
        <v>2777</v>
      </c>
      <c r="G158" s="1007">
        <v>-0.012093139876456438</v>
      </c>
      <c r="H158" s="1012">
        <v>-1.0</v>
      </c>
      <c r="I158" s="1009"/>
    </row>
    <row r="159">
      <c r="A159" t="s">
        <v>1741</v>
      </c>
      <c r="B159" s="1003">
        <v>42438.0</v>
      </c>
      <c r="C159" s="1004">
        <f t="shared" si="1"/>
        <v>69</v>
      </c>
      <c r="D159" s="1005">
        <f t="shared" si="2"/>
        <v>2.262295082</v>
      </c>
      <c r="E159" s="1006">
        <f t="shared" si="3"/>
        <v>3</v>
      </c>
      <c r="F159" s="1006" t="s">
        <v>2777</v>
      </c>
      <c r="G159" s="1007">
        <v>-0.01807244781475592</v>
      </c>
      <c r="H159" s="1012">
        <v>-1.0</v>
      </c>
      <c r="I159" s="1009"/>
    </row>
    <row r="160">
      <c r="A160" t="s">
        <v>761</v>
      </c>
      <c r="B160" s="1003">
        <v>42805.0</v>
      </c>
      <c r="C160" s="1004">
        <f t="shared" si="1"/>
        <v>70</v>
      </c>
      <c r="D160" s="1005">
        <f t="shared" si="2"/>
        <v>2.295081967</v>
      </c>
      <c r="E160" s="1006">
        <f t="shared" si="3"/>
        <v>3</v>
      </c>
      <c r="F160" s="1006" t="s">
        <v>2777</v>
      </c>
      <c r="G160" s="1007">
        <v>-0.009060001151846353</v>
      </c>
      <c r="H160" s="1012">
        <v>0.0</v>
      </c>
      <c r="I160" s="1009"/>
    </row>
    <row r="161">
      <c r="A161" t="s">
        <v>1858</v>
      </c>
      <c r="B161" s="1003">
        <v>42440.0</v>
      </c>
      <c r="C161" s="1004">
        <f t="shared" si="1"/>
        <v>71</v>
      </c>
      <c r="D161" s="1005">
        <f t="shared" si="2"/>
        <v>2.327868852</v>
      </c>
      <c r="E161" s="1006">
        <f t="shared" si="3"/>
        <v>3</v>
      </c>
      <c r="F161" s="1006" t="s">
        <v>2777</v>
      </c>
      <c r="G161" s="1007">
        <v>0.026696407917806364</v>
      </c>
      <c r="H161" s="1012">
        <v>1.0</v>
      </c>
      <c r="I161" s="1009"/>
    </row>
    <row r="162">
      <c r="A162" t="s">
        <v>1829</v>
      </c>
      <c r="B162" s="1003">
        <v>42440.0</v>
      </c>
      <c r="C162" s="1004">
        <f t="shared" si="1"/>
        <v>71</v>
      </c>
      <c r="D162" s="1005">
        <f t="shared" si="2"/>
        <v>2.327868852</v>
      </c>
      <c r="E162" s="1006">
        <f t="shared" si="3"/>
        <v>3</v>
      </c>
      <c r="F162" s="1006" t="s">
        <v>2777</v>
      </c>
      <c r="G162" s="1007">
        <v>-0.029421289996961475</v>
      </c>
      <c r="H162" s="1012">
        <v>-1.0</v>
      </c>
      <c r="I162" s="1009"/>
    </row>
    <row r="163">
      <c r="A163" t="s">
        <v>1637</v>
      </c>
      <c r="B163" s="1003">
        <v>42441.0</v>
      </c>
      <c r="C163" s="1004">
        <f t="shared" si="1"/>
        <v>72</v>
      </c>
      <c r="D163" s="1005">
        <f t="shared" si="2"/>
        <v>2.360655738</v>
      </c>
      <c r="E163" s="1006">
        <f t="shared" si="3"/>
        <v>3</v>
      </c>
      <c r="F163" s="1006" t="s">
        <v>2777</v>
      </c>
      <c r="G163" s="1007">
        <v>0.023449687376527195</v>
      </c>
      <c r="H163" s="1012">
        <v>1.0</v>
      </c>
      <c r="I163" s="1009"/>
    </row>
    <row r="164">
      <c r="A164" t="s">
        <v>477</v>
      </c>
      <c r="B164" s="1003">
        <v>42076.0</v>
      </c>
      <c r="C164" s="1004">
        <f t="shared" si="1"/>
        <v>72</v>
      </c>
      <c r="D164" s="1005">
        <f t="shared" si="2"/>
        <v>2.360655738</v>
      </c>
      <c r="E164" s="1006">
        <f t="shared" si="3"/>
        <v>3</v>
      </c>
      <c r="F164" s="1006" t="s">
        <v>2777</v>
      </c>
      <c r="G164" s="1007">
        <v>0.00803317293052197</v>
      </c>
      <c r="H164" s="1012">
        <v>0.0</v>
      </c>
      <c r="I164" s="1009"/>
    </row>
    <row r="165">
      <c r="A165" t="s">
        <v>1784</v>
      </c>
      <c r="B165" s="1003">
        <v>42808.0</v>
      </c>
      <c r="C165" s="1004">
        <f t="shared" si="1"/>
        <v>73</v>
      </c>
      <c r="D165" s="1005">
        <f t="shared" si="2"/>
        <v>2.393442623</v>
      </c>
      <c r="E165" s="1006">
        <f t="shared" si="3"/>
        <v>3</v>
      </c>
      <c r="F165" s="1006" t="s">
        <v>2777</v>
      </c>
      <c r="G165" s="1007">
        <v>0.018460276540660847</v>
      </c>
      <c r="H165" s="1012">
        <v>1.0</v>
      </c>
      <c r="I165" s="1009"/>
    </row>
    <row r="166">
      <c r="A166" t="s">
        <v>513</v>
      </c>
      <c r="B166" s="1003">
        <v>42443.0</v>
      </c>
      <c r="C166" s="1004">
        <f t="shared" si="1"/>
        <v>74</v>
      </c>
      <c r="D166" s="1005">
        <f t="shared" si="2"/>
        <v>2.426229508</v>
      </c>
      <c r="E166" s="1006">
        <f t="shared" si="3"/>
        <v>3</v>
      </c>
      <c r="F166" s="1006" t="s">
        <v>2777</v>
      </c>
      <c r="G166" s="1007">
        <v>0.017735458296345485</v>
      </c>
      <c r="H166" s="1012">
        <v>1.0</v>
      </c>
      <c r="I166" s="1009"/>
    </row>
    <row r="167">
      <c r="A167" t="s">
        <v>449</v>
      </c>
      <c r="B167" s="1003">
        <v>42810.0</v>
      </c>
      <c r="C167" s="1004">
        <f t="shared" si="1"/>
        <v>75</v>
      </c>
      <c r="D167" s="1005">
        <f t="shared" si="2"/>
        <v>2.459016393</v>
      </c>
      <c r="E167" s="1006">
        <f t="shared" si="3"/>
        <v>3</v>
      </c>
      <c r="F167" s="1006" t="s">
        <v>2777</v>
      </c>
      <c r="G167" s="1007">
        <v>-0.017007289276046555</v>
      </c>
      <c r="H167" s="1012">
        <v>-1.0</v>
      </c>
      <c r="I167" s="1009"/>
    </row>
    <row r="168">
      <c r="A168" t="s">
        <v>201</v>
      </c>
      <c r="B168" s="1003">
        <v>42079.0</v>
      </c>
      <c r="C168" s="1004">
        <f t="shared" si="1"/>
        <v>75</v>
      </c>
      <c r="D168" s="1005">
        <f t="shared" si="2"/>
        <v>2.459016393</v>
      </c>
      <c r="E168" s="1006">
        <f t="shared" si="3"/>
        <v>3</v>
      </c>
      <c r="F168" s="1006" t="s">
        <v>2777</v>
      </c>
      <c r="G168" s="1007">
        <v>0.008663243164720558</v>
      </c>
      <c r="H168" s="1012">
        <v>0.0</v>
      </c>
      <c r="I168" s="1009"/>
    </row>
    <row r="169">
      <c r="A169" t="s">
        <v>331</v>
      </c>
      <c r="B169" s="1003">
        <v>42080.0</v>
      </c>
      <c r="C169" s="1004">
        <f t="shared" si="1"/>
        <v>76</v>
      </c>
      <c r="D169" s="1005">
        <f t="shared" si="2"/>
        <v>2.491803279</v>
      </c>
      <c r="E169" s="1006">
        <f t="shared" si="3"/>
        <v>3</v>
      </c>
      <c r="F169" s="1006" t="s">
        <v>2777</v>
      </c>
      <c r="G169" s="1007">
        <v>0.011767755103397004</v>
      </c>
      <c r="H169" s="1012">
        <v>1.0</v>
      </c>
      <c r="I169" s="1009"/>
    </row>
    <row r="170">
      <c r="A170" t="s">
        <v>1712</v>
      </c>
      <c r="B170" s="1003">
        <v>42812.0</v>
      </c>
      <c r="C170" s="1004">
        <f t="shared" si="1"/>
        <v>77</v>
      </c>
      <c r="D170" s="1005">
        <f t="shared" si="2"/>
        <v>2.524590164</v>
      </c>
      <c r="E170" s="1006">
        <f t="shared" si="3"/>
        <v>3</v>
      </c>
      <c r="F170" s="1006" t="s">
        <v>2777</v>
      </c>
      <c r="G170" s="1007">
        <v>0.011548613677939468</v>
      </c>
      <c r="H170" s="1012">
        <v>1.0</v>
      </c>
      <c r="I170" s="1009"/>
    </row>
    <row r="171">
      <c r="A171" t="s">
        <v>169</v>
      </c>
      <c r="B171" s="1003">
        <v>42812.0</v>
      </c>
      <c r="C171" s="1004">
        <f t="shared" si="1"/>
        <v>77</v>
      </c>
      <c r="D171" s="1005">
        <f t="shared" si="2"/>
        <v>2.524590164</v>
      </c>
      <c r="E171" s="1006">
        <f t="shared" si="3"/>
        <v>3</v>
      </c>
      <c r="F171" s="1006" t="s">
        <v>2777</v>
      </c>
      <c r="G171" s="1007">
        <v>-0.04361613329384628</v>
      </c>
      <c r="H171" s="1012">
        <v>-1.0</v>
      </c>
      <c r="I171" s="1009"/>
    </row>
    <row r="172">
      <c r="A172" t="s">
        <v>367</v>
      </c>
      <c r="B172" s="1003">
        <v>42081.0</v>
      </c>
      <c r="C172" s="1004">
        <f t="shared" si="1"/>
        <v>77</v>
      </c>
      <c r="D172" s="1005">
        <f t="shared" si="2"/>
        <v>2.524590164</v>
      </c>
      <c r="E172" s="1006">
        <f t="shared" si="3"/>
        <v>3</v>
      </c>
      <c r="F172" s="1006" t="s">
        <v>2777</v>
      </c>
      <c r="G172" s="1007">
        <v>0.0037333176988538774</v>
      </c>
      <c r="H172" s="1012">
        <v>0.0</v>
      </c>
      <c r="I172" s="1009"/>
    </row>
    <row r="173">
      <c r="A173" t="s">
        <v>285</v>
      </c>
      <c r="B173" s="1003">
        <v>42081.0</v>
      </c>
      <c r="C173" s="1004">
        <f t="shared" si="1"/>
        <v>77</v>
      </c>
      <c r="D173" s="1005">
        <f t="shared" si="2"/>
        <v>2.524590164</v>
      </c>
      <c r="E173" s="1006">
        <f t="shared" si="3"/>
        <v>3</v>
      </c>
      <c r="F173" s="1006" t="s">
        <v>2777</v>
      </c>
      <c r="G173" s="1007">
        <v>0.014056673690432842</v>
      </c>
      <c r="H173" s="1012">
        <v>1.0</v>
      </c>
      <c r="I173" s="1009"/>
    </row>
    <row r="174">
      <c r="A174" t="s">
        <v>92</v>
      </c>
      <c r="B174" s="1003">
        <v>42813.0</v>
      </c>
      <c r="C174" s="1004">
        <f t="shared" si="1"/>
        <v>78</v>
      </c>
      <c r="D174" s="1005">
        <f t="shared" si="2"/>
        <v>2.557377049</v>
      </c>
      <c r="E174" s="1006">
        <f t="shared" si="3"/>
        <v>3</v>
      </c>
      <c r="F174" s="1006" t="s">
        <v>2777</v>
      </c>
      <c r="G174" s="1007">
        <v>0.01269908283902943</v>
      </c>
      <c r="H174" s="1012">
        <v>1.0</v>
      </c>
      <c r="I174" s="1009"/>
    </row>
    <row r="175">
      <c r="A175" t="s">
        <v>248</v>
      </c>
      <c r="B175" s="1003">
        <v>42813.0</v>
      </c>
      <c r="C175" s="1004">
        <f t="shared" si="1"/>
        <v>78</v>
      </c>
      <c r="D175" s="1005">
        <f t="shared" si="2"/>
        <v>2.557377049</v>
      </c>
      <c r="E175" s="1006">
        <f t="shared" si="3"/>
        <v>3</v>
      </c>
      <c r="F175" s="1006" t="s">
        <v>2777</v>
      </c>
      <c r="G175" s="1007">
        <v>-0.015669374149087534</v>
      </c>
      <c r="H175" s="1012">
        <v>-1.0</v>
      </c>
      <c r="I175" s="1009"/>
    </row>
    <row r="176">
      <c r="A176" t="s">
        <v>1703</v>
      </c>
      <c r="B176" s="1003">
        <v>42447.0</v>
      </c>
      <c r="C176" s="1004">
        <f t="shared" si="1"/>
        <v>78</v>
      </c>
      <c r="D176" s="1005">
        <f t="shared" si="2"/>
        <v>2.557377049</v>
      </c>
      <c r="E176" s="1006">
        <f t="shared" si="3"/>
        <v>3</v>
      </c>
      <c r="F176" s="1006" t="s">
        <v>2777</v>
      </c>
      <c r="G176" s="1007">
        <v>0.012323925595471352</v>
      </c>
      <c r="H176" s="1012">
        <v>1.0</v>
      </c>
      <c r="I176" s="1009"/>
    </row>
    <row r="177">
      <c r="A177" t="s">
        <v>640</v>
      </c>
      <c r="B177" s="1003">
        <v>42447.0</v>
      </c>
      <c r="C177" s="1004">
        <f t="shared" si="1"/>
        <v>78</v>
      </c>
      <c r="D177" s="1005">
        <f t="shared" si="2"/>
        <v>2.557377049</v>
      </c>
      <c r="E177" s="1006">
        <f t="shared" si="3"/>
        <v>3</v>
      </c>
      <c r="F177" s="1006" t="s">
        <v>2777</v>
      </c>
      <c r="G177" s="1007">
        <v>0.006633889156879347</v>
      </c>
      <c r="H177" s="1012">
        <v>0.0</v>
      </c>
      <c r="I177" s="1009"/>
    </row>
    <row r="178">
      <c r="A178" t="s">
        <v>1726</v>
      </c>
      <c r="B178" s="1003">
        <v>42447.0</v>
      </c>
      <c r="C178" s="1004">
        <f t="shared" si="1"/>
        <v>78</v>
      </c>
      <c r="D178" s="1005">
        <f t="shared" si="2"/>
        <v>2.557377049</v>
      </c>
      <c r="E178" s="1006">
        <f t="shared" si="3"/>
        <v>3</v>
      </c>
      <c r="F178" s="1006" t="s">
        <v>2777</v>
      </c>
      <c r="G178" s="1007">
        <v>-0.005181813544704039</v>
      </c>
      <c r="H178" s="1012">
        <v>0.0</v>
      </c>
      <c r="I178" s="1009"/>
    </row>
    <row r="179">
      <c r="A179" t="s">
        <v>143</v>
      </c>
      <c r="B179" s="1003">
        <v>42814.0</v>
      </c>
      <c r="C179" s="1004">
        <f t="shared" si="1"/>
        <v>79</v>
      </c>
      <c r="D179" s="1005">
        <f t="shared" si="2"/>
        <v>2.590163934</v>
      </c>
      <c r="E179" s="1006">
        <f t="shared" si="3"/>
        <v>3</v>
      </c>
      <c r="F179" s="1006" t="s">
        <v>2777</v>
      </c>
      <c r="G179" s="1007">
        <v>0.0015863502671086271</v>
      </c>
      <c r="H179" s="1012">
        <v>0.0</v>
      </c>
      <c r="I179" s="1009"/>
    </row>
    <row r="180">
      <c r="A180" t="s">
        <v>1336</v>
      </c>
      <c r="B180" s="1003">
        <v>42448.0</v>
      </c>
      <c r="C180" s="1004">
        <f t="shared" si="1"/>
        <v>79</v>
      </c>
      <c r="D180" s="1005">
        <f t="shared" si="2"/>
        <v>2.590163934</v>
      </c>
      <c r="E180" s="1006">
        <f t="shared" si="3"/>
        <v>3</v>
      </c>
      <c r="F180" s="1006" t="s">
        <v>2777</v>
      </c>
      <c r="G180" s="1007">
        <v>-0.02709062654066896</v>
      </c>
      <c r="H180" s="1012">
        <v>-1.0</v>
      </c>
      <c r="I180" s="1009"/>
    </row>
    <row r="181">
      <c r="A181" t="s">
        <v>1876</v>
      </c>
      <c r="B181" s="1003">
        <v>42448.0</v>
      </c>
      <c r="C181" s="1004">
        <f t="shared" si="1"/>
        <v>79</v>
      </c>
      <c r="D181" s="1005">
        <f t="shared" si="2"/>
        <v>2.590163934</v>
      </c>
      <c r="E181" s="1006">
        <f t="shared" si="3"/>
        <v>3</v>
      </c>
      <c r="F181" s="1006" t="s">
        <v>2777</v>
      </c>
      <c r="G181" s="1007">
        <v>-0.016421232571366517</v>
      </c>
      <c r="H181" s="1012">
        <v>-1.0</v>
      </c>
      <c r="I181" s="1009"/>
    </row>
    <row r="182">
      <c r="A182" t="s">
        <v>192</v>
      </c>
      <c r="B182" s="1003">
        <v>42083.0</v>
      </c>
      <c r="C182" s="1004">
        <f t="shared" si="1"/>
        <v>79</v>
      </c>
      <c r="D182" s="1005">
        <f t="shared" si="2"/>
        <v>2.590163934</v>
      </c>
      <c r="E182" s="1006">
        <f t="shared" si="3"/>
        <v>3</v>
      </c>
      <c r="F182" s="1006" t="s">
        <v>2777</v>
      </c>
      <c r="G182" s="1007">
        <v>-0.005934559941721429</v>
      </c>
      <c r="H182" s="1012">
        <v>0.0</v>
      </c>
      <c r="I182" s="1009"/>
    </row>
    <row r="183">
      <c r="A183" t="s">
        <v>541</v>
      </c>
      <c r="B183" s="1003">
        <v>42083.0</v>
      </c>
      <c r="C183" s="1004">
        <f t="shared" si="1"/>
        <v>79</v>
      </c>
      <c r="D183" s="1005">
        <f t="shared" si="2"/>
        <v>2.590163934</v>
      </c>
      <c r="E183" s="1006">
        <f t="shared" si="3"/>
        <v>3</v>
      </c>
      <c r="F183" s="1006" t="s">
        <v>2777</v>
      </c>
      <c r="G183" s="1007">
        <v>-0.010424903024533028</v>
      </c>
      <c r="H183" s="1012">
        <v>-1.0</v>
      </c>
      <c r="I183" s="1009"/>
    </row>
    <row r="184">
      <c r="A184" t="s">
        <v>1336</v>
      </c>
      <c r="B184" s="1003">
        <v>42815.0</v>
      </c>
      <c r="C184" s="1004">
        <f t="shared" si="1"/>
        <v>80</v>
      </c>
      <c r="D184" s="1005">
        <f t="shared" si="2"/>
        <v>2.62295082</v>
      </c>
      <c r="E184" s="1006">
        <f t="shared" si="3"/>
        <v>3</v>
      </c>
      <c r="F184" s="1006" t="s">
        <v>2777</v>
      </c>
      <c r="G184" s="1007">
        <v>0.0054615912070793415</v>
      </c>
      <c r="H184" s="1012">
        <v>0.0</v>
      </c>
      <c r="I184" s="1009"/>
    </row>
    <row r="185">
      <c r="A185" t="s">
        <v>257</v>
      </c>
      <c r="B185" s="1003">
        <v>42815.0</v>
      </c>
      <c r="C185" s="1004">
        <f t="shared" si="1"/>
        <v>80</v>
      </c>
      <c r="D185" s="1005">
        <f t="shared" si="2"/>
        <v>2.62295082</v>
      </c>
      <c r="E185" s="1006">
        <f t="shared" si="3"/>
        <v>3</v>
      </c>
      <c r="F185" s="1006" t="s">
        <v>2777</v>
      </c>
      <c r="G185" s="1007">
        <v>0.010123269570252003</v>
      </c>
      <c r="H185" s="1012">
        <v>1.0</v>
      </c>
      <c r="I185" s="1009"/>
    </row>
    <row r="186">
      <c r="A186" t="s">
        <v>1128</v>
      </c>
      <c r="B186" s="1003">
        <v>42449.0</v>
      </c>
      <c r="C186" s="1004">
        <f t="shared" si="1"/>
        <v>80</v>
      </c>
      <c r="D186" s="1005">
        <f t="shared" si="2"/>
        <v>2.62295082</v>
      </c>
      <c r="E186" s="1006">
        <f t="shared" si="3"/>
        <v>3</v>
      </c>
      <c r="F186" s="1006" t="s">
        <v>2777</v>
      </c>
      <c r="G186" s="1007">
        <v>6.978540733679761E-4</v>
      </c>
      <c r="H186" s="1012">
        <v>0.0</v>
      </c>
      <c r="I186" s="1009"/>
    </row>
    <row r="187">
      <c r="A187" t="s">
        <v>449</v>
      </c>
      <c r="B187" s="1003">
        <v>42449.0</v>
      </c>
      <c r="C187" s="1004">
        <f t="shared" si="1"/>
        <v>80</v>
      </c>
      <c r="D187" s="1005">
        <f t="shared" si="2"/>
        <v>2.62295082</v>
      </c>
      <c r="E187" s="1006">
        <f t="shared" si="3"/>
        <v>3</v>
      </c>
      <c r="F187" s="1006" t="s">
        <v>2777</v>
      </c>
      <c r="G187" s="1007">
        <v>-0.008005887111363408</v>
      </c>
      <c r="H187" s="1012">
        <v>0.0</v>
      </c>
      <c r="I187" s="1009"/>
    </row>
    <row r="188">
      <c r="A188" t="s">
        <v>554</v>
      </c>
      <c r="B188" s="1003">
        <v>42084.0</v>
      </c>
      <c r="C188" s="1004">
        <f t="shared" si="1"/>
        <v>80</v>
      </c>
      <c r="D188" s="1005">
        <f t="shared" si="2"/>
        <v>2.62295082</v>
      </c>
      <c r="E188" s="1006">
        <f t="shared" si="3"/>
        <v>3</v>
      </c>
      <c r="F188" s="1006" t="s">
        <v>2777</v>
      </c>
      <c r="G188" s="1007">
        <v>-0.0050158138290379295</v>
      </c>
      <c r="H188" s="1012">
        <v>0.0</v>
      </c>
      <c r="I188" s="1009"/>
    </row>
    <row r="189">
      <c r="A189" t="s">
        <v>554</v>
      </c>
      <c r="B189" s="1003">
        <v>42084.0</v>
      </c>
      <c r="C189" s="1004">
        <f t="shared" si="1"/>
        <v>80</v>
      </c>
      <c r="D189" s="1005">
        <f t="shared" si="2"/>
        <v>2.62295082</v>
      </c>
      <c r="E189" s="1006">
        <f t="shared" si="3"/>
        <v>3</v>
      </c>
      <c r="F189" s="1006" t="s">
        <v>2777</v>
      </c>
      <c r="G189" s="1007">
        <v>-0.007017906415871744</v>
      </c>
      <c r="H189" s="1012">
        <v>0.0</v>
      </c>
      <c r="I189" s="1009"/>
    </row>
    <row r="190">
      <c r="A190" t="s">
        <v>126</v>
      </c>
      <c r="B190" s="1003">
        <v>42817.0</v>
      </c>
      <c r="C190" s="1004">
        <f t="shared" si="1"/>
        <v>82</v>
      </c>
      <c r="D190" s="1005">
        <f t="shared" si="2"/>
        <v>2.68852459</v>
      </c>
      <c r="E190" s="1006">
        <f t="shared" si="3"/>
        <v>3</v>
      </c>
      <c r="F190" s="1006" t="s">
        <v>2777</v>
      </c>
      <c r="G190" s="1007">
        <v>-0.00461249501119565</v>
      </c>
      <c r="H190" s="1012">
        <v>0.0</v>
      </c>
      <c r="I190" s="1009"/>
    </row>
    <row r="191">
      <c r="A191" t="s">
        <v>1644</v>
      </c>
      <c r="B191" s="1003">
        <v>42452.0</v>
      </c>
      <c r="C191" s="1004">
        <f t="shared" si="1"/>
        <v>83</v>
      </c>
      <c r="D191" s="1005">
        <f t="shared" si="2"/>
        <v>2.721311475</v>
      </c>
      <c r="E191" s="1006">
        <f t="shared" si="3"/>
        <v>3</v>
      </c>
      <c r="F191" s="1006" t="s">
        <v>2777</v>
      </c>
      <c r="G191" s="1007">
        <v>-0.00895375735111914</v>
      </c>
      <c r="H191" s="1012">
        <v>0.0</v>
      </c>
      <c r="I191" s="1009"/>
    </row>
    <row r="192">
      <c r="A192" t="s">
        <v>169</v>
      </c>
      <c r="B192" s="1003">
        <v>42819.0</v>
      </c>
      <c r="C192" s="1004">
        <f t="shared" si="1"/>
        <v>84</v>
      </c>
      <c r="D192" s="1005">
        <f t="shared" si="2"/>
        <v>2.754098361</v>
      </c>
      <c r="E192" s="1006">
        <f t="shared" si="3"/>
        <v>3</v>
      </c>
      <c r="F192" s="1006" t="s">
        <v>2777</v>
      </c>
      <c r="G192" s="1007">
        <v>-0.00617488370906405</v>
      </c>
      <c r="H192" s="1012">
        <v>0.0</v>
      </c>
      <c r="I192" s="1009"/>
    </row>
    <row r="193">
      <c r="A193" t="s">
        <v>1637</v>
      </c>
      <c r="B193" s="1003">
        <v>42454.0</v>
      </c>
      <c r="C193" s="1004">
        <f t="shared" si="1"/>
        <v>85</v>
      </c>
      <c r="D193" s="1005">
        <f t="shared" si="2"/>
        <v>2.786885246</v>
      </c>
      <c r="E193" s="1006">
        <f t="shared" si="3"/>
        <v>3</v>
      </c>
      <c r="F193" s="1006" t="s">
        <v>2777</v>
      </c>
      <c r="G193" s="1007">
        <v>0.021925976902200328</v>
      </c>
      <c r="H193" s="1012">
        <v>1.0</v>
      </c>
      <c r="I193" s="1009"/>
    </row>
    <row r="194">
      <c r="A194" t="s">
        <v>1882</v>
      </c>
      <c r="B194" s="1003">
        <v>42454.0</v>
      </c>
      <c r="C194" s="1004">
        <f t="shared" si="1"/>
        <v>85</v>
      </c>
      <c r="D194" s="1005">
        <f t="shared" si="2"/>
        <v>2.786885246</v>
      </c>
      <c r="E194" s="1006">
        <f t="shared" si="3"/>
        <v>3</v>
      </c>
      <c r="F194" s="1006" t="s">
        <v>2777</v>
      </c>
      <c r="G194" s="1007">
        <v>0.017061200960013068</v>
      </c>
      <c r="H194" s="1012">
        <v>1.0</v>
      </c>
      <c r="I194" s="1009"/>
    </row>
    <row r="195">
      <c r="A195" t="s">
        <v>1786</v>
      </c>
      <c r="B195" s="1003">
        <v>42454.0</v>
      </c>
      <c r="C195" s="1004">
        <f t="shared" si="1"/>
        <v>85</v>
      </c>
      <c r="D195" s="1005">
        <f t="shared" si="2"/>
        <v>2.786885246</v>
      </c>
      <c r="E195" s="1006">
        <f t="shared" si="3"/>
        <v>3</v>
      </c>
      <c r="F195" s="1006" t="s">
        <v>2777</v>
      </c>
      <c r="G195" s="1007">
        <v>-0.019330686713991962</v>
      </c>
      <c r="H195" s="1012">
        <v>-1.0</v>
      </c>
      <c r="I195" s="1009"/>
    </row>
    <row r="196">
      <c r="A196" t="s">
        <v>1823</v>
      </c>
      <c r="B196" s="1003">
        <v>42454.0</v>
      </c>
      <c r="C196" s="1004">
        <f t="shared" si="1"/>
        <v>85</v>
      </c>
      <c r="D196" s="1005">
        <f t="shared" si="2"/>
        <v>2.786885246</v>
      </c>
      <c r="E196" s="1006">
        <f t="shared" si="3"/>
        <v>3</v>
      </c>
      <c r="F196" s="1006" t="s">
        <v>2777</v>
      </c>
      <c r="G196" s="1007">
        <v>-0.011866273411867856</v>
      </c>
      <c r="H196" s="1012">
        <v>-1.0</v>
      </c>
      <c r="I196" s="1009"/>
    </row>
    <row r="197">
      <c r="A197" t="s">
        <v>308</v>
      </c>
      <c r="B197" s="1003">
        <v>42089.0</v>
      </c>
      <c r="C197" s="1004">
        <f t="shared" si="1"/>
        <v>85</v>
      </c>
      <c r="D197" s="1005">
        <f t="shared" si="2"/>
        <v>2.786885246</v>
      </c>
      <c r="E197" s="1006">
        <f t="shared" si="3"/>
        <v>3</v>
      </c>
      <c r="F197" s="1006" t="s">
        <v>2777</v>
      </c>
      <c r="G197" s="1007">
        <v>-0.0063463198538107335</v>
      </c>
      <c r="H197" s="1012">
        <v>0.0</v>
      </c>
      <c r="I197" s="1009"/>
    </row>
    <row r="198">
      <c r="A198" t="s">
        <v>1784</v>
      </c>
      <c r="B198" s="1003">
        <v>42821.0</v>
      </c>
      <c r="C198" s="1004">
        <f t="shared" si="1"/>
        <v>86</v>
      </c>
      <c r="D198" s="1005">
        <f t="shared" si="2"/>
        <v>2.819672131</v>
      </c>
      <c r="E198" s="1006">
        <f t="shared" si="3"/>
        <v>3</v>
      </c>
      <c r="F198" s="1006" t="s">
        <v>2777</v>
      </c>
      <c r="G198" s="1007">
        <v>0.018817545195564556</v>
      </c>
      <c r="H198" s="1012">
        <v>1.0</v>
      </c>
      <c r="I198" s="1009"/>
    </row>
    <row r="199">
      <c r="A199" t="s">
        <v>1628</v>
      </c>
      <c r="B199" s="1003">
        <v>42455.0</v>
      </c>
      <c r="C199" s="1004">
        <f t="shared" si="1"/>
        <v>86</v>
      </c>
      <c r="D199" s="1005">
        <f t="shared" si="2"/>
        <v>2.819672131</v>
      </c>
      <c r="E199" s="1006">
        <f t="shared" si="3"/>
        <v>3</v>
      </c>
      <c r="F199" s="1006" t="s">
        <v>2777</v>
      </c>
      <c r="G199" s="1007">
        <v>0.010533161967857807</v>
      </c>
      <c r="H199" s="1012">
        <v>1.0</v>
      </c>
      <c r="I199" s="1009"/>
    </row>
    <row r="200">
      <c r="A200" t="s">
        <v>143</v>
      </c>
      <c r="B200" s="1003">
        <v>41725.0</v>
      </c>
      <c r="C200" s="1004">
        <f t="shared" si="1"/>
        <v>86</v>
      </c>
      <c r="D200" s="1005">
        <f t="shared" si="2"/>
        <v>2.819672131</v>
      </c>
      <c r="E200" s="1006">
        <f t="shared" si="3"/>
        <v>3</v>
      </c>
      <c r="F200" s="1006" t="s">
        <v>2777</v>
      </c>
      <c r="G200" s="1007">
        <v>0.02035978585356002</v>
      </c>
      <c r="H200" s="1012">
        <v>1.0</v>
      </c>
      <c r="I200" s="1009"/>
    </row>
    <row r="201">
      <c r="A201" t="s">
        <v>161</v>
      </c>
      <c r="B201" s="1003">
        <v>42822.0</v>
      </c>
      <c r="C201" s="1004">
        <f t="shared" si="1"/>
        <v>87</v>
      </c>
      <c r="D201" s="1005">
        <f t="shared" si="2"/>
        <v>2.852459016</v>
      </c>
      <c r="E201" s="1006">
        <f t="shared" si="3"/>
        <v>3</v>
      </c>
      <c r="F201" s="1006" t="s">
        <v>2777</v>
      </c>
      <c r="G201" s="1007">
        <v>-0.009975440307097294</v>
      </c>
      <c r="H201" s="1012">
        <v>0.0</v>
      </c>
      <c r="I201" s="1009"/>
    </row>
    <row r="202">
      <c r="A202" t="s">
        <v>1628</v>
      </c>
      <c r="B202" s="1003">
        <v>42823.0</v>
      </c>
      <c r="C202" s="1004">
        <f t="shared" si="1"/>
        <v>88</v>
      </c>
      <c r="D202" s="1005">
        <f t="shared" si="2"/>
        <v>2.885245902</v>
      </c>
      <c r="E202" s="1006">
        <f t="shared" si="3"/>
        <v>3</v>
      </c>
      <c r="F202" s="1006" t="s">
        <v>2777</v>
      </c>
      <c r="G202" s="1007">
        <v>7.44480655634483E-4</v>
      </c>
      <c r="H202" s="1012">
        <v>0.0</v>
      </c>
      <c r="I202" s="1009"/>
    </row>
    <row r="203">
      <c r="A203" t="s">
        <v>548</v>
      </c>
      <c r="B203" s="1003">
        <v>42457.0</v>
      </c>
      <c r="C203" s="1004">
        <f t="shared" si="1"/>
        <v>88</v>
      </c>
      <c r="D203" s="1005">
        <f t="shared" si="2"/>
        <v>2.885245902</v>
      </c>
      <c r="E203" s="1006">
        <f t="shared" si="3"/>
        <v>3</v>
      </c>
      <c r="F203" s="1006" t="s">
        <v>2777</v>
      </c>
      <c r="G203" s="1007">
        <v>0.003887373643317704</v>
      </c>
      <c r="H203" s="1012">
        <v>0.0</v>
      </c>
      <c r="I203" s="1009"/>
    </row>
    <row r="204">
      <c r="A204" t="s">
        <v>342</v>
      </c>
      <c r="B204" s="1003">
        <v>42457.0</v>
      </c>
      <c r="C204" s="1004">
        <f t="shared" si="1"/>
        <v>88</v>
      </c>
      <c r="D204" s="1005">
        <f t="shared" si="2"/>
        <v>2.885245902</v>
      </c>
      <c r="E204" s="1006">
        <f t="shared" si="3"/>
        <v>3</v>
      </c>
      <c r="F204" s="1006" t="s">
        <v>2777</v>
      </c>
      <c r="G204" s="1007">
        <v>-0.004171217489973622</v>
      </c>
      <c r="H204" s="1012">
        <v>0.0</v>
      </c>
      <c r="I204" s="1009"/>
    </row>
    <row r="205">
      <c r="A205" t="s">
        <v>241</v>
      </c>
      <c r="B205" s="1003">
        <v>42457.0</v>
      </c>
      <c r="C205" s="1004">
        <f t="shared" si="1"/>
        <v>88</v>
      </c>
      <c r="D205" s="1005">
        <f t="shared" si="2"/>
        <v>2.885245902</v>
      </c>
      <c r="E205" s="1006">
        <f t="shared" si="3"/>
        <v>3</v>
      </c>
      <c r="F205" s="1006" t="s">
        <v>2777</v>
      </c>
      <c r="G205" s="1007">
        <v>-0.031311334488662634</v>
      </c>
      <c r="H205" s="1012">
        <v>-1.0</v>
      </c>
      <c r="I205" s="1009"/>
    </row>
    <row r="206">
      <c r="A206" t="s">
        <v>339</v>
      </c>
      <c r="B206" s="1013">
        <v>42092.0</v>
      </c>
      <c r="C206" s="1004">
        <f t="shared" si="1"/>
        <v>88</v>
      </c>
      <c r="D206" s="1005">
        <f t="shared" si="2"/>
        <v>2.885245902</v>
      </c>
      <c r="E206" s="1006">
        <f t="shared" si="3"/>
        <v>3</v>
      </c>
      <c r="F206" s="1006" t="s">
        <v>2777</v>
      </c>
      <c r="G206" s="1007">
        <v>-0.005412295625846664</v>
      </c>
      <c r="H206" s="1012">
        <v>0.0</v>
      </c>
      <c r="I206" s="1009"/>
    </row>
    <row r="207">
      <c r="A207" t="s">
        <v>640</v>
      </c>
      <c r="B207" s="1003">
        <v>42092.0</v>
      </c>
      <c r="C207" s="1004">
        <f t="shared" si="1"/>
        <v>88</v>
      </c>
      <c r="D207" s="1005">
        <f t="shared" si="2"/>
        <v>2.885245902</v>
      </c>
      <c r="E207" s="1006">
        <f t="shared" si="3"/>
        <v>3</v>
      </c>
      <c r="F207" s="1006" t="s">
        <v>2777</v>
      </c>
      <c r="G207" s="1007">
        <v>0.006819651926493142</v>
      </c>
      <c r="H207" s="1012">
        <v>0.0</v>
      </c>
      <c r="I207" s="1009"/>
    </row>
    <row r="208">
      <c r="A208" t="s">
        <v>1832</v>
      </c>
      <c r="B208" s="1003">
        <v>42825.0</v>
      </c>
      <c r="C208" s="1004">
        <f t="shared" si="1"/>
        <v>90</v>
      </c>
      <c r="D208" s="1005">
        <f t="shared" si="2"/>
        <v>2.950819672</v>
      </c>
      <c r="E208" s="1006">
        <f t="shared" si="3"/>
        <v>3</v>
      </c>
      <c r="F208" s="1006" t="s">
        <v>2777</v>
      </c>
      <c r="G208" s="1007">
        <v>-0.004631369125930318</v>
      </c>
      <c r="H208" s="1012">
        <v>0.0</v>
      </c>
      <c r="I208" s="1009"/>
    </row>
    <row r="209">
      <c r="A209" t="s">
        <v>1322</v>
      </c>
      <c r="B209" s="1003">
        <v>42459.0</v>
      </c>
      <c r="C209" s="1004">
        <f t="shared" si="1"/>
        <v>90</v>
      </c>
      <c r="D209" s="1005">
        <f t="shared" si="2"/>
        <v>2.950819672</v>
      </c>
      <c r="E209" s="1006">
        <f t="shared" si="3"/>
        <v>3</v>
      </c>
      <c r="F209" s="1006" t="s">
        <v>2777</v>
      </c>
      <c r="G209" s="1007">
        <v>-0.02004381129274979</v>
      </c>
      <c r="H209" s="1012">
        <v>-1.0</v>
      </c>
      <c r="I209" s="1009"/>
    </row>
    <row r="210">
      <c r="A210" t="s">
        <v>1805</v>
      </c>
      <c r="B210" s="1003">
        <v>42459.0</v>
      </c>
      <c r="C210" s="1004">
        <f t="shared" si="1"/>
        <v>90</v>
      </c>
      <c r="D210" s="1005">
        <f t="shared" si="2"/>
        <v>2.950819672</v>
      </c>
      <c r="E210" s="1006">
        <f t="shared" si="3"/>
        <v>3</v>
      </c>
      <c r="F210" s="1006" t="s">
        <v>2777</v>
      </c>
      <c r="G210" s="1007">
        <v>0.02462889470605545</v>
      </c>
      <c r="H210" s="1012">
        <v>1.0</v>
      </c>
      <c r="I210" s="1009"/>
    </row>
    <row r="211">
      <c r="A211" t="s">
        <v>161</v>
      </c>
      <c r="B211" s="1003">
        <v>42459.0</v>
      </c>
      <c r="C211" s="1004">
        <f t="shared" si="1"/>
        <v>90</v>
      </c>
      <c r="D211" s="1005">
        <f t="shared" si="2"/>
        <v>2.950819672</v>
      </c>
      <c r="E211" s="1006">
        <f t="shared" si="3"/>
        <v>3</v>
      </c>
      <c r="F211" s="1006" t="s">
        <v>2777</v>
      </c>
      <c r="G211" s="1007">
        <v>-0.009875610647216648</v>
      </c>
      <c r="H211" s="1012">
        <v>0.0</v>
      </c>
      <c r="I211" s="1009"/>
    </row>
    <row r="212">
      <c r="A212" t="s">
        <v>1820</v>
      </c>
      <c r="B212" s="1003">
        <v>42826.0</v>
      </c>
      <c r="C212" s="1004">
        <f t="shared" si="1"/>
        <v>91</v>
      </c>
      <c r="D212" s="1005">
        <f t="shared" si="2"/>
        <v>2.983606557</v>
      </c>
      <c r="E212" s="1006">
        <f t="shared" si="3"/>
        <v>3</v>
      </c>
      <c r="F212" s="1006" t="s">
        <v>2777</v>
      </c>
      <c r="G212" s="1007">
        <v>-0.012100352458932373</v>
      </c>
      <c r="H212" s="1012">
        <v>-1.0</v>
      </c>
      <c r="I212" s="1009"/>
    </row>
    <row r="213">
      <c r="A213" t="s">
        <v>1783</v>
      </c>
      <c r="B213" s="1003">
        <v>42826.0</v>
      </c>
      <c r="C213" s="1004">
        <f t="shared" si="1"/>
        <v>91</v>
      </c>
      <c r="D213" s="1005">
        <f t="shared" si="2"/>
        <v>2.983606557</v>
      </c>
      <c r="E213" s="1006">
        <f t="shared" si="3"/>
        <v>3</v>
      </c>
      <c r="F213" s="1006" t="s">
        <v>2777</v>
      </c>
      <c r="G213" s="1007">
        <v>0.019450641217062192</v>
      </c>
      <c r="H213" s="1012">
        <v>1.0</v>
      </c>
      <c r="I213" s="1009"/>
    </row>
    <row r="214">
      <c r="A214" t="s">
        <v>1128</v>
      </c>
      <c r="B214" s="1003">
        <v>42460.0</v>
      </c>
      <c r="C214" s="1004">
        <f t="shared" si="1"/>
        <v>91</v>
      </c>
      <c r="D214" s="1005">
        <f t="shared" si="2"/>
        <v>2.983606557</v>
      </c>
      <c r="E214" s="1006">
        <f t="shared" si="3"/>
        <v>3</v>
      </c>
      <c r="F214" s="1006" t="s">
        <v>2777</v>
      </c>
      <c r="G214" s="1007">
        <v>0.00725597272892442</v>
      </c>
      <c r="H214" s="1012">
        <v>0.0</v>
      </c>
      <c r="I214" s="1009"/>
    </row>
    <row r="215">
      <c r="A215" t="s">
        <v>1611</v>
      </c>
      <c r="B215" s="1003">
        <v>42461.0</v>
      </c>
      <c r="C215" s="1004">
        <f t="shared" si="1"/>
        <v>92</v>
      </c>
      <c r="D215" s="1005">
        <f t="shared" si="2"/>
        <v>3.016393443</v>
      </c>
      <c r="E215" s="1006">
        <f t="shared" si="3"/>
        <v>4</v>
      </c>
      <c r="F215" s="1006" t="s">
        <v>2778</v>
      </c>
      <c r="G215" s="1007">
        <v>0.02395976684407064</v>
      </c>
      <c r="H215" s="1012">
        <v>1.0</v>
      </c>
      <c r="I215" s="1009"/>
    </row>
    <row r="216">
      <c r="A216" t="s">
        <v>201</v>
      </c>
      <c r="B216" s="1003">
        <v>42461.0</v>
      </c>
      <c r="C216" s="1004">
        <f t="shared" si="1"/>
        <v>92</v>
      </c>
      <c r="D216" s="1005">
        <f t="shared" si="2"/>
        <v>3.016393443</v>
      </c>
      <c r="E216" s="1006">
        <f t="shared" si="3"/>
        <v>4</v>
      </c>
      <c r="F216" s="1006" t="s">
        <v>2778</v>
      </c>
      <c r="G216" s="1007">
        <v>0.007744809862307633</v>
      </c>
      <c r="H216" s="1012">
        <v>0.0</v>
      </c>
      <c r="I216" s="1009"/>
    </row>
    <row r="217">
      <c r="A217" t="s">
        <v>439</v>
      </c>
      <c r="B217" s="1003">
        <v>42461.0</v>
      </c>
      <c r="C217" s="1004">
        <f t="shared" si="1"/>
        <v>92</v>
      </c>
      <c r="D217" s="1005">
        <f t="shared" si="2"/>
        <v>3.016393443</v>
      </c>
      <c r="E217" s="1006">
        <f t="shared" si="3"/>
        <v>4</v>
      </c>
      <c r="F217" s="1006" t="s">
        <v>2778</v>
      </c>
      <c r="G217" s="1007">
        <v>-0.007275991862962794</v>
      </c>
      <c r="H217" s="1012">
        <v>0.0</v>
      </c>
      <c r="I217" s="1009"/>
    </row>
    <row r="218">
      <c r="A218" t="s">
        <v>1615</v>
      </c>
      <c r="B218" s="1003">
        <v>42828.0</v>
      </c>
      <c r="C218" s="1004">
        <f t="shared" si="1"/>
        <v>93</v>
      </c>
      <c r="D218" s="1005">
        <f t="shared" si="2"/>
        <v>3.049180328</v>
      </c>
      <c r="E218" s="1006">
        <f t="shared" si="3"/>
        <v>4</v>
      </c>
      <c r="F218" s="1006" t="s">
        <v>2778</v>
      </c>
      <c r="G218" s="1007">
        <v>1.3401326040884953E-4</v>
      </c>
      <c r="H218" s="1012">
        <v>0.0</v>
      </c>
      <c r="I218" s="1009"/>
    </row>
    <row r="219">
      <c r="A219" t="s">
        <v>628</v>
      </c>
      <c r="B219" s="1003">
        <v>42830.0</v>
      </c>
      <c r="C219" s="1004">
        <f t="shared" si="1"/>
        <v>95</v>
      </c>
      <c r="D219" s="1005">
        <f t="shared" si="2"/>
        <v>3.114754098</v>
      </c>
      <c r="E219" s="1006">
        <f t="shared" si="3"/>
        <v>4</v>
      </c>
      <c r="F219" s="1006" t="s">
        <v>2778</v>
      </c>
      <c r="G219" s="1007">
        <v>-0.012472545006316449</v>
      </c>
      <c r="H219" s="1012">
        <v>-1.0</v>
      </c>
      <c r="I219" s="1009"/>
    </row>
    <row r="220">
      <c r="A220" t="s">
        <v>674</v>
      </c>
      <c r="B220" s="1003">
        <v>42830.0</v>
      </c>
      <c r="C220" s="1004">
        <f t="shared" si="1"/>
        <v>95</v>
      </c>
      <c r="D220" s="1005">
        <f t="shared" si="2"/>
        <v>3.114754098</v>
      </c>
      <c r="E220" s="1006">
        <f t="shared" si="3"/>
        <v>4</v>
      </c>
      <c r="F220" s="1006" t="s">
        <v>2778</v>
      </c>
      <c r="G220" s="1007">
        <v>0.022025104758474634</v>
      </c>
      <c r="H220" s="1012">
        <v>1.0</v>
      </c>
      <c r="I220" s="1009"/>
    </row>
    <row r="221">
      <c r="A221" t="s">
        <v>761</v>
      </c>
      <c r="B221" s="1003">
        <v>42464.0</v>
      </c>
      <c r="C221" s="1004">
        <f t="shared" si="1"/>
        <v>95</v>
      </c>
      <c r="D221" s="1005">
        <f t="shared" si="2"/>
        <v>3.114754098</v>
      </c>
      <c r="E221" s="1006">
        <f t="shared" si="3"/>
        <v>4</v>
      </c>
      <c r="F221" s="1006" t="s">
        <v>2778</v>
      </c>
      <c r="G221" s="1007">
        <v>-0.047411751847244554</v>
      </c>
      <c r="H221" s="1012">
        <v>-1.0</v>
      </c>
      <c r="I221" s="1009"/>
    </row>
    <row r="222">
      <c r="A222" t="s">
        <v>1826</v>
      </c>
      <c r="B222" s="1003">
        <v>42464.0</v>
      </c>
      <c r="C222" s="1004">
        <f t="shared" si="1"/>
        <v>95</v>
      </c>
      <c r="D222" s="1005">
        <f t="shared" si="2"/>
        <v>3.114754098</v>
      </c>
      <c r="E222" s="1006">
        <f t="shared" si="3"/>
        <v>4</v>
      </c>
      <c r="F222" s="1006" t="s">
        <v>2778</v>
      </c>
      <c r="G222" s="1007">
        <v>-0.006426472541444017</v>
      </c>
      <c r="H222" s="1012">
        <v>0.0</v>
      </c>
      <c r="I222" s="1009"/>
    </row>
    <row r="223">
      <c r="A223" t="s">
        <v>1637</v>
      </c>
      <c r="B223" s="1003">
        <v>42831.0</v>
      </c>
      <c r="C223" s="1004">
        <f t="shared" si="1"/>
        <v>96</v>
      </c>
      <c r="D223" s="1005">
        <f t="shared" si="2"/>
        <v>3.147540984</v>
      </c>
      <c r="E223" s="1006">
        <f t="shared" si="3"/>
        <v>4</v>
      </c>
      <c r="F223" s="1006" t="s">
        <v>2778</v>
      </c>
      <c r="G223" s="1007">
        <v>0.023445538130273058</v>
      </c>
      <c r="H223" s="1012">
        <v>1.0</v>
      </c>
      <c r="I223" s="1009"/>
    </row>
    <row r="224">
      <c r="A224" t="s">
        <v>126</v>
      </c>
      <c r="B224" s="1003">
        <v>42465.0</v>
      </c>
      <c r="C224" s="1004">
        <f t="shared" si="1"/>
        <v>96</v>
      </c>
      <c r="D224" s="1005">
        <f t="shared" si="2"/>
        <v>3.147540984</v>
      </c>
      <c r="E224" s="1006">
        <f t="shared" si="3"/>
        <v>4</v>
      </c>
      <c r="F224" s="1006" t="s">
        <v>2778</v>
      </c>
      <c r="G224" s="1007">
        <v>-0.005350968204221096</v>
      </c>
      <c r="H224" s="1012">
        <v>0.0</v>
      </c>
      <c r="I224" s="1009"/>
    </row>
    <row r="225">
      <c r="A225" t="s">
        <v>300</v>
      </c>
      <c r="B225" s="1003">
        <v>42100.0</v>
      </c>
      <c r="C225" s="1004">
        <f t="shared" si="1"/>
        <v>96</v>
      </c>
      <c r="D225" s="1005">
        <f t="shared" si="2"/>
        <v>3.147540984</v>
      </c>
      <c r="E225" s="1006">
        <f t="shared" si="3"/>
        <v>4</v>
      </c>
      <c r="F225" s="1006" t="s">
        <v>2778</v>
      </c>
      <c r="G225" s="1007">
        <v>0.0018176156676432687</v>
      </c>
      <c r="H225" s="1012">
        <v>0.0</v>
      </c>
      <c r="I225" s="1009"/>
    </row>
    <row r="226">
      <c r="A226" t="s">
        <v>1819</v>
      </c>
      <c r="B226" s="1003">
        <v>42832.0</v>
      </c>
      <c r="C226" s="1004">
        <f t="shared" si="1"/>
        <v>97</v>
      </c>
      <c r="D226" s="1005">
        <f t="shared" si="2"/>
        <v>3.180327869</v>
      </c>
      <c r="E226" s="1006">
        <f t="shared" si="3"/>
        <v>4</v>
      </c>
      <c r="F226" s="1006" t="s">
        <v>2778</v>
      </c>
      <c r="G226" s="1007">
        <v>0.009462147992302494</v>
      </c>
      <c r="H226" s="1012">
        <v>0.0</v>
      </c>
      <c r="I226" s="1009"/>
    </row>
    <row r="227">
      <c r="A227" t="s">
        <v>761</v>
      </c>
      <c r="B227" s="1003">
        <v>42466.0</v>
      </c>
      <c r="C227" s="1004">
        <f t="shared" si="1"/>
        <v>97</v>
      </c>
      <c r="D227" s="1005">
        <f t="shared" si="2"/>
        <v>3.180327869</v>
      </c>
      <c r="E227" s="1006">
        <f t="shared" si="3"/>
        <v>4</v>
      </c>
      <c r="F227" s="1006" t="s">
        <v>2778</v>
      </c>
      <c r="G227" s="1007">
        <v>-0.04729813255810644</v>
      </c>
      <c r="H227" s="1012">
        <v>-1.0</v>
      </c>
      <c r="I227" s="1009"/>
    </row>
    <row r="228">
      <c r="A228" t="s">
        <v>1628</v>
      </c>
      <c r="B228" s="1003">
        <v>42466.0</v>
      </c>
      <c r="C228" s="1004">
        <f t="shared" si="1"/>
        <v>97</v>
      </c>
      <c r="D228" s="1005">
        <f t="shared" si="2"/>
        <v>3.180327869</v>
      </c>
      <c r="E228" s="1006">
        <f t="shared" si="3"/>
        <v>4</v>
      </c>
      <c r="F228" s="1006" t="s">
        <v>2778</v>
      </c>
      <c r="G228" s="1007">
        <v>0.007650348531886619</v>
      </c>
      <c r="H228" s="1012">
        <v>0.0</v>
      </c>
      <c r="I228" s="1009"/>
    </row>
    <row r="229">
      <c r="A229" t="s">
        <v>717</v>
      </c>
      <c r="B229" s="1003">
        <v>42101.0</v>
      </c>
      <c r="C229" s="1004">
        <f t="shared" si="1"/>
        <v>97</v>
      </c>
      <c r="D229" s="1005">
        <f t="shared" si="2"/>
        <v>3.180327869</v>
      </c>
      <c r="E229" s="1006">
        <f t="shared" si="3"/>
        <v>4</v>
      </c>
      <c r="F229" s="1006" t="s">
        <v>2778</v>
      </c>
      <c r="G229" s="1007">
        <v>0.003329977464950673</v>
      </c>
      <c r="H229" s="1012">
        <v>0.0</v>
      </c>
      <c r="I229" s="1009"/>
    </row>
    <row r="230">
      <c r="A230" t="s">
        <v>331</v>
      </c>
      <c r="B230" s="1003">
        <v>42102.0</v>
      </c>
      <c r="C230" s="1004">
        <f t="shared" si="1"/>
        <v>98</v>
      </c>
      <c r="D230" s="1005">
        <f t="shared" si="2"/>
        <v>3.213114754</v>
      </c>
      <c r="E230" s="1006">
        <f t="shared" si="3"/>
        <v>4</v>
      </c>
      <c r="F230" s="1006" t="s">
        <v>2778</v>
      </c>
      <c r="G230" s="1007">
        <v>0.01080969993769676</v>
      </c>
      <c r="H230" s="1012">
        <v>1.0</v>
      </c>
      <c r="I230" s="1009"/>
    </row>
    <row r="231">
      <c r="A231" t="s">
        <v>54</v>
      </c>
      <c r="B231" s="1003">
        <v>41737.0</v>
      </c>
      <c r="C231" s="1004">
        <f t="shared" si="1"/>
        <v>98</v>
      </c>
      <c r="D231" s="1005">
        <f t="shared" si="2"/>
        <v>3.213114754</v>
      </c>
      <c r="E231" s="1006">
        <f t="shared" si="3"/>
        <v>4</v>
      </c>
      <c r="F231" s="1006" t="s">
        <v>2778</v>
      </c>
      <c r="G231" s="1007">
        <v>0.01342087178000062</v>
      </c>
      <c r="H231" s="1012">
        <v>1.0</v>
      </c>
      <c r="I231" s="1009"/>
    </row>
    <row r="232">
      <c r="A232" t="s">
        <v>279</v>
      </c>
      <c r="B232" s="1003">
        <v>42103.0</v>
      </c>
      <c r="C232" s="1004">
        <f t="shared" si="1"/>
        <v>99</v>
      </c>
      <c r="D232" s="1005">
        <f t="shared" si="2"/>
        <v>3.245901639</v>
      </c>
      <c r="E232" s="1006">
        <f t="shared" si="3"/>
        <v>4</v>
      </c>
      <c r="F232" s="1006" t="s">
        <v>2778</v>
      </c>
      <c r="G232" s="1007">
        <v>0.009715472705216444</v>
      </c>
      <c r="H232" s="1012">
        <v>0.0</v>
      </c>
      <c r="I232" s="1009"/>
    </row>
    <row r="233">
      <c r="A233" t="s">
        <v>1336</v>
      </c>
      <c r="B233" s="1003">
        <v>42469.0</v>
      </c>
      <c r="C233" s="1004">
        <f t="shared" si="1"/>
        <v>100</v>
      </c>
      <c r="D233" s="1005">
        <f t="shared" si="2"/>
        <v>3.278688525</v>
      </c>
      <c r="E233" s="1006">
        <f t="shared" si="3"/>
        <v>4</v>
      </c>
      <c r="F233" s="1006" t="s">
        <v>2778</v>
      </c>
      <c r="G233" s="1007">
        <v>-0.012752694618846205</v>
      </c>
      <c r="H233" s="1012">
        <v>-1.0</v>
      </c>
      <c r="I233" s="1009"/>
    </row>
    <row r="234">
      <c r="A234" t="s">
        <v>241</v>
      </c>
      <c r="B234" s="1003">
        <v>42104.0</v>
      </c>
      <c r="C234" s="1004">
        <f t="shared" si="1"/>
        <v>100</v>
      </c>
      <c r="D234" s="1005">
        <f t="shared" si="2"/>
        <v>3.278688525</v>
      </c>
      <c r="E234" s="1006">
        <f t="shared" si="3"/>
        <v>4</v>
      </c>
      <c r="F234" s="1006" t="s">
        <v>2778</v>
      </c>
      <c r="G234" s="1007">
        <v>0.002207136242637353</v>
      </c>
      <c r="H234" s="1012">
        <v>0.0</v>
      </c>
      <c r="I234" s="1009"/>
    </row>
    <row r="235">
      <c r="A235" t="s">
        <v>1652</v>
      </c>
      <c r="B235" s="1003">
        <v>42836.0</v>
      </c>
      <c r="C235" s="1004">
        <f t="shared" si="1"/>
        <v>101</v>
      </c>
      <c r="D235" s="1005">
        <f t="shared" si="2"/>
        <v>3.31147541</v>
      </c>
      <c r="E235" s="1006">
        <f t="shared" si="3"/>
        <v>4</v>
      </c>
      <c r="F235" s="1006" t="s">
        <v>2778</v>
      </c>
      <c r="G235" s="1007">
        <v>0.002880835792408054</v>
      </c>
      <c r="H235" s="1012">
        <v>0.0</v>
      </c>
      <c r="I235" s="1009"/>
    </row>
    <row r="236">
      <c r="A236" t="s">
        <v>761</v>
      </c>
      <c r="B236" s="1003">
        <v>42470.0</v>
      </c>
      <c r="C236" s="1004">
        <f t="shared" si="1"/>
        <v>101</v>
      </c>
      <c r="D236" s="1005">
        <f t="shared" si="2"/>
        <v>3.31147541</v>
      </c>
      <c r="E236" s="1006">
        <f t="shared" si="3"/>
        <v>4</v>
      </c>
      <c r="F236" s="1006" t="s">
        <v>2778</v>
      </c>
      <c r="G236" s="1007">
        <v>-0.04715106902062838</v>
      </c>
      <c r="H236" s="1012">
        <v>-1.0</v>
      </c>
      <c r="I236" s="1009"/>
    </row>
    <row r="237">
      <c r="A237" t="s">
        <v>1893</v>
      </c>
      <c r="B237" s="1003">
        <v>42470.0</v>
      </c>
      <c r="C237" s="1004">
        <f t="shared" si="1"/>
        <v>101</v>
      </c>
      <c r="D237" s="1005">
        <f t="shared" si="2"/>
        <v>3.31147541</v>
      </c>
      <c r="E237" s="1006">
        <f t="shared" si="3"/>
        <v>4</v>
      </c>
      <c r="F237" s="1006" t="s">
        <v>2778</v>
      </c>
      <c r="G237" s="1007">
        <v>-9.381142447895119E-5</v>
      </c>
      <c r="H237" s="1012">
        <v>0.0</v>
      </c>
      <c r="I237" s="1009"/>
    </row>
    <row r="238">
      <c r="A238" t="s">
        <v>640</v>
      </c>
      <c r="B238" s="1003">
        <v>42105.0</v>
      </c>
      <c r="C238" s="1004">
        <f t="shared" si="1"/>
        <v>101</v>
      </c>
      <c r="D238" s="1005">
        <f t="shared" si="2"/>
        <v>3.31147541</v>
      </c>
      <c r="E238" s="1006">
        <f t="shared" si="3"/>
        <v>4</v>
      </c>
      <c r="F238" s="1006" t="s">
        <v>2778</v>
      </c>
      <c r="G238" s="1007">
        <v>0.01134577243003787</v>
      </c>
      <c r="H238" s="1012">
        <v>1.0</v>
      </c>
      <c r="I238" s="1009"/>
    </row>
    <row r="239">
      <c r="A239" t="s">
        <v>623</v>
      </c>
      <c r="B239" s="1003">
        <v>42106.0</v>
      </c>
      <c r="C239" s="1004">
        <f t="shared" si="1"/>
        <v>102</v>
      </c>
      <c r="D239" s="1005">
        <f t="shared" si="2"/>
        <v>3.344262295</v>
      </c>
      <c r="E239" s="1006">
        <f t="shared" si="3"/>
        <v>4</v>
      </c>
      <c r="F239" s="1006" t="s">
        <v>2778</v>
      </c>
      <c r="G239" s="1007">
        <v>-0.009137217232566108</v>
      </c>
      <c r="H239" s="1012">
        <v>0.0</v>
      </c>
      <c r="I239" s="1009"/>
    </row>
    <row r="240">
      <c r="A240" t="s">
        <v>212</v>
      </c>
      <c r="B240" s="1003">
        <v>42106.0</v>
      </c>
      <c r="C240" s="1004">
        <f t="shared" si="1"/>
        <v>102</v>
      </c>
      <c r="D240" s="1005">
        <f t="shared" si="2"/>
        <v>3.344262295</v>
      </c>
      <c r="E240" s="1006">
        <f t="shared" si="3"/>
        <v>4</v>
      </c>
      <c r="F240" s="1006" t="s">
        <v>2778</v>
      </c>
      <c r="G240" s="1007">
        <v>0.0020557541487931097</v>
      </c>
      <c r="H240" s="1012">
        <v>0.0</v>
      </c>
      <c r="I240" s="1009"/>
    </row>
    <row r="241">
      <c r="A241" t="s">
        <v>1726</v>
      </c>
      <c r="B241" s="1003">
        <v>42838.0</v>
      </c>
      <c r="C241" s="1004">
        <f t="shared" si="1"/>
        <v>103</v>
      </c>
      <c r="D241" s="1005">
        <f t="shared" si="2"/>
        <v>3.37704918</v>
      </c>
      <c r="E241" s="1006">
        <f t="shared" si="3"/>
        <v>4</v>
      </c>
      <c r="F241" s="1006" t="s">
        <v>2778</v>
      </c>
      <c r="G241" s="1007">
        <v>-0.004714747159267674</v>
      </c>
      <c r="H241" s="1012">
        <v>0.0</v>
      </c>
      <c r="I241" s="1009"/>
    </row>
    <row r="242">
      <c r="A242" t="s">
        <v>1874</v>
      </c>
      <c r="B242" s="1003">
        <v>42838.0</v>
      </c>
      <c r="C242" s="1004">
        <f t="shared" si="1"/>
        <v>103</v>
      </c>
      <c r="D242" s="1005">
        <f t="shared" si="2"/>
        <v>3.37704918</v>
      </c>
      <c r="E242" s="1006">
        <f t="shared" si="3"/>
        <v>4</v>
      </c>
      <c r="F242" s="1006" t="s">
        <v>2778</v>
      </c>
      <c r="G242" s="1007">
        <v>0.04125345985435669</v>
      </c>
      <c r="H242" s="1012">
        <v>1.0</v>
      </c>
      <c r="I242" s="1009"/>
    </row>
    <row r="243">
      <c r="A243" t="s">
        <v>633</v>
      </c>
      <c r="B243" s="1003">
        <v>42838.0</v>
      </c>
      <c r="C243" s="1004">
        <f t="shared" si="1"/>
        <v>103</v>
      </c>
      <c r="D243" s="1005">
        <f t="shared" si="2"/>
        <v>3.37704918</v>
      </c>
      <c r="E243" s="1006">
        <f t="shared" si="3"/>
        <v>4</v>
      </c>
      <c r="F243" s="1006" t="s">
        <v>2778</v>
      </c>
      <c r="G243" s="1007">
        <v>0.025680637363871717</v>
      </c>
      <c r="H243" s="1012">
        <v>1.0</v>
      </c>
      <c r="I243" s="1009"/>
    </row>
    <row r="244">
      <c r="A244" t="s">
        <v>1741</v>
      </c>
      <c r="B244" s="1003">
        <v>42472.0</v>
      </c>
      <c r="C244" s="1004">
        <f t="shared" si="1"/>
        <v>103</v>
      </c>
      <c r="D244" s="1005">
        <f t="shared" si="2"/>
        <v>3.37704918</v>
      </c>
      <c r="E244" s="1006">
        <f t="shared" si="3"/>
        <v>4</v>
      </c>
      <c r="F244" s="1006" t="s">
        <v>2778</v>
      </c>
      <c r="G244" s="1007">
        <v>-0.006281511364831349</v>
      </c>
      <c r="H244" s="1012">
        <v>0.0</v>
      </c>
      <c r="I244" s="1009"/>
    </row>
    <row r="245">
      <c r="A245" t="s">
        <v>639</v>
      </c>
      <c r="B245" s="1003">
        <v>42839.0</v>
      </c>
      <c r="C245" s="1004">
        <f t="shared" si="1"/>
        <v>104</v>
      </c>
      <c r="D245" s="1005">
        <f t="shared" si="2"/>
        <v>3.409836066</v>
      </c>
      <c r="E245" s="1006">
        <f t="shared" si="3"/>
        <v>4</v>
      </c>
      <c r="F245" s="1006" t="s">
        <v>2778</v>
      </c>
      <c r="G245" s="1007">
        <v>-0.025100221791317323</v>
      </c>
      <c r="H245" s="1012">
        <v>-1.0</v>
      </c>
      <c r="I245" s="1009"/>
    </row>
    <row r="246">
      <c r="A246" t="s">
        <v>126</v>
      </c>
      <c r="B246" s="1003">
        <v>42108.0</v>
      </c>
      <c r="C246" s="1004">
        <f t="shared" si="1"/>
        <v>104</v>
      </c>
      <c r="D246" s="1005">
        <f t="shared" si="2"/>
        <v>3.409836066</v>
      </c>
      <c r="E246" s="1006">
        <f t="shared" si="3"/>
        <v>4</v>
      </c>
      <c r="F246" s="1006" t="s">
        <v>2778</v>
      </c>
      <c r="G246" s="1007">
        <v>0.019630578155581224</v>
      </c>
      <c r="H246" s="1012">
        <v>1.0</v>
      </c>
      <c r="I246" s="1009"/>
    </row>
    <row r="247">
      <c r="A247" t="s">
        <v>1873</v>
      </c>
      <c r="B247" s="1003">
        <v>42840.0</v>
      </c>
      <c r="C247" s="1004">
        <f t="shared" si="1"/>
        <v>105</v>
      </c>
      <c r="D247" s="1005">
        <f t="shared" si="2"/>
        <v>3.442622951</v>
      </c>
      <c r="E247" s="1006">
        <f t="shared" si="3"/>
        <v>4</v>
      </c>
      <c r="F247" s="1006" t="s">
        <v>2778</v>
      </c>
      <c r="G247" s="1007">
        <v>-0.07243901596659541</v>
      </c>
      <c r="H247" s="1012">
        <v>-1.0</v>
      </c>
      <c r="I247" s="1009"/>
    </row>
    <row r="248">
      <c r="A248" t="s">
        <v>1454</v>
      </c>
      <c r="B248" s="1003">
        <v>42840.0</v>
      </c>
      <c r="C248" s="1004">
        <f t="shared" si="1"/>
        <v>105</v>
      </c>
      <c r="D248" s="1005">
        <f t="shared" si="2"/>
        <v>3.442622951</v>
      </c>
      <c r="E248" s="1006">
        <f t="shared" si="3"/>
        <v>4</v>
      </c>
      <c r="F248" s="1006" t="s">
        <v>2778</v>
      </c>
      <c r="G248" s="1007">
        <v>0.0013106131585240988</v>
      </c>
      <c r="H248" s="1012">
        <v>0.0</v>
      </c>
      <c r="I248" s="1009"/>
    </row>
    <row r="249">
      <c r="A249" t="s">
        <v>541</v>
      </c>
      <c r="B249" s="1003">
        <v>42474.0</v>
      </c>
      <c r="C249" s="1004">
        <f t="shared" si="1"/>
        <v>105</v>
      </c>
      <c r="D249" s="1005">
        <f t="shared" si="2"/>
        <v>3.442622951</v>
      </c>
      <c r="E249" s="1006">
        <f t="shared" si="3"/>
        <v>4</v>
      </c>
      <c r="F249" s="1006" t="s">
        <v>2778</v>
      </c>
      <c r="G249" s="1007">
        <v>-0.0028417004418171965</v>
      </c>
      <c r="H249" s="1012">
        <v>0.0</v>
      </c>
      <c r="I249" s="1009"/>
    </row>
    <row r="250">
      <c r="A250" t="s">
        <v>605</v>
      </c>
      <c r="B250" s="1003">
        <v>42109.0</v>
      </c>
      <c r="C250" s="1004">
        <f t="shared" si="1"/>
        <v>105</v>
      </c>
      <c r="D250" s="1005">
        <f t="shared" si="2"/>
        <v>3.442622951</v>
      </c>
      <c r="E250" s="1006">
        <f t="shared" si="3"/>
        <v>4</v>
      </c>
      <c r="F250" s="1006" t="s">
        <v>2778</v>
      </c>
      <c r="G250" s="1007">
        <v>0.002775096975466962</v>
      </c>
      <c r="H250" s="1012">
        <v>0.0</v>
      </c>
      <c r="I250" s="1009"/>
    </row>
    <row r="251">
      <c r="A251" t="s">
        <v>155</v>
      </c>
      <c r="B251" s="1003">
        <v>42109.0</v>
      </c>
      <c r="C251" s="1004">
        <f t="shared" si="1"/>
        <v>105</v>
      </c>
      <c r="D251" s="1005">
        <f t="shared" si="2"/>
        <v>3.442622951</v>
      </c>
      <c r="E251" s="1006">
        <f t="shared" si="3"/>
        <v>4</v>
      </c>
      <c r="F251" s="1006" t="s">
        <v>2778</v>
      </c>
      <c r="G251" s="1007">
        <v>-0.01561053174813265</v>
      </c>
      <c r="H251" s="1012">
        <v>-1.0</v>
      </c>
      <c r="I251" s="1009"/>
    </row>
    <row r="252">
      <c r="A252" t="s">
        <v>1654</v>
      </c>
      <c r="B252" s="1003">
        <v>42841.0</v>
      </c>
      <c r="C252" s="1004">
        <f t="shared" si="1"/>
        <v>106</v>
      </c>
      <c r="D252" s="1005">
        <f t="shared" si="2"/>
        <v>3.475409836</v>
      </c>
      <c r="E252" s="1006">
        <f t="shared" si="3"/>
        <v>4</v>
      </c>
      <c r="F252" s="1006" t="s">
        <v>2778</v>
      </c>
      <c r="G252" s="1007">
        <v>0.013022992219462126</v>
      </c>
      <c r="H252" s="1012">
        <v>1.0</v>
      </c>
      <c r="I252" s="1009"/>
    </row>
    <row r="253">
      <c r="A253" t="s">
        <v>513</v>
      </c>
      <c r="B253" s="1003">
        <v>42475.0</v>
      </c>
      <c r="C253" s="1004">
        <f t="shared" si="1"/>
        <v>106</v>
      </c>
      <c r="D253" s="1005">
        <f t="shared" si="2"/>
        <v>3.475409836</v>
      </c>
      <c r="E253" s="1006">
        <f t="shared" si="3"/>
        <v>4</v>
      </c>
      <c r="F253" s="1006" t="s">
        <v>2778</v>
      </c>
      <c r="G253" s="1007">
        <v>0.02325842789325383</v>
      </c>
      <c r="H253" s="1012">
        <v>1.0</v>
      </c>
      <c r="I253" s="1009"/>
    </row>
    <row r="254">
      <c r="A254" t="s">
        <v>746</v>
      </c>
      <c r="B254" s="1003">
        <v>42110.0</v>
      </c>
      <c r="C254" s="1004">
        <f t="shared" si="1"/>
        <v>106</v>
      </c>
      <c r="D254" s="1005">
        <f t="shared" si="2"/>
        <v>3.475409836</v>
      </c>
      <c r="E254" s="1006">
        <f t="shared" si="3"/>
        <v>4</v>
      </c>
      <c r="F254" s="1006" t="s">
        <v>2778</v>
      </c>
      <c r="G254" s="1007">
        <v>0.022617352221935172</v>
      </c>
      <c r="H254" s="1012">
        <v>1.0</v>
      </c>
      <c r="I254" s="1009"/>
    </row>
    <row r="255">
      <c r="A255" t="s">
        <v>751</v>
      </c>
      <c r="B255" s="1003">
        <v>42110.0</v>
      </c>
      <c r="C255" s="1004">
        <f t="shared" si="1"/>
        <v>106</v>
      </c>
      <c r="D255" s="1005">
        <f t="shared" si="2"/>
        <v>3.475409836</v>
      </c>
      <c r="E255" s="1006">
        <f t="shared" si="3"/>
        <v>4</v>
      </c>
      <c r="F255" s="1006" t="s">
        <v>2778</v>
      </c>
      <c r="G255" s="1007">
        <v>0.00960034351987138</v>
      </c>
      <c r="H255" s="1012">
        <v>0.0</v>
      </c>
      <c r="I255" s="1009"/>
    </row>
    <row r="256">
      <c r="A256" t="s">
        <v>294</v>
      </c>
      <c r="B256" s="1003">
        <v>42110.0</v>
      </c>
      <c r="C256" s="1004">
        <f t="shared" si="1"/>
        <v>106</v>
      </c>
      <c r="D256" s="1005">
        <f t="shared" si="2"/>
        <v>3.475409836</v>
      </c>
      <c r="E256" s="1006">
        <f t="shared" si="3"/>
        <v>4</v>
      </c>
      <c r="F256" s="1006" t="s">
        <v>2778</v>
      </c>
      <c r="G256" s="1007">
        <v>-0.016961301368916715</v>
      </c>
      <c r="H256" s="1012">
        <v>-1.0</v>
      </c>
      <c r="I256" s="1009"/>
    </row>
    <row r="257">
      <c r="A257" t="s">
        <v>54</v>
      </c>
      <c r="B257" s="1003">
        <v>42110.0</v>
      </c>
      <c r="C257" s="1004">
        <f t="shared" si="1"/>
        <v>106</v>
      </c>
      <c r="D257" s="1005">
        <f t="shared" si="2"/>
        <v>3.475409836</v>
      </c>
      <c r="E257" s="1006">
        <f t="shared" si="3"/>
        <v>4</v>
      </c>
      <c r="F257" s="1006" t="s">
        <v>2778</v>
      </c>
      <c r="G257" s="1007">
        <v>-0.011431147158993071</v>
      </c>
      <c r="H257" s="1012">
        <v>-1.0</v>
      </c>
      <c r="I257" s="1009"/>
    </row>
    <row r="258">
      <c r="A258" t="s">
        <v>1275</v>
      </c>
      <c r="B258" s="1003">
        <v>42842.0</v>
      </c>
      <c r="C258" s="1004">
        <f t="shared" si="1"/>
        <v>107</v>
      </c>
      <c r="D258" s="1005">
        <f t="shared" si="2"/>
        <v>3.508196721</v>
      </c>
      <c r="E258" s="1006">
        <f t="shared" si="3"/>
        <v>4</v>
      </c>
      <c r="F258" s="1006" t="s">
        <v>2778</v>
      </c>
      <c r="G258" s="1007">
        <v>0.013966684965763698</v>
      </c>
      <c r="H258" s="1012">
        <v>1.0</v>
      </c>
      <c r="I258" s="1009"/>
    </row>
    <row r="259">
      <c r="A259" t="s">
        <v>1740</v>
      </c>
      <c r="B259" s="1003">
        <v>42842.0</v>
      </c>
      <c r="C259" s="1004">
        <f t="shared" si="1"/>
        <v>107</v>
      </c>
      <c r="D259" s="1005">
        <f t="shared" si="2"/>
        <v>3.508196721</v>
      </c>
      <c r="E259" s="1006">
        <f t="shared" si="3"/>
        <v>4</v>
      </c>
      <c r="F259" s="1006" t="s">
        <v>2778</v>
      </c>
      <c r="G259" s="1007">
        <v>0.009882344648086905</v>
      </c>
      <c r="H259" s="1012">
        <v>0.0</v>
      </c>
      <c r="I259" s="1009"/>
    </row>
    <row r="260">
      <c r="A260" t="s">
        <v>686</v>
      </c>
      <c r="B260" s="1003">
        <v>42842.0</v>
      </c>
      <c r="C260" s="1004">
        <f t="shared" si="1"/>
        <v>107</v>
      </c>
      <c r="D260" s="1005">
        <f t="shared" si="2"/>
        <v>3.508196721</v>
      </c>
      <c r="E260" s="1006">
        <f t="shared" si="3"/>
        <v>4</v>
      </c>
      <c r="F260" s="1006" t="s">
        <v>2778</v>
      </c>
      <c r="G260" s="1007">
        <v>0.015268597867502898</v>
      </c>
      <c r="H260" s="1012">
        <v>1.0</v>
      </c>
      <c r="I260" s="1009"/>
    </row>
    <row r="261">
      <c r="A261" t="s">
        <v>642</v>
      </c>
      <c r="B261" s="1003">
        <v>42842.0</v>
      </c>
      <c r="C261" s="1004">
        <f t="shared" si="1"/>
        <v>107</v>
      </c>
      <c r="D261" s="1005">
        <f t="shared" si="2"/>
        <v>3.508196721</v>
      </c>
      <c r="E261" s="1006">
        <f t="shared" si="3"/>
        <v>4</v>
      </c>
      <c r="F261" s="1006" t="s">
        <v>2778</v>
      </c>
      <c r="G261" s="1007">
        <v>0.008592747329677186</v>
      </c>
      <c r="H261" s="1012">
        <v>0.0</v>
      </c>
      <c r="I261" s="1009"/>
    </row>
    <row r="262">
      <c r="A262" t="s">
        <v>761</v>
      </c>
      <c r="B262" s="1003">
        <v>42111.0</v>
      </c>
      <c r="C262" s="1004">
        <f t="shared" si="1"/>
        <v>107</v>
      </c>
      <c r="D262" s="1005">
        <f t="shared" si="2"/>
        <v>3.508196721</v>
      </c>
      <c r="E262" s="1006">
        <f t="shared" si="3"/>
        <v>4</v>
      </c>
      <c r="F262" s="1006" t="s">
        <v>2778</v>
      </c>
      <c r="G262" s="1007">
        <v>0.0038596885298652905</v>
      </c>
      <c r="H262" s="1012">
        <v>0.0</v>
      </c>
      <c r="I262" s="1009"/>
    </row>
    <row r="263">
      <c r="A263" t="s">
        <v>279</v>
      </c>
      <c r="B263" s="1003">
        <v>42843.0</v>
      </c>
      <c r="C263" s="1004">
        <f t="shared" si="1"/>
        <v>108</v>
      </c>
      <c r="D263" s="1005">
        <f t="shared" si="2"/>
        <v>3.540983607</v>
      </c>
      <c r="E263" s="1006">
        <f t="shared" si="3"/>
        <v>4</v>
      </c>
      <c r="F263" s="1006" t="s">
        <v>2778</v>
      </c>
      <c r="G263" s="1007">
        <v>-0.004137093760588906</v>
      </c>
      <c r="H263" s="1012">
        <v>0.0</v>
      </c>
      <c r="I263" s="1009"/>
    </row>
    <row r="264">
      <c r="A264" t="s">
        <v>647</v>
      </c>
      <c r="B264" s="1003">
        <v>42843.0</v>
      </c>
      <c r="C264" s="1004">
        <f t="shared" si="1"/>
        <v>108</v>
      </c>
      <c r="D264" s="1005">
        <f t="shared" si="2"/>
        <v>3.540983607</v>
      </c>
      <c r="E264" s="1006">
        <f t="shared" si="3"/>
        <v>4</v>
      </c>
      <c r="F264" s="1006" t="s">
        <v>2778</v>
      </c>
      <c r="G264" s="1007">
        <v>0.017200130463108088</v>
      </c>
      <c r="H264" s="1012">
        <v>1.0</v>
      </c>
      <c r="I264" s="1009"/>
    </row>
    <row r="265">
      <c r="A265" t="s">
        <v>1852</v>
      </c>
      <c r="B265" s="1003">
        <v>42477.0</v>
      </c>
      <c r="C265" s="1004">
        <f t="shared" si="1"/>
        <v>108</v>
      </c>
      <c r="D265" s="1005">
        <f t="shared" si="2"/>
        <v>3.540983607</v>
      </c>
      <c r="E265" s="1006">
        <f t="shared" si="3"/>
        <v>4</v>
      </c>
      <c r="F265" s="1006" t="s">
        <v>2778</v>
      </c>
      <c r="G265" s="1007">
        <v>-0.005082959663360809</v>
      </c>
      <c r="H265" s="1012">
        <v>0.0</v>
      </c>
      <c r="I265" s="1009"/>
    </row>
    <row r="266">
      <c r="A266" t="s">
        <v>449</v>
      </c>
      <c r="B266" s="1003">
        <v>42477.0</v>
      </c>
      <c r="C266" s="1004">
        <f t="shared" si="1"/>
        <v>108</v>
      </c>
      <c r="D266" s="1005">
        <f t="shared" si="2"/>
        <v>3.540983607</v>
      </c>
      <c r="E266" s="1006">
        <f t="shared" si="3"/>
        <v>4</v>
      </c>
      <c r="F266" s="1006" t="s">
        <v>2778</v>
      </c>
      <c r="G266" s="1007">
        <v>0.005240819043794365</v>
      </c>
      <c r="H266" s="1012">
        <v>0.0</v>
      </c>
      <c r="I266" s="1009"/>
    </row>
    <row r="267">
      <c r="A267" t="s">
        <v>1127</v>
      </c>
      <c r="B267" s="1003">
        <v>42477.0</v>
      </c>
      <c r="C267" s="1004">
        <f t="shared" si="1"/>
        <v>108</v>
      </c>
      <c r="D267" s="1005">
        <f t="shared" si="2"/>
        <v>3.540983607</v>
      </c>
      <c r="E267" s="1006">
        <f t="shared" si="3"/>
        <v>4</v>
      </c>
      <c r="F267" s="1006" t="s">
        <v>2778</v>
      </c>
      <c r="G267" s="1007">
        <v>0.006905758970517595</v>
      </c>
      <c r="H267" s="1012">
        <v>0.0</v>
      </c>
      <c r="I267" s="1009"/>
    </row>
    <row r="268">
      <c r="A268" t="s">
        <v>428</v>
      </c>
      <c r="B268" s="1003">
        <v>42477.0</v>
      </c>
      <c r="C268" s="1004">
        <f t="shared" si="1"/>
        <v>108</v>
      </c>
      <c r="D268" s="1005">
        <f t="shared" si="2"/>
        <v>3.540983607</v>
      </c>
      <c r="E268" s="1006">
        <f t="shared" si="3"/>
        <v>4</v>
      </c>
      <c r="F268" s="1006" t="s">
        <v>2778</v>
      </c>
      <c r="G268" s="1007">
        <v>0.02104819448205275</v>
      </c>
      <c r="H268" s="1012">
        <v>1.0</v>
      </c>
      <c r="I268" s="1009"/>
    </row>
    <row r="269">
      <c r="A269" t="s">
        <v>96</v>
      </c>
      <c r="B269" s="1003">
        <v>42112.0</v>
      </c>
      <c r="C269" s="1004">
        <f t="shared" si="1"/>
        <v>108</v>
      </c>
      <c r="D269" s="1005">
        <f t="shared" si="2"/>
        <v>3.540983607</v>
      </c>
      <c r="E269" s="1006">
        <f t="shared" si="3"/>
        <v>4</v>
      </c>
      <c r="F269" s="1006" t="s">
        <v>2778</v>
      </c>
      <c r="G269" s="1007">
        <v>-0.016480764015556315</v>
      </c>
      <c r="H269" s="1012">
        <v>-1.0</v>
      </c>
      <c r="I269" s="1009"/>
    </row>
    <row r="270">
      <c r="A270" t="s">
        <v>339</v>
      </c>
      <c r="B270" s="1003">
        <v>42112.0</v>
      </c>
      <c r="C270" s="1004">
        <f t="shared" si="1"/>
        <v>108</v>
      </c>
      <c r="D270" s="1005">
        <f t="shared" si="2"/>
        <v>3.540983607</v>
      </c>
      <c r="E270" s="1006">
        <f t="shared" si="3"/>
        <v>4</v>
      </c>
      <c r="F270" s="1006" t="s">
        <v>2778</v>
      </c>
      <c r="G270" s="1007">
        <v>-0.0015973624161789157</v>
      </c>
      <c r="H270" s="1012">
        <v>0.0</v>
      </c>
      <c r="I270" s="1009"/>
    </row>
    <row r="271">
      <c r="A271" t="s">
        <v>1863</v>
      </c>
      <c r="B271" s="1003">
        <v>42844.0</v>
      </c>
      <c r="C271" s="1004">
        <f t="shared" si="1"/>
        <v>109</v>
      </c>
      <c r="D271" s="1005">
        <f t="shared" si="2"/>
        <v>3.573770492</v>
      </c>
      <c r="E271" s="1006">
        <f t="shared" si="3"/>
        <v>4</v>
      </c>
      <c r="F271" s="1006" t="s">
        <v>2778</v>
      </c>
      <c r="G271" s="1007">
        <v>-0.00723708315067606</v>
      </c>
      <c r="H271" s="1012">
        <v>0.0</v>
      </c>
      <c r="I271" s="1009"/>
    </row>
    <row r="272">
      <c r="A272" t="s">
        <v>1703</v>
      </c>
      <c r="B272" s="1003">
        <v>42478.0</v>
      </c>
      <c r="C272" s="1004">
        <f t="shared" si="1"/>
        <v>109</v>
      </c>
      <c r="D272" s="1005">
        <f t="shared" si="2"/>
        <v>3.573770492</v>
      </c>
      <c r="E272" s="1006">
        <f t="shared" si="3"/>
        <v>4</v>
      </c>
      <c r="F272" s="1006" t="s">
        <v>2778</v>
      </c>
      <c r="G272" s="1007">
        <v>0.016099725707324652</v>
      </c>
      <c r="H272" s="1012">
        <v>1.0</v>
      </c>
      <c r="I272" s="1009"/>
    </row>
    <row r="273">
      <c r="A273" t="s">
        <v>541</v>
      </c>
      <c r="B273" s="1003">
        <v>42113.0</v>
      </c>
      <c r="C273" s="1004">
        <f t="shared" si="1"/>
        <v>109</v>
      </c>
      <c r="D273" s="1005">
        <f t="shared" si="2"/>
        <v>3.573770492</v>
      </c>
      <c r="E273" s="1006">
        <f t="shared" si="3"/>
        <v>4</v>
      </c>
      <c r="F273" s="1006" t="s">
        <v>2778</v>
      </c>
      <c r="G273" s="1007">
        <v>-0.00847535258065979</v>
      </c>
      <c r="H273" s="1012">
        <v>0.0</v>
      </c>
      <c r="I273" s="1009"/>
    </row>
    <row r="274">
      <c r="A274" t="s">
        <v>548</v>
      </c>
      <c r="B274" s="1003">
        <v>42113.0</v>
      </c>
      <c r="C274" s="1004">
        <f t="shared" si="1"/>
        <v>109</v>
      </c>
      <c r="D274" s="1005">
        <f t="shared" si="2"/>
        <v>3.573770492</v>
      </c>
      <c r="E274" s="1006">
        <f t="shared" si="3"/>
        <v>4</v>
      </c>
      <c r="F274" s="1006" t="s">
        <v>2778</v>
      </c>
      <c r="G274" s="1007">
        <v>-0.013143943578967199</v>
      </c>
      <c r="H274" s="1012">
        <v>-1.0</v>
      </c>
      <c r="I274" s="1009"/>
    </row>
    <row r="275">
      <c r="A275" t="s">
        <v>376</v>
      </c>
      <c r="B275" s="1003">
        <v>42479.0</v>
      </c>
      <c r="C275" s="1004">
        <f t="shared" si="1"/>
        <v>110</v>
      </c>
      <c r="D275" s="1005">
        <f t="shared" si="2"/>
        <v>3.606557377</v>
      </c>
      <c r="E275" s="1006">
        <f t="shared" si="3"/>
        <v>4</v>
      </c>
      <c r="F275" s="1006" t="s">
        <v>2778</v>
      </c>
      <c r="G275" s="1007">
        <v>-0.02114080893954129</v>
      </c>
      <c r="H275" s="1012">
        <v>-1.0</v>
      </c>
      <c r="I275" s="1009"/>
    </row>
    <row r="276">
      <c r="A276" t="s">
        <v>348</v>
      </c>
      <c r="B276" s="1003">
        <v>42114.0</v>
      </c>
      <c r="C276" s="1004">
        <f t="shared" si="1"/>
        <v>110</v>
      </c>
      <c r="D276" s="1005">
        <f t="shared" si="2"/>
        <v>3.606557377</v>
      </c>
      <c r="E276" s="1006">
        <f t="shared" si="3"/>
        <v>4</v>
      </c>
      <c r="F276" s="1006" t="s">
        <v>2778</v>
      </c>
      <c r="G276" s="1007">
        <v>-0.003104059830352668</v>
      </c>
      <c r="H276" s="1012">
        <v>0.0</v>
      </c>
      <c r="I276" s="1009"/>
    </row>
    <row r="277">
      <c r="A277" t="s">
        <v>201</v>
      </c>
      <c r="B277" s="1003">
        <v>42114.0</v>
      </c>
      <c r="C277" s="1004">
        <f t="shared" si="1"/>
        <v>110</v>
      </c>
      <c r="D277" s="1005">
        <f t="shared" si="2"/>
        <v>3.606557377</v>
      </c>
      <c r="E277" s="1006">
        <f t="shared" si="3"/>
        <v>4</v>
      </c>
      <c r="F277" s="1006" t="s">
        <v>2778</v>
      </c>
      <c r="G277" s="1007">
        <v>-0.0024059013237599514</v>
      </c>
      <c r="H277" s="1012">
        <v>0.0</v>
      </c>
      <c r="I277" s="1009"/>
    </row>
    <row r="278">
      <c r="A278" t="s">
        <v>1762</v>
      </c>
      <c r="B278" s="1003">
        <v>42846.0</v>
      </c>
      <c r="C278" s="1004">
        <f t="shared" si="1"/>
        <v>111</v>
      </c>
      <c r="D278" s="1005">
        <f t="shared" si="2"/>
        <v>3.639344262</v>
      </c>
      <c r="E278" s="1006">
        <f t="shared" si="3"/>
        <v>4</v>
      </c>
      <c r="F278" s="1006" t="s">
        <v>2778</v>
      </c>
      <c r="G278" s="1007">
        <v>0.01236947186614712</v>
      </c>
      <c r="H278" s="1012">
        <v>1.0</v>
      </c>
      <c r="I278" s="1009"/>
    </row>
    <row r="279">
      <c r="A279" t="s">
        <v>1454</v>
      </c>
      <c r="B279" s="1003">
        <v>42847.0</v>
      </c>
      <c r="C279" s="1004">
        <f t="shared" si="1"/>
        <v>112</v>
      </c>
      <c r="D279" s="1005">
        <f t="shared" si="2"/>
        <v>3.672131148</v>
      </c>
      <c r="E279" s="1006">
        <f t="shared" si="3"/>
        <v>4</v>
      </c>
      <c r="F279" s="1006" t="s">
        <v>2778</v>
      </c>
      <c r="G279" s="1007">
        <v>0.012675299778291182</v>
      </c>
      <c r="H279" s="1012">
        <v>1.0</v>
      </c>
      <c r="I279" s="1009"/>
    </row>
    <row r="280">
      <c r="A280" t="s">
        <v>1712</v>
      </c>
      <c r="B280" s="1003">
        <v>42847.0</v>
      </c>
      <c r="C280" s="1004">
        <f t="shared" si="1"/>
        <v>112</v>
      </c>
      <c r="D280" s="1005">
        <f t="shared" si="2"/>
        <v>3.672131148</v>
      </c>
      <c r="E280" s="1006">
        <f t="shared" si="3"/>
        <v>4</v>
      </c>
      <c r="F280" s="1006" t="s">
        <v>2778</v>
      </c>
      <c r="G280" s="1007">
        <v>0.012457240007903492</v>
      </c>
      <c r="H280" s="1012">
        <v>1.0</v>
      </c>
      <c r="I280" s="1009"/>
    </row>
    <row r="281">
      <c r="A281" t="s">
        <v>694</v>
      </c>
      <c r="B281" s="1003">
        <v>42847.0</v>
      </c>
      <c r="C281" s="1004">
        <f t="shared" si="1"/>
        <v>112</v>
      </c>
      <c r="D281" s="1005">
        <f t="shared" si="2"/>
        <v>3.672131148</v>
      </c>
      <c r="E281" s="1006">
        <f t="shared" si="3"/>
        <v>4</v>
      </c>
      <c r="F281" s="1006" t="s">
        <v>2778</v>
      </c>
      <c r="G281" s="1007">
        <v>0.009675382294092039</v>
      </c>
      <c r="H281" s="1012">
        <v>0.0</v>
      </c>
      <c r="I281" s="1009"/>
    </row>
    <row r="282">
      <c r="A282" t="s">
        <v>161</v>
      </c>
      <c r="B282" s="1003">
        <v>42481.0</v>
      </c>
      <c r="C282" s="1004">
        <f t="shared" si="1"/>
        <v>112</v>
      </c>
      <c r="D282" s="1005">
        <f t="shared" si="2"/>
        <v>3.672131148</v>
      </c>
      <c r="E282" s="1006">
        <f t="shared" si="3"/>
        <v>4</v>
      </c>
      <c r="F282" s="1006" t="s">
        <v>2778</v>
      </c>
      <c r="G282" s="1007">
        <v>-0.005936633867385077</v>
      </c>
      <c r="H282" s="1012">
        <v>0.0</v>
      </c>
      <c r="I282" s="1009"/>
    </row>
    <row r="283">
      <c r="A283" t="s">
        <v>1712</v>
      </c>
      <c r="B283" s="1003">
        <v>42848.0</v>
      </c>
      <c r="C283" s="1004">
        <f t="shared" si="1"/>
        <v>113</v>
      </c>
      <c r="D283" s="1005">
        <f t="shared" si="2"/>
        <v>3.704918033</v>
      </c>
      <c r="E283" s="1006">
        <f t="shared" si="3"/>
        <v>4</v>
      </c>
      <c r="F283" s="1006" t="s">
        <v>2778</v>
      </c>
      <c r="G283" s="1007">
        <v>0.012526174979275884</v>
      </c>
      <c r="H283" s="1012">
        <v>1.0</v>
      </c>
      <c r="I283" s="1009"/>
    </row>
    <row r="284">
      <c r="A284" t="s">
        <v>519</v>
      </c>
      <c r="B284" s="1003">
        <v>42848.0</v>
      </c>
      <c r="C284" s="1004">
        <f t="shared" si="1"/>
        <v>113</v>
      </c>
      <c r="D284" s="1005">
        <f t="shared" si="2"/>
        <v>3.704918033</v>
      </c>
      <c r="E284" s="1006">
        <f t="shared" si="3"/>
        <v>4</v>
      </c>
      <c r="F284" s="1006" t="s">
        <v>2778</v>
      </c>
      <c r="G284" s="1007">
        <v>0.020404318500634955</v>
      </c>
      <c r="H284" s="1012">
        <v>1.0</v>
      </c>
      <c r="I284" s="1009"/>
    </row>
    <row r="285">
      <c r="A285" t="s">
        <v>361</v>
      </c>
      <c r="B285" s="1003">
        <v>42482.0</v>
      </c>
      <c r="C285" s="1004">
        <f t="shared" si="1"/>
        <v>113</v>
      </c>
      <c r="D285" s="1005">
        <f t="shared" si="2"/>
        <v>3.704918033</v>
      </c>
      <c r="E285" s="1006">
        <f t="shared" si="3"/>
        <v>4</v>
      </c>
      <c r="F285" s="1006" t="s">
        <v>2778</v>
      </c>
      <c r="G285" s="1007">
        <v>0.004172951802255298</v>
      </c>
      <c r="H285" s="1012">
        <v>0.0</v>
      </c>
      <c r="I285" s="1009"/>
    </row>
    <row r="286">
      <c r="A286" t="s">
        <v>761</v>
      </c>
      <c r="B286" s="1003">
        <v>42482.0</v>
      </c>
      <c r="C286" s="1004">
        <f t="shared" si="1"/>
        <v>113</v>
      </c>
      <c r="D286" s="1005">
        <f t="shared" si="2"/>
        <v>3.704918033</v>
      </c>
      <c r="E286" s="1006">
        <f t="shared" si="3"/>
        <v>4</v>
      </c>
      <c r="F286" s="1006" t="s">
        <v>2778</v>
      </c>
      <c r="G286" s="1007">
        <v>-0.04883523002882051</v>
      </c>
      <c r="H286" s="1012">
        <v>-1.0</v>
      </c>
      <c r="I286" s="1009"/>
    </row>
    <row r="287">
      <c r="A287" t="s">
        <v>169</v>
      </c>
      <c r="B287" s="1003">
        <v>42482.0</v>
      </c>
      <c r="C287" s="1004">
        <f t="shared" si="1"/>
        <v>113</v>
      </c>
      <c r="D287" s="1005">
        <f t="shared" si="2"/>
        <v>3.704918033</v>
      </c>
      <c r="E287" s="1006">
        <f t="shared" si="3"/>
        <v>4</v>
      </c>
      <c r="F287" s="1006" t="s">
        <v>2778</v>
      </c>
      <c r="G287" s="1007">
        <v>-0.004056140278833831</v>
      </c>
      <c r="H287" s="1012">
        <v>0.0</v>
      </c>
      <c r="I287" s="1009"/>
    </row>
    <row r="288">
      <c r="A288" t="s">
        <v>781</v>
      </c>
      <c r="B288" s="1003">
        <v>42117.0</v>
      </c>
      <c r="C288" s="1004">
        <f t="shared" si="1"/>
        <v>113</v>
      </c>
      <c r="D288" s="1005">
        <f t="shared" si="2"/>
        <v>3.704918033</v>
      </c>
      <c r="E288" s="1006">
        <f t="shared" si="3"/>
        <v>4</v>
      </c>
      <c r="F288" s="1006" t="s">
        <v>2778</v>
      </c>
      <c r="G288" s="1007">
        <v>-0.049812354223656596</v>
      </c>
      <c r="H288" s="1012">
        <v>-1.0</v>
      </c>
      <c r="I288" s="1009"/>
    </row>
    <row r="289">
      <c r="A289" t="s">
        <v>161</v>
      </c>
      <c r="B289" s="1003">
        <v>42849.0</v>
      </c>
      <c r="C289" s="1004">
        <f t="shared" si="1"/>
        <v>114</v>
      </c>
      <c r="D289" s="1005">
        <f t="shared" si="2"/>
        <v>3.737704918</v>
      </c>
      <c r="E289" s="1006">
        <f t="shared" si="3"/>
        <v>4</v>
      </c>
      <c r="F289" s="1006" t="s">
        <v>2778</v>
      </c>
      <c r="G289" s="1007">
        <v>-0.009808698300893148</v>
      </c>
      <c r="H289" s="1012">
        <v>0.0</v>
      </c>
      <c r="I289" s="1009"/>
    </row>
    <row r="290">
      <c r="A290" t="s">
        <v>784</v>
      </c>
      <c r="B290" s="1003">
        <v>42118.0</v>
      </c>
      <c r="C290" s="1004">
        <f t="shared" si="1"/>
        <v>114</v>
      </c>
      <c r="D290" s="1005">
        <f t="shared" si="2"/>
        <v>3.737704918</v>
      </c>
      <c r="E290" s="1006">
        <f t="shared" si="3"/>
        <v>4</v>
      </c>
      <c r="F290" s="1006" t="s">
        <v>2778</v>
      </c>
      <c r="G290" s="1007">
        <v>-0.012594133581140365</v>
      </c>
      <c r="H290" s="1012">
        <v>-1.0</v>
      </c>
      <c r="I290" s="1009"/>
    </row>
    <row r="291">
      <c r="A291" t="s">
        <v>1762</v>
      </c>
      <c r="B291" s="1003">
        <v>42118.0</v>
      </c>
      <c r="C291" s="1004">
        <f t="shared" si="1"/>
        <v>114</v>
      </c>
      <c r="D291" s="1005">
        <f t="shared" si="2"/>
        <v>3.737704918</v>
      </c>
      <c r="E291" s="1006">
        <f t="shared" si="3"/>
        <v>4</v>
      </c>
      <c r="F291" s="1006" t="s">
        <v>2778</v>
      </c>
      <c r="G291" s="1007">
        <v>0.022879576682067526</v>
      </c>
      <c r="H291" s="1012">
        <v>1.0</v>
      </c>
      <c r="I291" s="1009"/>
    </row>
    <row r="292">
      <c r="A292" t="s">
        <v>681</v>
      </c>
      <c r="B292" s="1003">
        <v>42850.0</v>
      </c>
      <c r="C292" s="1004">
        <f t="shared" si="1"/>
        <v>115</v>
      </c>
      <c r="D292" s="1005">
        <f t="shared" si="2"/>
        <v>3.770491803</v>
      </c>
      <c r="E292" s="1006">
        <f t="shared" si="3"/>
        <v>4</v>
      </c>
      <c r="F292" s="1006" t="s">
        <v>2778</v>
      </c>
      <c r="G292" s="1007">
        <v>0.06021680756356762</v>
      </c>
      <c r="H292" s="1012">
        <v>1.0</v>
      </c>
      <c r="I292" s="1009"/>
    </row>
    <row r="293">
      <c r="A293" t="s">
        <v>288</v>
      </c>
      <c r="B293" s="1003">
        <v>42120.0</v>
      </c>
      <c r="C293" s="1004">
        <f t="shared" si="1"/>
        <v>116</v>
      </c>
      <c r="D293" s="1005">
        <f t="shared" si="2"/>
        <v>3.803278689</v>
      </c>
      <c r="E293" s="1006">
        <f t="shared" si="3"/>
        <v>4</v>
      </c>
      <c r="F293" s="1006" t="s">
        <v>2778</v>
      </c>
      <c r="G293" s="1007">
        <v>-0.020775341944711756</v>
      </c>
      <c r="H293" s="1012">
        <v>-1.0</v>
      </c>
      <c r="I293" s="1009"/>
    </row>
    <row r="294">
      <c r="A294" t="s">
        <v>237</v>
      </c>
      <c r="B294" s="1003">
        <v>42121.0</v>
      </c>
      <c r="C294" s="1004">
        <f t="shared" si="1"/>
        <v>117</v>
      </c>
      <c r="D294" s="1005">
        <f t="shared" si="2"/>
        <v>3.836065574</v>
      </c>
      <c r="E294" s="1006">
        <f t="shared" si="3"/>
        <v>4</v>
      </c>
      <c r="F294" s="1006" t="s">
        <v>2778</v>
      </c>
      <c r="G294" s="1007">
        <v>3.010562889326218E-4</v>
      </c>
      <c r="H294" s="1012">
        <v>0.0</v>
      </c>
      <c r="I294" s="1009"/>
    </row>
    <row r="295">
      <c r="A295" t="s">
        <v>140</v>
      </c>
      <c r="B295" s="1003">
        <v>42121.0</v>
      </c>
      <c r="C295" s="1004">
        <f t="shared" si="1"/>
        <v>117</v>
      </c>
      <c r="D295" s="1005">
        <f t="shared" si="2"/>
        <v>3.836065574</v>
      </c>
      <c r="E295" s="1006">
        <f t="shared" si="3"/>
        <v>4</v>
      </c>
      <c r="F295" s="1006" t="s">
        <v>2778</v>
      </c>
      <c r="G295" s="1007">
        <v>-0.013001294482720804</v>
      </c>
      <c r="H295" s="1012">
        <v>-1.0</v>
      </c>
      <c r="I295" s="1009"/>
    </row>
    <row r="296">
      <c r="A296" t="s">
        <v>1734</v>
      </c>
      <c r="B296" s="1003">
        <v>42853.0</v>
      </c>
      <c r="C296" s="1004">
        <f t="shared" si="1"/>
        <v>118</v>
      </c>
      <c r="D296" s="1005">
        <f t="shared" si="2"/>
        <v>3.868852459</v>
      </c>
      <c r="E296" s="1006">
        <f t="shared" si="3"/>
        <v>4</v>
      </c>
      <c r="F296" s="1006" t="s">
        <v>2778</v>
      </c>
      <c r="G296" s="1007">
        <v>0.01183990051953765</v>
      </c>
      <c r="H296" s="1012">
        <v>1.0</v>
      </c>
      <c r="I296" s="1009"/>
    </row>
    <row r="297">
      <c r="A297" t="s">
        <v>454</v>
      </c>
      <c r="B297" s="1003">
        <v>42487.0</v>
      </c>
      <c r="C297" s="1004">
        <f t="shared" si="1"/>
        <v>118</v>
      </c>
      <c r="D297" s="1005">
        <f t="shared" si="2"/>
        <v>3.868852459</v>
      </c>
      <c r="E297" s="1006">
        <f t="shared" si="3"/>
        <v>4</v>
      </c>
      <c r="F297" s="1006" t="s">
        <v>2778</v>
      </c>
      <c r="G297" s="1007">
        <v>-0.009659141516847658</v>
      </c>
      <c r="H297" s="1012">
        <v>0.0</v>
      </c>
      <c r="I297" s="1009"/>
    </row>
    <row r="298">
      <c r="A298" t="s">
        <v>761</v>
      </c>
      <c r="B298" s="1003">
        <v>42122.0</v>
      </c>
      <c r="C298" s="1004">
        <f t="shared" si="1"/>
        <v>118</v>
      </c>
      <c r="D298" s="1005">
        <f t="shared" si="2"/>
        <v>3.868852459</v>
      </c>
      <c r="E298" s="1006">
        <f t="shared" si="3"/>
        <v>4</v>
      </c>
      <c r="F298" s="1006" t="s">
        <v>2778</v>
      </c>
      <c r="G298" s="1007">
        <v>0.0012133281065610513</v>
      </c>
      <c r="H298" s="1012">
        <v>0.0</v>
      </c>
      <c r="I298" s="1009"/>
    </row>
    <row r="299">
      <c r="A299" t="s">
        <v>1454</v>
      </c>
      <c r="B299" s="1003">
        <v>42854.0</v>
      </c>
      <c r="C299" s="1004">
        <f t="shared" si="1"/>
        <v>119</v>
      </c>
      <c r="D299" s="1005">
        <f t="shared" si="2"/>
        <v>3.901639344</v>
      </c>
      <c r="E299" s="1006">
        <f t="shared" si="3"/>
        <v>4</v>
      </c>
      <c r="F299" s="1006" t="s">
        <v>2778</v>
      </c>
      <c r="G299" s="1007">
        <v>-0.006489381537152283</v>
      </c>
      <c r="H299" s="1012">
        <v>0.0</v>
      </c>
      <c r="I299" s="1009"/>
    </row>
    <row r="300">
      <c r="A300" t="s">
        <v>1741</v>
      </c>
      <c r="B300" s="1003">
        <v>42488.0</v>
      </c>
      <c r="C300" s="1004">
        <f t="shared" si="1"/>
        <v>119</v>
      </c>
      <c r="D300" s="1005">
        <f t="shared" si="2"/>
        <v>3.901639344</v>
      </c>
      <c r="E300" s="1006">
        <f t="shared" si="3"/>
        <v>4</v>
      </c>
      <c r="F300" s="1006" t="s">
        <v>2778</v>
      </c>
      <c r="G300" s="1007">
        <v>-0.007528198796033947</v>
      </c>
      <c r="H300" s="1012">
        <v>0.0</v>
      </c>
      <c r="I300" s="1009"/>
    </row>
    <row r="301">
      <c r="A301" t="s">
        <v>640</v>
      </c>
      <c r="B301" s="1003">
        <v>42123.0</v>
      </c>
      <c r="C301" s="1004">
        <f t="shared" si="1"/>
        <v>119</v>
      </c>
      <c r="D301" s="1005">
        <f t="shared" si="2"/>
        <v>3.901639344</v>
      </c>
      <c r="E301" s="1006">
        <f t="shared" si="3"/>
        <v>4</v>
      </c>
      <c r="F301" s="1006" t="s">
        <v>2778</v>
      </c>
      <c r="G301" s="1007">
        <v>0.00522908943448297</v>
      </c>
      <c r="H301" s="1012">
        <v>0.0</v>
      </c>
      <c r="I301" s="1009"/>
    </row>
    <row r="302">
      <c r="A302" t="s">
        <v>265</v>
      </c>
      <c r="B302" s="1003">
        <v>42124.0</v>
      </c>
      <c r="C302" s="1004">
        <f t="shared" si="1"/>
        <v>120</v>
      </c>
      <c r="D302" s="1005">
        <f t="shared" si="2"/>
        <v>3.93442623</v>
      </c>
      <c r="E302" s="1006">
        <f t="shared" si="3"/>
        <v>4</v>
      </c>
      <c r="F302" s="1006" t="s">
        <v>2778</v>
      </c>
      <c r="G302" s="1007">
        <v>-0.004512396856849565</v>
      </c>
      <c r="H302" s="1012">
        <v>0.0</v>
      </c>
      <c r="I302" s="1009"/>
    </row>
    <row r="303">
      <c r="A303" t="s">
        <v>661</v>
      </c>
      <c r="B303" s="1003">
        <v>42856.0</v>
      </c>
      <c r="C303" s="1004">
        <f t="shared" si="1"/>
        <v>121</v>
      </c>
      <c r="D303" s="1005">
        <f t="shared" si="2"/>
        <v>3.967213115</v>
      </c>
      <c r="E303" s="1006">
        <f t="shared" si="3"/>
        <v>4</v>
      </c>
      <c r="F303" s="1006" t="s">
        <v>2778</v>
      </c>
      <c r="G303" s="1007">
        <v>0.019922434400399536</v>
      </c>
      <c r="H303" s="1012">
        <v>1.0</v>
      </c>
      <c r="I303" s="1009"/>
    </row>
    <row r="304">
      <c r="A304" t="s">
        <v>668</v>
      </c>
      <c r="B304" s="1003">
        <v>42856.0</v>
      </c>
      <c r="C304" s="1004">
        <f t="shared" si="1"/>
        <v>121</v>
      </c>
      <c r="D304" s="1005">
        <f t="shared" si="2"/>
        <v>3.967213115</v>
      </c>
      <c r="E304" s="1006">
        <f t="shared" si="3"/>
        <v>4</v>
      </c>
      <c r="F304" s="1006" t="s">
        <v>2778</v>
      </c>
      <c r="G304" s="1007">
        <v>0.029684102686054148</v>
      </c>
      <c r="H304" s="1012">
        <v>1.0</v>
      </c>
      <c r="I304" s="1009"/>
    </row>
    <row r="305">
      <c r="A305" t="s">
        <v>1637</v>
      </c>
      <c r="B305" s="1003">
        <v>42490.0</v>
      </c>
      <c r="C305" s="1004">
        <f t="shared" si="1"/>
        <v>121</v>
      </c>
      <c r="D305" s="1005">
        <f t="shared" si="2"/>
        <v>3.967213115</v>
      </c>
      <c r="E305" s="1006">
        <f t="shared" si="3"/>
        <v>4</v>
      </c>
      <c r="F305" s="1006" t="s">
        <v>2778</v>
      </c>
      <c r="G305" s="1007">
        <v>0.015062302008124417</v>
      </c>
      <c r="H305" s="1012">
        <v>1.0</v>
      </c>
      <c r="I305" s="1009"/>
    </row>
    <row r="306">
      <c r="A306" t="s">
        <v>623</v>
      </c>
      <c r="B306" s="1003">
        <v>42490.0</v>
      </c>
      <c r="C306" s="1004">
        <f t="shared" si="1"/>
        <v>121</v>
      </c>
      <c r="D306" s="1005">
        <f t="shared" si="2"/>
        <v>3.967213115</v>
      </c>
      <c r="E306" s="1006">
        <f t="shared" si="3"/>
        <v>4</v>
      </c>
      <c r="F306" s="1006" t="s">
        <v>2778</v>
      </c>
      <c r="G306" s="1007">
        <v>-0.005989926422305225</v>
      </c>
      <c r="H306" s="1012">
        <v>0.0</v>
      </c>
      <c r="I306" s="1009"/>
    </row>
    <row r="307">
      <c r="A307" t="s">
        <v>717</v>
      </c>
      <c r="B307" s="1003">
        <v>42125.0</v>
      </c>
      <c r="C307" s="1004">
        <f t="shared" si="1"/>
        <v>121</v>
      </c>
      <c r="D307" s="1005">
        <f t="shared" si="2"/>
        <v>3.967213115</v>
      </c>
      <c r="E307" s="1006">
        <f t="shared" si="3"/>
        <v>4</v>
      </c>
      <c r="F307" s="1006" t="s">
        <v>2778</v>
      </c>
      <c r="G307" s="1007">
        <v>0.008806128816754466</v>
      </c>
      <c r="H307" s="1012">
        <v>0.0</v>
      </c>
      <c r="I307" s="1009"/>
    </row>
    <row r="308">
      <c r="A308" t="s">
        <v>328</v>
      </c>
      <c r="B308" s="1003">
        <v>42125.0</v>
      </c>
      <c r="C308" s="1004">
        <f t="shared" si="1"/>
        <v>121</v>
      </c>
      <c r="D308" s="1005">
        <f t="shared" si="2"/>
        <v>3.967213115</v>
      </c>
      <c r="E308" s="1006">
        <f t="shared" si="3"/>
        <v>4</v>
      </c>
      <c r="F308" s="1006" t="s">
        <v>2778</v>
      </c>
      <c r="G308" s="1007">
        <v>0.0028277327092248727</v>
      </c>
      <c r="H308" s="1012">
        <v>0.0</v>
      </c>
      <c r="I308" s="1009"/>
    </row>
    <row r="309">
      <c r="A309" t="s">
        <v>381</v>
      </c>
      <c r="B309" s="1003">
        <v>42125.0</v>
      </c>
      <c r="C309" s="1004">
        <f t="shared" si="1"/>
        <v>121</v>
      </c>
      <c r="D309" s="1005">
        <f t="shared" si="2"/>
        <v>3.967213115</v>
      </c>
      <c r="E309" s="1006">
        <f t="shared" si="3"/>
        <v>4</v>
      </c>
      <c r="F309" s="1006" t="s">
        <v>2778</v>
      </c>
      <c r="G309" s="1007">
        <v>0.006729379164946536</v>
      </c>
      <c r="H309" s="1012">
        <v>0.0</v>
      </c>
      <c r="I309" s="1009"/>
    </row>
    <row r="310">
      <c r="A310" t="s">
        <v>108</v>
      </c>
      <c r="B310" s="1003">
        <v>42125.0</v>
      </c>
      <c r="C310" s="1004">
        <f t="shared" si="1"/>
        <v>121</v>
      </c>
      <c r="D310" s="1005">
        <f t="shared" si="2"/>
        <v>3.967213115</v>
      </c>
      <c r="E310" s="1006">
        <f t="shared" si="3"/>
        <v>4</v>
      </c>
      <c r="F310" s="1006" t="s">
        <v>2778</v>
      </c>
      <c r="G310" s="1007">
        <v>-0.05523181600658411</v>
      </c>
      <c r="H310" s="1012">
        <v>-1.0</v>
      </c>
      <c r="I310" s="1009"/>
    </row>
    <row r="311">
      <c r="A311" t="s">
        <v>623</v>
      </c>
      <c r="B311" s="1003">
        <v>42857.0</v>
      </c>
      <c r="C311" s="1004">
        <f t="shared" si="1"/>
        <v>122</v>
      </c>
      <c r="D311" s="1005">
        <f t="shared" si="2"/>
        <v>4</v>
      </c>
      <c r="E311" s="1006">
        <f t="shared" si="3"/>
        <v>4</v>
      </c>
      <c r="F311" s="1006" t="s">
        <v>2778</v>
      </c>
      <c r="G311" s="1007">
        <v>0.01938290189484637</v>
      </c>
      <c r="H311" s="1012">
        <v>1.0</v>
      </c>
      <c r="I311" s="1009"/>
    </row>
    <row r="312">
      <c r="A312" t="s">
        <v>1013</v>
      </c>
      <c r="B312" s="1003">
        <v>42491.0</v>
      </c>
      <c r="C312" s="1004">
        <f t="shared" si="1"/>
        <v>122</v>
      </c>
      <c r="D312" s="1005">
        <f t="shared" si="2"/>
        <v>4</v>
      </c>
      <c r="E312" s="1006">
        <f t="shared" si="3"/>
        <v>4</v>
      </c>
      <c r="F312" s="1006" t="s">
        <v>2778</v>
      </c>
      <c r="G312" s="1007">
        <v>-0.0016660740109840644</v>
      </c>
      <c r="H312" s="1012">
        <v>0.0</v>
      </c>
      <c r="I312" s="1009"/>
    </row>
    <row r="313">
      <c r="A313" t="s">
        <v>1784</v>
      </c>
      <c r="B313" s="1003">
        <v>42858.0</v>
      </c>
      <c r="C313" s="1004">
        <f t="shared" si="1"/>
        <v>123</v>
      </c>
      <c r="D313" s="1005">
        <f t="shared" si="2"/>
        <v>4.032786885</v>
      </c>
      <c r="E313" s="1006">
        <f t="shared" si="3"/>
        <v>5</v>
      </c>
      <c r="F313" s="1006" t="s">
        <v>2779</v>
      </c>
      <c r="G313" s="1007">
        <v>0.015461216346819073</v>
      </c>
      <c r="H313" s="1012">
        <v>1.0</v>
      </c>
      <c r="I313" s="1009"/>
    </row>
    <row r="314">
      <c r="A314" t="s">
        <v>1726</v>
      </c>
      <c r="B314" s="1003">
        <v>42858.0</v>
      </c>
      <c r="C314" s="1004">
        <f t="shared" si="1"/>
        <v>123</v>
      </c>
      <c r="D314" s="1005">
        <f t="shared" si="2"/>
        <v>4.032786885</v>
      </c>
      <c r="E314" s="1006">
        <f t="shared" si="3"/>
        <v>5</v>
      </c>
      <c r="F314" s="1006" t="s">
        <v>2779</v>
      </c>
      <c r="G314" s="1007">
        <v>0.003142791555793334</v>
      </c>
      <c r="H314" s="1012">
        <v>0.0</v>
      </c>
      <c r="I314" s="1009"/>
    </row>
    <row r="315">
      <c r="A315" t="s">
        <v>1850</v>
      </c>
      <c r="B315" s="1003">
        <v>42492.0</v>
      </c>
      <c r="C315" s="1004">
        <f t="shared" si="1"/>
        <v>123</v>
      </c>
      <c r="D315" s="1005">
        <f t="shared" si="2"/>
        <v>4.032786885</v>
      </c>
      <c r="E315" s="1006">
        <f t="shared" si="3"/>
        <v>5</v>
      </c>
      <c r="F315" s="1006" t="s">
        <v>2779</v>
      </c>
      <c r="G315" s="1007">
        <v>0.0190880130121468</v>
      </c>
      <c r="H315" s="1012">
        <v>1.0</v>
      </c>
      <c r="I315" s="1009"/>
    </row>
    <row r="316">
      <c r="A316" t="s">
        <v>1646</v>
      </c>
      <c r="B316" s="1003">
        <v>42492.0</v>
      </c>
      <c r="C316" s="1004">
        <f t="shared" si="1"/>
        <v>123</v>
      </c>
      <c r="D316" s="1005">
        <f t="shared" si="2"/>
        <v>4.032786885</v>
      </c>
      <c r="E316" s="1006">
        <f t="shared" si="3"/>
        <v>5</v>
      </c>
      <c r="F316" s="1006" t="s">
        <v>2779</v>
      </c>
      <c r="G316" s="1007">
        <v>0.026750066274591422</v>
      </c>
      <c r="H316" s="1012">
        <v>1.0</v>
      </c>
      <c r="I316" s="1009"/>
    </row>
    <row r="317">
      <c r="A317" t="s">
        <v>595</v>
      </c>
      <c r="B317" s="1003">
        <v>42128.0</v>
      </c>
      <c r="C317" s="1004">
        <f t="shared" si="1"/>
        <v>124</v>
      </c>
      <c r="D317" s="1005">
        <f t="shared" si="2"/>
        <v>4.06557377</v>
      </c>
      <c r="E317" s="1006">
        <f t="shared" si="3"/>
        <v>5</v>
      </c>
      <c r="F317" s="1006" t="s">
        <v>2779</v>
      </c>
      <c r="G317" s="1007">
        <v>0.006899397603957191</v>
      </c>
      <c r="H317" s="1012">
        <v>0.0</v>
      </c>
      <c r="I317" s="1009"/>
    </row>
    <row r="318">
      <c r="A318" t="s">
        <v>496</v>
      </c>
      <c r="B318" s="1003">
        <v>42494.0</v>
      </c>
      <c r="C318" s="1004">
        <f t="shared" si="1"/>
        <v>125</v>
      </c>
      <c r="D318" s="1005">
        <f t="shared" si="2"/>
        <v>4.098360656</v>
      </c>
      <c r="E318" s="1006">
        <f t="shared" si="3"/>
        <v>5</v>
      </c>
      <c r="F318" s="1006" t="s">
        <v>2779</v>
      </c>
      <c r="G318" s="1007">
        <v>0.016116992903653093</v>
      </c>
      <c r="H318" s="1012">
        <v>1.0</v>
      </c>
      <c r="I318" s="1009"/>
    </row>
    <row r="319">
      <c r="A319" t="s">
        <v>324</v>
      </c>
      <c r="B319" s="1003">
        <v>42129.0</v>
      </c>
      <c r="C319" s="1004">
        <f t="shared" si="1"/>
        <v>125</v>
      </c>
      <c r="D319" s="1005">
        <f t="shared" si="2"/>
        <v>4.098360656</v>
      </c>
      <c r="E319" s="1006">
        <f t="shared" si="3"/>
        <v>5</v>
      </c>
      <c r="F319" s="1006" t="s">
        <v>2779</v>
      </c>
      <c r="G319" s="1007">
        <v>0.001327398724576434</v>
      </c>
      <c r="H319" s="1012">
        <v>0.0</v>
      </c>
      <c r="I319" s="1009"/>
    </row>
    <row r="320">
      <c r="A320" t="s">
        <v>1774</v>
      </c>
      <c r="B320" s="1003">
        <v>42861.0</v>
      </c>
      <c r="C320" s="1004">
        <f t="shared" si="1"/>
        <v>126</v>
      </c>
      <c r="D320" s="1005">
        <f t="shared" si="2"/>
        <v>4.131147541</v>
      </c>
      <c r="E320" s="1006">
        <f t="shared" si="3"/>
        <v>5</v>
      </c>
      <c r="F320" s="1006" t="s">
        <v>2779</v>
      </c>
      <c r="G320" s="1007">
        <v>-0.008393928153142216</v>
      </c>
      <c r="H320" s="1012">
        <v>0.0</v>
      </c>
      <c r="I320" s="1009"/>
    </row>
    <row r="321">
      <c r="A321" t="s">
        <v>682</v>
      </c>
      <c r="B321" s="1003">
        <v>42861.0</v>
      </c>
      <c r="C321" s="1004">
        <f t="shared" si="1"/>
        <v>126</v>
      </c>
      <c r="D321" s="1005">
        <f t="shared" si="2"/>
        <v>4.131147541</v>
      </c>
      <c r="E321" s="1006">
        <f t="shared" si="3"/>
        <v>5</v>
      </c>
      <c r="F321" s="1006" t="s">
        <v>2779</v>
      </c>
      <c r="G321" s="1007">
        <v>0.018375127574632</v>
      </c>
      <c r="H321" s="1012">
        <v>1.0</v>
      </c>
      <c r="I321" s="1009"/>
    </row>
    <row r="322">
      <c r="A322" t="s">
        <v>138</v>
      </c>
      <c r="B322" s="1003">
        <v>42862.0</v>
      </c>
      <c r="C322" s="1004">
        <f t="shared" si="1"/>
        <v>127</v>
      </c>
      <c r="D322" s="1005">
        <f t="shared" si="2"/>
        <v>4.163934426</v>
      </c>
      <c r="E322" s="1006">
        <f t="shared" si="3"/>
        <v>5</v>
      </c>
      <c r="F322" s="1006" t="s">
        <v>2779</v>
      </c>
      <c r="G322" s="1007">
        <v>0.03181744699494615</v>
      </c>
      <c r="H322" s="1012">
        <v>1.0</v>
      </c>
      <c r="I322" s="1009"/>
    </row>
    <row r="323">
      <c r="A323" t="s">
        <v>143</v>
      </c>
      <c r="B323" s="1003">
        <v>42496.0</v>
      </c>
      <c r="C323" s="1004">
        <f t="shared" si="1"/>
        <v>127</v>
      </c>
      <c r="D323" s="1005">
        <f t="shared" si="2"/>
        <v>4.163934426</v>
      </c>
      <c r="E323" s="1006">
        <f t="shared" si="3"/>
        <v>5</v>
      </c>
      <c r="F323" s="1006" t="s">
        <v>2779</v>
      </c>
      <c r="G323" s="1007">
        <v>-0.001189583175980946</v>
      </c>
      <c r="H323" s="1012">
        <v>0.0</v>
      </c>
      <c r="I323" s="1009"/>
    </row>
    <row r="324">
      <c r="A324" t="s">
        <v>813</v>
      </c>
      <c r="B324" s="1003">
        <v>42131.0</v>
      </c>
      <c r="C324" s="1004">
        <f t="shared" si="1"/>
        <v>127</v>
      </c>
      <c r="D324" s="1005">
        <f t="shared" si="2"/>
        <v>4.163934426</v>
      </c>
      <c r="E324" s="1006">
        <f t="shared" si="3"/>
        <v>5</v>
      </c>
      <c r="F324" s="1006" t="s">
        <v>2779</v>
      </c>
      <c r="G324" s="1007">
        <v>0.011264888690391661</v>
      </c>
      <c r="H324" s="1012">
        <v>1.0</v>
      </c>
      <c r="I324" s="1009"/>
    </row>
    <row r="325">
      <c r="A325" t="s">
        <v>761</v>
      </c>
      <c r="B325" s="1003">
        <v>42131.0</v>
      </c>
      <c r="C325" s="1004">
        <f t="shared" si="1"/>
        <v>127</v>
      </c>
      <c r="D325" s="1005">
        <f t="shared" si="2"/>
        <v>4.163934426</v>
      </c>
      <c r="E325" s="1006">
        <f t="shared" si="3"/>
        <v>5</v>
      </c>
      <c r="F325" s="1006" t="s">
        <v>2779</v>
      </c>
      <c r="G325" s="1007">
        <v>0.00270537753008937</v>
      </c>
      <c r="H325" s="1012">
        <v>0.0</v>
      </c>
      <c r="I325" s="1009"/>
    </row>
    <row r="326">
      <c r="A326" t="s">
        <v>499</v>
      </c>
      <c r="B326" s="1003">
        <v>42497.0</v>
      </c>
      <c r="C326" s="1004">
        <f t="shared" si="1"/>
        <v>128</v>
      </c>
      <c r="D326" s="1005">
        <f t="shared" si="2"/>
        <v>4.196721311</v>
      </c>
      <c r="E326" s="1006">
        <f t="shared" si="3"/>
        <v>5</v>
      </c>
      <c r="F326" s="1006" t="s">
        <v>2779</v>
      </c>
      <c r="G326" s="1007">
        <v>0.003929440095473913</v>
      </c>
      <c r="H326" s="1012">
        <v>0.0</v>
      </c>
      <c r="I326" s="1009"/>
    </row>
    <row r="327">
      <c r="A327" t="s">
        <v>843</v>
      </c>
      <c r="B327" s="1003">
        <v>42132.0</v>
      </c>
      <c r="C327" s="1004">
        <f t="shared" si="1"/>
        <v>128</v>
      </c>
      <c r="D327" s="1005">
        <f t="shared" si="2"/>
        <v>4.196721311</v>
      </c>
      <c r="E327" s="1006">
        <f t="shared" si="3"/>
        <v>5</v>
      </c>
      <c r="F327" s="1006" t="s">
        <v>2779</v>
      </c>
      <c r="G327" s="1007">
        <v>0.011713906453384104</v>
      </c>
      <c r="H327" s="1012">
        <v>1.0</v>
      </c>
      <c r="I327" s="1009"/>
    </row>
    <row r="328">
      <c r="A328" t="s">
        <v>126</v>
      </c>
      <c r="B328" s="1003">
        <v>42864.0</v>
      </c>
      <c r="C328" s="1004">
        <f t="shared" si="1"/>
        <v>129</v>
      </c>
      <c r="D328" s="1005">
        <f t="shared" si="2"/>
        <v>4.229508197</v>
      </c>
      <c r="E328" s="1006">
        <f t="shared" si="3"/>
        <v>5</v>
      </c>
      <c r="F328" s="1006" t="s">
        <v>2779</v>
      </c>
      <c r="G328" s="1007">
        <v>0.006367618615865989</v>
      </c>
      <c r="H328" s="1012">
        <v>0.0</v>
      </c>
      <c r="I328" s="1009"/>
    </row>
    <row r="329">
      <c r="A329" t="s">
        <v>689</v>
      </c>
      <c r="B329" s="1003">
        <v>42864.0</v>
      </c>
      <c r="C329" s="1004">
        <f t="shared" si="1"/>
        <v>129</v>
      </c>
      <c r="D329" s="1005">
        <f t="shared" si="2"/>
        <v>4.229508197</v>
      </c>
      <c r="E329" s="1006">
        <f t="shared" si="3"/>
        <v>5</v>
      </c>
      <c r="F329" s="1006" t="s">
        <v>2779</v>
      </c>
      <c r="G329" s="1007">
        <v>-0.08675032407222094</v>
      </c>
      <c r="H329" s="1012">
        <v>-1.0</v>
      </c>
      <c r="I329" s="1009"/>
    </row>
    <row r="330">
      <c r="A330" t="s">
        <v>78</v>
      </c>
      <c r="B330" s="1003">
        <v>42865.0</v>
      </c>
      <c r="C330" s="1004">
        <f t="shared" si="1"/>
        <v>130</v>
      </c>
      <c r="D330" s="1005">
        <f t="shared" si="2"/>
        <v>4.262295082</v>
      </c>
      <c r="E330" s="1006">
        <f t="shared" si="3"/>
        <v>5</v>
      </c>
      <c r="F330" s="1006" t="s">
        <v>2779</v>
      </c>
      <c r="G330" s="1007">
        <v>-0.008787835120345089</v>
      </c>
      <c r="H330" s="1012">
        <v>0.0</v>
      </c>
      <c r="I330" s="1009"/>
    </row>
    <row r="331">
      <c r="A331" t="s">
        <v>761</v>
      </c>
      <c r="B331" s="1003">
        <v>42134.0</v>
      </c>
      <c r="C331" s="1004">
        <f t="shared" si="1"/>
        <v>130</v>
      </c>
      <c r="D331" s="1005">
        <f t="shared" si="2"/>
        <v>4.262295082</v>
      </c>
      <c r="E331" s="1006">
        <f t="shared" si="3"/>
        <v>5</v>
      </c>
      <c r="F331" s="1006" t="s">
        <v>2779</v>
      </c>
      <c r="G331" s="1007">
        <v>0.005554775843572779</v>
      </c>
      <c r="H331" s="1012">
        <v>0.0</v>
      </c>
      <c r="I331" s="1009"/>
    </row>
    <row r="332">
      <c r="A332" t="s">
        <v>285</v>
      </c>
      <c r="B332" s="1003">
        <v>42134.0</v>
      </c>
      <c r="C332" s="1004">
        <f t="shared" si="1"/>
        <v>130</v>
      </c>
      <c r="D332" s="1005">
        <f t="shared" si="2"/>
        <v>4.262295082</v>
      </c>
      <c r="E332" s="1006">
        <f t="shared" si="3"/>
        <v>5</v>
      </c>
      <c r="F332" s="1006" t="s">
        <v>2779</v>
      </c>
      <c r="G332" s="1007">
        <v>0.013343467686788513</v>
      </c>
      <c r="H332" s="1012">
        <v>1.0</v>
      </c>
      <c r="I332" s="1009"/>
    </row>
    <row r="333">
      <c r="A333" t="s">
        <v>717</v>
      </c>
      <c r="B333" s="1003">
        <v>42134.0</v>
      </c>
      <c r="C333" s="1004">
        <f t="shared" si="1"/>
        <v>130</v>
      </c>
      <c r="D333" s="1005">
        <f t="shared" si="2"/>
        <v>4.262295082</v>
      </c>
      <c r="E333" s="1006">
        <f t="shared" si="3"/>
        <v>5</v>
      </c>
      <c r="F333" s="1006" t="s">
        <v>2779</v>
      </c>
      <c r="G333" s="1007">
        <v>0.01187551887224303</v>
      </c>
      <c r="H333" s="1012">
        <v>1.0</v>
      </c>
      <c r="I333" s="1009"/>
    </row>
    <row r="334">
      <c r="A334" t="s">
        <v>331</v>
      </c>
      <c r="B334" s="1003">
        <v>42134.0</v>
      </c>
      <c r="C334" s="1004">
        <f t="shared" si="1"/>
        <v>130</v>
      </c>
      <c r="D334" s="1005">
        <f t="shared" si="2"/>
        <v>4.262295082</v>
      </c>
      <c r="E334" s="1006">
        <f t="shared" si="3"/>
        <v>5</v>
      </c>
      <c r="F334" s="1006" t="s">
        <v>2779</v>
      </c>
      <c r="G334" s="1007">
        <v>0.009996180317857983</v>
      </c>
      <c r="H334" s="1012">
        <v>0.0</v>
      </c>
      <c r="I334" s="1009"/>
    </row>
    <row r="335">
      <c r="A335" t="s">
        <v>1873</v>
      </c>
      <c r="B335" s="1003">
        <v>42500.0</v>
      </c>
      <c r="C335" s="1004">
        <f t="shared" si="1"/>
        <v>131</v>
      </c>
      <c r="D335" s="1005">
        <f t="shared" si="2"/>
        <v>4.295081967</v>
      </c>
      <c r="E335" s="1006">
        <f t="shared" si="3"/>
        <v>5</v>
      </c>
      <c r="F335" s="1006" t="s">
        <v>2779</v>
      </c>
      <c r="G335" s="1007">
        <v>0.005108035800086119</v>
      </c>
      <c r="H335" s="1012">
        <v>0.0</v>
      </c>
      <c r="I335" s="1009"/>
    </row>
    <row r="336">
      <c r="A336" t="s">
        <v>339</v>
      </c>
      <c r="B336" s="1003">
        <v>42500.0</v>
      </c>
      <c r="C336" s="1004">
        <f t="shared" si="1"/>
        <v>131</v>
      </c>
      <c r="D336" s="1005">
        <f t="shared" si="2"/>
        <v>4.295081967</v>
      </c>
      <c r="E336" s="1006">
        <f t="shared" si="3"/>
        <v>5</v>
      </c>
      <c r="F336" s="1006" t="s">
        <v>2779</v>
      </c>
      <c r="G336" s="1007">
        <v>-0.022937541881677737</v>
      </c>
      <c r="H336" s="1012">
        <v>-1.0</v>
      </c>
      <c r="I336" s="1009"/>
    </row>
    <row r="337">
      <c r="A337" t="s">
        <v>78</v>
      </c>
      <c r="B337" s="1003">
        <v>42135.0</v>
      </c>
      <c r="C337" s="1004">
        <f t="shared" si="1"/>
        <v>131</v>
      </c>
      <c r="D337" s="1005">
        <f t="shared" si="2"/>
        <v>4.295081967</v>
      </c>
      <c r="E337" s="1006">
        <f t="shared" si="3"/>
        <v>5</v>
      </c>
      <c r="F337" s="1006" t="s">
        <v>2779</v>
      </c>
      <c r="G337" s="1007">
        <v>-0.005659738328481323</v>
      </c>
      <c r="H337" s="1012">
        <v>0.0</v>
      </c>
      <c r="I337" s="1009"/>
    </row>
    <row r="338">
      <c r="A338" t="s">
        <v>85</v>
      </c>
      <c r="B338" s="1003">
        <v>42135.0</v>
      </c>
      <c r="C338" s="1004">
        <f t="shared" si="1"/>
        <v>131</v>
      </c>
      <c r="D338" s="1005">
        <f t="shared" si="2"/>
        <v>4.295081967</v>
      </c>
      <c r="E338" s="1006">
        <f t="shared" si="3"/>
        <v>5</v>
      </c>
      <c r="F338" s="1006" t="s">
        <v>2779</v>
      </c>
      <c r="G338" s="1007">
        <v>0.026749705797346368</v>
      </c>
      <c r="H338" s="1012">
        <v>1.0</v>
      </c>
      <c r="I338" s="1009"/>
    </row>
    <row r="339">
      <c r="A339" t="s">
        <v>1637</v>
      </c>
      <c r="B339" s="1003">
        <v>42867.0</v>
      </c>
      <c r="C339" s="1004">
        <f t="shared" si="1"/>
        <v>132</v>
      </c>
      <c r="D339" s="1005">
        <f t="shared" si="2"/>
        <v>4.327868852</v>
      </c>
      <c r="E339" s="1006">
        <f t="shared" si="3"/>
        <v>5</v>
      </c>
      <c r="F339" s="1006" t="s">
        <v>2779</v>
      </c>
      <c r="G339" s="1007">
        <v>0.021971695553641757</v>
      </c>
      <c r="H339" s="1012">
        <v>1.0</v>
      </c>
      <c r="I339" s="1009"/>
    </row>
    <row r="340">
      <c r="A340" t="s">
        <v>1683</v>
      </c>
      <c r="B340" s="1003">
        <v>42867.0</v>
      </c>
      <c r="C340" s="1004">
        <f t="shared" si="1"/>
        <v>132</v>
      </c>
      <c r="D340" s="1005">
        <f t="shared" si="2"/>
        <v>4.327868852</v>
      </c>
      <c r="E340" s="1006">
        <f t="shared" si="3"/>
        <v>5</v>
      </c>
      <c r="F340" s="1006" t="s">
        <v>2779</v>
      </c>
      <c r="G340" s="1007">
        <v>0.029376667505921605</v>
      </c>
      <c r="H340" s="1012">
        <v>1.0</v>
      </c>
      <c r="I340" s="1009"/>
    </row>
    <row r="341">
      <c r="A341" t="s">
        <v>53</v>
      </c>
      <c r="B341" s="1003">
        <v>42136.0</v>
      </c>
      <c r="C341" s="1004">
        <f t="shared" si="1"/>
        <v>132</v>
      </c>
      <c r="D341" s="1005">
        <f t="shared" si="2"/>
        <v>4.327868852</v>
      </c>
      <c r="E341" s="1006">
        <f t="shared" si="3"/>
        <v>5</v>
      </c>
      <c r="F341" s="1006" t="s">
        <v>2779</v>
      </c>
      <c r="G341" s="1007">
        <v>0.0026332866210928563</v>
      </c>
      <c r="H341" s="1012">
        <v>0.0</v>
      </c>
      <c r="I341" s="1009"/>
    </row>
    <row r="342">
      <c r="A342" t="s">
        <v>1624</v>
      </c>
      <c r="B342" s="1003">
        <v>42502.0</v>
      </c>
      <c r="C342" s="1004">
        <f t="shared" si="1"/>
        <v>133</v>
      </c>
      <c r="D342" s="1005">
        <f t="shared" si="2"/>
        <v>4.360655738</v>
      </c>
      <c r="E342" s="1006">
        <f t="shared" si="3"/>
        <v>5</v>
      </c>
      <c r="F342" s="1006" t="s">
        <v>2779</v>
      </c>
      <c r="G342" s="1007">
        <v>-0.0032252254637705757</v>
      </c>
      <c r="H342" s="1012">
        <v>0.0</v>
      </c>
      <c r="I342" s="1009"/>
    </row>
    <row r="343">
      <c r="A343" t="s">
        <v>1741</v>
      </c>
      <c r="B343" s="1003">
        <v>42502.0</v>
      </c>
      <c r="C343" s="1004">
        <f t="shared" si="1"/>
        <v>133</v>
      </c>
      <c r="D343" s="1005">
        <f t="shared" si="2"/>
        <v>4.360655738</v>
      </c>
      <c r="E343" s="1006">
        <f t="shared" si="3"/>
        <v>5</v>
      </c>
      <c r="F343" s="1006" t="s">
        <v>2779</v>
      </c>
      <c r="G343" s="1007">
        <v>0.0024447027140417354</v>
      </c>
      <c r="H343" s="1012">
        <v>0.0</v>
      </c>
      <c r="I343" s="1009"/>
    </row>
    <row r="344">
      <c r="A344" t="s">
        <v>1804</v>
      </c>
      <c r="B344" s="1003">
        <v>42869.0</v>
      </c>
      <c r="C344" s="1004">
        <f t="shared" si="1"/>
        <v>134</v>
      </c>
      <c r="D344" s="1005">
        <f t="shared" si="2"/>
        <v>4.393442623</v>
      </c>
      <c r="E344" s="1006">
        <f t="shared" si="3"/>
        <v>5</v>
      </c>
      <c r="F344" s="1006" t="s">
        <v>2779</v>
      </c>
      <c r="G344" s="1007">
        <v>-0.017593590912969748</v>
      </c>
      <c r="H344" s="1012">
        <v>-1.0</v>
      </c>
      <c r="I344" s="1009"/>
    </row>
    <row r="345">
      <c r="A345" t="s">
        <v>876</v>
      </c>
      <c r="B345" s="1003">
        <v>42138.0</v>
      </c>
      <c r="C345" s="1004">
        <f t="shared" si="1"/>
        <v>134</v>
      </c>
      <c r="D345" s="1005">
        <f t="shared" si="2"/>
        <v>4.393442623</v>
      </c>
      <c r="E345" s="1006">
        <f t="shared" si="3"/>
        <v>5</v>
      </c>
      <c r="F345" s="1006" t="s">
        <v>2779</v>
      </c>
      <c r="G345" s="1007">
        <v>-0.004693401846366463</v>
      </c>
      <c r="H345" s="1012">
        <v>0.0</v>
      </c>
      <c r="I345" s="1009"/>
    </row>
    <row r="346">
      <c r="A346" t="s">
        <v>1893</v>
      </c>
      <c r="B346" s="1003">
        <v>42504.0</v>
      </c>
      <c r="C346" s="1004">
        <f t="shared" si="1"/>
        <v>135</v>
      </c>
      <c r="D346" s="1005">
        <f t="shared" si="2"/>
        <v>4.426229508</v>
      </c>
      <c r="E346" s="1006">
        <f t="shared" si="3"/>
        <v>5</v>
      </c>
      <c r="F346" s="1006" t="s">
        <v>2779</v>
      </c>
      <c r="G346" s="1007">
        <v>0.015847458311925133</v>
      </c>
      <c r="H346" s="1012">
        <v>1.0</v>
      </c>
      <c r="I346" s="1009"/>
    </row>
    <row r="347">
      <c r="A347" t="s">
        <v>1784</v>
      </c>
      <c r="B347" s="1003">
        <v>42871.0</v>
      </c>
      <c r="C347" s="1004">
        <f t="shared" si="1"/>
        <v>136</v>
      </c>
      <c r="D347" s="1005">
        <f t="shared" si="2"/>
        <v>4.459016393</v>
      </c>
      <c r="E347" s="1006">
        <f t="shared" si="3"/>
        <v>5</v>
      </c>
      <c r="F347" s="1006" t="s">
        <v>2779</v>
      </c>
      <c r="G347" s="1007">
        <v>0.016973288293937405</v>
      </c>
      <c r="H347" s="1012">
        <v>1.0</v>
      </c>
      <c r="I347" s="1009"/>
    </row>
    <row r="348">
      <c r="A348" t="s">
        <v>1898</v>
      </c>
      <c r="B348" s="1003">
        <v>42871.0</v>
      </c>
      <c r="C348" s="1004">
        <f t="shared" si="1"/>
        <v>136</v>
      </c>
      <c r="D348" s="1005">
        <f t="shared" si="2"/>
        <v>4.459016393</v>
      </c>
      <c r="E348" s="1006">
        <f t="shared" si="3"/>
        <v>5</v>
      </c>
      <c r="F348" s="1006" t="s">
        <v>2779</v>
      </c>
      <c r="G348" s="1007">
        <v>0.0026515315941845197</v>
      </c>
      <c r="H348" s="1012">
        <v>0.0</v>
      </c>
      <c r="I348" s="1009"/>
    </row>
    <row r="349">
      <c r="A349" t="s">
        <v>1742</v>
      </c>
      <c r="B349" s="1003">
        <v>42872.0</v>
      </c>
      <c r="C349" s="1004">
        <f t="shared" si="1"/>
        <v>137</v>
      </c>
      <c r="D349" s="1005">
        <f t="shared" si="2"/>
        <v>4.491803279</v>
      </c>
      <c r="E349" s="1006">
        <f t="shared" si="3"/>
        <v>5</v>
      </c>
      <c r="F349" s="1006" t="s">
        <v>2779</v>
      </c>
      <c r="G349" s="1007">
        <v>0.0321759087906921</v>
      </c>
      <c r="H349" s="1012">
        <v>1.0</v>
      </c>
      <c r="I349" s="1009"/>
    </row>
    <row r="350">
      <c r="A350" t="s">
        <v>696</v>
      </c>
      <c r="B350" s="1003">
        <v>42872.0</v>
      </c>
      <c r="C350" s="1004">
        <f t="shared" si="1"/>
        <v>137</v>
      </c>
      <c r="D350" s="1005">
        <f t="shared" si="2"/>
        <v>4.491803279</v>
      </c>
      <c r="E350" s="1006">
        <f t="shared" si="3"/>
        <v>5</v>
      </c>
      <c r="F350" s="1006" t="s">
        <v>2779</v>
      </c>
      <c r="G350" s="1007">
        <v>0.012685638779065922</v>
      </c>
      <c r="H350" s="1012">
        <v>1.0</v>
      </c>
      <c r="I350" s="1009"/>
    </row>
    <row r="351">
      <c r="A351" t="s">
        <v>449</v>
      </c>
      <c r="B351" s="1003">
        <v>42141.0</v>
      </c>
      <c r="C351" s="1004">
        <f t="shared" si="1"/>
        <v>137</v>
      </c>
      <c r="D351" s="1005">
        <f t="shared" si="2"/>
        <v>4.491803279</v>
      </c>
      <c r="E351" s="1006">
        <f t="shared" si="3"/>
        <v>5</v>
      </c>
      <c r="F351" s="1006" t="s">
        <v>2779</v>
      </c>
      <c r="G351" s="1007">
        <v>-0.011228402181540864</v>
      </c>
      <c r="H351" s="1012">
        <v>-1.0</v>
      </c>
      <c r="I351" s="1009"/>
    </row>
    <row r="352">
      <c r="A352" t="s">
        <v>78</v>
      </c>
      <c r="B352" s="1003">
        <v>42507.0</v>
      </c>
      <c r="C352" s="1004">
        <f t="shared" si="1"/>
        <v>138</v>
      </c>
      <c r="D352" s="1005">
        <f t="shared" si="2"/>
        <v>4.524590164</v>
      </c>
      <c r="E352" s="1006">
        <f t="shared" si="3"/>
        <v>5</v>
      </c>
      <c r="F352" s="1006" t="s">
        <v>2779</v>
      </c>
      <c r="G352" s="1007">
        <v>-0.006223537314907768</v>
      </c>
      <c r="H352" s="1012">
        <v>0.0</v>
      </c>
      <c r="I352" s="1009"/>
    </row>
    <row r="353">
      <c r="A353" t="s">
        <v>212</v>
      </c>
      <c r="B353" s="1003">
        <v>42142.0</v>
      </c>
      <c r="C353" s="1004">
        <f t="shared" si="1"/>
        <v>138</v>
      </c>
      <c r="D353" s="1005">
        <f t="shared" si="2"/>
        <v>4.524590164</v>
      </c>
      <c r="E353" s="1006">
        <f t="shared" si="3"/>
        <v>5</v>
      </c>
      <c r="F353" s="1006" t="s">
        <v>2779</v>
      </c>
      <c r="G353" s="1007">
        <v>0.0030010499457647777</v>
      </c>
      <c r="H353" s="1012">
        <v>0.0</v>
      </c>
      <c r="I353" s="1009"/>
    </row>
    <row r="354">
      <c r="A354" t="s">
        <v>878</v>
      </c>
      <c r="B354" s="1003">
        <v>42142.0</v>
      </c>
      <c r="C354" s="1004">
        <f t="shared" si="1"/>
        <v>138</v>
      </c>
      <c r="D354" s="1005">
        <f t="shared" si="2"/>
        <v>4.524590164</v>
      </c>
      <c r="E354" s="1006">
        <f t="shared" si="3"/>
        <v>5</v>
      </c>
      <c r="F354" s="1006" t="s">
        <v>2779</v>
      </c>
      <c r="G354" s="1007">
        <v>0.013302897982867767</v>
      </c>
      <c r="H354" s="1012">
        <v>1.0</v>
      </c>
      <c r="I354" s="1009"/>
    </row>
    <row r="355">
      <c r="A355" t="s">
        <v>361</v>
      </c>
      <c r="B355" s="1003">
        <v>42142.0</v>
      </c>
      <c r="C355" s="1004">
        <f t="shared" si="1"/>
        <v>138</v>
      </c>
      <c r="D355" s="1005">
        <f t="shared" si="2"/>
        <v>4.524590164</v>
      </c>
      <c r="E355" s="1006">
        <f t="shared" si="3"/>
        <v>5</v>
      </c>
      <c r="F355" s="1006" t="s">
        <v>2779</v>
      </c>
      <c r="G355" s="1007">
        <v>0.014757821689782569</v>
      </c>
      <c r="H355" s="1012">
        <v>1.0</v>
      </c>
      <c r="I355" s="1009"/>
    </row>
    <row r="356">
      <c r="A356" t="s">
        <v>1468</v>
      </c>
      <c r="B356" s="1003">
        <v>42142.0</v>
      </c>
      <c r="C356" s="1004">
        <f t="shared" si="1"/>
        <v>138</v>
      </c>
      <c r="D356" s="1005">
        <f t="shared" si="2"/>
        <v>4.524590164</v>
      </c>
      <c r="E356" s="1006">
        <f t="shared" si="3"/>
        <v>5</v>
      </c>
      <c r="F356" s="1006" t="s">
        <v>2779</v>
      </c>
      <c r="G356" s="1007">
        <v>-0.03221535063529368</v>
      </c>
      <c r="H356" s="1012">
        <v>-1.0</v>
      </c>
      <c r="I356" s="1009"/>
    </row>
    <row r="357">
      <c r="A357" t="s">
        <v>457</v>
      </c>
      <c r="B357" s="1003">
        <v>42874.0</v>
      </c>
      <c r="C357" s="1004">
        <f t="shared" si="1"/>
        <v>139</v>
      </c>
      <c r="D357" s="1005">
        <f t="shared" si="2"/>
        <v>4.557377049</v>
      </c>
      <c r="E357" s="1006">
        <f t="shared" si="3"/>
        <v>5</v>
      </c>
      <c r="F357" s="1006" t="s">
        <v>2779</v>
      </c>
      <c r="G357" s="1007">
        <v>0.011802948318357931</v>
      </c>
      <c r="H357" s="1012">
        <v>1.0</v>
      </c>
      <c r="I357" s="1009"/>
    </row>
    <row r="358">
      <c r="A358" t="s">
        <v>761</v>
      </c>
      <c r="B358" s="1003">
        <v>42874.0</v>
      </c>
      <c r="C358" s="1004">
        <f t="shared" si="1"/>
        <v>139</v>
      </c>
      <c r="D358" s="1005">
        <f t="shared" si="2"/>
        <v>4.557377049</v>
      </c>
      <c r="E358" s="1006">
        <f t="shared" si="3"/>
        <v>5</v>
      </c>
      <c r="F358" s="1006" t="s">
        <v>2779</v>
      </c>
      <c r="G358" s="1007">
        <v>-0.00518859267999916</v>
      </c>
      <c r="H358" s="1012">
        <v>0.0</v>
      </c>
      <c r="I358" s="1009"/>
    </row>
    <row r="359">
      <c r="A359" t="s">
        <v>1615</v>
      </c>
      <c r="B359" s="1023">
        <v>42874.0</v>
      </c>
      <c r="C359" s="1004">
        <f t="shared" si="1"/>
        <v>139</v>
      </c>
      <c r="D359" s="1005">
        <f t="shared" si="2"/>
        <v>4.557377049</v>
      </c>
      <c r="E359" s="1006">
        <f t="shared" si="3"/>
        <v>5</v>
      </c>
      <c r="F359" s="1006" t="s">
        <v>2779</v>
      </c>
      <c r="G359" s="1007">
        <v>-0.008792863757362657</v>
      </c>
      <c r="H359" s="1012">
        <v>0.0</v>
      </c>
      <c r="I359" s="1009"/>
    </row>
    <row r="360">
      <c r="A360" t="s">
        <v>1672</v>
      </c>
      <c r="B360" s="1003">
        <v>42874.0</v>
      </c>
      <c r="C360" s="1004">
        <f t="shared" si="1"/>
        <v>139</v>
      </c>
      <c r="D360" s="1005">
        <f t="shared" si="2"/>
        <v>4.557377049</v>
      </c>
      <c r="E360" s="1006">
        <f t="shared" si="3"/>
        <v>5</v>
      </c>
      <c r="F360" s="1006" t="s">
        <v>2779</v>
      </c>
      <c r="G360" s="1007">
        <v>0.04640946785449307</v>
      </c>
      <c r="H360" s="1012">
        <v>1.0</v>
      </c>
      <c r="I360" s="1009"/>
    </row>
    <row r="361">
      <c r="A361" t="s">
        <v>839</v>
      </c>
      <c r="B361" s="1003">
        <v>42874.0</v>
      </c>
      <c r="C361" s="1004">
        <f t="shared" si="1"/>
        <v>139</v>
      </c>
      <c r="D361" s="1005">
        <f t="shared" si="2"/>
        <v>4.557377049</v>
      </c>
      <c r="E361" s="1006">
        <f t="shared" si="3"/>
        <v>5</v>
      </c>
      <c r="F361" s="1006" t="s">
        <v>2779</v>
      </c>
      <c r="G361" s="1007">
        <v>0.012558277137729168</v>
      </c>
      <c r="H361" s="1012">
        <v>1.0</v>
      </c>
      <c r="I361" s="1009"/>
    </row>
    <row r="362">
      <c r="A362" t="s">
        <v>1703</v>
      </c>
      <c r="B362" s="1003">
        <v>42508.0</v>
      </c>
      <c r="C362" s="1004">
        <f t="shared" si="1"/>
        <v>139</v>
      </c>
      <c r="D362" s="1005">
        <f t="shared" si="2"/>
        <v>4.557377049</v>
      </c>
      <c r="E362" s="1006">
        <f t="shared" si="3"/>
        <v>5</v>
      </c>
      <c r="F362" s="1006" t="s">
        <v>2779</v>
      </c>
      <c r="G362" s="1007">
        <v>0.015783926805877146</v>
      </c>
      <c r="H362" s="1012">
        <v>1.0</v>
      </c>
      <c r="I362" s="1009"/>
    </row>
    <row r="363">
      <c r="A363" t="s">
        <v>126</v>
      </c>
      <c r="B363" s="1003">
        <v>42508.0</v>
      </c>
      <c r="C363" s="1004">
        <f t="shared" si="1"/>
        <v>139</v>
      </c>
      <c r="D363" s="1005">
        <f t="shared" si="2"/>
        <v>4.557377049</v>
      </c>
      <c r="E363" s="1006">
        <f t="shared" si="3"/>
        <v>5</v>
      </c>
      <c r="F363" s="1006" t="s">
        <v>2779</v>
      </c>
      <c r="G363" s="1007">
        <v>-0.00675353423592806</v>
      </c>
      <c r="H363" s="1012">
        <v>0.0</v>
      </c>
      <c r="I363" s="1009"/>
    </row>
    <row r="364">
      <c r="A364" t="s">
        <v>872</v>
      </c>
      <c r="B364" s="1003">
        <v>42143.0</v>
      </c>
      <c r="C364" s="1004">
        <f t="shared" si="1"/>
        <v>139</v>
      </c>
      <c r="D364" s="1005">
        <f t="shared" si="2"/>
        <v>4.557377049</v>
      </c>
      <c r="E364" s="1006">
        <f t="shared" si="3"/>
        <v>5</v>
      </c>
      <c r="F364" s="1006" t="s">
        <v>2779</v>
      </c>
      <c r="G364" s="1007">
        <v>-0.0020288074193230976</v>
      </c>
      <c r="H364" s="1012">
        <v>0.0</v>
      </c>
      <c r="I364" s="1009"/>
    </row>
    <row r="365">
      <c r="A365" t="s">
        <v>147</v>
      </c>
      <c r="B365" s="1003">
        <v>42143.0</v>
      </c>
      <c r="C365" s="1004">
        <f t="shared" si="1"/>
        <v>139</v>
      </c>
      <c r="D365" s="1005">
        <f t="shared" si="2"/>
        <v>4.557377049</v>
      </c>
      <c r="E365" s="1006">
        <f t="shared" si="3"/>
        <v>5</v>
      </c>
      <c r="F365" s="1006" t="s">
        <v>2779</v>
      </c>
      <c r="G365" s="1007">
        <v>-0.011962871840861311</v>
      </c>
      <c r="H365" s="1012">
        <v>-1.0</v>
      </c>
      <c r="I365" s="1009"/>
    </row>
    <row r="366">
      <c r="A366" t="s">
        <v>1837</v>
      </c>
      <c r="B366" s="1003">
        <v>42875.0</v>
      </c>
      <c r="C366" s="1004">
        <f t="shared" si="1"/>
        <v>140</v>
      </c>
      <c r="D366" s="1005">
        <f t="shared" si="2"/>
        <v>4.590163934</v>
      </c>
      <c r="E366" s="1006">
        <f t="shared" si="3"/>
        <v>5</v>
      </c>
      <c r="F366" s="1006" t="s">
        <v>2779</v>
      </c>
      <c r="G366" s="1007">
        <v>0.033839702548295825</v>
      </c>
      <c r="H366" s="1012">
        <v>1.0</v>
      </c>
      <c r="I366" s="1009"/>
    </row>
    <row r="367">
      <c r="A367" t="s">
        <v>623</v>
      </c>
      <c r="B367" s="1003">
        <v>42144.0</v>
      </c>
      <c r="C367" s="1004">
        <f t="shared" si="1"/>
        <v>140</v>
      </c>
      <c r="D367" s="1005">
        <f t="shared" si="2"/>
        <v>4.590163934</v>
      </c>
      <c r="E367" s="1006">
        <f t="shared" si="3"/>
        <v>5</v>
      </c>
      <c r="F367" s="1006" t="s">
        <v>2779</v>
      </c>
      <c r="G367" s="1007">
        <v>-0.011819619078486943</v>
      </c>
      <c r="H367" s="1012">
        <v>-1.0</v>
      </c>
      <c r="I367" s="1009"/>
    </row>
    <row r="368">
      <c r="A368" t="s">
        <v>1637</v>
      </c>
      <c r="B368" s="1003">
        <v>42510.0</v>
      </c>
      <c r="C368" s="1004">
        <f t="shared" si="1"/>
        <v>141</v>
      </c>
      <c r="D368" s="1005">
        <f t="shared" si="2"/>
        <v>4.62295082</v>
      </c>
      <c r="E368" s="1006">
        <f t="shared" si="3"/>
        <v>5</v>
      </c>
      <c r="F368" s="1006" t="s">
        <v>2779</v>
      </c>
      <c r="G368" s="1007">
        <v>0.016264311346901317</v>
      </c>
      <c r="H368" s="1012">
        <v>1.0</v>
      </c>
      <c r="I368" s="1009"/>
    </row>
    <row r="369">
      <c r="A369" t="s">
        <v>1741</v>
      </c>
      <c r="B369" s="1003">
        <v>42510.0</v>
      </c>
      <c r="C369" s="1004">
        <f t="shared" si="1"/>
        <v>141</v>
      </c>
      <c r="D369" s="1005">
        <f t="shared" si="2"/>
        <v>4.62295082</v>
      </c>
      <c r="E369" s="1006">
        <f t="shared" si="3"/>
        <v>5</v>
      </c>
      <c r="F369" s="1006" t="s">
        <v>2779</v>
      </c>
      <c r="G369" s="1007">
        <v>7.065028354408254E-4</v>
      </c>
      <c r="H369" s="1012">
        <v>0.0</v>
      </c>
      <c r="I369" s="1009"/>
    </row>
    <row r="370">
      <c r="A370" t="s">
        <v>126</v>
      </c>
      <c r="B370" s="1003">
        <v>42146.0</v>
      </c>
      <c r="C370" s="1004">
        <f t="shared" si="1"/>
        <v>142</v>
      </c>
      <c r="D370" s="1005">
        <f t="shared" si="2"/>
        <v>4.655737705</v>
      </c>
      <c r="E370" s="1006">
        <f t="shared" si="3"/>
        <v>5</v>
      </c>
      <c r="F370" s="1006" t="s">
        <v>2779</v>
      </c>
      <c r="G370" s="1007">
        <v>0.010392652965287685</v>
      </c>
      <c r="H370" s="1012">
        <v>1.0</v>
      </c>
      <c r="I370" s="1009"/>
    </row>
    <row r="371">
      <c r="A371" t="s">
        <v>717</v>
      </c>
      <c r="B371" s="1003">
        <v>42146.0</v>
      </c>
      <c r="C371" s="1004">
        <f t="shared" si="1"/>
        <v>142</v>
      </c>
      <c r="D371" s="1005">
        <f t="shared" si="2"/>
        <v>4.655737705</v>
      </c>
      <c r="E371" s="1006">
        <f t="shared" si="3"/>
        <v>5</v>
      </c>
      <c r="F371" s="1006" t="s">
        <v>2779</v>
      </c>
      <c r="G371" s="1007">
        <v>0.01121702882807285</v>
      </c>
      <c r="H371" s="1012">
        <v>1.0</v>
      </c>
      <c r="I371" s="1009"/>
    </row>
    <row r="372">
      <c r="A372" t="s">
        <v>885</v>
      </c>
      <c r="B372" s="1003">
        <v>42146.0</v>
      </c>
      <c r="C372" s="1004">
        <f t="shared" si="1"/>
        <v>142</v>
      </c>
      <c r="D372" s="1005">
        <f t="shared" si="2"/>
        <v>4.655737705</v>
      </c>
      <c r="E372" s="1006">
        <f t="shared" si="3"/>
        <v>5</v>
      </c>
      <c r="F372" s="1006" t="s">
        <v>2779</v>
      </c>
      <c r="G372" s="1007">
        <v>-0.04957128917893272</v>
      </c>
      <c r="H372" s="1012">
        <v>-1.0</v>
      </c>
      <c r="I372" s="1009"/>
    </row>
    <row r="373">
      <c r="A373" t="s">
        <v>703</v>
      </c>
      <c r="B373" s="1003">
        <v>42878.0</v>
      </c>
      <c r="C373" s="1004">
        <f t="shared" si="1"/>
        <v>143</v>
      </c>
      <c r="D373" s="1005">
        <f t="shared" si="2"/>
        <v>4.68852459</v>
      </c>
      <c r="E373" s="1006">
        <f t="shared" si="3"/>
        <v>5</v>
      </c>
      <c r="F373" s="1006" t="s">
        <v>2779</v>
      </c>
      <c r="G373" s="1007">
        <v>0.00654005253809764</v>
      </c>
      <c r="H373" s="1012">
        <v>0.0</v>
      </c>
      <c r="I373" s="1009"/>
    </row>
    <row r="374">
      <c r="A374" t="s">
        <v>161</v>
      </c>
      <c r="B374" s="1003">
        <v>42878.0</v>
      </c>
      <c r="C374" s="1004">
        <f t="shared" si="1"/>
        <v>143</v>
      </c>
      <c r="D374" s="1005">
        <f t="shared" si="2"/>
        <v>4.68852459</v>
      </c>
      <c r="E374" s="1006">
        <f t="shared" si="3"/>
        <v>5</v>
      </c>
      <c r="F374" s="1006" t="s">
        <v>2779</v>
      </c>
      <c r="G374" s="1007">
        <v>-0.009493282075048515</v>
      </c>
      <c r="H374" s="1012">
        <v>0.0</v>
      </c>
      <c r="I374" s="1009"/>
    </row>
    <row r="375">
      <c r="A375" t="s">
        <v>710</v>
      </c>
      <c r="B375" s="1003">
        <v>42878.0</v>
      </c>
      <c r="C375" s="1004">
        <f t="shared" si="1"/>
        <v>143</v>
      </c>
      <c r="D375" s="1005">
        <f t="shared" si="2"/>
        <v>4.68852459</v>
      </c>
      <c r="E375" s="1006">
        <f t="shared" si="3"/>
        <v>5</v>
      </c>
      <c r="F375" s="1006" t="s">
        <v>2779</v>
      </c>
      <c r="G375" s="1007">
        <v>0.039319509394939334</v>
      </c>
      <c r="H375" s="1012">
        <v>1.0</v>
      </c>
      <c r="I375" s="1009"/>
    </row>
    <row r="376">
      <c r="A376" t="s">
        <v>623</v>
      </c>
      <c r="B376" s="1003">
        <v>42148.0</v>
      </c>
      <c r="C376" s="1004">
        <f t="shared" si="1"/>
        <v>144</v>
      </c>
      <c r="D376" s="1005">
        <f t="shared" si="2"/>
        <v>4.721311475</v>
      </c>
      <c r="E376" s="1006">
        <f t="shared" si="3"/>
        <v>5</v>
      </c>
      <c r="F376" s="1006" t="s">
        <v>2779</v>
      </c>
      <c r="G376" s="1007">
        <v>-0.008871517912051652</v>
      </c>
      <c r="H376" s="1012">
        <v>0.0</v>
      </c>
      <c r="I376" s="1009"/>
    </row>
    <row r="377">
      <c r="A377" t="s">
        <v>339</v>
      </c>
      <c r="B377" s="1003">
        <v>42149.0</v>
      </c>
      <c r="C377" s="1004">
        <f t="shared" si="1"/>
        <v>145</v>
      </c>
      <c r="D377" s="1005">
        <f t="shared" si="2"/>
        <v>4.754098361</v>
      </c>
      <c r="E377" s="1006">
        <f t="shared" si="3"/>
        <v>5</v>
      </c>
      <c r="F377" s="1006" t="s">
        <v>2779</v>
      </c>
      <c r="G377" s="1007">
        <v>-0.0016676123985182034</v>
      </c>
      <c r="H377" s="1012">
        <v>0.0</v>
      </c>
      <c r="I377" s="1009"/>
    </row>
    <row r="378">
      <c r="A378" t="s">
        <v>713</v>
      </c>
      <c r="B378" s="1003">
        <v>42881.0</v>
      </c>
      <c r="C378" s="1004">
        <f t="shared" si="1"/>
        <v>146</v>
      </c>
      <c r="D378" s="1005">
        <f t="shared" si="2"/>
        <v>4.786885246</v>
      </c>
      <c r="E378" s="1006">
        <f t="shared" si="3"/>
        <v>5</v>
      </c>
      <c r="F378" s="1006" t="s">
        <v>2779</v>
      </c>
      <c r="G378" s="1007">
        <v>0.027398685585813487</v>
      </c>
      <c r="H378" s="1012">
        <v>1.0</v>
      </c>
      <c r="I378" s="1009"/>
    </row>
    <row r="379">
      <c r="A379" t="s">
        <v>155</v>
      </c>
      <c r="B379" s="1003">
        <v>42150.0</v>
      </c>
      <c r="C379" s="1004">
        <f t="shared" si="1"/>
        <v>146</v>
      </c>
      <c r="D379" s="1005">
        <f t="shared" si="2"/>
        <v>4.786885246</v>
      </c>
      <c r="E379" s="1006">
        <f t="shared" si="3"/>
        <v>5</v>
      </c>
      <c r="F379" s="1006" t="s">
        <v>2779</v>
      </c>
      <c r="G379" s="1007">
        <v>-0.006227061892407959</v>
      </c>
      <c r="H379" s="1012">
        <v>0.0</v>
      </c>
      <c r="I379" s="1009"/>
    </row>
    <row r="380">
      <c r="A380" t="s">
        <v>640</v>
      </c>
      <c r="B380" s="1003">
        <v>42151.0</v>
      </c>
      <c r="C380" s="1004">
        <f t="shared" si="1"/>
        <v>147</v>
      </c>
      <c r="D380" s="1005">
        <f t="shared" si="2"/>
        <v>4.819672131</v>
      </c>
      <c r="E380" s="1006">
        <f t="shared" si="3"/>
        <v>5</v>
      </c>
      <c r="F380" s="1006" t="s">
        <v>2779</v>
      </c>
      <c r="G380" s="1007">
        <v>0.0014407567731904436</v>
      </c>
      <c r="H380" s="1012">
        <v>0.0</v>
      </c>
      <c r="I380" s="1009"/>
    </row>
    <row r="381">
      <c r="A381" t="s">
        <v>717</v>
      </c>
      <c r="B381" s="1003">
        <v>42151.0</v>
      </c>
      <c r="C381" s="1004">
        <f t="shared" si="1"/>
        <v>147</v>
      </c>
      <c r="D381" s="1005">
        <f t="shared" si="2"/>
        <v>4.819672131</v>
      </c>
      <c r="E381" s="1006">
        <f t="shared" si="3"/>
        <v>5</v>
      </c>
      <c r="F381" s="1006" t="s">
        <v>2779</v>
      </c>
      <c r="G381" s="1007">
        <v>0.013937535728176798</v>
      </c>
      <c r="H381" s="1012">
        <v>1.0</v>
      </c>
      <c r="I381" s="1009"/>
    </row>
    <row r="382">
      <c r="A382" t="s">
        <v>1642</v>
      </c>
      <c r="B382" s="1003">
        <v>42883.0</v>
      </c>
      <c r="C382" s="1004">
        <f t="shared" si="1"/>
        <v>148</v>
      </c>
      <c r="D382" s="1005">
        <f t="shared" si="2"/>
        <v>4.852459016</v>
      </c>
      <c r="E382" s="1006">
        <f t="shared" si="3"/>
        <v>5</v>
      </c>
      <c r="F382" s="1006" t="s">
        <v>2779</v>
      </c>
      <c r="G382" s="1007">
        <v>0.034547326600642636</v>
      </c>
      <c r="H382" s="1012">
        <v>1.0</v>
      </c>
      <c r="I382" s="1009"/>
    </row>
    <row r="383">
      <c r="A383" t="s">
        <v>715</v>
      </c>
      <c r="B383" s="1003">
        <v>42883.0</v>
      </c>
      <c r="C383" s="1004">
        <f t="shared" si="1"/>
        <v>148</v>
      </c>
      <c r="D383" s="1005">
        <f t="shared" si="2"/>
        <v>4.852459016</v>
      </c>
      <c r="E383" s="1006">
        <f t="shared" si="3"/>
        <v>5</v>
      </c>
      <c r="F383" s="1006" t="s">
        <v>2779</v>
      </c>
      <c r="G383" s="1007">
        <v>0.004598087931559025</v>
      </c>
      <c r="H383" s="1012">
        <v>0.0</v>
      </c>
      <c r="I383" s="1009"/>
    </row>
    <row r="384">
      <c r="A384" t="s">
        <v>1873</v>
      </c>
      <c r="B384" s="1003">
        <v>42517.0</v>
      </c>
      <c r="C384" s="1004">
        <f t="shared" si="1"/>
        <v>148</v>
      </c>
      <c r="D384" s="1005">
        <f t="shared" si="2"/>
        <v>4.852459016</v>
      </c>
      <c r="E384" s="1006">
        <f t="shared" si="3"/>
        <v>5</v>
      </c>
      <c r="F384" s="1006" t="s">
        <v>2779</v>
      </c>
      <c r="G384" s="1007">
        <v>-0.012056140674272298</v>
      </c>
      <c r="H384" s="1012">
        <v>-1.0</v>
      </c>
      <c r="I384" s="1009"/>
    </row>
    <row r="385">
      <c r="A385" t="s">
        <v>1726</v>
      </c>
      <c r="B385" s="1003">
        <v>42517.0</v>
      </c>
      <c r="C385" s="1004">
        <f t="shared" si="1"/>
        <v>148</v>
      </c>
      <c r="D385" s="1005">
        <f t="shared" si="2"/>
        <v>4.852459016</v>
      </c>
      <c r="E385" s="1006">
        <f t="shared" si="3"/>
        <v>5</v>
      </c>
      <c r="F385" s="1006" t="s">
        <v>2779</v>
      </c>
      <c r="G385" s="1007">
        <v>-0.013418922126674837</v>
      </c>
      <c r="H385" s="1012">
        <v>-1.0</v>
      </c>
      <c r="I385" s="1009"/>
    </row>
    <row r="386">
      <c r="A386" t="s">
        <v>623</v>
      </c>
      <c r="B386" s="1003">
        <v>42517.0</v>
      </c>
      <c r="C386" s="1004">
        <f t="shared" si="1"/>
        <v>148</v>
      </c>
      <c r="D386" s="1005">
        <f t="shared" si="2"/>
        <v>4.852459016</v>
      </c>
      <c r="E386" s="1006">
        <f t="shared" si="3"/>
        <v>5</v>
      </c>
      <c r="F386" s="1006" t="s">
        <v>2779</v>
      </c>
      <c r="G386" s="1007">
        <v>-0.0028077279532489063</v>
      </c>
      <c r="H386" s="1012">
        <v>0.0</v>
      </c>
      <c r="I386" s="1009"/>
    </row>
    <row r="387">
      <c r="A387" t="s">
        <v>84</v>
      </c>
      <c r="B387" s="1003">
        <v>42152.0</v>
      </c>
      <c r="C387" s="1004">
        <f t="shared" si="1"/>
        <v>148</v>
      </c>
      <c r="D387" s="1005">
        <f t="shared" si="2"/>
        <v>4.852459016</v>
      </c>
      <c r="E387" s="1006">
        <f t="shared" si="3"/>
        <v>5</v>
      </c>
      <c r="F387" s="1006" t="s">
        <v>2779</v>
      </c>
      <c r="G387" s="1007">
        <v>0.00361155244785083</v>
      </c>
      <c r="H387" s="1012">
        <v>0.0</v>
      </c>
      <c r="I387" s="1009"/>
    </row>
    <row r="388">
      <c r="A388" t="s">
        <v>89</v>
      </c>
      <c r="B388" s="1003">
        <v>42152.0</v>
      </c>
      <c r="C388" s="1004">
        <f t="shared" si="1"/>
        <v>148</v>
      </c>
      <c r="D388" s="1005">
        <f t="shared" si="2"/>
        <v>4.852459016</v>
      </c>
      <c r="E388" s="1006">
        <f t="shared" si="3"/>
        <v>5</v>
      </c>
      <c r="F388" s="1006" t="s">
        <v>2779</v>
      </c>
      <c r="G388" s="1007">
        <v>-0.008403580081437267</v>
      </c>
      <c r="H388" s="1012">
        <v>0.0</v>
      </c>
      <c r="I388" s="1009"/>
    </row>
    <row r="389">
      <c r="A389" t="s">
        <v>719</v>
      </c>
      <c r="B389" s="1003">
        <v>42884.0</v>
      </c>
      <c r="C389" s="1004">
        <f t="shared" si="1"/>
        <v>149</v>
      </c>
      <c r="D389" s="1005">
        <f t="shared" si="2"/>
        <v>4.885245902</v>
      </c>
      <c r="E389" s="1006">
        <f t="shared" si="3"/>
        <v>5</v>
      </c>
      <c r="F389" s="1006" t="s">
        <v>2779</v>
      </c>
      <c r="G389" s="1007">
        <v>-0.10927134457634113</v>
      </c>
      <c r="H389" s="1012">
        <v>-1.0</v>
      </c>
      <c r="I389" s="1009"/>
    </row>
    <row r="390">
      <c r="A390" t="s">
        <v>192</v>
      </c>
      <c r="B390" s="1003">
        <v>42153.0</v>
      </c>
      <c r="C390" s="1004">
        <f t="shared" si="1"/>
        <v>149</v>
      </c>
      <c r="D390" s="1005">
        <f t="shared" si="2"/>
        <v>4.885245902</v>
      </c>
      <c r="E390" s="1006">
        <f t="shared" si="3"/>
        <v>5</v>
      </c>
      <c r="F390" s="1006" t="s">
        <v>2779</v>
      </c>
      <c r="G390" s="1007">
        <v>4.581793856275329E-4</v>
      </c>
      <c r="H390" s="1012">
        <v>0.0</v>
      </c>
      <c r="I390" s="1009"/>
    </row>
    <row r="391">
      <c r="A391" t="s">
        <v>457</v>
      </c>
      <c r="B391" s="1003">
        <v>42153.0</v>
      </c>
      <c r="C391" s="1004">
        <f t="shared" si="1"/>
        <v>149</v>
      </c>
      <c r="D391" s="1005">
        <f t="shared" si="2"/>
        <v>4.885245902</v>
      </c>
      <c r="E391" s="1006">
        <f t="shared" si="3"/>
        <v>5</v>
      </c>
      <c r="F391" s="1006" t="s">
        <v>2779</v>
      </c>
      <c r="G391" s="1007">
        <v>0.004106754663356638</v>
      </c>
      <c r="H391" s="1012">
        <v>0.0</v>
      </c>
      <c r="I391" s="1009"/>
    </row>
    <row r="392">
      <c r="A392" t="s">
        <v>761</v>
      </c>
      <c r="B392" s="1003">
        <v>42153.0</v>
      </c>
      <c r="C392" s="1004">
        <f t="shared" si="1"/>
        <v>149</v>
      </c>
      <c r="D392" s="1005">
        <f t="shared" si="2"/>
        <v>4.885245902</v>
      </c>
      <c r="E392" s="1006">
        <f t="shared" si="3"/>
        <v>5</v>
      </c>
      <c r="F392" s="1006" t="s">
        <v>2779</v>
      </c>
      <c r="G392" s="1007">
        <v>-4.2226737974426776E-4</v>
      </c>
      <c r="H392" s="1012">
        <v>0.0</v>
      </c>
      <c r="I392" s="1009"/>
    </row>
    <row r="393">
      <c r="A393" t="s">
        <v>513</v>
      </c>
      <c r="B393" s="1003">
        <v>42153.0</v>
      </c>
      <c r="C393" s="1004">
        <f t="shared" si="1"/>
        <v>149</v>
      </c>
      <c r="D393" s="1005">
        <f t="shared" si="2"/>
        <v>4.885245902</v>
      </c>
      <c r="E393" s="1006">
        <f t="shared" si="3"/>
        <v>5</v>
      </c>
      <c r="F393" s="1006" t="s">
        <v>2779</v>
      </c>
      <c r="G393" s="1007">
        <v>0.014194648575522884</v>
      </c>
      <c r="H393" s="1012">
        <v>1.0</v>
      </c>
      <c r="I393" s="1009"/>
    </row>
    <row r="394">
      <c r="A394" t="s">
        <v>722</v>
      </c>
      <c r="B394" s="1003">
        <v>42885.0</v>
      </c>
      <c r="C394" s="1004">
        <f t="shared" si="1"/>
        <v>150</v>
      </c>
      <c r="D394" s="1005">
        <f t="shared" si="2"/>
        <v>4.918032787</v>
      </c>
      <c r="E394" s="1006">
        <f t="shared" si="3"/>
        <v>5</v>
      </c>
      <c r="F394" s="1006" t="s">
        <v>2779</v>
      </c>
      <c r="G394" s="1007">
        <v>0.02113595742017549</v>
      </c>
      <c r="H394" s="1012">
        <v>1.0</v>
      </c>
      <c r="I394" s="1009"/>
    </row>
    <row r="395">
      <c r="A395" t="s">
        <v>1847</v>
      </c>
      <c r="B395" s="1003">
        <v>42519.0</v>
      </c>
      <c r="C395" s="1004">
        <f t="shared" si="1"/>
        <v>150</v>
      </c>
      <c r="D395" s="1005">
        <f t="shared" si="2"/>
        <v>4.918032787</v>
      </c>
      <c r="E395" s="1006">
        <f t="shared" si="3"/>
        <v>5</v>
      </c>
      <c r="F395" s="1006" t="s">
        <v>2779</v>
      </c>
      <c r="G395" s="1007">
        <v>-0.024382651284778678</v>
      </c>
      <c r="H395" s="1012">
        <v>-1.0</v>
      </c>
      <c r="I395" s="1009"/>
    </row>
    <row r="396">
      <c r="A396" t="s">
        <v>623</v>
      </c>
      <c r="B396" s="1003">
        <v>42519.0</v>
      </c>
      <c r="C396" s="1004">
        <f t="shared" si="1"/>
        <v>150</v>
      </c>
      <c r="D396" s="1005">
        <f t="shared" si="2"/>
        <v>4.918032787</v>
      </c>
      <c r="E396" s="1006">
        <f t="shared" si="3"/>
        <v>5</v>
      </c>
      <c r="F396" s="1006" t="s">
        <v>2779</v>
      </c>
      <c r="G396" s="1007">
        <v>-0.00773347364705157</v>
      </c>
      <c r="H396" s="1012">
        <v>0.0</v>
      </c>
      <c r="I396" s="1009"/>
    </row>
    <row r="397">
      <c r="A397" t="s">
        <v>918</v>
      </c>
      <c r="B397" s="1003">
        <v>42155.0</v>
      </c>
      <c r="C397" s="1004">
        <f t="shared" si="1"/>
        <v>151</v>
      </c>
      <c r="D397" s="1005">
        <f t="shared" si="2"/>
        <v>4.950819672</v>
      </c>
      <c r="E397" s="1006">
        <f t="shared" si="3"/>
        <v>5</v>
      </c>
      <c r="F397" s="1006" t="s">
        <v>2779</v>
      </c>
      <c r="G397" s="1007">
        <v>-0.008692869580813056</v>
      </c>
      <c r="H397" s="1012">
        <v>0.0</v>
      </c>
      <c r="I397" s="1009"/>
    </row>
    <row r="398">
      <c r="A398" t="s">
        <v>94</v>
      </c>
      <c r="B398" s="1003">
        <v>42155.0</v>
      </c>
      <c r="C398" s="1004">
        <f t="shared" si="1"/>
        <v>151</v>
      </c>
      <c r="D398" s="1005">
        <f t="shared" si="2"/>
        <v>4.950819672</v>
      </c>
      <c r="E398" s="1006">
        <f t="shared" si="3"/>
        <v>5</v>
      </c>
      <c r="F398" s="1006" t="s">
        <v>2779</v>
      </c>
      <c r="G398" s="1007">
        <v>-0.004174603148336731</v>
      </c>
      <c r="H398" s="1012">
        <v>0.0</v>
      </c>
      <c r="I398" s="1009"/>
    </row>
    <row r="399">
      <c r="A399" t="s">
        <v>102</v>
      </c>
      <c r="B399" s="1003">
        <v>42155.0</v>
      </c>
      <c r="C399" s="1004">
        <f t="shared" si="1"/>
        <v>151</v>
      </c>
      <c r="D399" s="1005">
        <f t="shared" si="2"/>
        <v>4.950819672</v>
      </c>
      <c r="E399" s="1006">
        <f t="shared" si="3"/>
        <v>5</v>
      </c>
      <c r="F399" s="1006" t="s">
        <v>2779</v>
      </c>
      <c r="G399" s="1007">
        <v>-9.255993558010545E-4</v>
      </c>
      <c r="H399" s="1012">
        <v>0.0</v>
      </c>
      <c r="I399" s="1009"/>
    </row>
    <row r="400">
      <c r="A400" t="s">
        <v>1761</v>
      </c>
      <c r="B400" s="1003">
        <v>42887.0</v>
      </c>
      <c r="C400" s="1004">
        <f t="shared" si="1"/>
        <v>152</v>
      </c>
      <c r="D400" s="1005">
        <f t="shared" si="2"/>
        <v>4.983606557</v>
      </c>
      <c r="E400" s="1006">
        <f t="shared" si="3"/>
        <v>5</v>
      </c>
      <c r="F400" s="1006" t="s">
        <v>2779</v>
      </c>
      <c r="G400" s="1007">
        <v>0.006113328106561067</v>
      </c>
      <c r="H400" s="1012">
        <v>0.0</v>
      </c>
      <c r="I400" s="1009"/>
    </row>
    <row r="401">
      <c r="A401" t="s">
        <v>161</v>
      </c>
      <c r="B401" s="1003">
        <v>42887.0</v>
      </c>
      <c r="C401" s="1004">
        <f t="shared" si="1"/>
        <v>152</v>
      </c>
      <c r="D401" s="1005">
        <f t="shared" si="2"/>
        <v>4.983606557</v>
      </c>
      <c r="E401" s="1006">
        <f t="shared" si="3"/>
        <v>5</v>
      </c>
      <c r="F401" s="1006" t="s">
        <v>2779</v>
      </c>
      <c r="G401" s="1007">
        <v>-0.005704921161164278</v>
      </c>
      <c r="H401" s="1012">
        <v>0.0</v>
      </c>
      <c r="I401" s="1009"/>
    </row>
    <row r="402">
      <c r="A402" t="s">
        <v>116</v>
      </c>
      <c r="B402" s="1003">
        <v>42157.0</v>
      </c>
      <c r="C402" s="1004">
        <f t="shared" si="1"/>
        <v>153</v>
      </c>
      <c r="D402" s="1005">
        <f t="shared" si="2"/>
        <v>5.016393443</v>
      </c>
      <c r="E402" s="1006">
        <f t="shared" si="3"/>
        <v>6</v>
      </c>
      <c r="F402" s="1006" t="s">
        <v>2780</v>
      </c>
      <c r="G402" s="1007">
        <v>3.597858535600018E-4</v>
      </c>
      <c r="H402" s="1012">
        <v>0.0</v>
      </c>
      <c r="I402" s="1009"/>
    </row>
    <row r="403">
      <c r="A403" t="s">
        <v>122</v>
      </c>
      <c r="B403" s="1003">
        <v>42157.0</v>
      </c>
      <c r="C403" s="1004">
        <f t="shared" si="1"/>
        <v>153</v>
      </c>
      <c r="D403" s="1005">
        <f t="shared" si="2"/>
        <v>5.016393443</v>
      </c>
      <c r="E403" s="1006">
        <f t="shared" si="3"/>
        <v>6</v>
      </c>
      <c r="F403" s="1006" t="s">
        <v>2780</v>
      </c>
      <c r="G403" s="1007">
        <v>0.024381280906306757</v>
      </c>
      <c r="H403" s="1012">
        <v>1.0</v>
      </c>
      <c r="I403" s="1009"/>
    </row>
    <row r="404">
      <c r="A404" t="s">
        <v>92</v>
      </c>
      <c r="B404" s="1003">
        <v>42158.0</v>
      </c>
      <c r="C404" s="1004">
        <f t="shared" si="1"/>
        <v>154</v>
      </c>
      <c r="D404" s="1005">
        <f t="shared" si="2"/>
        <v>5.049180328</v>
      </c>
      <c r="E404" s="1006">
        <f t="shared" si="3"/>
        <v>6</v>
      </c>
      <c r="F404" s="1006" t="s">
        <v>2780</v>
      </c>
      <c r="G404" s="1007">
        <v>0.010349076549629133</v>
      </c>
      <c r="H404" s="1012">
        <v>1.0</v>
      </c>
      <c r="I404" s="1009"/>
    </row>
    <row r="405">
      <c r="A405" t="s">
        <v>161</v>
      </c>
      <c r="B405" s="1003">
        <v>42524.0</v>
      </c>
      <c r="C405" s="1004">
        <f t="shared" si="1"/>
        <v>155</v>
      </c>
      <c r="D405" s="1005">
        <f t="shared" si="2"/>
        <v>5.081967213</v>
      </c>
      <c r="E405" s="1006">
        <f t="shared" si="3"/>
        <v>6</v>
      </c>
      <c r="F405" s="1006" t="s">
        <v>2780</v>
      </c>
      <c r="G405" s="1007">
        <v>-0.0053482473214380155</v>
      </c>
      <c r="H405" s="1012">
        <v>0.0</v>
      </c>
      <c r="I405" s="1009"/>
    </row>
    <row r="406">
      <c r="A406" t="s">
        <v>212</v>
      </c>
      <c r="B406" s="1003">
        <v>42159.0</v>
      </c>
      <c r="C406" s="1004">
        <f t="shared" si="1"/>
        <v>155</v>
      </c>
      <c r="D406" s="1005">
        <f t="shared" si="2"/>
        <v>5.081967213</v>
      </c>
      <c r="E406" s="1006">
        <f t="shared" si="3"/>
        <v>6</v>
      </c>
      <c r="F406" s="1006" t="s">
        <v>2780</v>
      </c>
      <c r="G406" s="1007">
        <v>0.0035079833424407347</v>
      </c>
      <c r="H406" s="1012">
        <v>0.0</v>
      </c>
      <c r="I406" s="1009"/>
    </row>
    <row r="407">
      <c r="A407" t="s">
        <v>761</v>
      </c>
      <c r="B407" s="1003">
        <v>42159.0</v>
      </c>
      <c r="C407" s="1004">
        <f t="shared" si="1"/>
        <v>155</v>
      </c>
      <c r="D407" s="1005">
        <f t="shared" si="2"/>
        <v>5.081967213</v>
      </c>
      <c r="E407" s="1006">
        <f t="shared" si="3"/>
        <v>6</v>
      </c>
      <c r="F407" s="1006" t="s">
        <v>2780</v>
      </c>
      <c r="G407" s="1007">
        <v>0.0011216664608212357</v>
      </c>
      <c r="H407" s="1012">
        <v>0.0</v>
      </c>
      <c r="I407" s="1009"/>
    </row>
    <row r="408">
      <c r="A408" t="s">
        <v>1825</v>
      </c>
      <c r="B408" s="1003">
        <v>42891.0</v>
      </c>
      <c r="C408" s="1004">
        <f t="shared" si="1"/>
        <v>156</v>
      </c>
      <c r="D408" s="1005">
        <f t="shared" si="2"/>
        <v>5.114754098</v>
      </c>
      <c r="E408" s="1006">
        <f t="shared" si="3"/>
        <v>6</v>
      </c>
      <c r="F408" s="1006" t="s">
        <v>2780</v>
      </c>
      <c r="G408" s="1007">
        <v>0.03533331769885395</v>
      </c>
      <c r="H408" s="1012">
        <v>1.0</v>
      </c>
      <c r="I408" s="1009"/>
    </row>
    <row r="409">
      <c r="A409" t="s">
        <v>729</v>
      </c>
      <c r="B409" s="1003">
        <v>42891.0</v>
      </c>
      <c r="C409" s="1004">
        <f t="shared" si="1"/>
        <v>156</v>
      </c>
      <c r="D409" s="1005">
        <f t="shared" si="2"/>
        <v>5.114754098</v>
      </c>
      <c r="E409" s="1006">
        <f t="shared" si="3"/>
        <v>6</v>
      </c>
      <c r="F409" s="1006" t="s">
        <v>2780</v>
      </c>
      <c r="G409" s="1007">
        <v>0.01294775783412927</v>
      </c>
      <c r="H409" s="1012">
        <v>1.0</v>
      </c>
      <c r="I409" s="1009"/>
    </row>
    <row r="410">
      <c r="A410" t="s">
        <v>131</v>
      </c>
      <c r="B410" s="1003">
        <v>42160.0</v>
      </c>
      <c r="C410" s="1004">
        <f t="shared" si="1"/>
        <v>156</v>
      </c>
      <c r="D410" s="1005">
        <f t="shared" si="2"/>
        <v>5.114754098</v>
      </c>
      <c r="E410" s="1006">
        <f t="shared" si="3"/>
        <v>6</v>
      </c>
      <c r="F410" s="1006" t="s">
        <v>2780</v>
      </c>
      <c r="G410" s="1007">
        <v>-7.02025712333243E-4</v>
      </c>
      <c r="H410" s="1012">
        <v>0.0</v>
      </c>
      <c r="I410" s="1009"/>
    </row>
    <row r="411">
      <c r="A411" t="s">
        <v>136</v>
      </c>
      <c r="B411" s="1003">
        <v>42160.0</v>
      </c>
      <c r="C411" s="1004">
        <f t="shared" si="1"/>
        <v>156</v>
      </c>
      <c r="D411" s="1005">
        <f t="shared" si="2"/>
        <v>5.114754098</v>
      </c>
      <c r="E411" s="1006">
        <f t="shared" si="3"/>
        <v>6</v>
      </c>
      <c r="F411" s="1006" t="s">
        <v>2780</v>
      </c>
      <c r="G411" s="1007">
        <v>-0.10574383157325307</v>
      </c>
      <c r="H411" s="1012">
        <v>-1.0</v>
      </c>
      <c r="I411" s="1009"/>
    </row>
    <row r="412">
      <c r="A412" t="s">
        <v>1628</v>
      </c>
      <c r="B412" s="1003">
        <v>42892.0</v>
      </c>
      <c r="C412" s="1004">
        <f t="shared" si="1"/>
        <v>157</v>
      </c>
      <c r="D412" s="1005">
        <f t="shared" si="2"/>
        <v>5.147540984</v>
      </c>
      <c r="E412" s="1006">
        <f t="shared" si="3"/>
        <v>6</v>
      </c>
      <c r="F412" s="1006" t="s">
        <v>2780</v>
      </c>
      <c r="G412" s="1007">
        <v>-0.0010867380693668771</v>
      </c>
      <c r="H412" s="1012">
        <v>0.0</v>
      </c>
      <c r="I412" s="1009"/>
    </row>
    <row r="413">
      <c r="A413" t="s">
        <v>1128</v>
      </c>
      <c r="B413" s="1003">
        <v>42526.0</v>
      </c>
      <c r="C413" s="1004">
        <f t="shared" si="1"/>
        <v>157</v>
      </c>
      <c r="D413" s="1005">
        <f t="shared" si="2"/>
        <v>5.147540984</v>
      </c>
      <c r="E413" s="1006">
        <f t="shared" si="3"/>
        <v>6</v>
      </c>
      <c r="F413" s="1006" t="s">
        <v>2780</v>
      </c>
      <c r="G413" s="1007">
        <v>0.0014467905608003262</v>
      </c>
      <c r="H413" s="1012">
        <v>0.0</v>
      </c>
      <c r="I413" s="1009"/>
    </row>
    <row r="414">
      <c r="A414" t="s">
        <v>1127</v>
      </c>
      <c r="B414" s="1003">
        <v>42526.0</v>
      </c>
      <c r="C414" s="1004">
        <f t="shared" si="1"/>
        <v>157</v>
      </c>
      <c r="D414" s="1005">
        <f t="shared" si="2"/>
        <v>5.147540984</v>
      </c>
      <c r="E414" s="1006">
        <f t="shared" si="3"/>
        <v>6</v>
      </c>
      <c r="F414" s="1006" t="s">
        <v>2780</v>
      </c>
      <c r="G414" s="1007">
        <v>0.017219732947188038</v>
      </c>
      <c r="H414" s="1012">
        <v>1.0</v>
      </c>
      <c r="I414" s="1009"/>
    </row>
    <row r="415">
      <c r="A415" t="s">
        <v>1493</v>
      </c>
      <c r="B415" s="1003">
        <v>42526.0</v>
      </c>
      <c r="C415" s="1004">
        <f t="shared" si="1"/>
        <v>157</v>
      </c>
      <c r="D415" s="1005">
        <f t="shared" si="2"/>
        <v>5.147540984</v>
      </c>
      <c r="E415" s="1006">
        <f t="shared" si="3"/>
        <v>6</v>
      </c>
      <c r="F415" s="1006" t="s">
        <v>2780</v>
      </c>
      <c r="G415" s="1007">
        <v>-0.01859233798691562</v>
      </c>
      <c r="H415" s="1012">
        <v>-1.0</v>
      </c>
      <c r="I415" s="1009"/>
    </row>
    <row r="416">
      <c r="A416" t="s">
        <v>513</v>
      </c>
      <c r="B416" s="1003">
        <v>42161.0</v>
      </c>
      <c r="C416" s="1004">
        <f t="shared" si="1"/>
        <v>157</v>
      </c>
      <c r="D416" s="1005">
        <f t="shared" si="2"/>
        <v>5.147540984</v>
      </c>
      <c r="E416" s="1006">
        <f t="shared" si="3"/>
        <v>6</v>
      </c>
      <c r="F416" s="1006" t="s">
        <v>2780</v>
      </c>
      <c r="G416" s="1007">
        <v>0.009589204202360757</v>
      </c>
      <c r="H416" s="1012">
        <v>0.0</v>
      </c>
      <c r="I416" s="1009"/>
    </row>
    <row r="417">
      <c r="A417" t="s">
        <v>508</v>
      </c>
      <c r="B417" s="1003">
        <v>42527.0</v>
      </c>
      <c r="C417" s="1004">
        <f t="shared" si="1"/>
        <v>158</v>
      </c>
      <c r="D417" s="1005">
        <f t="shared" si="2"/>
        <v>5.180327869</v>
      </c>
      <c r="E417" s="1006">
        <f t="shared" si="3"/>
        <v>6</v>
      </c>
      <c r="F417" s="1006" t="s">
        <v>2780</v>
      </c>
      <c r="G417" s="1007">
        <v>-0.017069862243680567</v>
      </c>
      <c r="H417" s="1012">
        <v>-1.0</v>
      </c>
      <c r="I417" s="1009"/>
    </row>
    <row r="418">
      <c r="A418" t="s">
        <v>120</v>
      </c>
      <c r="B418" s="1003">
        <v>42162.0</v>
      </c>
      <c r="C418" s="1004">
        <f t="shared" si="1"/>
        <v>158</v>
      </c>
      <c r="D418" s="1005">
        <f t="shared" si="2"/>
        <v>5.180327869</v>
      </c>
      <c r="E418" s="1006">
        <f t="shared" si="3"/>
        <v>6</v>
      </c>
      <c r="F418" s="1006" t="s">
        <v>2780</v>
      </c>
      <c r="G418" s="1007">
        <v>-0.038381201047355984</v>
      </c>
      <c r="H418" s="1012">
        <v>-1.0</v>
      </c>
      <c r="I418" s="1009"/>
    </row>
    <row r="419">
      <c r="A419" t="s">
        <v>761</v>
      </c>
      <c r="B419" s="1003">
        <v>42528.0</v>
      </c>
      <c r="C419" s="1004">
        <f t="shared" si="1"/>
        <v>159</v>
      </c>
      <c r="D419" s="1005">
        <f t="shared" si="2"/>
        <v>5.213114754</v>
      </c>
      <c r="E419" s="1006">
        <f t="shared" si="3"/>
        <v>6</v>
      </c>
      <c r="F419" s="1006" t="s">
        <v>2780</v>
      </c>
      <c r="G419" s="1007">
        <v>-0.04310198186547709</v>
      </c>
      <c r="H419" s="1012">
        <v>-1.0</v>
      </c>
      <c r="I419" s="1009"/>
    </row>
    <row r="420">
      <c r="A420" t="s">
        <v>126</v>
      </c>
      <c r="B420" s="1003">
        <v>42895.0</v>
      </c>
      <c r="C420" s="1004">
        <f t="shared" si="1"/>
        <v>160</v>
      </c>
      <c r="D420" s="1005">
        <f t="shared" si="2"/>
        <v>5.245901639</v>
      </c>
      <c r="E420" s="1006">
        <f t="shared" si="3"/>
        <v>6</v>
      </c>
      <c r="F420" s="1006" t="s">
        <v>2780</v>
      </c>
      <c r="G420" s="1007">
        <v>0.009903711278376304</v>
      </c>
      <c r="H420" s="1012">
        <v>0.0</v>
      </c>
      <c r="I420" s="1009"/>
    </row>
    <row r="421">
      <c r="A421" t="s">
        <v>717</v>
      </c>
      <c r="B421" s="1003">
        <v>42164.0</v>
      </c>
      <c r="C421" s="1004">
        <f t="shared" si="1"/>
        <v>160</v>
      </c>
      <c r="D421" s="1005">
        <f t="shared" si="2"/>
        <v>5.245901639</v>
      </c>
      <c r="E421" s="1006">
        <f t="shared" si="3"/>
        <v>6</v>
      </c>
      <c r="F421" s="1006" t="s">
        <v>2780</v>
      </c>
      <c r="G421" s="1007">
        <v>0.014845476909624788</v>
      </c>
      <c r="H421" s="1012">
        <v>1.0</v>
      </c>
      <c r="I421" s="1009"/>
    </row>
    <row r="422">
      <c r="A422" t="s">
        <v>449</v>
      </c>
      <c r="B422" s="1003">
        <v>42164.0</v>
      </c>
      <c r="C422" s="1004">
        <f t="shared" si="1"/>
        <v>160</v>
      </c>
      <c r="D422" s="1005">
        <f t="shared" si="2"/>
        <v>5.245901639</v>
      </c>
      <c r="E422" s="1006">
        <f t="shared" si="3"/>
        <v>6</v>
      </c>
      <c r="F422" s="1006" t="s">
        <v>2780</v>
      </c>
      <c r="G422" s="1007">
        <v>-0.0018041865495300735</v>
      </c>
      <c r="H422" s="1012">
        <v>0.0</v>
      </c>
      <c r="I422" s="1009"/>
    </row>
    <row r="423">
      <c r="A423" t="s">
        <v>143</v>
      </c>
      <c r="B423" s="1003">
        <v>42164.0</v>
      </c>
      <c r="C423" s="1004">
        <f t="shared" si="1"/>
        <v>160</v>
      </c>
      <c r="D423" s="1005">
        <f t="shared" si="2"/>
        <v>5.245901639</v>
      </c>
      <c r="E423" s="1006">
        <f t="shared" si="3"/>
        <v>6</v>
      </c>
      <c r="F423" s="1006" t="s">
        <v>2780</v>
      </c>
      <c r="G423" s="1007">
        <v>0.003903584617597655</v>
      </c>
      <c r="H423" s="1012">
        <v>0.0</v>
      </c>
      <c r="I423" s="1009"/>
    </row>
    <row r="424">
      <c r="A424" t="s">
        <v>936</v>
      </c>
      <c r="B424" s="1003">
        <v>42165.0</v>
      </c>
      <c r="C424" s="1004">
        <f t="shared" si="1"/>
        <v>161</v>
      </c>
      <c r="D424" s="1005">
        <f t="shared" si="2"/>
        <v>5.278688525</v>
      </c>
      <c r="E424" s="1006">
        <f t="shared" si="3"/>
        <v>6</v>
      </c>
      <c r="F424" s="1006" t="s">
        <v>2780</v>
      </c>
      <c r="G424" s="1007">
        <v>0.024035772902249786</v>
      </c>
      <c r="H424" s="1012">
        <v>1.0</v>
      </c>
      <c r="I424" s="1009"/>
    </row>
    <row r="425">
      <c r="A425" t="s">
        <v>300</v>
      </c>
      <c r="B425" s="1003">
        <v>42897.0</v>
      </c>
      <c r="C425" s="1004">
        <f t="shared" si="1"/>
        <v>162</v>
      </c>
      <c r="D425" s="1005">
        <f t="shared" si="2"/>
        <v>5.31147541</v>
      </c>
      <c r="E425" s="1006">
        <f t="shared" si="3"/>
        <v>6</v>
      </c>
      <c r="F425" s="1006" t="s">
        <v>2780</v>
      </c>
      <c r="G425" s="1007">
        <v>0.006394274226857122</v>
      </c>
      <c r="H425" s="1012">
        <v>0.0</v>
      </c>
      <c r="I425" s="1009"/>
    </row>
    <row r="426">
      <c r="A426" t="s">
        <v>1784</v>
      </c>
      <c r="B426" s="1003">
        <v>42897.0</v>
      </c>
      <c r="C426" s="1004">
        <f t="shared" si="1"/>
        <v>162</v>
      </c>
      <c r="D426" s="1005">
        <f t="shared" si="2"/>
        <v>5.31147541</v>
      </c>
      <c r="E426" s="1006">
        <f t="shared" si="3"/>
        <v>6</v>
      </c>
      <c r="F426" s="1006" t="s">
        <v>2780</v>
      </c>
      <c r="G426" s="1007">
        <v>0.019685465960948445</v>
      </c>
      <c r="H426" s="1012">
        <v>1.0</v>
      </c>
      <c r="I426" s="1009"/>
    </row>
    <row r="427">
      <c r="A427" t="s">
        <v>942</v>
      </c>
      <c r="B427" s="1003">
        <v>42166.0</v>
      </c>
      <c r="C427" s="1004">
        <f t="shared" si="1"/>
        <v>162</v>
      </c>
      <c r="D427" s="1005">
        <f t="shared" si="2"/>
        <v>5.31147541</v>
      </c>
      <c r="E427" s="1006">
        <f t="shared" si="3"/>
        <v>6</v>
      </c>
      <c r="F427" s="1006" t="s">
        <v>2780</v>
      </c>
      <c r="G427" s="1007">
        <v>0.0021601623563088923</v>
      </c>
      <c r="H427" s="1012">
        <v>0.0</v>
      </c>
      <c r="I427" s="1009"/>
    </row>
    <row r="428">
      <c r="A428" t="s">
        <v>761</v>
      </c>
      <c r="B428" s="1003">
        <v>42532.0</v>
      </c>
      <c r="C428" s="1004">
        <f t="shared" si="1"/>
        <v>163</v>
      </c>
      <c r="D428" s="1005">
        <f t="shared" si="2"/>
        <v>5.344262295</v>
      </c>
      <c r="E428" s="1006">
        <f t="shared" si="3"/>
        <v>6</v>
      </c>
      <c r="F428" s="1006" t="s">
        <v>2780</v>
      </c>
      <c r="G428" s="1007">
        <v>-0.03870216844489094</v>
      </c>
      <c r="H428" s="1012">
        <v>-1.0</v>
      </c>
      <c r="I428" s="1009"/>
    </row>
    <row r="429">
      <c r="A429" t="s">
        <v>1652</v>
      </c>
      <c r="B429" s="1003">
        <v>42532.0</v>
      </c>
      <c r="C429" s="1004">
        <f t="shared" si="1"/>
        <v>163</v>
      </c>
      <c r="D429" s="1005">
        <f t="shared" si="2"/>
        <v>5.344262295</v>
      </c>
      <c r="E429" s="1006">
        <f t="shared" si="3"/>
        <v>6</v>
      </c>
      <c r="F429" s="1006" t="s">
        <v>2780</v>
      </c>
      <c r="G429" s="1007">
        <v>0.008452960547413735</v>
      </c>
      <c r="H429" s="1012">
        <v>0.0</v>
      </c>
      <c r="I429" s="1009"/>
    </row>
    <row r="430">
      <c r="A430" t="s">
        <v>513</v>
      </c>
      <c r="B430" s="1003">
        <v>42532.0</v>
      </c>
      <c r="C430" s="1004">
        <f t="shared" si="1"/>
        <v>163</v>
      </c>
      <c r="D430" s="1005">
        <f t="shared" si="2"/>
        <v>5.344262295</v>
      </c>
      <c r="E430" s="1006">
        <f t="shared" si="3"/>
        <v>6</v>
      </c>
      <c r="F430" s="1006" t="s">
        <v>2780</v>
      </c>
      <c r="G430" s="1007">
        <v>0.024830102343349925</v>
      </c>
      <c r="H430" s="1012">
        <v>1.0</v>
      </c>
      <c r="I430" s="1009"/>
    </row>
    <row r="431">
      <c r="A431" t="s">
        <v>548</v>
      </c>
      <c r="B431" s="1003">
        <v>42532.0</v>
      </c>
      <c r="C431" s="1004">
        <f t="shared" si="1"/>
        <v>163</v>
      </c>
      <c r="D431" s="1005">
        <f t="shared" si="2"/>
        <v>5.344262295</v>
      </c>
      <c r="E431" s="1006">
        <f t="shared" si="3"/>
        <v>6</v>
      </c>
      <c r="F431" s="1006" t="s">
        <v>2780</v>
      </c>
      <c r="G431" s="1007">
        <v>0.01225953452693318</v>
      </c>
      <c r="H431" s="1012">
        <v>1.0</v>
      </c>
      <c r="I431" s="1009"/>
    </row>
    <row r="432">
      <c r="A432" t="s">
        <v>532</v>
      </c>
      <c r="B432" s="1003">
        <v>42532.0</v>
      </c>
      <c r="C432" s="1004">
        <f t="shared" si="1"/>
        <v>163</v>
      </c>
      <c r="D432" s="1005">
        <f t="shared" si="2"/>
        <v>5.344262295</v>
      </c>
      <c r="E432" s="1006">
        <f t="shared" si="3"/>
        <v>6</v>
      </c>
      <c r="F432" s="1006" t="s">
        <v>2780</v>
      </c>
      <c r="G432" s="1007">
        <v>-0.03516276793410744</v>
      </c>
      <c r="H432" s="1012">
        <v>-1.0</v>
      </c>
      <c r="I432" s="1009"/>
    </row>
    <row r="433">
      <c r="A433" t="s">
        <v>541</v>
      </c>
      <c r="B433" s="1003">
        <v>42167.0</v>
      </c>
      <c r="C433" s="1004">
        <f t="shared" si="1"/>
        <v>163</v>
      </c>
      <c r="D433" s="1005">
        <f t="shared" si="2"/>
        <v>5.344262295</v>
      </c>
      <c r="E433" s="1006">
        <f t="shared" si="3"/>
        <v>6</v>
      </c>
      <c r="F433" s="1006" t="s">
        <v>2780</v>
      </c>
      <c r="G433" s="1007">
        <v>0.01973010234334993</v>
      </c>
      <c r="H433" s="1012">
        <v>1.0</v>
      </c>
      <c r="I433" s="1009"/>
    </row>
    <row r="434">
      <c r="A434" t="s">
        <v>58</v>
      </c>
      <c r="B434" s="1003">
        <v>42167.0</v>
      </c>
      <c r="C434" s="1004">
        <f t="shared" si="1"/>
        <v>163</v>
      </c>
      <c r="D434" s="1005">
        <f t="shared" si="2"/>
        <v>5.344262295</v>
      </c>
      <c r="E434" s="1006">
        <f t="shared" si="3"/>
        <v>6</v>
      </c>
      <c r="F434" s="1006" t="s">
        <v>2780</v>
      </c>
      <c r="G434" s="1007">
        <v>0.01926900106797569</v>
      </c>
      <c r="H434" s="1012">
        <v>1.0</v>
      </c>
      <c r="I434" s="1009"/>
    </row>
    <row r="435">
      <c r="A435" t="s">
        <v>513</v>
      </c>
      <c r="B435" s="1003">
        <v>42167.0</v>
      </c>
      <c r="C435" s="1004">
        <f t="shared" si="1"/>
        <v>163</v>
      </c>
      <c r="D435" s="1005">
        <f t="shared" si="2"/>
        <v>5.344262295</v>
      </c>
      <c r="E435" s="1006">
        <f t="shared" si="3"/>
        <v>6</v>
      </c>
      <c r="F435" s="1006" t="s">
        <v>2780</v>
      </c>
      <c r="G435" s="1007">
        <v>0.011030664242198784</v>
      </c>
      <c r="H435" s="1012">
        <v>1.0</v>
      </c>
      <c r="I435" s="1009"/>
    </row>
    <row r="436">
      <c r="A436" t="s">
        <v>1741</v>
      </c>
      <c r="B436" s="1003">
        <v>42167.0</v>
      </c>
      <c r="C436" s="1004">
        <f t="shared" si="1"/>
        <v>163</v>
      </c>
      <c r="D436" s="1005">
        <f t="shared" si="2"/>
        <v>5.344262295</v>
      </c>
      <c r="E436" s="1006">
        <f t="shared" si="3"/>
        <v>6</v>
      </c>
      <c r="F436" s="1006" t="s">
        <v>2780</v>
      </c>
      <c r="G436" s="1007">
        <v>-0.04243472635368972</v>
      </c>
      <c r="H436" s="1012">
        <v>-1.0</v>
      </c>
      <c r="I436" s="1009"/>
    </row>
    <row r="437">
      <c r="A437" t="s">
        <v>100</v>
      </c>
      <c r="B437" s="1003">
        <v>42167.0</v>
      </c>
      <c r="C437" s="1004">
        <f t="shared" si="1"/>
        <v>163</v>
      </c>
      <c r="D437" s="1005">
        <f t="shared" si="2"/>
        <v>5.344262295</v>
      </c>
      <c r="E437" s="1006">
        <f t="shared" si="3"/>
        <v>6</v>
      </c>
      <c r="F437" s="1006" t="s">
        <v>2780</v>
      </c>
      <c r="G437" s="1007">
        <v>-0.014530568726031534</v>
      </c>
      <c r="H437" s="1012">
        <v>-1.0</v>
      </c>
      <c r="I437" s="1009"/>
    </row>
    <row r="438">
      <c r="A438" t="s">
        <v>1447</v>
      </c>
      <c r="B438" s="1003">
        <v>42899.0</v>
      </c>
      <c r="C438" s="1004">
        <f t="shared" si="1"/>
        <v>164</v>
      </c>
      <c r="D438" s="1005">
        <f t="shared" si="2"/>
        <v>5.37704918</v>
      </c>
      <c r="E438" s="1006">
        <f t="shared" si="3"/>
        <v>6</v>
      </c>
      <c r="F438" s="1006" t="s">
        <v>2780</v>
      </c>
      <c r="G438" s="1007">
        <v>-0.005858729574356736</v>
      </c>
      <c r="H438" s="1012">
        <v>0.0</v>
      </c>
      <c r="I438" s="1009"/>
    </row>
    <row r="439">
      <c r="A439" t="s">
        <v>566</v>
      </c>
      <c r="B439" s="1003">
        <v>42533.0</v>
      </c>
      <c r="C439" s="1004">
        <f t="shared" si="1"/>
        <v>164</v>
      </c>
      <c r="D439" s="1005">
        <f t="shared" si="2"/>
        <v>5.37704918</v>
      </c>
      <c r="E439" s="1006">
        <f t="shared" si="3"/>
        <v>6</v>
      </c>
      <c r="F439" s="1006" t="s">
        <v>2780</v>
      </c>
      <c r="G439" s="1007">
        <v>0.017230102343349873</v>
      </c>
      <c r="H439" s="1012">
        <v>1.0</v>
      </c>
      <c r="I439" s="1009"/>
    </row>
    <row r="440">
      <c r="A440" t="s">
        <v>885</v>
      </c>
      <c r="B440" s="1003">
        <v>42168.0</v>
      </c>
      <c r="C440" s="1004">
        <f t="shared" si="1"/>
        <v>164</v>
      </c>
      <c r="D440" s="1005">
        <f t="shared" si="2"/>
        <v>5.37704918</v>
      </c>
      <c r="E440" s="1006">
        <f t="shared" si="3"/>
        <v>6</v>
      </c>
      <c r="F440" s="1006" t="s">
        <v>2780</v>
      </c>
      <c r="G440" s="1007">
        <v>-0.05074540710633402</v>
      </c>
      <c r="H440" s="1012">
        <v>-1.0</v>
      </c>
      <c r="I440" s="1009"/>
    </row>
    <row r="441">
      <c r="A441" t="s">
        <v>201</v>
      </c>
      <c r="B441" s="1003">
        <v>42168.0</v>
      </c>
      <c r="C441" s="1004">
        <f t="shared" si="1"/>
        <v>164</v>
      </c>
      <c r="D441" s="1005">
        <f t="shared" si="2"/>
        <v>5.37704918</v>
      </c>
      <c r="E441" s="1006">
        <f t="shared" si="3"/>
        <v>6</v>
      </c>
      <c r="F441" s="1006" t="s">
        <v>2780</v>
      </c>
      <c r="G441" s="1007">
        <v>0.0014708108560348432</v>
      </c>
      <c r="H441" s="1012">
        <v>0.0</v>
      </c>
      <c r="I441" s="1009"/>
    </row>
    <row r="442">
      <c r="A442" t="s">
        <v>106</v>
      </c>
      <c r="B442" s="1003">
        <v>42169.0</v>
      </c>
      <c r="C442" s="1004">
        <f t="shared" si="1"/>
        <v>165</v>
      </c>
      <c r="D442" s="1005">
        <f t="shared" si="2"/>
        <v>5.409836066</v>
      </c>
      <c r="E442" s="1006">
        <f t="shared" si="3"/>
        <v>6</v>
      </c>
      <c r="F442" s="1006" t="s">
        <v>2780</v>
      </c>
      <c r="G442" s="1007">
        <v>-0.03492773330425791</v>
      </c>
      <c r="H442" s="1012">
        <v>-1.0</v>
      </c>
      <c r="I442" s="1009"/>
    </row>
    <row r="443">
      <c r="A443" t="s">
        <v>1874</v>
      </c>
      <c r="B443" s="1003">
        <v>42536.0</v>
      </c>
      <c r="C443" s="1004">
        <f t="shared" si="1"/>
        <v>167</v>
      </c>
      <c r="D443" s="1005">
        <f t="shared" si="2"/>
        <v>5.475409836</v>
      </c>
      <c r="E443" s="1006">
        <f t="shared" si="3"/>
        <v>6</v>
      </c>
      <c r="F443" s="1006" t="s">
        <v>2780</v>
      </c>
      <c r="G443" s="1007">
        <v>0.03182951852329263</v>
      </c>
      <c r="H443" s="1012">
        <v>1.0</v>
      </c>
      <c r="I443" s="1009"/>
    </row>
    <row r="444">
      <c r="A444" t="s">
        <v>186</v>
      </c>
      <c r="B444" s="1003">
        <v>42536.0</v>
      </c>
      <c r="C444" s="1004">
        <f t="shared" si="1"/>
        <v>167</v>
      </c>
      <c r="D444" s="1005">
        <f t="shared" si="2"/>
        <v>5.475409836</v>
      </c>
      <c r="E444" s="1006">
        <f t="shared" si="3"/>
        <v>6</v>
      </c>
      <c r="F444" s="1006" t="s">
        <v>2780</v>
      </c>
      <c r="G444" s="1007">
        <v>-0.008680035731151059</v>
      </c>
      <c r="H444" s="1012">
        <v>0.0</v>
      </c>
      <c r="I444" s="1009"/>
    </row>
    <row r="445">
      <c r="A445" t="s">
        <v>1884</v>
      </c>
      <c r="B445" s="1003">
        <v>42903.0</v>
      </c>
      <c r="C445" s="1004">
        <f t="shared" si="1"/>
        <v>168</v>
      </c>
      <c r="D445" s="1005">
        <f t="shared" si="2"/>
        <v>5.508196721</v>
      </c>
      <c r="E445" s="1006">
        <f t="shared" si="3"/>
        <v>6</v>
      </c>
      <c r="F445" s="1006" t="s">
        <v>2780</v>
      </c>
      <c r="G445" s="1007">
        <v>-0.020804927219658653</v>
      </c>
      <c r="H445" s="1012">
        <v>-1.0</v>
      </c>
      <c r="I445" s="1009"/>
    </row>
    <row r="446">
      <c r="A446" t="s">
        <v>736</v>
      </c>
      <c r="B446" s="1003">
        <v>42903.0</v>
      </c>
      <c r="C446" s="1004">
        <f t="shared" si="1"/>
        <v>168</v>
      </c>
      <c r="D446" s="1005">
        <f t="shared" si="2"/>
        <v>5.508196721</v>
      </c>
      <c r="E446" s="1006">
        <f t="shared" si="3"/>
        <v>6</v>
      </c>
      <c r="F446" s="1006" t="s">
        <v>2780</v>
      </c>
      <c r="G446" s="1007">
        <v>0.024931454342038473</v>
      </c>
      <c r="H446" s="1012">
        <v>1.0</v>
      </c>
      <c r="I446" s="1009"/>
    </row>
    <row r="447">
      <c r="A447" t="s">
        <v>449</v>
      </c>
      <c r="B447" s="1003">
        <v>42537.0</v>
      </c>
      <c r="C447" s="1004">
        <f t="shared" si="1"/>
        <v>168</v>
      </c>
      <c r="D447" s="1005">
        <f t="shared" si="2"/>
        <v>5.508196721</v>
      </c>
      <c r="E447" s="1006">
        <f t="shared" si="3"/>
        <v>6</v>
      </c>
      <c r="F447" s="1006" t="s">
        <v>2780</v>
      </c>
      <c r="G447" s="1007">
        <v>-0.0010369941659935655</v>
      </c>
      <c r="H447" s="1012">
        <v>0.0</v>
      </c>
      <c r="I447" s="1009"/>
    </row>
    <row r="448">
      <c r="A448" t="s">
        <v>1629</v>
      </c>
      <c r="B448" s="1003">
        <v>42537.0</v>
      </c>
      <c r="C448" s="1004">
        <f t="shared" si="1"/>
        <v>168</v>
      </c>
      <c r="D448" s="1005">
        <f t="shared" si="2"/>
        <v>5.508196721</v>
      </c>
      <c r="E448" s="1006">
        <f t="shared" si="3"/>
        <v>6</v>
      </c>
      <c r="F448" s="1006" t="s">
        <v>2780</v>
      </c>
      <c r="G448" s="1007">
        <v>0.03164844432023184</v>
      </c>
      <c r="H448" s="1012">
        <v>1.0</v>
      </c>
      <c r="I448" s="1009"/>
    </row>
    <row r="449">
      <c r="A449" t="s">
        <v>279</v>
      </c>
      <c r="B449" s="1003">
        <v>42538.0</v>
      </c>
      <c r="C449" s="1004">
        <f t="shared" si="1"/>
        <v>169</v>
      </c>
      <c r="D449" s="1005">
        <f t="shared" si="2"/>
        <v>5.540983607</v>
      </c>
      <c r="E449" s="1006">
        <f t="shared" si="3"/>
        <v>6</v>
      </c>
      <c r="F449" s="1006" t="s">
        <v>2780</v>
      </c>
      <c r="G449" s="1007">
        <v>0.018145466911605568</v>
      </c>
      <c r="H449" s="1012">
        <v>1.0</v>
      </c>
      <c r="I449" s="1009"/>
    </row>
    <row r="450">
      <c r="A450" t="s">
        <v>1667</v>
      </c>
      <c r="B450" s="1003">
        <v>42538.0</v>
      </c>
      <c r="C450" s="1004">
        <f t="shared" si="1"/>
        <v>169</v>
      </c>
      <c r="D450" s="1005">
        <f t="shared" si="2"/>
        <v>5.540983607</v>
      </c>
      <c r="E450" s="1006">
        <f t="shared" si="3"/>
        <v>6</v>
      </c>
      <c r="F450" s="1006" t="s">
        <v>2780</v>
      </c>
      <c r="G450" s="1007">
        <v>0.056836949235121725</v>
      </c>
      <c r="H450" s="1012">
        <v>1.0</v>
      </c>
      <c r="I450" s="1009"/>
    </row>
    <row r="451">
      <c r="A451" t="s">
        <v>161</v>
      </c>
      <c r="B451" s="1003">
        <v>42905.0</v>
      </c>
      <c r="C451" s="1004">
        <f t="shared" si="1"/>
        <v>170</v>
      </c>
      <c r="D451" s="1005">
        <f t="shared" si="2"/>
        <v>5.573770492</v>
      </c>
      <c r="E451" s="1006">
        <f t="shared" si="3"/>
        <v>6</v>
      </c>
      <c r="F451" s="1006" t="s">
        <v>2780</v>
      </c>
      <c r="G451" s="1007">
        <v>-0.00557246067531425</v>
      </c>
      <c r="H451" s="1012">
        <v>0.0</v>
      </c>
      <c r="I451" s="1009"/>
    </row>
    <row r="452">
      <c r="A452" t="s">
        <v>161</v>
      </c>
      <c r="B452" s="1003">
        <v>42174.0</v>
      </c>
      <c r="C452" s="1004">
        <f t="shared" si="1"/>
        <v>170</v>
      </c>
      <c r="D452" s="1005">
        <f t="shared" si="2"/>
        <v>5.573770492</v>
      </c>
      <c r="E452" s="1006">
        <f t="shared" si="3"/>
        <v>6</v>
      </c>
      <c r="F452" s="1006" t="s">
        <v>2780</v>
      </c>
      <c r="G452" s="1007">
        <v>-0.01112226511258696</v>
      </c>
      <c r="H452" s="1012">
        <v>-1.0</v>
      </c>
      <c r="I452" s="1009"/>
    </row>
    <row r="453">
      <c r="A453" t="s">
        <v>739</v>
      </c>
      <c r="B453" s="1003">
        <v>42906.0</v>
      </c>
      <c r="C453" s="1004">
        <f t="shared" si="1"/>
        <v>171</v>
      </c>
      <c r="D453" s="1005">
        <f t="shared" si="2"/>
        <v>5.606557377</v>
      </c>
      <c r="E453" s="1006">
        <f t="shared" si="3"/>
        <v>6</v>
      </c>
      <c r="F453" s="1006" t="s">
        <v>2780</v>
      </c>
      <c r="G453" s="1007">
        <v>-0.01828875037254185</v>
      </c>
      <c r="H453" s="1012">
        <v>-1.0</v>
      </c>
      <c r="I453" s="1009"/>
    </row>
    <row r="454">
      <c r="A454" t="s">
        <v>1650</v>
      </c>
      <c r="B454" s="1003">
        <v>42540.0</v>
      </c>
      <c r="C454" s="1004">
        <f t="shared" si="1"/>
        <v>171</v>
      </c>
      <c r="D454" s="1005">
        <f t="shared" si="2"/>
        <v>5.606557377</v>
      </c>
      <c r="E454" s="1006">
        <f t="shared" si="3"/>
        <v>6</v>
      </c>
      <c r="F454" s="1006" t="s">
        <v>2780</v>
      </c>
      <c r="G454" s="1007">
        <v>0.014137059110799655</v>
      </c>
      <c r="H454" s="1012">
        <v>1.0</v>
      </c>
      <c r="I454" s="1009"/>
    </row>
    <row r="455">
      <c r="A455" t="s">
        <v>717</v>
      </c>
      <c r="B455" s="1003">
        <v>42175.0</v>
      </c>
      <c r="C455" s="1004">
        <f t="shared" si="1"/>
        <v>171</v>
      </c>
      <c r="D455" s="1005">
        <f t="shared" si="2"/>
        <v>5.606557377</v>
      </c>
      <c r="E455" s="1006">
        <f t="shared" si="3"/>
        <v>6</v>
      </c>
      <c r="F455" s="1006" t="s">
        <v>2780</v>
      </c>
      <c r="G455" s="1007">
        <v>0.01753157183620746</v>
      </c>
      <c r="H455" s="1012">
        <v>1.0</v>
      </c>
      <c r="I455" s="1009"/>
    </row>
    <row r="456">
      <c r="A456" t="s">
        <v>1757</v>
      </c>
      <c r="B456" s="1003">
        <v>42907.0</v>
      </c>
      <c r="C456" s="1004">
        <f t="shared" si="1"/>
        <v>172</v>
      </c>
      <c r="D456" s="1005">
        <f t="shared" si="2"/>
        <v>5.639344262</v>
      </c>
      <c r="E456" s="1006">
        <f t="shared" si="3"/>
        <v>6</v>
      </c>
      <c r="F456" s="1006" t="s">
        <v>2780</v>
      </c>
      <c r="G456" s="1007">
        <v>-0.009390020423709844</v>
      </c>
      <c r="H456" s="1012">
        <v>0.0</v>
      </c>
      <c r="I456" s="1009"/>
    </row>
    <row r="457">
      <c r="A457" t="s">
        <v>1726</v>
      </c>
      <c r="B457" s="1003">
        <v>42907.0</v>
      </c>
      <c r="C457" s="1004">
        <f t="shared" si="1"/>
        <v>172</v>
      </c>
      <c r="D457" s="1005">
        <f t="shared" si="2"/>
        <v>5.639344262</v>
      </c>
      <c r="E457" s="1006">
        <f t="shared" si="3"/>
        <v>6</v>
      </c>
      <c r="F457" s="1006" t="s">
        <v>2780</v>
      </c>
      <c r="G457" s="1007">
        <v>0.001620730134077042</v>
      </c>
      <c r="H457" s="1012">
        <v>0.0</v>
      </c>
      <c r="I457" s="1009"/>
    </row>
    <row r="458">
      <c r="A458" t="s">
        <v>331</v>
      </c>
      <c r="B458" s="1003">
        <v>42176.0</v>
      </c>
      <c r="C458" s="1004">
        <f t="shared" si="1"/>
        <v>172</v>
      </c>
      <c r="D458" s="1005">
        <f t="shared" si="2"/>
        <v>5.639344262</v>
      </c>
      <c r="E458" s="1006">
        <f t="shared" si="3"/>
        <v>6</v>
      </c>
      <c r="F458" s="1006" t="s">
        <v>2780</v>
      </c>
      <c r="G458" s="1007">
        <v>0.00932894421850261</v>
      </c>
      <c r="H458" s="1012">
        <v>0.0</v>
      </c>
      <c r="I458" s="1009"/>
    </row>
    <row r="459">
      <c r="A459" t="s">
        <v>1611</v>
      </c>
      <c r="B459" s="1003">
        <v>42908.0</v>
      </c>
      <c r="C459" s="1004">
        <f t="shared" si="1"/>
        <v>173</v>
      </c>
      <c r="D459" s="1005">
        <f t="shared" si="2"/>
        <v>5.672131148</v>
      </c>
      <c r="E459" s="1006">
        <f t="shared" si="3"/>
        <v>6</v>
      </c>
      <c r="F459" s="1006" t="s">
        <v>2780</v>
      </c>
      <c r="G459" s="1007">
        <v>0.026437826923307095</v>
      </c>
      <c r="H459" s="1012">
        <v>1.0</v>
      </c>
      <c r="I459" s="1009"/>
    </row>
    <row r="460">
      <c r="A460" t="s">
        <v>1628</v>
      </c>
      <c r="B460" s="1003">
        <v>42542.0</v>
      </c>
      <c r="C460" s="1004">
        <f t="shared" si="1"/>
        <v>173</v>
      </c>
      <c r="D460" s="1005">
        <f t="shared" si="2"/>
        <v>5.672131148</v>
      </c>
      <c r="E460" s="1006">
        <f t="shared" si="3"/>
        <v>6</v>
      </c>
      <c r="F460" s="1006" t="s">
        <v>2780</v>
      </c>
      <c r="G460" s="1007">
        <v>0.016027178212151494</v>
      </c>
      <c r="H460" s="1012">
        <v>1.0</v>
      </c>
      <c r="I460" s="1009"/>
    </row>
    <row r="461">
      <c r="A461" t="s">
        <v>1741</v>
      </c>
      <c r="B461" s="1003">
        <v>42542.0</v>
      </c>
      <c r="C461" s="1004">
        <f t="shared" si="1"/>
        <v>173</v>
      </c>
      <c r="D461" s="1005">
        <f t="shared" si="2"/>
        <v>5.672131148</v>
      </c>
      <c r="E461" s="1006">
        <f t="shared" si="3"/>
        <v>6</v>
      </c>
      <c r="F461" s="1006" t="s">
        <v>2780</v>
      </c>
      <c r="G461" s="1007">
        <v>0.00445837133717808</v>
      </c>
      <c r="H461" s="1012">
        <v>0.0</v>
      </c>
      <c r="I461" s="1009"/>
    </row>
    <row r="462">
      <c r="A462" t="s">
        <v>1454</v>
      </c>
      <c r="B462" s="1003">
        <v>42909.0</v>
      </c>
      <c r="C462" s="1004">
        <f t="shared" si="1"/>
        <v>174</v>
      </c>
      <c r="D462" s="1005">
        <f t="shared" si="2"/>
        <v>5.704918033</v>
      </c>
      <c r="E462" s="1006">
        <f t="shared" si="3"/>
        <v>6</v>
      </c>
      <c r="F462" s="1006" t="s">
        <v>2780</v>
      </c>
      <c r="G462" s="1007">
        <v>0.023450845332575687</v>
      </c>
      <c r="H462" s="1012">
        <v>1.0</v>
      </c>
      <c r="I462" s="1009"/>
    </row>
    <row r="463">
      <c r="A463" t="s">
        <v>1884</v>
      </c>
      <c r="B463" s="1003">
        <v>42910.0</v>
      </c>
      <c r="C463" s="1004">
        <f t="shared" si="1"/>
        <v>175</v>
      </c>
      <c r="D463" s="1005">
        <f t="shared" si="2"/>
        <v>5.737704918</v>
      </c>
      <c r="E463" s="1006">
        <f t="shared" si="3"/>
        <v>6</v>
      </c>
      <c r="F463" s="1006" t="s">
        <v>2780</v>
      </c>
      <c r="G463" s="1007">
        <v>-0.02005023733080613</v>
      </c>
      <c r="H463" s="1012">
        <v>-1.0</v>
      </c>
      <c r="I463" s="1009"/>
    </row>
    <row r="464">
      <c r="A464" t="s">
        <v>1493</v>
      </c>
      <c r="B464" s="1003">
        <v>42910.0</v>
      </c>
      <c r="C464" s="1004">
        <f t="shared" si="1"/>
        <v>175</v>
      </c>
      <c r="D464" s="1005">
        <f t="shared" si="2"/>
        <v>5.737704918</v>
      </c>
      <c r="E464" s="1006">
        <f t="shared" si="3"/>
        <v>6</v>
      </c>
      <c r="F464" s="1006" t="s">
        <v>2780</v>
      </c>
      <c r="G464" s="1007">
        <v>-0.0021830849153747778</v>
      </c>
      <c r="H464" s="1012">
        <v>0.0</v>
      </c>
      <c r="I464" s="1009"/>
    </row>
    <row r="465">
      <c r="A465" t="s">
        <v>449</v>
      </c>
      <c r="B465" s="1003">
        <v>42544.0</v>
      </c>
      <c r="C465" s="1004">
        <f t="shared" si="1"/>
        <v>175</v>
      </c>
      <c r="D465" s="1005">
        <f t="shared" si="2"/>
        <v>5.737704918</v>
      </c>
      <c r="E465" s="1006">
        <f t="shared" si="3"/>
        <v>6</v>
      </c>
      <c r="F465" s="1006" t="s">
        <v>2780</v>
      </c>
      <c r="G465" s="1007">
        <v>0.004214016730715198</v>
      </c>
      <c r="H465" s="1012">
        <v>0.0</v>
      </c>
      <c r="I465" s="1009"/>
    </row>
    <row r="466">
      <c r="A466" t="s">
        <v>194</v>
      </c>
      <c r="B466" s="1003">
        <v>42911.0</v>
      </c>
      <c r="C466" s="1004">
        <f t="shared" si="1"/>
        <v>176</v>
      </c>
      <c r="D466" s="1005">
        <f t="shared" si="2"/>
        <v>5.770491803</v>
      </c>
      <c r="E466" s="1006">
        <f t="shared" si="3"/>
        <v>6</v>
      </c>
      <c r="F466" s="1006" t="s">
        <v>2780</v>
      </c>
      <c r="G466" s="1007">
        <v>-0.04667618974761789</v>
      </c>
      <c r="H466" s="1012">
        <v>-1.0</v>
      </c>
      <c r="I466" s="1009"/>
    </row>
    <row r="467">
      <c r="A467" t="s">
        <v>749</v>
      </c>
      <c r="B467" s="1003">
        <v>42911.0</v>
      </c>
      <c r="C467" s="1004">
        <f t="shared" si="1"/>
        <v>176</v>
      </c>
      <c r="D467" s="1005">
        <f t="shared" si="2"/>
        <v>5.770491803</v>
      </c>
      <c r="E467" s="1006">
        <f t="shared" si="3"/>
        <v>6</v>
      </c>
      <c r="F467" s="1006" t="s">
        <v>2780</v>
      </c>
      <c r="G467" s="1007">
        <v>0.010613993892185536</v>
      </c>
      <c r="H467" s="1012">
        <v>1.0</v>
      </c>
      <c r="I467" s="1009"/>
    </row>
    <row r="468">
      <c r="A468" t="s">
        <v>519</v>
      </c>
      <c r="B468" s="1003">
        <v>42911.0</v>
      </c>
      <c r="C468" s="1004">
        <f t="shared" si="1"/>
        <v>176</v>
      </c>
      <c r="D468" s="1005">
        <f t="shared" si="2"/>
        <v>5.770491803</v>
      </c>
      <c r="E468" s="1006">
        <f t="shared" si="3"/>
        <v>6</v>
      </c>
      <c r="F468" s="1006" t="s">
        <v>2780</v>
      </c>
      <c r="G468" s="1007">
        <v>0.016377642191592434</v>
      </c>
      <c r="H468" s="1012">
        <v>1.0</v>
      </c>
      <c r="I468" s="1009"/>
    </row>
    <row r="469">
      <c r="A469" t="s">
        <v>1637</v>
      </c>
      <c r="B469" s="1003">
        <v>42545.0</v>
      </c>
      <c r="C469" s="1004">
        <f t="shared" si="1"/>
        <v>176</v>
      </c>
      <c r="D469" s="1005">
        <f t="shared" si="2"/>
        <v>5.770491803</v>
      </c>
      <c r="E469" s="1006">
        <f t="shared" si="3"/>
        <v>6</v>
      </c>
      <c r="F469" s="1006" t="s">
        <v>2780</v>
      </c>
      <c r="G469" s="1007">
        <v>0.020939169151915293</v>
      </c>
      <c r="H469" s="1012">
        <v>1.0</v>
      </c>
      <c r="I469" s="1009"/>
    </row>
    <row r="470">
      <c r="A470" t="s">
        <v>1741</v>
      </c>
      <c r="B470" s="1003">
        <v>42180.0</v>
      </c>
      <c r="C470" s="1004">
        <f t="shared" si="1"/>
        <v>176</v>
      </c>
      <c r="D470" s="1005">
        <f t="shared" si="2"/>
        <v>5.770491803</v>
      </c>
      <c r="E470" s="1006">
        <f t="shared" si="3"/>
        <v>6</v>
      </c>
      <c r="F470" s="1006" t="s">
        <v>2780</v>
      </c>
      <c r="G470" s="1007">
        <v>-0.03842581987192528</v>
      </c>
      <c r="H470" s="1012">
        <v>-1.0</v>
      </c>
      <c r="I470" s="1009"/>
    </row>
    <row r="471">
      <c r="A471" t="s">
        <v>980</v>
      </c>
      <c r="B471" s="1003">
        <v>42181.0</v>
      </c>
      <c r="C471" s="1004">
        <f t="shared" si="1"/>
        <v>177</v>
      </c>
      <c r="D471" s="1005">
        <f t="shared" si="2"/>
        <v>5.803278689</v>
      </c>
      <c r="E471" s="1006">
        <f t="shared" si="3"/>
        <v>6</v>
      </c>
      <c r="F471" s="1006" t="s">
        <v>2780</v>
      </c>
      <c r="G471" s="1007">
        <v>0.006484539704935455</v>
      </c>
      <c r="H471" s="1012">
        <v>0.0</v>
      </c>
      <c r="I471" s="1009"/>
    </row>
    <row r="472">
      <c r="A472" t="s">
        <v>174</v>
      </c>
      <c r="B472" s="1003">
        <v>42181.0</v>
      </c>
      <c r="C472" s="1004">
        <f t="shared" si="1"/>
        <v>177</v>
      </c>
      <c r="D472" s="1005">
        <f t="shared" si="2"/>
        <v>5.803278689</v>
      </c>
      <c r="E472" s="1006">
        <f t="shared" si="3"/>
        <v>6</v>
      </c>
      <c r="F472" s="1006" t="s">
        <v>2780</v>
      </c>
      <c r="G472" s="1007">
        <v>-0.01145929487552344</v>
      </c>
      <c r="H472" s="1012">
        <v>-1.0</v>
      </c>
      <c r="I472" s="1009"/>
    </row>
    <row r="473">
      <c r="A473" t="s">
        <v>513</v>
      </c>
      <c r="B473" s="1003">
        <v>42547.0</v>
      </c>
      <c r="C473" s="1004">
        <f t="shared" si="1"/>
        <v>178</v>
      </c>
      <c r="D473" s="1005">
        <f t="shared" si="2"/>
        <v>5.836065574</v>
      </c>
      <c r="E473" s="1006">
        <f t="shared" si="3"/>
        <v>6</v>
      </c>
      <c r="F473" s="1006" t="s">
        <v>2780</v>
      </c>
      <c r="G473" s="1007">
        <v>0.019964575385838734</v>
      </c>
      <c r="H473" s="1012">
        <v>1.0</v>
      </c>
      <c r="I473" s="1009"/>
    </row>
    <row r="474">
      <c r="A474" t="s">
        <v>112</v>
      </c>
      <c r="B474" s="1003">
        <v>42182.0</v>
      </c>
      <c r="C474" s="1004">
        <f t="shared" si="1"/>
        <v>178</v>
      </c>
      <c r="D474" s="1005">
        <f t="shared" si="2"/>
        <v>5.836065574</v>
      </c>
      <c r="E474" s="1006">
        <f t="shared" si="3"/>
        <v>6</v>
      </c>
      <c r="F474" s="1006" t="s">
        <v>2780</v>
      </c>
      <c r="G474" s="1007">
        <v>-0.01309206088280579</v>
      </c>
      <c r="H474" s="1012">
        <v>-1.0</v>
      </c>
      <c r="I474" s="1009"/>
    </row>
    <row r="475">
      <c r="A475" t="s">
        <v>1615</v>
      </c>
      <c r="B475" s="1003">
        <v>42914.0</v>
      </c>
      <c r="C475" s="1004">
        <f t="shared" si="1"/>
        <v>179</v>
      </c>
      <c r="D475" s="1005">
        <f t="shared" si="2"/>
        <v>5.868852459</v>
      </c>
      <c r="E475" s="1006">
        <f t="shared" si="3"/>
        <v>6</v>
      </c>
      <c r="F475" s="1006" t="s">
        <v>2780</v>
      </c>
      <c r="G475" s="1007">
        <v>-0.018671060635761294</v>
      </c>
      <c r="H475" s="1012">
        <v>-1.0</v>
      </c>
      <c r="I475" s="1009"/>
    </row>
    <row r="476">
      <c r="A476" t="s">
        <v>449</v>
      </c>
      <c r="B476" s="1003">
        <v>42183.0</v>
      </c>
      <c r="C476" s="1004">
        <f t="shared" si="1"/>
        <v>179</v>
      </c>
      <c r="D476" s="1005">
        <f t="shared" si="2"/>
        <v>5.868852459</v>
      </c>
      <c r="E476" s="1006">
        <f t="shared" si="3"/>
        <v>6</v>
      </c>
      <c r="F476" s="1006" t="s">
        <v>2780</v>
      </c>
      <c r="G476" s="1007">
        <v>0.01157593640916943</v>
      </c>
      <c r="H476" s="1012">
        <v>1.0</v>
      </c>
      <c r="I476" s="1009"/>
    </row>
    <row r="477">
      <c r="A477" t="s">
        <v>1741</v>
      </c>
      <c r="B477" s="1003">
        <v>42549.0</v>
      </c>
      <c r="C477" s="1004">
        <f t="shared" si="1"/>
        <v>180</v>
      </c>
      <c r="D477" s="1005">
        <f t="shared" si="2"/>
        <v>5.901639344</v>
      </c>
      <c r="E477" s="1006">
        <f t="shared" si="3"/>
        <v>6</v>
      </c>
      <c r="F477" s="1006" t="s">
        <v>2780</v>
      </c>
      <c r="G477" s="1007">
        <v>0.0072359089019931044</v>
      </c>
      <c r="H477" s="1012">
        <v>0.0</v>
      </c>
      <c r="I477" s="1009"/>
    </row>
    <row r="478">
      <c r="A478" t="s">
        <v>640</v>
      </c>
      <c r="B478" s="1003">
        <v>42184.0</v>
      </c>
      <c r="C478" s="1004">
        <f t="shared" si="1"/>
        <v>180</v>
      </c>
      <c r="D478" s="1005">
        <f t="shared" si="2"/>
        <v>5.901639344</v>
      </c>
      <c r="E478" s="1006">
        <f t="shared" si="3"/>
        <v>6</v>
      </c>
      <c r="F478" s="1006" t="s">
        <v>2780</v>
      </c>
      <c r="G478" s="1007">
        <v>-0.00473301064543441</v>
      </c>
      <c r="H478" s="1012">
        <v>0.0</v>
      </c>
      <c r="I478" s="1009"/>
    </row>
    <row r="479">
      <c r="A479" t="s">
        <v>126</v>
      </c>
      <c r="B479" s="1003">
        <v>42184.0</v>
      </c>
      <c r="C479" s="1004">
        <f t="shared" si="1"/>
        <v>180</v>
      </c>
      <c r="D479" s="1005">
        <f t="shared" si="2"/>
        <v>5.901639344</v>
      </c>
      <c r="E479" s="1006">
        <f t="shared" si="3"/>
        <v>6</v>
      </c>
      <c r="F479" s="1006" t="s">
        <v>2780</v>
      </c>
      <c r="G479" s="1007">
        <v>0.0012051533199317621</v>
      </c>
      <c r="H479" s="1012">
        <v>0.0</v>
      </c>
      <c r="I479" s="1009"/>
    </row>
    <row r="480">
      <c r="A480" t="s">
        <v>620</v>
      </c>
      <c r="B480" s="1003">
        <v>42550.0</v>
      </c>
      <c r="C480" s="1004">
        <f t="shared" si="1"/>
        <v>181</v>
      </c>
      <c r="D480" s="1005">
        <f t="shared" si="2"/>
        <v>5.93442623</v>
      </c>
      <c r="E480" s="1006">
        <f t="shared" si="3"/>
        <v>6</v>
      </c>
      <c r="F480" s="1006" t="s">
        <v>2780</v>
      </c>
      <c r="G480" s="1007">
        <v>0.031575922221972474</v>
      </c>
      <c r="H480" s="1012">
        <v>1.0</v>
      </c>
      <c r="I480" s="1009"/>
    </row>
    <row r="481">
      <c r="A481" t="s">
        <v>1762</v>
      </c>
      <c r="B481" s="1003">
        <v>42185.0</v>
      </c>
      <c r="C481" s="1004">
        <f t="shared" si="1"/>
        <v>181</v>
      </c>
      <c r="D481" s="1005">
        <f t="shared" si="2"/>
        <v>5.93442623</v>
      </c>
      <c r="E481" s="1006">
        <f t="shared" si="3"/>
        <v>6</v>
      </c>
      <c r="F481" s="1006" t="s">
        <v>2780</v>
      </c>
      <c r="G481" s="1007">
        <v>0.006853321000788948</v>
      </c>
      <c r="H481" s="1012">
        <v>0.0</v>
      </c>
      <c r="I481" s="1009"/>
    </row>
    <row r="482">
      <c r="A482" t="s">
        <v>1741</v>
      </c>
      <c r="B482" s="1003">
        <v>42185.0</v>
      </c>
      <c r="C482" s="1004">
        <f t="shared" si="1"/>
        <v>181</v>
      </c>
      <c r="D482" s="1005">
        <f t="shared" si="2"/>
        <v>5.93442623</v>
      </c>
      <c r="E482" s="1006">
        <f t="shared" si="3"/>
        <v>6</v>
      </c>
      <c r="F482" s="1006" t="s">
        <v>2780</v>
      </c>
      <c r="G482" s="1007">
        <v>-0.03410179846977779</v>
      </c>
      <c r="H482" s="1012">
        <v>-1.0</v>
      </c>
      <c r="I482" s="1009"/>
    </row>
    <row r="483">
      <c r="A483" t="s">
        <v>1454</v>
      </c>
      <c r="B483" s="1003">
        <v>42917.0</v>
      </c>
      <c r="C483" s="1004">
        <f t="shared" si="1"/>
        <v>182</v>
      </c>
      <c r="D483" s="1005">
        <f t="shared" si="2"/>
        <v>5.967213115</v>
      </c>
      <c r="E483" s="1006">
        <f t="shared" si="3"/>
        <v>6</v>
      </c>
      <c r="F483" s="1006" t="s">
        <v>2780</v>
      </c>
      <c r="G483" s="1007">
        <v>0.02385798740390932</v>
      </c>
      <c r="H483" s="1012">
        <v>1.0</v>
      </c>
      <c r="I483" s="1009"/>
    </row>
    <row r="484">
      <c r="A484" t="s">
        <v>511</v>
      </c>
      <c r="B484" s="1003">
        <v>42552.0</v>
      </c>
      <c r="C484" s="1004">
        <f t="shared" si="1"/>
        <v>183</v>
      </c>
      <c r="D484" s="1005">
        <f t="shared" si="2"/>
        <v>6</v>
      </c>
      <c r="E484" s="1006">
        <f t="shared" si="3"/>
        <v>6</v>
      </c>
      <c r="F484" s="1006" t="s">
        <v>2780</v>
      </c>
      <c r="G484" s="1007">
        <v>0.00648714505453718</v>
      </c>
      <c r="H484" s="1012">
        <v>0.0</v>
      </c>
      <c r="I484" s="1009"/>
    </row>
    <row r="485">
      <c r="A485" t="s">
        <v>143</v>
      </c>
      <c r="B485" s="1003">
        <v>42552.0</v>
      </c>
      <c r="C485" s="1004">
        <f t="shared" si="1"/>
        <v>183</v>
      </c>
      <c r="D485" s="1005">
        <f t="shared" si="2"/>
        <v>6</v>
      </c>
      <c r="E485" s="1006">
        <f t="shared" si="3"/>
        <v>6</v>
      </c>
      <c r="F485" s="1006" t="s">
        <v>2780</v>
      </c>
      <c r="G485" s="1007">
        <v>0.012666516031895836</v>
      </c>
      <c r="H485" s="1012">
        <v>1.0</v>
      </c>
      <c r="I485" s="1009"/>
    </row>
    <row r="486">
      <c r="A486" t="s">
        <v>1729</v>
      </c>
      <c r="B486" s="1003">
        <v>42919.0</v>
      </c>
      <c r="C486" s="1004">
        <f t="shared" si="1"/>
        <v>184</v>
      </c>
      <c r="D486" s="1005">
        <f t="shared" si="2"/>
        <v>6.032786885</v>
      </c>
      <c r="E486" s="1006">
        <f t="shared" si="3"/>
        <v>7</v>
      </c>
      <c r="F486" s="1006" t="s">
        <v>2487</v>
      </c>
      <c r="G486" s="1007">
        <v>5.769096364927062E-4</v>
      </c>
      <c r="H486" s="1012">
        <v>0.0</v>
      </c>
      <c r="I486" s="1009"/>
    </row>
    <row r="487">
      <c r="A487" t="s">
        <v>761</v>
      </c>
      <c r="B487" s="1003">
        <v>42553.0</v>
      </c>
      <c r="C487" s="1004">
        <f t="shared" si="1"/>
        <v>184</v>
      </c>
      <c r="D487" s="1005">
        <f t="shared" si="2"/>
        <v>6.032786885</v>
      </c>
      <c r="E487" s="1006">
        <f t="shared" si="3"/>
        <v>7</v>
      </c>
      <c r="F487" s="1006" t="s">
        <v>2487</v>
      </c>
      <c r="G487" s="1007">
        <v>-0.03743807047145575</v>
      </c>
      <c r="H487" s="1012">
        <v>-1.0</v>
      </c>
      <c r="I487" s="1009"/>
    </row>
    <row r="488">
      <c r="A488" t="s">
        <v>1695</v>
      </c>
      <c r="B488" s="1003">
        <v>42553.0</v>
      </c>
      <c r="C488" s="1004">
        <f t="shared" si="1"/>
        <v>184</v>
      </c>
      <c r="D488" s="1005">
        <f t="shared" si="2"/>
        <v>6.032786885</v>
      </c>
      <c r="E488" s="1006">
        <f t="shared" si="3"/>
        <v>7</v>
      </c>
      <c r="F488" s="1006" t="s">
        <v>2487</v>
      </c>
      <c r="G488" s="1007">
        <v>0.009058220878822243</v>
      </c>
      <c r="H488" s="1012">
        <v>0.0</v>
      </c>
      <c r="I488" s="1009"/>
    </row>
    <row r="489">
      <c r="A489" t="s">
        <v>122</v>
      </c>
      <c r="B489" s="1003">
        <v>42188.0</v>
      </c>
      <c r="C489" s="1004">
        <f t="shared" si="1"/>
        <v>184</v>
      </c>
      <c r="D489" s="1005">
        <f t="shared" si="2"/>
        <v>6.032786885</v>
      </c>
      <c r="E489" s="1006">
        <f t="shared" si="3"/>
        <v>7</v>
      </c>
      <c r="F489" s="1006" t="s">
        <v>2487</v>
      </c>
      <c r="G489" s="1007">
        <v>0.030642442119365954</v>
      </c>
      <c r="H489" s="1012">
        <v>1.0</v>
      </c>
      <c r="I489" s="1009"/>
    </row>
    <row r="490">
      <c r="A490" t="s">
        <v>169</v>
      </c>
      <c r="B490" s="1003">
        <v>42920.0</v>
      </c>
      <c r="C490" s="1004">
        <f t="shared" si="1"/>
        <v>185</v>
      </c>
      <c r="D490" s="1005">
        <f t="shared" si="2"/>
        <v>6.06557377</v>
      </c>
      <c r="E490" s="1006">
        <f t="shared" si="3"/>
        <v>7</v>
      </c>
      <c r="F490" s="1006" t="s">
        <v>2487</v>
      </c>
      <c r="G490" s="1007">
        <v>4.2462061571180154E-4</v>
      </c>
      <c r="H490" s="1012">
        <v>0.0</v>
      </c>
      <c r="I490" s="1009"/>
    </row>
    <row r="491">
      <c r="A491" t="s">
        <v>1811</v>
      </c>
      <c r="B491" s="1003">
        <v>42921.0</v>
      </c>
      <c r="C491" s="1004">
        <f t="shared" si="1"/>
        <v>186</v>
      </c>
      <c r="D491" s="1005">
        <f t="shared" si="2"/>
        <v>6.098360656</v>
      </c>
      <c r="E491" s="1006">
        <f t="shared" si="3"/>
        <v>7</v>
      </c>
      <c r="F491" s="1006" t="s">
        <v>2487</v>
      </c>
      <c r="G491" s="1007">
        <v>-0.008182180599294209</v>
      </c>
      <c r="H491" s="1012">
        <v>0.0</v>
      </c>
      <c r="I491" s="1009"/>
    </row>
    <row r="492">
      <c r="A492" t="s">
        <v>376</v>
      </c>
      <c r="B492" s="1003">
        <v>42192.0</v>
      </c>
      <c r="C492" s="1004">
        <f t="shared" si="1"/>
        <v>188</v>
      </c>
      <c r="D492" s="1005">
        <f t="shared" si="2"/>
        <v>6.163934426</v>
      </c>
      <c r="E492" s="1006">
        <f t="shared" si="3"/>
        <v>7</v>
      </c>
      <c r="F492" s="1006" t="s">
        <v>2487</v>
      </c>
      <c r="G492" s="1007">
        <v>-0.012442173040163373</v>
      </c>
      <c r="H492" s="1012">
        <v>-1.0</v>
      </c>
      <c r="I492" s="1009"/>
    </row>
    <row r="493">
      <c r="A493" t="s">
        <v>187</v>
      </c>
      <c r="B493" s="1003">
        <v>42192.0</v>
      </c>
      <c r="C493" s="1004">
        <f t="shared" si="1"/>
        <v>188</v>
      </c>
      <c r="D493" s="1005">
        <f t="shared" si="2"/>
        <v>6.163934426</v>
      </c>
      <c r="E493" s="1006">
        <f t="shared" si="3"/>
        <v>7</v>
      </c>
      <c r="F493" s="1006" t="s">
        <v>2487</v>
      </c>
      <c r="G493" s="1007">
        <v>-0.009728992063719799</v>
      </c>
      <c r="H493" s="1012">
        <v>0.0</v>
      </c>
      <c r="I493" s="1009"/>
    </row>
    <row r="494">
      <c r="A494" t="s">
        <v>1795</v>
      </c>
      <c r="B494" s="1003">
        <v>42925.0</v>
      </c>
      <c r="C494" s="1004">
        <f t="shared" si="1"/>
        <v>190</v>
      </c>
      <c r="D494" s="1005">
        <f t="shared" si="2"/>
        <v>6.229508197</v>
      </c>
      <c r="E494" s="1006">
        <f t="shared" si="3"/>
        <v>7</v>
      </c>
      <c r="F494" s="1006" t="s">
        <v>2487</v>
      </c>
      <c r="G494" s="1007">
        <v>0.012338297439036361</v>
      </c>
      <c r="H494" s="1012">
        <v>1.0</v>
      </c>
      <c r="I494" s="1009"/>
    </row>
    <row r="495">
      <c r="A495" t="s">
        <v>1858</v>
      </c>
      <c r="B495" s="1003">
        <v>42559.0</v>
      </c>
      <c r="C495" s="1004">
        <f t="shared" si="1"/>
        <v>190</v>
      </c>
      <c r="D495" s="1005">
        <f t="shared" si="2"/>
        <v>6.229508197</v>
      </c>
      <c r="E495" s="1006">
        <f t="shared" si="3"/>
        <v>7</v>
      </c>
      <c r="F495" s="1006" t="s">
        <v>2487</v>
      </c>
      <c r="G495" s="1007">
        <v>0.023817040336639228</v>
      </c>
      <c r="H495" s="1012">
        <v>1.0</v>
      </c>
      <c r="I495" s="1009"/>
    </row>
    <row r="496">
      <c r="A496" t="s">
        <v>161</v>
      </c>
      <c r="B496" s="1003">
        <v>42559.0</v>
      </c>
      <c r="C496" s="1004">
        <f t="shared" si="1"/>
        <v>190</v>
      </c>
      <c r="D496" s="1005">
        <f t="shared" si="2"/>
        <v>6.229508197</v>
      </c>
      <c r="E496" s="1006">
        <f t="shared" si="3"/>
        <v>7</v>
      </c>
      <c r="F496" s="1006" t="s">
        <v>2487</v>
      </c>
      <c r="G496" s="1007">
        <v>-0.008540166101753677</v>
      </c>
      <c r="H496" s="1012">
        <v>0.0</v>
      </c>
      <c r="I496" s="1009"/>
    </row>
    <row r="497">
      <c r="A497" t="s">
        <v>1741</v>
      </c>
      <c r="B497" s="1003">
        <v>42194.0</v>
      </c>
      <c r="C497" s="1004">
        <f t="shared" si="1"/>
        <v>190</v>
      </c>
      <c r="D497" s="1005">
        <f t="shared" si="2"/>
        <v>6.229508197</v>
      </c>
      <c r="E497" s="1006">
        <f t="shared" si="3"/>
        <v>7</v>
      </c>
      <c r="F497" s="1006" t="s">
        <v>2487</v>
      </c>
      <c r="G497" s="1007">
        <v>-0.03639880380220817</v>
      </c>
      <c r="H497" s="1012">
        <v>-1.0</v>
      </c>
      <c r="I497" s="1009"/>
    </row>
    <row r="498">
      <c r="A498" t="s">
        <v>1001</v>
      </c>
      <c r="B498" s="1003">
        <v>42196.0</v>
      </c>
      <c r="C498" s="1004">
        <f t="shared" si="1"/>
        <v>192</v>
      </c>
      <c r="D498" s="1005">
        <f t="shared" si="2"/>
        <v>6.295081967</v>
      </c>
      <c r="E498" s="1006">
        <f t="shared" si="3"/>
        <v>7</v>
      </c>
      <c r="F498" s="1006" t="s">
        <v>2487</v>
      </c>
      <c r="G498" s="1007">
        <v>0.008213282517071652</v>
      </c>
      <c r="H498" s="1012">
        <v>0.0</v>
      </c>
      <c r="I498" s="1009"/>
    </row>
    <row r="499">
      <c r="A499" t="s">
        <v>126</v>
      </c>
      <c r="B499" s="1003">
        <v>42928.0</v>
      </c>
      <c r="C499" s="1004">
        <f t="shared" si="1"/>
        <v>193</v>
      </c>
      <c r="D499" s="1005">
        <f t="shared" si="2"/>
        <v>6.327868852</v>
      </c>
      <c r="E499" s="1006">
        <f t="shared" si="3"/>
        <v>7</v>
      </c>
      <c r="F499" s="1006" t="s">
        <v>2487</v>
      </c>
      <c r="G499" s="1007">
        <v>0.015683760021354298</v>
      </c>
      <c r="H499" s="1012">
        <v>1.0</v>
      </c>
      <c r="I499" s="1009"/>
    </row>
    <row r="500">
      <c r="A500" t="s">
        <v>126</v>
      </c>
      <c r="B500" s="1003">
        <v>42562.0</v>
      </c>
      <c r="C500" s="1004">
        <f t="shared" si="1"/>
        <v>193</v>
      </c>
      <c r="D500" s="1005">
        <f t="shared" si="2"/>
        <v>6.327868852</v>
      </c>
      <c r="E500" s="1006">
        <f t="shared" si="3"/>
        <v>7</v>
      </c>
      <c r="F500" s="1006" t="s">
        <v>2487</v>
      </c>
      <c r="G500" s="1007">
        <v>-0.002531894704201787</v>
      </c>
      <c r="H500" s="1012">
        <v>0.0</v>
      </c>
      <c r="I500" s="1009"/>
    </row>
    <row r="501">
      <c r="A501" t="s">
        <v>126</v>
      </c>
      <c r="B501" s="1003">
        <v>42929.0</v>
      </c>
      <c r="C501" s="1004">
        <f t="shared" si="1"/>
        <v>194</v>
      </c>
      <c r="D501" s="1005">
        <f t="shared" si="2"/>
        <v>6.360655738</v>
      </c>
      <c r="E501" s="1006">
        <f t="shared" si="3"/>
        <v>7</v>
      </c>
      <c r="F501" s="1006" t="s">
        <v>2487</v>
      </c>
      <c r="G501" s="1007">
        <v>0.01571496151946128</v>
      </c>
      <c r="H501" s="1012">
        <v>1.0</v>
      </c>
      <c r="I501" s="1009"/>
    </row>
    <row r="502">
      <c r="A502" t="s">
        <v>1726</v>
      </c>
      <c r="B502" s="1003">
        <v>42929.0</v>
      </c>
      <c r="C502" s="1004">
        <f t="shared" si="1"/>
        <v>194</v>
      </c>
      <c r="D502" s="1005">
        <f t="shared" si="2"/>
        <v>6.360655738</v>
      </c>
      <c r="E502" s="1006">
        <f t="shared" si="3"/>
        <v>7</v>
      </c>
      <c r="F502" s="1006" t="s">
        <v>2487</v>
      </c>
      <c r="G502" s="1007">
        <v>-0.002303583603053716</v>
      </c>
      <c r="H502" s="1012">
        <v>0.0</v>
      </c>
      <c r="I502" s="1009"/>
    </row>
    <row r="503">
      <c r="A503" t="s">
        <v>1322</v>
      </c>
      <c r="B503" s="1003">
        <v>42929.0</v>
      </c>
      <c r="C503" s="1004">
        <f t="shared" si="1"/>
        <v>194</v>
      </c>
      <c r="D503" s="1005">
        <f t="shared" si="2"/>
        <v>6.360655738</v>
      </c>
      <c r="E503" s="1006">
        <f t="shared" si="3"/>
        <v>7</v>
      </c>
      <c r="F503" s="1006" t="s">
        <v>2487</v>
      </c>
      <c r="G503" s="1007">
        <v>0.02917635217515091</v>
      </c>
      <c r="H503" s="1012">
        <v>1.0</v>
      </c>
      <c r="I503" s="1009"/>
    </row>
    <row r="504">
      <c r="A504" t="s">
        <v>788</v>
      </c>
      <c r="B504" s="1003">
        <v>42929.0</v>
      </c>
      <c r="C504" s="1004">
        <f t="shared" si="1"/>
        <v>194</v>
      </c>
      <c r="D504" s="1005">
        <f t="shared" si="2"/>
        <v>6.360655738</v>
      </c>
      <c r="E504" s="1006">
        <f t="shared" si="3"/>
        <v>7</v>
      </c>
      <c r="F504" s="1006" t="s">
        <v>2487</v>
      </c>
      <c r="G504" s="1007">
        <v>0.0024320657007705915</v>
      </c>
      <c r="H504" s="1012">
        <v>0.0</v>
      </c>
      <c r="I504" s="1009"/>
    </row>
    <row r="505">
      <c r="A505" t="s">
        <v>757</v>
      </c>
      <c r="B505" s="1003">
        <v>42930.0</v>
      </c>
      <c r="C505" s="1004">
        <f t="shared" si="1"/>
        <v>195</v>
      </c>
      <c r="D505" s="1005">
        <f t="shared" si="2"/>
        <v>6.393442623</v>
      </c>
      <c r="E505" s="1006">
        <f t="shared" si="3"/>
        <v>7</v>
      </c>
      <c r="F505" s="1006" t="s">
        <v>2487</v>
      </c>
      <c r="G505" s="1007">
        <v>0.009092557857198313</v>
      </c>
      <c r="H505" s="1012">
        <v>0.0</v>
      </c>
      <c r="I505" s="1009"/>
    </row>
    <row r="506">
      <c r="A506" t="s">
        <v>762</v>
      </c>
      <c r="B506" s="1003">
        <v>42930.0</v>
      </c>
      <c r="C506" s="1004">
        <f t="shared" si="1"/>
        <v>195</v>
      </c>
      <c r="D506" s="1005">
        <f t="shared" si="2"/>
        <v>6.393442623</v>
      </c>
      <c r="E506" s="1006">
        <f t="shared" si="3"/>
        <v>7</v>
      </c>
      <c r="F506" s="1006" t="s">
        <v>2487</v>
      </c>
      <c r="G506" s="1007">
        <v>0.03782510475847467</v>
      </c>
      <c r="H506" s="1012">
        <v>1.0</v>
      </c>
      <c r="I506" s="1009"/>
    </row>
    <row r="507">
      <c r="A507" t="s">
        <v>1741</v>
      </c>
      <c r="B507" s="1003">
        <v>42199.0</v>
      </c>
      <c r="C507" s="1004">
        <f t="shared" si="1"/>
        <v>195</v>
      </c>
      <c r="D507" s="1005">
        <f t="shared" si="2"/>
        <v>6.393442623</v>
      </c>
      <c r="E507" s="1006">
        <f t="shared" si="3"/>
        <v>7</v>
      </c>
      <c r="F507" s="1006" t="s">
        <v>2487</v>
      </c>
      <c r="G507" s="1007">
        <v>-0.03767817326894973</v>
      </c>
      <c r="H507" s="1012">
        <v>-1.0</v>
      </c>
      <c r="I507" s="1009"/>
    </row>
    <row r="508">
      <c r="A508" t="s">
        <v>1714</v>
      </c>
      <c r="B508" s="1003">
        <v>42933.0</v>
      </c>
      <c r="C508" s="1004">
        <f t="shared" si="1"/>
        <v>198</v>
      </c>
      <c r="D508" s="1005">
        <f t="shared" si="2"/>
        <v>6.491803279</v>
      </c>
      <c r="E508" s="1006">
        <f t="shared" si="3"/>
        <v>7</v>
      </c>
      <c r="F508" s="1006" t="s">
        <v>2487</v>
      </c>
      <c r="G508" s="1007">
        <v>0.004576167204938919</v>
      </c>
      <c r="H508" s="1012">
        <v>0.0</v>
      </c>
      <c r="I508" s="1009"/>
    </row>
    <row r="509">
      <c r="A509" t="s">
        <v>1703</v>
      </c>
      <c r="B509" s="1003">
        <v>42567.0</v>
      </c>
      <c r="C509" s="1004">
        <f t="shared" si="1"/>
        <v>198</v>
      </c>
      <c r="D509" s="1005">
        <f t="shared" si="2"/>
        <v>6.491803279</v>
      </c>
      <c r="E509" s="1006">
        <f t="shared" si="3"/>
        <v>7</v>
      </c>
      <c r="F509" s="1006" t="s">
        <v>2487</v>
      </c>
      <c r="G509" s="1007">
        <v>0.019939166245663942</v>
      </c>
      <c r="H509" s="1012">
        <v>1.0</v>
      </c>
      <c r="I509" s="1009"/>
    </row>
    <row r="510">
      <c r="A510" t="s">
        <v>1882</v>
      </c>
      <c r="B510" s="1003">
        <v>42567.0</v>
      </c>
      <c r="C510" s="1004">
        <f t="shared" si="1"/>
        <v>198</v>
      </c>
      <c r="D510" s="1005">
        <f t="shared" si="2"/>
        <v>6.491803279</v>
      </c>
      <c r="E510" s="1006">
        <f t="shared" si="3"/>
        <v>7</v>
      </c>
      <c r="F510" s="1006" t="s">
        <v>2487</v>
      </c>
      <c r="G510" s="1007">
        <v>-0.005383199946885298</v>
      </c>
      <c r="H510" s="1012">
        <v>0.0</v>
      </c>
      <c r="I510" s="1009"/>
    </row>
    <row r="511">
      <c r="A511" t="s">
        <v>1853</v>
      </c>
      <c r="B511" s="1003">
        <v>42567.0</v>
      </c>
      <c r="C511" s="1004">
        <f t="shared" si="1"/>
        <v>198</v>
      </c>
      <c r="D511" s="1005">
        <f t="shared" si="2"/>
        <v>6.491803279</v>
      </c>
      <c r="E511" s="1006">
        <f t="shared" si="3"/>
        <v>7</v>
      </c>
      <c r="F511" s="1006" t="s">
        <v>2487</v>
      </c>
      <c r="G511" s="1007">
        <v>0.005855641333341155</v>
      </c>
      <c r="H511" s="1012">
        <v>0.0</v>
      </c>
      <c r="I511" s="1009"/>
    </row>
    <row r="512">
      <c r="A512" t="s">
        <v>1127</v>
      </c>
      <c r="B512" s="1003">
        <v>42567.0</v>
      </c>
      <c r="C512" s="1004">
        <f t="shared" si="1"/>
        <v>198</v>
      </c>
      <c r="D512" s="1005">
        <f t="shared" si="2"/>
        <v>6.491803279</v>
      </c>
      <c r="E512" s="1006">
        <f t="shared" si="3"/>
        <v>7</v>
      </c>
      <c r="F512" s="1006" t="s">
        <v>2487</v>
      </c>
      <c r="G512" s="1007">
        <v>0.019090196343163446</v>
      </c>
      <c r="H512" s="1012">
        <v>1.0</v>
      </c>
      <c r="I512" s="1009"/>
    </row>
    <row r="513">
      <c r="A513" t="s">
        <v>519</v>
      </c>
      <c r="B513" s="1003">
        <v>42567.0</v>
      </c>
      <c r="C513" s="1004">
        <f t="shared" si="1"/>
        <v>198</v>
      </c>
      <c r="D513" s="1005">
        <f t="shared" si="2"/>
        <v>6.491803279</v>
      </c>
      <c r="E513" s="1006">
        <f t="shared" si="3"/>
        <v>7</v>
      </c>
      <c r="F513" s="1006" t="s">
        <v>2487</v>
      </c>
      <c r="G513" s="1007">
        <v>0.011743766749824469</v>
      </c>
      <c r="H513" s="1012">
        <v>1.0</v>
      </c>
      <c r="I513" s="1009"/>
    </row>
    <row r="514">
      <c r="A514" t="s">
        <v>525</v>
      </c>
      <c r="B514" s="1003">
        <v>42567.0</v>
      </c>
      <c r="C514" s="1004">
        <f t="shared" si="1"/>
        <v>198</v>
      </c>
      <c r="D514" s="1005">
        <f t="shared" si="2"/>
        <v>6.491803279</v>
      </c>
      <c r="E514" s="1006">
        <f t="shared" si="3"/>
        <v>7</v>
      </c>
      <c r="F514" s="1006" t="s">
        <v>2487</v>
      </c>
      <c r="G514" s="1007">
        <v>0.0020290896797083846</v>
      </c>
      <c r="H514" s="1012">
        <v>0.0</v>
      </c>
      <c r="I514" s="1009"/>
    </row>
    <row r="515">
      <c r="A515" t="s">
        <v>190</v>
      </c>
      <c r="B515" s="1003">
        <v>42202.0</v>
      </c>
      <c r="C515" s="1004">
        <f t="shared" si="1"/>
        <v>198</v>
      </c>
      <c r="D515" s="1005">
        <f t="shared" si="2"/>
        <v>6.491803279</v>
      </c>
      <c r="E515" s="1006">
        <f t="shared" si="3"/>
        <v>7</v>
      </c>
      <c r="F515" s="1006" t="s">
        <v>2487</v>
      </c>
      <c r="G515" s="1007">
        <v>-0.04583025185051082</v>
      </c>
      <c r="H515" s="1012">
        <v>-1.0</v>
      </c>
      <c r="I515" s="1009"/>
    </row>
    <row r="516">
      <c r="A516" t="s">
        <v>161</v>
      </c>
      <c r="B516" s="1003">
        <v>42202.0</v>
      </c>
      <c r="C516" s="1004">
        <f t="shared" si="1"/>
        <v>198</v>
      </c>
      <c r="D516" s="1005">
        <f t="shared" si="2"/>
        <v>6.491803279</v>
      </c>
      <c r="E516" s="1006">
        <f t="shared" si="3"/>
        <v>7</v>
      </c>
      <c r="F516" s="1006" t="s">
        <v>2487</v>
      </c>
      <c r="G516" s="1007">
        <v>-0.010148595052987597</v>
      </c>
      <c r="H516" s="1012">
        <v>-1.0</v>
      </c>
      <c r="I516" s="1009"/>
    </row>
    <row r="517">
      <c r="A517" t="s">
        <v>1821</v>
      </c>
      <c r="B517" s="1003">
        <v>42568.0</v>
      </c>
      <c r="C517" s="1004">
        <f t="shared" si="1"/>
        <v>199</v>
      </c>
      <c r="D517" s="1005">
        <f t="shared" si="2"/>
        <v>6.524590164</v>
      </c>
      <c r="E517" s="1006">
        <f t="shared" si="3"/>
        <v>7</v>
      </c>
      <c r="F517" s="1006" t="s">
        <v>2487</v>
      </c>
      <c r="G517" s="1007">
        <v>0.024530132712355157</v>
      </c>
      <c r="H517" s="1012">
        <v>1.0</v>
      </c>
      <c r="I517" s="1009"/>
    </row>
    <row r="518">
      <c r="A518" t="s">
        <v>1762</v>
      </c>
      <c r="B518" s="1003">
        <v>42568.0</v>
      </c>
      <c r="C518" s="1004">
        <f t="shared" si="1"/>
        <v>199</v>
      </c>
      <c r="D518" s="1005">
        <f t="shared" si="2"/>
        <v>6.524590164</v>
      </c>
      <c r="E518" s="1006">
        <f t="shared" si="3"/>
        <v>7</v>
      </c>
      <c r="F518" s="1006" t="s">
        <v>2487</v>
      </c>
      <c r="G518" s="1007">
        <v>0.0032103242278233024</v>
      </c>
      <c r="H518" s="1012">
        <v>0.0</v>
      </c>
      <c r="I518" s="1009"/>
    </row>
    <row r="519">
      <c r="A519" t="s">
        <v>1726</v>
      </c>
      <c r="B519" s="1003">
        <v>42569.0</v>
      </c>
      <c r="C519" s="1004">
        <f t="shared" si="1"/>
        <v>200</v>
      </c>
      <c r="D519" s="1005">
        <f t="shared" si="2"/>
        <v>6.557377049</v>
      </c>
      <c r="E519" s="1006">
        <f t="shared" si="3"/>
        <v>7</v>
      </c>
      <c r="F519" s="1006" t="s">
        <v>2487</v>
      </c>
      <c r="G519" s="1007">
        <v>-0.008817583072846635</v>
      </c>
      <c r="H519" s="1012">
        <v>0.0</v>
      </c>
      <c r="I519" s="1009"/>
    </row>
    <row r="520">
      <c r="A520" t="s">
        <v>1013</v>
      </c>
      <c r="B520" s="1003">
        <v>42204.0</v>
      </c>
      <c r="C520" s="1004">
        <f t="shared" si="1"/>
        <v>200</v>
      </c>
      <c r="D520" s="1005">
        <f t="shared" si="2"/>
        <v>6.557377049</v>
      </c>
      <c r="E520" s="1006">
        <f t="shared" si="3"/>
        <v>7</v>
      </c>
      <c r="F520" s="1006" t="s">
        <v>2487</v>
      </c>
      <c r="G520" s="1007">
        <v>0.001968608308733244</v>
      </c>
      <c r="H520" s="1012">
        <v>0.0</v>
      </c>
      <c r="I520" s="1009"/>
    </row>
    <row r="521">
      <c r="A521" t="s">
        <v>1837</v>
      </c>
      <c r="B521" s="1003">
        <v>42936.0</v>
      </c>
      <c r="C521" s="1004">
        <f t="shared" si="1"/>
        <v>201</v>
      </c>
      <c r="D521" s="1005">
        <f t="shared" si="2"/>
        <v>6.590163934</v>
      </c>
      <c r="E521" s="1006">
        <f t="shared" si="3"/>
        <v>7</v>
      </c>
      <c r="F521" s="1006" t="s">
        <v>2487</v>
      </c>
      <c r="G521" s="1007">
        <v>0.03608944792602342</v>
      </c>
      <c r="H521" s="1012">
        <v>1.0</v>
      </c>
      <c r="I521" s="1009"/>
    </row>
    <row r="522">
      <c r="A522" t="s">
        <v>1637</v>
      </c>
      <c r="B522" s="1003">
        <v>42936.0</v>
      </c>
      <c r="C522" s="1004">
        <f t="shared" si="1"/>
        <v>201</v>
      </c>
      <c r="D522" s="1005">
        <f t="shared" si="2"/>
        <v>6.590163934</v>
      </c>
      <c r="E522" s="1006">
        <f t="shared" si="3"/>
        <v>7</v>
      </c>
      <c r="F522" s="1006" t="s">
        <v>2487</v>
      </c>
      <c r="G522" s="1007">
        <v>0.020808789862367782</v>
      </c>
      <c r="H522" s="1012">
        <v>1.0</v>
      </c>
      <c r="I522" s="1009"/>
    </row>
    <row r="523">
      <c r="A523" t="s">
        <v>1714</v>
      </c>
      <c r="B523" s="1003">
        <v>42937.0</v>
      </c>
      <c r="C523" s="1004">
        <f t="shared" si="1"/>
        <v>202</v>
      </c>
      <c r="D523" s="1005">
        <f t="shared" si="2"/>
        <v>6.62295082</v>
      </c>
      <c r="E523" s="1006">
        <f t="shared" si="3"/>
        <v>7</v>
      </c>
      <c r="F523" s="1006" t="s">
        <v>2487</v>
      </c>
      <c r="G523" s="1007">
        <v>0.00216214426145378</v>
      </c>
      <c r="H523" s="1012">
        <v>0.0</v>
      </c>
      <c r="I523" s="1009"/>
    </row>
    <row r="524">
      <c r="A524" t="s">
        <v>161</v>
      </c>
      <c r="B524" s="1003">
        <v>42937.0</v>
      </c>
      <c r="C524" s="1004">
        <f t="shared" si="1"/>
        <v>202</v>
      </c>
      <c r="D524" s="1005">
        <f t="shared" si="2"/>
        <v>6.62295082</v>
      </c>
      <c r="E524" s="1006">
        <f t="shared" si="3"/>
        <v>7</v>
      </c>
      <c r="F524" s="1006" t="s">
        <v>2487</v>
      </c>
      <c r="G524" s="1007">
        <v>-0.005355723617894825</v>
      </c>
      <c r="H524" s="1012">
        <v>0.0</v>
      </c>
      <c r="I524" s="1009"/>
    </row>
    <row r="525">
      <c r="A525" t="s">
        <v>1632</v>
      </c>
      <c r="B525" s="1003">
        <v>42938.0</v>
      </c>
      <c r="C525" s="1004">
        <f t="shared" si="1"/>
        <v>203</v>
      </c>
      <c r="D525" s="1005">
        <f t="shared" si="2"/>
        <v>6.655737705</v>
      </c>
      <c r="E525" s="1006">
        <f t="shared" si="3"/>
        <v>7</v>
      </c>
      <c r="F525" s="1006" t="s">
        <v>2487</v>
      </c>
      <c r="G525" s="1007">
        <v>-0.0016446032335635241</v>
      </c>
      <c r="H525" s="1012">
        <v>0.0</v>
      </c>
      <c r="I525" s="1009"/>
    </row>
    <row r="526">
      <c r="A526" t="s">
        <v>743</v>
      </c>
      <c r="B526" s="1003">
        <v>42939.0</v>
      </c>
      <c r="C526" s="1004">
        <f t="shared" si="1"/>
        <v>204</v>
      </c>
      <c r="D526" s="1005">
        <f t="shared" si="2"/>
        <v>6.68852459</v>
      </c>
      <c r="E526" s="1006">
        <f t="shared" si="3"/>
        <v>7</v>
      </c>
      <c r="F526" s="1006" t="s">
        <v>2487</v>
      </c>
      <c r="G526" s="1007">
        <v>0.03204079913765634</v>
      </c>
      <c r="H526" s="1012">
        <v>1.0</v>
      </c>
      <c r="I526" s="1009"/>
    </row>
    <row r="527">
      <c r="A527" t="s">
        <v>1634</v>
      </c>
      <c r="B527" s="1003">
        <v>42940.0</v>
      </c>
      <c r="C527" s="1004">
        <f t="shared" si="1"/>
        <v>205</v>
      </c>
      <c r="D527" s="1005">
        <f t="shared" si="2"/>
        <v>6.721311475</v>
      </c>
      <c r="E527" s="1006">
        <f t="shared" si="3"/>
        <v>7</v>
      </c>
      <c r="F527" s="1006" t="s">
        <v>2487</v>
      </c>
      <c r="G527" s="1007">
        <v>0.01891099709490418</v>
      </c>
      <c r="H527" s="1012">
        <v>1.0</v>
      </c>
      <c r="I527" s="1009"/>
    </row>
    <row r="528">
      <c r="A528" t="s">
        <v>623</v>
      </c>
      <c r="B528" s="1003">
        <v>42209.0</v>
      </c>
      <c r="C528" s="1004">
        <f t="shared" si="1"/>
        <v>205</v>
      </c>
      <c r="D528" s="1005">
        <f t="shared" si="2"/>
        <v>6.721311475</v>
      </c>
      <c r="E528" s="1006">
        <f t="shared" si="3"/>
        <v>7</v>
      </c>
      <c r="F528" s="1006" t="s">
        <v>2487</v>
      </c>
      <c r="G528" s="1007">
        <v>-0.015644733554120327</v>
      </c>
      <c r="H528" s="1012">
        <v>-1.0</v>
      </c>
      <c r="I528" s="1009"/>
    </row>
    <row r="529">
      <c r="A529" t="s">
        <v>1866</v>
      </c>
      <c r="B529" s="1003">
        <v>42941.0</v>
      </c>
      <c r="C529" s="1004">
        <f t="shared" si="1"/>
        <v>206</v>
      </c>
      <c r="D529" s="1005">
        <f t="shared" si="2"/>
        <v>6.754098361</v>
      </c>
      <c r="E529" s="1006">
        <f t="shared" si="3"/>
        <v>7</v>
      </c>
      <c r="F529" s="1006" t="s">
        <v>2487</v>
      </c>
      <c r="G529" s="1007">
        <v>0.01802025346707925</v>
      </c>
      <c r="H529" s="1012">
        <v>1.0</v>
      </c>
      <c r="I529" s="1009"/>
    </row>
    <row r="530">
      <c r="A530" t="s">
        <v>1336</v>
      </c>
      <c r="B530" s="1003">
        <v>42576.0</v>
      </c>
      <c r="C530" s="1004">
        <f t="shared" si="1"/>
        <v>207</v>
      </c>
      <c r="D530" s="1005">
        <f t="shared" si="2"/>
        <v>6.786885246</v>
      </c>
      <c r="E530" s="1006">
        <f t="shared" si="3"/>
        <v>7</v>
      </c>
      <c r="F530" s="1006" t="s">
        <v>2487</v>
      </c>
      <c r="G530" s="1007">
        <v>0.007902092936521776</v>
      </c>
      <c r="H530" s="1012">
        <v>0.0</v>
      </c>
      <c r="I530" s="1009"/>
    </row>
    <row r="531">
      <c r="A531" t="s">
        <v>1607</v>
      </c>
      <c r="B531" s="1003">
        <v>42576.0</v>
      </c>
      <c r="C531" s="1004">
        <f t="shared" si="1"/>
        <v>207</v>
      </c>
      <c r="D531" s="1005">
        <f t="shared" si="2"/>
        <v>6.786885246</v>
      </c>
      <c r="E531" s="1006">
        <f t="shared" si="3"/>
        <v>7</v>
      </c>
      <c r="F531" s="1006" t="s">
        <v>2487</v>
      </c>
      <c r="G531" s="1007">
        <v>0.009699628108462366</v>
      </c>
      <c r="H531" s="1012">
        <v>0.0</v>
      </c>
      <c r="I531" s="1009"/>
    </row>
    <row r="532">
      <c r="A532" t="s">
        <v>206</v>
      </c>
      <c r="B532" s="1003">
        <v>42212.0</v>
      </c>
      <c r="C532" s="1004">
        <f t="shared" si="1"/>
        <v>208</v>
      </c>
      <c r="D532" s="1005">
        <f t="shared" si="2"/>
        <v>6.819672131</v>
      </c>
      <c r="E532" s="1006">
        <f t="shared" si="3"/>
        <v>7</v>
      </c>
      <c r="F532" s="1006" t="s">
        <v>2487</v>
      </c>
      <c r="G532" s="1007">
        <v>0.014989113671547094</v>
      </c>
      <c r="H532" s="1012">
        <v>1.0</v>
      </c>
      <c r="I532" s="1009"/>
    </row>
    <row r="533">
      <c r="A533" t="s">
        <v>1615</v>
      </c>
      <c r="B533" s="1003">
        <v>42944.0</v>
      </c>
      <c r="C533" s="1004">
        <f t="shared" si="1"/>
        <v>209</v>
      </c>
      <c r="D533" s="1005">
        <f t="shared" si="2"/>
        <v>6.852459016</v>
      </c>
      <c r="E533" s="1006">
        <f t="shared" si="3"/>
        <v>7</v>
      </c>
      <c r="F533" s="1006" t="s">
        <v>2487</v>
      </c>
      <c r="G533" s="1007">
        <v>-9.557967468742934E-5</v>
      </c>
      <c r="H533" s="1012">
        <v>0.0</v>
      </c>
      <c r="I533" s="1009"/>
    </row>
    <row r="534">
      <c r="A534" t="s">
        <v>1833</v>
      </c>
      <c r="B534" s="1003">
        <v>42945.0</v>
      </c>
      <c r="C534" s="1004">
        <f t="shared" si="1"/>
        <v>210</v>
      </c>
      <c r="D534" s="1005">
        <f t="shared" si="2"/>
        <v>6.885245902</v>
      </c>
      <c r="E534" s="1006">
        <f t="shared" si="3"/>
        <v>7</v>
      </c>
      <c r="F534" s="1006" t="s">
        <v>2487</v>
      </c>
      <c r="G534" s="1007">
        <v>0.010474724653265821</v>
      </c>
      <c r="H534" s="1012">
        <v>1.0</v>
      </c>
      <c r="I534" s="1009"/>
    </row>
    <row r="535">
      <c r="A535" t="s">
        <v>1884</v>
      </c>
      <c r="B535" s="1003">
        <v>42945.0</v>
      </c>
      <c r="C535" s="1004">
        <f t="shared" si="1"/>
        <v>210</v>
      </c>
      <c r="D535" s="1005">
        <f t="shared" si="2"/>
        <v>6.885245902</v>
      </c>
      <c r="E535" s="1006">
        <f t="shared" si="3"/>
        <v>7</v>
      </c>
      <c r="F535" s="1006" t="s">
        <v>2487</v>
      </c>
      <c r="G535" s="1007">
        <v>-0.008632320375369429</v>
      </c>
      <c r="H535" s="1012">
        <v>0.0</v>
      </c>
      <c r="I535" s="1009"/>
    </row>
    <row r="536">
      <c r="A536" t="s">
        <v>1734</v>
      </c>
      <c r="B536" s="1003">
        <v>42945.0</v>
      </c>
      <c r="C536" s="1004">
        <f t="shared" si="1"/>
        <v>210</v>
      </c>
      <c r="D536" s="1005">
        <f t="shared" si="2"/>
        <v>6.885245902</v>
      </c>
      <c r="E536" s="1006">
        <f t="shared" si="3"/>
        <v>7</v>
      </c>
      <c r="F536" s="1006" t="s">
        <v>2487</v>
      </c>
      <c r="G536" s="1007">
        <v>0.01869568732685989</v>
      </c>
      <c r="H536" s="1012">
        <v>1.0</v>
      </c>
      <c r="I536" s="1009"/>
    </row>
    <row r="537">
      <c r="A537" t="s">
        <v>623</v>
      </c>
      <c r="B537" s="1003">
        <v>42945.0</v>
      </c>
      <c r="C537" s="1004">
        <f t="shared" si="1"/>
        <v>210</v>
      </c>
      <c r="D537" s="1005">
        <f t="shared" si="2"/>
        <v>6.885245902</v>
      </c>
      <c r="E537" s="1006">
        <f t="shared" si="3"/>
        <v>7</v>
      </c>
      <c r="F537" s="1006" t="s">
        <v>2487</v>
      </c>
      <c r="G537" s="1007">
        <v>0.009090136748319377</v>
      </c>
      <c r="H537" s="1012">
        <v>0.0</v>
      </c>
      <c r="I537" s="1009"/>
    </row>
    <row r="538">
      <c r="A538" t="s">
        <v>1637</v>
      </c>
      <c r="B538" s="1003">
        <v>42579.0</v>
      </c>
      <c r="C538" s="1004">
        <f t="shared" si="1"/>
        <v>210</v>
      </c>
      <c r="D538" s="1005">
        <f t="shared" si="2"/>
        <v>6.885245902</v>
      </c>
      <c r="E538" s="1006">
        <f t="shared" si="3"/>
        <v>7</v>
      </c>
      <c r="F538" s="1006" t="s">
        <v>2487</v>
      </c>
      <c r="G538" s="1007">
        <v>0.020126110200788805</v>
      </c>
      <c r="H538" s="1012">
        <v>1.0</v>
      </c>
      <c r="I538" s="1009"/>
    </row>
    <row r="539">
      <c r="A539" t="s">
        <v>126</v>
      </c>
      <c r="B539" s="1003">
        <v>42214.0</v>
      </c>
      <c r="C539" s="1004">
        <f t="shared" si="1"/>
        <v>210</v>
      </c>
      <c r="D539" s="1005">
        <f t="shared" si="2"/>
        <v>6.885245902</v>
      </c>
      <c r="E539" s="1006">
        <f t="shared" si="3"/>
        <v>7</v>
      </c>
      <c r="F539" s="1006" t="s">
        <v>2487</v>
      </c>
      <c r="G539" s="1007">
        <v>0.002690669001680579</v>
      </c>
      <c r="H539" s="1012">
        <v>0.0</v>
      </c>
      <c r="I539" s="1009"/>
    </row>
    <row r="540">
      <c r="A540" t="s">
        <v>215</v>
      </c>
      <c r="B540" s="1003">
        <v>42214.0</v>
      </c>
      <c r="C540" s="1004">
        <f t="shared" si="1"/>
        <v>210</v>
      </c>
      <c r="D540" s="1005">
        <f t="shared" si="2"/>
        <v>6.885245902</v>
      </c>
      <c r="E540" s="1006">
        <f t="shared" si="3"/>
        <v>7</v>
      </c>
      <c r="F540" s="1006" t="s">
        <v>2487</v>
      </c>
      <c r="G540" s="1007">
        <v>0.014130902548436186</v>
      </c>
      <c r="H540" s="1012">
        <v>1.0</v>
      </c>
      <c r="I540" s="1009"/>
    </row>
    <row r="541">
      <c r="A541" t="s">
        <v>769</v>
      </c>
      <c r="B541" s="1003">
        <v>42946.0</v>
      </c>
      <c r="C541" s="1004">
        <f t="shared" si="1"/>
        <v>211</v>
      </c>
      <c r="D541" s="1005">
        <f t="shared" si="2"/>
        <v>6.918032787</v>
      </c>
      <c r="E541" s="1006">
        <f t="shared" si="3"/>
        <v>7</v>
      </c>
      <c r="F541" s="1006" t="s">
        <v>2487</v>
      </c>
      <c r="G541" s="1007">
        <v>0.02853967207575203</v>
      </c>
      <c r="H541" s="1012">
        <v>1.0</v>
      </c>
      <c r="I541" s="1009"/>
    </row>
    <row r="542">
      <c r="A542" t="s">
        <v>761</v>
      </c>
      <c r="B542" s="1003">
        <v>42215.0</v>
      </c>
      <c r="C542" s="1004">
        <f t="shared" si="1"/>
        <v>211</v>
      </c>
      <c r="D542" s="1005">
        <f t="shared" si="2"/>
        <v>6.918032787</v>
      </c>
      <c r="E542" s="1006">
        <f t="shared" si="3"/>
        <v>7</v>
      </c>
      <c r="F542" s="1006" t="s">
        <v>2487</v>
      </c>
      <c r="G542" s="1007">
        <v>-0.011698942829660552</v>
      </c>
      <c r="H542" s="1012">
        <v>-1.0</v>
      </c>
      <c r="I542" s="1009"/>
    </row>
    <row r="543">
      <c r="A543" t="s">
        <v>772</v>
      </c>
      <c r="B543" s="1003">
        <v>42947.0</v>
      </c>
      <c r="C543" s="1004">
        <f t="shared" si="1"/>
        <v>212</v>
      </c>
      <c r="D543" s="1005">
        <f t="shared" si="2"/>
        <v>6.950819672</v>
      </c>
      <c r="E543" s="1006">
        <f t="shared" si="3"/>
        <v>7</v>
      </c>
      <c r="F543" s="1006" t="s">
        <v>2487</v>
      </c>
      <c r="G543" s="1007">
        <v>-0.020322179131136986</v>
      </c>
      <c r="H543" s="1012">
        <v>-1.0</v>
      </c>
      <c r="I543" s="1009"/>
    </row>
    <row r="544">
      <c r="A544" t="s">
        <v>1632</v>
      </c>
      <c r="B544" s="1003">
        <v>42581.0</v>
      </c>
      <c r="C544" s="1004">
        <f t="shared" si="1"/>
        <v>212</v>
      </c>
      <c r="D544" s="1005">
        <f t="shared" si="2"/>
        <v>6.950819672</v>
      </c>
      <c r="E544" s="1006">
        <f t="shared" si="3"/>
        <v>7</v>
      </c>
      <c r="F544" s="1006" t="s">
        <v>2487</v>
      </c>
      <c r="G544" s="1007">
        <v>0.003087282067621877</v>
      </c>
      <c r="H544" s="1012">
        <v>0.0</v>
      </c>
      <c r="I544" s="1009"/>
    </row>
    <row r="545">
      <c r="A545" t="s">
        <v>1890</v>
      </c>
      <c r="B545" s="1003">
        <v>42581.0</v>
      </c>
      <c r="C545" s="1004">
        <f t="shared" si="1"/>
        <v>212</v>
      </c>
      <c r="D545" s="1005">
        <f t="shared" si="2"/>
        <v>6.950819672</v>
      </c>
      <c r="E545" s="1006">
        <f t="shared" si="3"/>
        <v>7</v>
      </c>
      <c r="F545" s="1006" t="s">
        <v>2487</v>
      </c>
      <c r="G545" s="1007">
        <v>-0.002218471304938241</v>
      </c>
      <c r="H545" s="1012">
        <v>0.0</v>
      </c>
      <c r="I545" s="1009"/>
    </row>
    <row r="546">
      <c r="A546" t="s">
        <v>519</v>
      </c>
      <c r="B546" s="1003">
        <v>42581.0</v>
      </c>
      <c r="C546" s="1004">
        <f t="shared" si="1"/>
        <v>212</v>
      </c>
      <c r="D546" s="1005">
        <f t="shared" si="2"/>
        <v>6.950819672</v>
      </c>
      <c r="E546" s="1006">
        <f t="shared" si="3"/>
        <v>7</v>
      </c>
      <c r="F546" s="1006" t="s">
        <v>2487</v>
      </c>
      <c r="G546" s="1007">
        <v>0.013375285163257256</v>
      </c>
      <c r="H546" s="1012">
        <v>1.0</v>
      </c>
      <c r="I546" s="1009"/>
    </row>
    <row r="547">
      <c r="A547" t="s">
        <v>1063</v>
      </c>
      <c r="B547" s="1003">
        <v>42216.0</v>
      </c>
      <c r="C547" s="1004">
        <f t="shared" si="1"/>
        <v>212</v>
      </c>
      <c r="D547" s="1005">
        <f t="shared" si="2"/>
        <v>6.950819672</v>
      </c>
      <c r="E547" s="1006">
        <f t="shared" si="3"/>
        <v>7</v>
      </c>
      <c r="F547" s="1006" t="s">
        <v>2487</v>
      </c>
      <c r="G547" s="1007">
        <v>0.009579701605075042</v>
      </c>
      <c r="H547" s="1012">
        <v>0.0</v>
      </c>
      <c r="I547" s="1009"/>
    </row>
    <row r="548">
      <c r="A548" t="s">
        <v>1095</v>
      </c>
      <c r="B548" s="1003">
        <v>42216.0</v>
      </c>
      <c r="C548" s="1004">
        <f t="shared" si="1"/>
        <v>212</v>
      </c>
      <c r="D548" s="1005">
        <f t="shared" si="2"/>
        <v>6.950819672</v>
      </c>
      <c r="E548" s="1006">
        <f t="shared" si="3"/>
        <v>7</v>
      </c>
      <c r="F548" s="1006" t="s">
        <v>2487</v>
      </c>
      <c r="G548" s="1007">
        <v>-0.005098098090442926</v>
      </c>
      <c r="H548" s="1012">
        <v>0.0</v>
      </c>
      <c r="I548" s="1009"/>
    </row>
    <row r="549">
      <c r="A549" t="s">
        <v>623</v>
      </c>
      <c r="B549" s="1003">
        <v>42216.0</v>
      </c>
      <c r="C549" s="1004">
        <f t="shared" si="1"/>
        <v>212</v>
      </c>
      <c r="D549" s="1005">
        <f t="shared" si="2"/>
        <v>6.950819672</v>
      </c>
      <c r="E549" s="1006">
        <f t="shared" si="3"/>
        <v>7</v>
      </c>
      <c r="F549" s="1006" t="s">
        <v>2487</v>
      </c>
      <c r="G549" s="1007">
        <v>-0.010400739925938485</v>
      </c>
      <c r="H549" s="1012">
        <v>-1.0</v>
      </c>
      <c r="I549" s="1009"/>
    </row>
    <row r="550">
      <c r="A550" t="s">
        <v>1663</v>
      </c>
      <c r="B550" s="1003">
        <v>42948.0</v>
      </c>
      <c r="C550" s="1004">
        <f t="shared" si="1"/>
        <v>213</v>
      </c>
      <c r="D550" s="1005">
        <f t="shared" si="2"/>
        <v>6.983606557</v>
      </c>
      <c r="E550" s="1006">
        <f t="shared" si="3"/>
        <v>7</v>
      </c>
      <c r="F550" s="1006" t="s">
        <v>2487</v>
      </c>
      <c r="G550" s="1007">
        <v>-0.010080716340470697</v>
      </c>
      <c r="H550" s="1012">
        <v>-1.0</v>
      </c>
      <c r="I550" s="1009"/>
    </row>
    <row r="551">
      <c r="A551" t="s">
        <v>1722</v>
      </c>
      <c r="B551" s="1003">
        <v>42948.0</v>
      </c>
      <c r="C551" s="1004">
        <f t="shared" si="1"/>
        <v>213</v>
      </c>
      <c r="D551" s="1005">
        <f t="shared" si="2"/>
        <v>6.983606557</v>
      </c>
      <c r="E551" s="1006">
        <f t="shared" si="3"/>
        <v>7</v>
      </c>
      <c r="F551" s="1006" t="s">
        <v>2487</v>
      </c>
      <c r="G551" s="1007">
        <v>0.02090069726144239</v>
      </c>
      <c r="H551" s="1012">
        <v>1.0</v>
      </c>
      <c r="I551" s="1009"/>
    </row>
    <row r="552">
      <c r="A552" t="s">
        <v>761</v>
      </c>
      <c r="B552" s="1003">
        <v>42582.0</v>
      </c>
      <c r="C552" s="1004">
        <f t="shared" si="1"/>
        <v>213</v>
      </c>
      <c r="D552" s="1005">
        <f t="shared" si="2"/>
        <v>6.983606557</v>
      </c>
      <c r="E552" s="1006">
        <f t="shared" si="3"/>
        <v>7</v>
      </c>
      <c r="F552" s="1006" t="s">
        <v>2487</v>
      </c>
      <c r="G552" s="1007">
        <v>-0.03643486908691829</v>
      </c>
      <c r="H552" s="1012">
        <v>-1.0</v>
      </c>
      <c r="I552" s="1009"/>
    </row>
    <row r="553">
      <c r="A553" t="s">
        <v>761</v>
      </c>
      <c r="B553" s="1003">
        <v>42582.0</v>
      </c>
      <c r="C553" s="1004">
        <f t="shared" si="1"/>
        <v>213</v>
      </c>
      <c r="D553" s="1005">
        <f t="shared" si="2"/>
        <v>6.983606557</v>
      </c>
      <c r="E553" s="1006">
        <f t="shared" si="3"/>
        <v>7</v>
      </c>
      <c r="F553" s="1006" t="s">
        <v>2487</v>
      </c>
      <c r="G553" s="1007">
        <v>-0.03877740261204876</v>
      </c>
      <c r="H553" s="1012">
        <v>-1.0</v>
      </c>
      <c r="I553" s="1009"/>
    </row>
    <row r="554">
      <c r="A554" t="s">
        <v>761</v>
      </c>
      <c r="B554" s="1003">
        <v>42582.0</v>
      </c>
      <c r="C554" s="1004">
        <f t="shared" si="1"/>
        <v>213</v>
      </c>
      <c r="D554" s="1005">
        <f t="shared" si="2"/>
        <v>6.983606557</v>
      </c>
      <c r="E554" s="1006">
        <f t="shared" si="3"/>
        <v>7</v>
      </c>
      <c r="F554" s="1006" t="s">
        <v>2487</v>
      </c>
      <c r="G554" s="1007">
        <v>-0.0337183273800159</v>
      </c>
      <c r="H554" s="1012">
        <v>-1.0</v>
      </c>
      <c r="I554" s="1009"/>
    </row>
    <row r="555">
      <c r="A555" t="s">
        <v>348</v>
      </c>
      <c r="B555" s="1003">
        <v>42582.0</v>
      </c>
      <c r="C555" s="1004">
        <f t="shared" si="1"/>
        <v>213</v>
      </c>
      <c r="D555" s="1005">
        <f t="shared" si="2"/>
        <v>6.983606557</v>
      </c>
      <c r="E555" s="1006">
        <f t="shared" si="3"/>
        <v>7</v>
      </c>
      <c r="F555" s="1006" t="s">
        <v>2487</v>
      </c>
      <c r="G555" s="1007">
        <v>-0.0071310984315065</v>
      </c>
      <c r="H555" s="1012">
        <v>0.0</v>
      </c>
      <c r="I555" s="1009"/>
    </row>
    <row r="556">
      <c r="A556" t="s">
        <v>1741</v>
      </c>
      <c r="B556" s="1003">
        <v>42582.0</v>
      </c>
      <c r="C556" s="1004">
        <f t="shared" si="1"/>
        <v>213</v>
      </c>
      <c r="D556" s="1005">
        <f t="shared" si="2"/>
        <v>6.983606557</v>
      </c>
      <c r="E556" s="1006">
        <f t="shared" si="3"/>
        <v>7</v>
      </c>
      <c r="F556" s="1006" t="s">
        <v>2487</v>
      </c>
      <c r="G556" s="1007">
        <v>0.012943257032683841</v>
      </c>
      <c r="H556" s="1012">
        <v>1.0</v>
      </c>
      <c r="I556" s="1009"/>
    </row>
    <row r="557">
      <c r="A557" t="s">
        <v>201</v>
      </c>
      <c r="B557" s="1003">
        <v>42217.0</v>
      </c>
      <c r="C557" s="1004">
        <f t="shared" si="1"/>
        <v>213</v>
      </c>
      <c r="D557" s="1005">
        <f t="shared" si="2"/>
        <v>6.983606557</v>
      </c>
      <c r="E557" s="1006">
        <f t="shared" si="3"/>
        <v>7</v>
      </c>
      <c r="F557" s="1006" t="s">
        <v>2487</v>
      </c>
      <c r="G557" s="1007">
        <v>0.0031714839068934797</v>
      </c>
      <c r="H557" s="1012">
        <v>0.0</v>
      </c>
      <c r="I557" s="1009"/>
    </row>
    <row r="558">
      <c r="A558" t="s">
        <v>623</v>
      </c>
      <c r="B558" s="1003">
        <v>42217.0</v>
      </c>
      <c r="C558" s="1004">
        <f t="shared" si="1"/>
        <v>213</v>
      </c>
      <c r="D558" s="1005">
        <f t="shared" si="2"/>
        <v>6.983606557</v>
      </c>
      <c r="E558" s="1006">
        <f t="shared" si="3"/>
        <v>7</v>
      </c>
      <c r="F558" s="1006" t="s">
        <v>2487</v>
      </c>
      <c r="G558" s="1007">
        <v>-0.007670359391729442</v>
      </c>
      <c r="H558" s="1012">
        <v>0.0</v>
      </c>
      <c r="I558" s="1009"/>
    </row>
    <row r="559">
      <c r="A559" t="s">
        <v>1611</v>
      </c>
      <c r="B559" s="1003">
        <v>42583.0</v>
      </c>
      <c r="C559" s="1004">
        <f t="shared" si="1"/>
        <v>214</v>
      </c>
      <c r="D559" s="1005">
        <f t="shared" si="2"/>
        <v>7.016393443</v>
      </c>
      <c r="E559" s="1006">
        <f t="shared" si="3"/>
        <v>8</v>
      </c>
      <c r="F559" s="1006" t="s">
        <v>2781</v>
      </c>
      <c r="G559" s="1007">
        <v>0.008306820280828298</v>
      </c>
      <c r="H559" s="1012">
        <v>0.0</v>
      </c>
      <c r="I559" s="1009"/>
    </row>
    <row r="560">
      <c r="A560" t="s">
        <v>717</v>
      </c>
      <c r="B560" s="1003">
        <v>42218.0</v>
      </c>
      <c r="C560" s="1004">
        <f t="shared" si="1"/>
        <v>214</v>
      </c>
      <c r="D560" s="1005">
        <f t="shared" si="2"/>
        <v>7.016393443</v>
      </c>
      <c r="E560" s="1006">
        <f t="shared" si="3"/>
        <v>8</v>
      </c>
      <c r="F560" s="1006" t="s">
        <v>2781</v>
      </c>
      <c r="G560" s="1007">
        <v>0.01815270615508402</v>
      </c>
      <c r="H560" s="1012">
        <v>1.0</v>
      </c>
      <c r="I560" s="1009"/>
    </row>
    <row r="561">
      <c r="A561" t="s">
        <v>1757</v>
      </c>
      <c r="B561" s="1003">
        <v>42950.0</v>
      </c>
      <c r="C561" s="1004">
        <f t="shared" si="1"/>
        <v>215</v>
      </c>
      <c r="D561" s="1005">
        <f t="shared" si="2"/>
        <v>7.049180328</v>
      </c>
      <c r="E561" s="1006">
        <f t="shared" si="3"/>
        <v>8</v>
      </c>
      <c r="F561" s="1006" t="s">
        <v>2781</v>
      </c>
      <c r="G561" s="1007">
        <v>-0.010115113852480206</v>
      </c>
      <c r="H561" s="1012">
        <v>-1.0</v>
      </c>
      <c r="I561" s="1009"/>
    </row>
    <row r="562">
      <c r="A562" t="s">
        <v>1695</v>
      </c>
      <c r="B562" s="1003">
        <v>42950.0</v>
      </c>
      <c r="C562" s="1004">
        <f t="shared" si="1"/>
        <v>215</v>
      </c>
      <c r="D562" s="1005">
        <f t="shared" si="2"/>
        <v>7.049180328</v>
      </c>
      <c r="E562" s="1006">
        <f t="shared" si="3"/>
        <v>8</v>
      </c>
      <c r="F562" s="1006" t="s">
        <v>2781</v>
      </c>
      <c r="G562" s="1007">
        <v>0.013505492243523043</v>
      </c>
      <c r="H562" s="1012">
        <v>1.0</v>
      </c>
      <c r="I562" s="1009"/>
    </row>
    <row r="563">
      <c r="A563" t="s">
        <v>761</v>
      </c>
      <c r="B563" s="1003">
        <v>42951.0</v>
      </c>
      <c r="C563" s="1004">
        <f t="shared" si="1"/>
        <v>216</v>
      </c>
      <c r="D563" s="1005">
        <f t="shared" si="2"/>
        <v>7.081967213</v>
      </c>
      <c r="E563" s="1006">
        <f t="shared" si="3"/>
        <v>8</v>
      </c>
      <c r="F563" s="1006" t="s">
        <v>2781</v>
      </c>
      <c r="G563" s="1007">
        <v>-0.0013710246865907827</v>
      </c>
      <c r="H563" s="1012">
        <v>0.0</v>
      </c>
      <c r="I563" s="1009"/>
    </row>
    <row r="564">
      <c r="A564" t="s">
        <v>1640</v>
      </c>
      <c r="B564" s="1003">
        <v>42951.0</v>
      </c>
      <c r="C564" s="1004">
        <f t="shared" si="1"/>
        <v>216</v>
      </c>
      <c r="D564" s="1005">
        <f t="shared" si="2"/>
        <v>7.081967213</v>
      </c>
      <c r="E564" s="1006">
        <f t="shared" si="3"/>
        <v>8</v>
      </c>
      <c r="F564" s="1006" t="s">
        <v>2781</v>
      </c>
      <c r="G564" s="1007">
        <v>0.04729720191982323</v>
      </c>
      <c r="H564" s="1012">
        <v>1.0</v>
      </c>
      <c r="I564" s="1009"/>
    </row>
    <row r="565">
      <c r="A565" t="s">
        <v>623</v>
      </c>
      <c r="B565" s="1003">
        <v>42220.0</v>
      </c>
      <c r="C565" s="1004">
        <f t="shared" si="1"/>
        <v>216</v>
      </c>
      <c r="D565" s="1005">
        <f t="shared" si="2"/>
        <v>7.081967213</v>
      </c>
      <c r="E565" s="1006">
        <f t="shared" si="3"/>
        <v>8</v>
      </c>
      <c r="F565" s="1006" t="s">
        <v>2781</v>
      </c>
      <c r="G565" s="1007">
        <v>-0.010099166356804634</v>
      </c>
      <c r="H565" s="1012">
        <v>-1.0</v>
      </c>
      <c r="I565" s="1009"/>
    </row>
    <row r="566">
      <c r="A566" t="s">
        <v>168</v>
      </c>
      <c r="B566" s="1003">
        <v>42220.0</v>
      </c>
      <c r="C566" s="1004">
        <f t="shared" si="1"/>
        <v>216</v>
      </c>
      <c r="D566" s="1005">
        <f t="shared" si="2"/>
        <v>7.081967213</v>
      </c>
      <c r="E566" s="1006">
        <f t="shared" si="3"/>
        <v>8</v>
      </c>
      <c r="F566" s="1006" t="s">
        <v>2781</v>
      </c>
      <c r="G566" s="1007">
        <v>7.108094988989011E-4</v>
      </c>
      <c r="H566" s="1012">
        <v>0.0</v>
      </c>
      <c r="I566" s="1009"/>
    </row>
    <row r="567">
      <c r="A567" t="s">
        <v>138</v>
      </c>
      <c r="B567" s="1003">
        <v>42952.0</v>
      </c>
      <c r="C567" s="1004">
        <f t="shared" si="1"/>
        <v>217</v>
      </c>
      <c r="D567" s="1005">
        <f t="shared" si="2"/>
        <v>7.114754098</v>
      </c>
      <c r="E567" s="1006">
        <f t="shared" si="3"/>
        <v>8</v>
      </c>
      <c r="F567" s="1006" t="s">
        <v>2781</v>
      </c>
      <c r="G567" s="1007">
        <v>0.03902170591329657</v>
      </c>
      <c r="H567" s="1012">
        <v>1.0</v>
      </c>
      <c r="I567" s="1009"/>
    </row>
    <row r="568">
      <c r="A568" t="s">
        <v>1625</v>
      </c>
      <c r="B568" s="1003">
        <v>42586.0</v>
      </c>
      <c r="C568" s="1004">
        <f t="shared" si="1"/>
        <v>217</v>
      </c>
      <c r="D568" s="1005">
        <f t="shared" si="2"/>
        <v>7.114754098</v>
      </c>
      <c r="E568" s="1006">
        <f t="shared" si="3"/>
        <v>8</v>
      </c>
      <c r="F568" s="1006" t="s">
        <v>2781</v>
      </c>
      <c r="G568" s="1007">
        <v>-0.005114698519848249</v>
      </c>
      <c r="H568" s="1012">
        <v>0.0</v>
      </c>
      <c r="I568" s="1009"/>
    </row>
    <row r="569">
      <c r="A569" t="s">
        <v>1013</v>
      </c>
      <c r="B569" s="1003">
        <v>42586.0</v>
      </c>
      <c r="C569" s="1004">
        <f t="shared" si="1"/>
        <v>217</v>
      </c>
      <c r="D569" s="1005">
        <f t="shared" si="2"/>
        <v>7.114754098</v>
      </c>
      <c r="E569" s="1006">
        <f t="shared" si="3"/>
        <v>8</v>
      </c>
      <c r="F569" s="1006" t="s">
        <v>2781</v>
      </c>
      <c r="G569" s="1007">
        <v>0.022317662948631356</v>
      </c>
      <c r="H569" s="1012">
        <v>1.0</v>
      </c>
      <c r="I569" s="1009"/>
    </row>
    <row r="570">
      <c r="A570" t="s">
        <v>1882</v>
      </c>
      <c r="B570" s="1003">
        <v>42586.0</v>
      </c>
      <c r="C570" s="1004">
        <f t="shared" si="1"/>
        <v>217</v>
      </c>
      <c r="D570" s="1005">
        <f t="shared" si="2"/>
        <v>7.114754098</v>
      </c>
      <c r="E570" s="1006">
        <f t="shared" si="3"/>
        <v>8</v>
      </c>
      <c r="F570" s="1006" t="s">
        <v>2781</v>
      </c>
      <c r="G570" s="1007">
        <v>0.0022814681236450474</v>
      </c>
      <c r="H570" s="1012">
        <v>0.0</v>
      </c>
      <c r="I570" s="1009"/>
    </row>
    <row r="571">
      <c r="A571" t="s">
        <v>623</v>
      </c>
      <c r="B571" s="1003">
        <v>42221.0</v>
      </c>
      <c r="C571" s="1004">
        <f t="shared" si="1"/>
        <v>217</v>
      </c>
      <c r="D571" s="1005">
        <f t="shared" si="2"/>
        <v>7.114754098</v>
      </c>
      <c r="E571" s="1006">
        <f t="shared" si="3"/>
        <v>8</v>
      </c>
      <c r="F571" s="1006" t="s">
        <v>2781</v>
      </c>
      <c r="G571" s="1007">
        <v>-0.00757577473394877</v>
      </c>
      <c r="H571" s="1012">
        <v>0.0</v>
      </c>
      <c r="I571" s="1009"/>
    </row>
    <row r="572">
      <c r="A572" t="s">
        <v>623</v>
      </c>
      <c r="B572" s="1003">
        <v>42587.0</v>
      </c>
      <c r="C572" s="1004">
        <f t="shared" si="1"/>
        <v>218</v>
      </c>
      <c r="D572" s="1005">
        <f t="shared" si="2"/>
        <v>7.147540984</v>
      </c>
      <c r="E572" s="1006">
        <f t="shared" si="3"/>
        <v>8</v>
      </c>
      <c r="F572" s="1006" t="s">
        <v>2781</v>
      </c>
      <c r="G572" s="1007">
        <v>0.0015237776046425067</v>
      </c>
      <c r="H572" s="1012">
        <v>0.0</v>
      </c>
      <c r="I572" s="1009"/>
    </row>
    <row r="573">
      <c r="A573" t="s">
        <v>1628</v>
      </c>
      <c r="B573" s="1003">
        <v>42587.0</v>
      </c>
      <c r="C573" s="1004">
        <f t="shared" si="1"/>
        <v>218</v>
      </c>
      <c r="D573" s="1005">
        <f t="shared" si="2"/>
        <v>7.147540984</v>
      </c>
      <c r="E573" s="1006">
        <f t="shared" si="3"/>
        <v>8</v>
      </c>
      <c r="F573" s="1006" t="s">
        <v>2781</v>
      </c>
      <c r="G573" s="1007">
        <v>0.016470737688854542</v>
      </c>
      <c r="H573" s="1012">
        <v>1.0</v>
      </c>
      <c r="I573" s="1009"/>
    </row>
    <row r="574">
      <c r="A574" t="s">
        <v>761</v>
      </c>
      <c r="B574" s="1003">
        <v>42588.0</v>
      </c>
      <c r="C574" s="1004">
        <f t="shared" si="1"/>
        <v>219</v>
      </c>
      <c r="D574" s="1005">
        <f t="shared" si="2"/>
        <v>7.180327869</v>
      </c>
      <c r="E574" s="1006">
        <f t="shared" si="3"/>
        <v>8</v>
      </c>
      <c r="F574" s="1006" t="s">
        <v>2781</v>
      </c>
      <c r="G574" s="1007">
        <v>-0.03588157177047513</v>
      </c>
      <c r="H574" s="1012">
        <v>-1.0</v>
      </c>
      <c r="I574" s="1009"/>
    </row>
    <row r="575">
      <c r="A575" t="s">
        <v>623</v>
      </c>
      <c r="B575" s="1003">
        <v>42223.0</v>
      </c>
      <c r="C575" s="1004">
        <f t="shared" si="1"/>
        <v>219</v>
      </c>
      <c r="D575" s="1005">
        <f t="shared" si="2"/>
        <v>7.180327869</v>
      </c>
      <c r="E575" s="1006">
        <f t="shared" si="3"/>
        <v>8</v>
      </c>
      <c r="F575" s="1006" t="s">
        <v>2781</v>
      </c>
      <c r="G575" s="1007">
        <v>-0.00502289678073875</v>
      </c>
      <c r="H575" s="1012">
        <v>0.0</v>
      </c>
      <c r="I575" s="1009"/>
    </row>
    <row r="576">
      <c r="A576" t="s">
        <v>761</v>
      </c>
      <c r="B576" s="1003">
        <v>42955.0</v>
      </c>
      <c r="C576" s="1004">
        <f t="shared" si="1"/>
        <v>220</v>
      </c>
      <c r="D576" s="1005">
        <f t="shared" si="2"/>
        <v>7.213114754</v>
      </c>
      <c r="E576" s="1006">
        <f t="shared" si="3"/>
        <v>8</v>
      </c>
      <c r="F576" s="1006" t="s">
        <v>2781</v>
      </c>
      <c r="G576" s="1007">
        <v>-0.003836415241871949</v>
      </c>
      <c r="H576" s="1012">
        <v>0.0</v>
      </c>
      <c r="I576" s="1009"/>
    </row>
    <row r="577">
      <c r="A577" t="s">
        <v>1716</v>
      </c>
      <c r="B577" s="1003">
        <v>42955.0</v>
      </c>
      <c r="C577" s="1004">
        <f t="shared" si="1"/>
        <v>220</v>
      </c>
      <c r="D577" s="1005">
        <f t="shared" si="2"/>
        <v>7.213114754</v>
      </c>
      <c r="E577" s="1006">
        <f t="shared" si="3"/>
        <v>8</v>
      </c>
      <c r="F577" s="1006" t="s">
        <v>2781</v>
      </c>
      <c r="G577" s="1007">
        <v>0.01469063516554625</v>
      </c>
      <c r="H577" s="1012">
        <v>1.0</v>
      </c>
      <c r="I577" s="1009"/>
    </row>
    <row r="578">
      <c r="A578" t="s">
        <v>640</v>
      </c>
      <c r="B578" s="1003">
        <v>42224.0</v>
      </c>
      <c r="C578" s="1004">
        <f t="shared" si="1"/>
        <v>220</v>
      </c>
      <c r="D578" s="1005">
        <f t="shared" si="2"/>
        <v>7.213114754</v>
      </c>
      <c r="E578" s="1006">
        <f t="shared" si="3"/>
        <v>8</v>
      </c>
      <c r="F578" s="1006" t="s">
        <v>2781</v>
      </c>
      <c r="G578" s="1007">
        <v>-0.001416374975238055</v>
      </c>
      <c r="H578" s="1012">
        <v>0.0</v>
      </c>
      <c r="I578" s="1009"/>
    </row>
    <row r="579">
      <c r="A579" t="s">
        <v>761</v>
      </c>
      <c r="B579" s="1003">
        <v>42224.0</v>
      </c>
      <c r="C579" s="1004">
        <f t="shared" si="1"/>
        <v>220</v>
      </c>
      <c r="D579" s="1005">
        <f t="shared" si="2"/>
        <v>7.213114754</v>
      </c>
      <c r="E579" s="1006">
        <f t="shared" si="3"/>
        <v>8</v>
      </c>
      <c r="F579" s="1006" t="s">
        <v>2781</v>
      </c>
      <c r="G579" s="1007">
        <v>-0.013759494931068095</v>
      </c>
      <c r="H579" s="1012">
        <v>-1.0</v>
      </c>
      <c r="I579" s="1009"/>
    </row>
    <row r="580">
      <c r="A580" t="s">
        <v>809</v>
      </c>
      <c r="B580" s="1003">
        <v>42956.0</v>
      </c>
      <c r="C580" s="1004">
        <f t="shared" si="1"/>
        <v>221</v>
      </c>
      <c r="D580" s="1005">
        <f t="shared" si="2"/>
        <v>7.245901639</v>
      </c>
      <c r="E580" s="1006">
        <f t="shared" si="3"/>
        <v>8</v>
      </c>
      <c r="F580" s="1006" t="s">
        <v>2781</v>
      </c>
      <c r="G580" s="1007">
        <v>0.013503937367535523</v>
      </c>
      <c r="H580" s="1012">
        <v>1.0</v>
      </c>
      <c r="I580" s="1009"/>
    </row>
    <row r="581">
      <c r="A581" t="s">
        <v>761</v>
      </c>
      <c r="B581" s="1003">
        <v>42225.0</v>
      </c>
      <c r="C581" s="1004">
        <f t="shared" si="1"/>
        <v>221</v>
      </c>
      <c r="D581" s="1005">
        <f t="shared" si="2"/>
        <v>7.245901639</v>
      </c>
      <c r="E581" s="1006">
        <f t="shared" si="3"/>
        <v>8</v>
      </c>
      <c r="F581" s="1006" t="s">
        <v>2781</v>
      </c>
      <c r="G581" s="1007">
        <v>-0.015738499699180064</v>
      </c>
      <c r="H581" s="1012">
        <v>-1.0</v>
      </c>
      <c r="I581" s="1009"/>
    </row>
    <row r="582">
      <c r="A582" t="s">
        <v>155</v>
      </c>
      <c r="B582" s="1003">
        <v>42225.0</v>
      </c>
      <c r="C582" s="1004">
        <f t="shared" si="1"/>
        <v>221</v>
      </c>
      <c r="D582" s="1005">
        <f t="shared" si="2"/>
        <v>7.245901639</v>
      </c>
      <c r="E582" s="1006">
        <f t="shared" si="3"/>
        <v>8</v>
      </c>
      <c r="F582" s="1006" t="s">
        <v>2781</v>
      </c>
      <c r="G582" s="1007">
        <v>0.005076375562812152</v>
      </c>
      <c r="H582" s="1012">
        <v>0.0</v>
      </c>
      <c r="I582" s="1009"/>
    </row>
    <row r="583">
      <c r="A583" t="s">
        <v>548</v>
      </c>
      <c r="B583" s="1003">
        <v>42225.0</v>
      </c>
      <c r="C583" s="1004">
        <f t="shared" si="1"/>
        <v>221</v>
      </c>
      <c r="D583" s="1005">
        <f t="shared" si="2"/>
        <v>7.245901639</v>
      </c>
      <c r="E583" s="1006">
        <f t="shared" si="3"/>
        <v>8</v>
      </c>
      <c r="F583" s="1006" t="s">
        <v>2781</v>
      </c>
      <c r="G583" s="1007">
        <v>-0.008641779121177806</v>
      </c>
      <c r="H583" s="1012">
        <v>0.0</v>
      </c>
      <c r="I583" s="1009"/>
    </row>
    <row r="584">
      <c r="A584" t="s">
        <v>623</v>
      </c>
      <c r="B584" s="1003">
        <v>42225.0</v>
      </c>
      <c r="C584" s="1004">
        <f t="shared" si="1"/>
        <v>221</v>
      </c>
      <c r="D584" s="1005">
        <f t="shared" si="2"/>
        <v>7.245901639</v>
      </c>
      <c r="E584" s="1006">
        <f t="shared" si="3"/>
        <v>8</v>
      </c>
      <c r="F584" s="1006" t="s">
        <v>2781</v>
      </c>
      <c r="G584" s="1007">
        <v>-0.004998339593489831</v>
      </c>
      <c r="H584" s="1012">
        <v>0.0</v>
      </c>
      <c r="I584" s="1009"/>
    </row>
    <row r="585">
      <c r="A585" t="s">
        <v>1741</v>
      </c>
      <c r="B585" s="1003">
        <v>42225.0</v>
      </c>
      <c r="C585" s="1004">
        <f t="shared" si="1"/>
        <v>221</v>
      </c>
      <c r="D585" s="1005">
        <f t="shared" si="2"/>
        <v>7.245901639</v>
      </c>
      <c r="E585" s="1006">
        <f t="shared" si="3"/>
        <v>8</v>
      </c>
      <c r="F585" s="1006" t="s">
        <v>2781</v>
      </c>
      <c r="G585" s="1007">
        <v>-0.034123991752151084</v>
      </c>
      <c r="H585" s="1012">
        <v>-1.0</v>
      </c>
      <c r="I585" s="1009"/>
    </row>
    <row r="586">
      <c r="A586" t="s">
        <v>1807</v>
      </c>
      <c r="B586" s="1003">
        <v>42957.0</v>
      </c>
      <c r="C586" s="1004">
        <f t="shared" si="1"/>
        <v>222</v>
      </c>
      <c r="D586" s="1005">
        <f t="shared" si="2"/>
        <v>7.278688525</v>
      </c>
      <c r="E586" s="1006">
        <f t="shared" si="3"/>
        <v>8</v>
      </c>
      <c r="F586" s="1006" t="s">
        <v>2781</v>
      </c>
      <c r="G586" s="1007">
        <v>0.01845730678157953</v>
      </c>
      <c r="H586" s="1012">
        <v>1.0</v>
      </c>
      <c r="I586" s="1009"/>
    </row>
    <row r="587">
      <c r="A587" t="s">
        <v>1656</v>
      </c>
      <c r="B587" s="1003">
        <v>42957.0</v>
      </c>
      <c r="C587" s="1004">
        <f t="shared" si="1"/>
        <v>222</v>
      </c>
      <c r="D587" s="1005">
        <f t="shared" si="2"/>
        <v>7.278688525</v>
      </c>
      <c r="E587" s="1006">
        <f t="shared" si="3"/>
        <v>8</v>
      </c>
      <c r="F587" s="1006" t="s">
        <v>2781</v>
      </c>
      <c r="G587" s="1007">
        <v>0.03645627549247188</v>
      </c>
      <c r="H587" s="1012">
        <v>1.0</v>
      </c>
      <c r="I587" s="1009"/>
    </row>
    <row r="588">
      <c r="A588" t="s">
        <v>1645</v>
      </c>
      <c r="B588" s="1044">
        <v>42957.0</v>
      </c>
      <c r="C588" s="1004">
        <f t="shared" si="1"/>
        <v>222</v>
      </c>
      <c r="D588" s="1005">
        <f t="shared" si="2"/>
        <v>7.278688525</v>
      </c>
      <c r="E588" s="1006">
        <f t="shared" si="3"/>
        <v>8</v>
      </c>
      <c r="F588" s="1006" t="s">
        <v>2781</v>
      </c>
      <c r="G588" s="1007">
        <v>0.0038325874221978307</v>
      </c>
      <c r="H588" s="1012">
        <v>0.0</v>
      </c>
      <c r="I588" s="1009"/>
    </row>
    <row r="589">
      <c r="A589" t="s">
        <v>58</v>
      </c>
      <c r="B589" s="1003">
        <v>42591.0</v>
      </c>
      <c r="C589" s="1004">
        <f t="shared" si="1"/>
        <v>222</v>
      </c>
      <c r="D589" s="1005">
        <f t="shared" si="2"/>
        <v>7.278688525</v>
      </c>
      <c r="E589" s="1006">
        <f t="shared" si="3"/>
        <v>8</v>
      </c>
      <c r="F589" s="1006" t="s">
        <v>2781</v>
      </c>
      <c r="G589" s="1007">
        <v>-0.009278284088916067</v>
      </c>
      <c r="H589" s="1012">
        <v>0.0</v>
      </c>
      <c r="I589" s="1009"/>
    </row>
    <row r="590">
      <c r="A590" t="s">
        <v>449</v>
      </c>
      <c r="B590" s="1003">
        <v>42591.0</v>
      </c>
      <c r="C590" s="1004">
        <f t="shared" si="1"/>
        <v>222</v>
      </c>
      <c r="D590" s="1005">
        <f t="shared" si="2"/>
        <v>7.278688525</v>
      </c>
      <c r="E590" s="1006">
        <f t="shared" si="3"/>
        <v>8</v>
      </c>
      <c r="F590" s="1006" t="s">
        <v>2781</v>
      </c>
      <c r="G590" s="1007">
        <v>0.012997169193611269</v>
      </c>
      <c r="H590" s="1012">
        <v>1.0</v>
      </c>
      <c r="I590" s="1009"/>
    </row>
    <row r="591">
      <c r="A591" t="s">
        <v>1703</v>
      </c>
      <c r="B591" s="1003">
        <v>42591.0</v>
      </c>
      <c r="C591" s="1004">
        <f t="shared" si="1"/>
        <v>222</v>
      </c>
      <c r="D591" s="1005">
        <f t="shared" si="2"/>
        <v>7.278688525</v>
      </c>
      <c r="E591" s="1006">
        <f t="shared" si="3"/>
        <v>8</v>
      </c>
      <c r="F591" s="1006" t="s">
        <v>2781</v>
      </c>
      <c r="G591" s="1007">
        <v>0.026489204202360783</v>
      </c>
      <c r="H591" s="1012">
        <v>1.0</v>
      </c>
      <c r="I591" s="1009"/>
    </row>
    <row r="592">
      <c r="A592" t="s">
        <v>1468</v>
      </c>
      <c r="B592" s="1003">
        <v>42226.0</v>
      </c>
      <c r="C592" s="1004">
        <f t="shared" si="1"/>
        <v>222</v>
      </c>
      <c r="D592" s="1005">
        <f t="shared" si="2"/>
        <v>7.278688525</v>
      </c>
      <c r="E592" s="1006">
        <f t="shared" si="3"/>
        <v>8</v>
      </c>
      <c r="F592" s="1006" t="s">
        <v>2781</v>
      </c>
      <c r="G592" s="1007">
        <v>-0.0240787869234389</v>
      </c>
      <c r="H592" s="1012">
        <v>-1.0</v>
      </c>
      <c r="I592" s="1009"/>
    </row>
    <row r="593">
      <c r="A593" t="s">
        <v>1734</v>
      </c>
      <c r="B593" s="1003">
        <v>42958.0</v>
      </c>
      <c r="C593" s="1004">
        <f t="shared" si="1"/>
        <v>223</v>
      </c>
      <c r="D593" s="1005">
        <f t="shared" si="2"/>
        <v>7.31147541</v>
      </c>
      <c r="E593" s="1006">
        <f t="shared" si="3"/>
        <v>8</v>
      </c>
      <c r="F593" s="1006" t="s">
        <v>2781</v>
      </c>
      <c r="G593" s="1007">
        <v>0.014511760328700274</v>
      </c>
      <c r="H593" s="1012">
        <v>1.0</v>
      </c>
      <c r="I593" s="1009"/>
    </row>
    <row r="594">
      <c r="A594" t="s">
        <v>1887</v>
      </c>
      <c r="B594" s="1003">
        <v>42958.0</v>
      </c>
      <c r="C594" s="1004">
        <f t="shared" si="1"/>
        <v>223</v>
      </c>
      <c r="D594" s="1005">
        <f t="shared" si="2"/>
        <v>7.31147541</v>
      </c>
      <c r="E594" s="1006">
        <f t="shared" si="3"/>
        <v>8</v>
      </c>
      <c r="F594" s="1006" t="s">
        <v>2781</v>
      </c>
      <c r="G594" s="1007">
        <v>0.03571323324438713</v>
      </c>
      <c r="H594" s="1012">
        <v>1.0</v>
      </c>
      <c r="I594" s="1009"/>
    </row>
    <row r="595">
      <c r="A595" t="s">
        <v>1714</v>
      </c>
      <c r="B595" s="1003">
        <v>42958.0</v>
      </c>
      <c r="C595" s="1004">
        <f t="shared" si="1"/>
        <v>223</v>
      </c>
      <c r="D595" s="1005">
        <f t="shared" si="2"/>
        <v>7.31147541</v>
      </c>
      <c r="E595" s="1006">
        <f t="shared" si="3"/>
        <v>8</v>
      </c>
      <c r="F595" s="1006" t="s">
        <v>2781</v>
      </c>
      <c r="G595" s="1007">
        <v>0.007993081543113179</v>
      </c>
      <c r="H595" s="1012">
        <v>0.0</v>
      </c>
      <c r="I595" s="1009"/>
    </row>
    <row r="596">
      <c r="A596" t="s">
        <v>161</v>
      </c>
      <c r="B596" s="1003">
        <v>42958.0</v>
      </c>
      <c r="C596" s="1004">
        <f t="shared" si="1"/>
        <v>223</v>
      </c>
      <c r="D596" s="1005">
        <f t="shared" si="2"/>
        <v>7.31147541</v>
      </c>
      <c r="E596" s="1006">
        <f t="shared" si="3"/>
        <v>8</v>
      </c>
      <c r="F596" s="1006" t="s">
        <v>2781</v>
      </c>
      <c r="G596" s="1007">
        <v>-0.005166394997054069</v>
      </c>
      <c r="H596" s="1012">
        <v>0.0</v>
      </c>
      <c r="I596" s="1009"/>
    </row>
    <row r="597">
      <c r="A597" t="s">
        <v>1336</v>
      </c>
      <c r="B597" s="1003">
        <v>42592.0</v>
      </c>
      <c r="C597" s="1004">
        <f t="shared" si="1"/>
        <v>223</v>
      </c>
      <c r="D597" s="1005">
        <f t="shared" si="2"/>
        <v>7.31147541</v>
      </c>
      <c r="E597" s="1006">
        <f t="shared" si="3"/>
        <v>8</v>
      </c>
      <c r="F597" s="1006" t="s">
        <v>2781</v>
      </c>
      <c r="G597" s="1007">
        <v>0.007122950288345087</v>
      </c>
      <c r="H597" s="1012">
        <v>0.0</v>
      </c>
      <c r="I597" s="1009"/>
    </row>
    <row r="598">
      <c r="A598" t="s">
        <v>477</v>
      </c>
      <c r="B598" s="1003">
        <v>42227.0</v>
      </c>
      <c r="C598" s="1004">
        <f t="shared" si="1"/>
        <v>223</v>
      </c>
      <c r="D598" s="1005">
        <f t="shared" si="2"/>
        <v>7.31147541</v>
      </c>
      <c r="E598" s="1006">
        <f t="shared" si="3"/>
        <v>8</v>
      </c>
      <c r="F598" s="1006" t="s">
        <v>2781</v>
      </c>
      <c r="G598" s="1007">
        <v>0.018261200960013046</v>
      </c>
      <c r="H598" s="1012">
        <v>1.0</v>
      </c>
      <c r="I598" s="1009"/>
    </row>
    <row r="599">
      <c r="A599" t="s">
        <v>231</v>
      </c>
      <c r="B599" s="1003">
        <v>42227.0</v>
      </c>
      <c r="C599" s="1004">
        <f t="shared" si="1"/>
        <v>223</v>
      </c>
      <c r="D599" s="1005">
        <f t="shared" si="2"/>
        <v>7.31147541</v>
      </c>
      <c r="E599" s="1006">
        <f t="shared" si="3"/>
        <v>8</v>
      </c>
      <c r="F599" s="1006" t="s">
        <v>2781</v>
      </c>
      <c r="G599" s="1007">
        <v>0.008394370988566324</v>
      </c>
      <c r="H599" s="1012">
        <v>0.0</v>
      </c>
      <c r="I599" s="1009"/>
    </row>
    <row r="600">
      <c r="A600" t="s">
        <v>1111</v>
      </c>
      <c r="B600" s="1003">
        <v>42227.0</v>
      </c>
      <c r="C600" s="1004">
        <f t="shared" si="1"/>
        <v>223</v>
      </c>
      <c r="D600" s="1005">
        <f t="shared" si="2"/>
        <v>7.31147541</v>
      </c>
      <c r="E600" s="1006">
        <f t="shared" si="3"/>
        <v>8</v>
      </c>
      <c r="F600" s="1006" t="s">
        <v>2781</v>
      </c>
      <c r="G600" s="1007">
        <v>0.02275766939842927</v>
      </c>
      <c r="H600" s="1012">
        <v>1.0</v>
      </c>
      <c r="I600" s="1009"/>
    </row>
    <row r="601">
      <c r="A601" t="s">
        <v>339</v>
      </c>
      <c r="B601" s="1003">
        <v>42227.0</v>
      </c>
      <c r="C601" s="1004">
        <f t="shared" si="1"/>
        <v>223</v>
      </c>
      <c r="D601" s="1005">
        <f t="shared" si="2"/>
        <v>7.31147541</v>
      </c>
      <c r="E601" s="1006">
        <f t="shared" si="3"/>
        <v>8</v>
      </c>
      <c r="F601" s="1006" t="s">
        <v>2781</v>
      </c>
      <c r="G601" s="1007">
        <v>-0.010130548361016567</v>
      </c>
      <c r="H601" s="1012">
        <v>-1.0</v>
      </c>
      <c r="I601" s="1009"/>
    </row>
    <row r="602">
      <c r="A602" t="s">
        <v>1762</v>
      </c>
      <c r="B602" s="1003">
        <v>42959.0</v>
      </c>
      <c r="C602" s="1004">
        <f t="shared" si="1"/>
        <v>224</v>
      </c>
      <c r="D602" s="1005">
        <f t="shared" si="2"/>
        <v>7.344262295</v>
      </c>
      <c r="E602" s="1006">
        <f t="shared" si="3"/>
        <v>8</v>
      </c>
      <c r="F602" s="1006" t="s">
        <v>2781</v>
      </c>
      <c r="G602" s="1007">
        <v>0.01636165952383195</v>
      </c>
      <c r="H602" s="1012">
        <v>1.0</v>
      </c>
      <c r="I602" s="1009"/>
    </row>
    <row r="603">
      <c r="A603" t="s">
        <v>376</v>
      </c>
      <c r="B603" s="1003">
        <v>42593.0</v>
      </c>
      <c r="C603" s="1004">
        <f t="shared" si="1"/>
        <v>224</v>
      </c>
      <c r="D603" s="1005">
        <f t="shared" si="2"/>
        <v>7.344262295</v>
      </c>
      <c r="E603" s="1006">
        <f t="shared" si="3"/>
        <v>8</v>
      </c>
      <c r="F603" s="1006" t="s">
        <v>2781</v>
      </c>
      <c r="G603" s="1007">
        <v>-0.018841509315353</v>
      </c>
      <c r="H603" s="1012">
        <v>-1.0</v>
      </c>
      <c r="I603" s="1009"/>
    </row>
    <row r="604">
      <c r="A604" t="s">
        <v>212</v>
      </c>
      <c r="B604" s="1003">
        <v>42228.0</v>
      </c>
      <c r="C604" s="1004">
        <f t="shared" si="1"/>
        <v>224</v>
      </c>
      <c r="D604" s="1005">
        <f t="shared" si="2"/>
        <v>7.344262295</v>
      </c>
      <c r="E604" s="1006">
        <f t="shared" si="3"/>
        <v>8</v>
      </c>
      <c r="F604" s="1006" t="s">
        <v>2781</v>
      </c>
      <c r="G604" s="1007">
        <v>9.479210081096978E-4</v>
      </c>
      <c r="H604" s="1012">
        <v>0.0</v>
      </c>
      <c r="I604" s="1009"/>
    </row>
    <row r="605">
      <c r="A605" t="s">
        <v>1127</v>
      </c>
      <c r="B605" s="1003">
        <v>42228.0</v>
      </c>
      <c r="C605" s="1004">
        <f t="shared" si="1"/>
        <v>224</v>
      </c>
      <c r="D605" s="1005">
        <f t="shared" si="2"/>
        <v>7.344262295</v>
      </c>
      <c r="E605" s="1006">
        <f t="shared" si="3"/>
        <v>8</v>
      </c>
      <c r="F605" s="1006" t="s">
        <v>2781</v>
      </c>
      <c r="G605" s="1007">
        <v>-0.03670897165898046</v>
      </c>
      <c r="H605" s="1012">
        <v>-1.0</v>
      </c>
      <c r="I605" s="1009"/>
    </row>
    <row r="606">
      <c r="A606" t="s">
        <v>114</v>
      </c>
      <c r="B606" s="1003">
        <v>42228.0</v>
      </c>
      <c r="C606" s="1004">
        <f t="shared" si="1"/>
        <v>224</v>
      </c>
      <c r="D606" s="1005">
        <f t="shared" si="2"/>
        <v>7.344262295</v>
      </c>
      <c r="E606" s="1006">
        <f t="shared" si="3"/>
        <v>8</v>
      </c>
      <c r="F606" s="1006" t="s">
        <v>2781</v>
      </c>
      <c r="G606" s="1007">
        <v>-0.028601386381121863</v>
      </c>
      <c r="H606" s="1012">
        <v>-1.0</v>
      </c>
      <c r="I606" s="1009"/>
    </row>
    <row r="607">
      <c r="A607" t="s">
        <v>147</v>
      </c>
      <c r="B607" s="1003">
        <v>42228.0</v>
      </c>
      <c r="C607" s="1004">
        <f t="shared" si="1"/>
        <v>224</v>
      </c>
      <c r="D607" s="1005">
        <f t="shared" si="2"/>
        <v>7.344262295</v>
      </c>
      <c r="E607" s="1006">
        <f t="shared" si="3"/>
        <v>8</v>
      </c>
      <c r="F607" s="1006" t="s">
        <v>2781</v>
      </c>
      <c r="G607" s="1007">
        <v>-0.00674248381158471</v>
      </c>
      <c r="H607" s="1012">
        <v>0.0</v>
      </c>
      <c r="I607" s="1009"/>
    </row>
    <row r="608">
      <c r="A608" t="s">
        <v>1648</v>
      </c>
      <c r="B608" s="1003">
        <v>42960.0</v>
      </c>
      <c r="C608" s="1004">
        <f t="shared" si="1"/>
        <v>225</v>
      </c>
      <c r="D608" s="1005">
        <f t="shared" si="2"/>
        <v>7.37704918</v>
      </c>
      <c r="E608" s="1006">
        <f t="shared" si="3"/>
        <v>8</v>
      </c>
      <c r="F608" s="1006" t="s">
        <v>2781</v>
      </c>
      <c r="G608" s="1007">
        <v>0.028437222989948774</v>
      </c>
      <c r="H608" s="1012">
        <v>1.0</v>
      </c>
      <c r="I608" s="1009"/>
    </row>
    <row r="609">
      <c r="A609" t="s">
        <v>1336</v>
      </c>
      <c r="B609" s="1003">
        <v>42960.0</v>
      </c>
      <c r="C609" s="1004">
        <f t="shared" si="1"/>
        <v>225</v>
      </c>
      <c r="D609" s="1005">
        <f t="shared" si="2"/>
        <v>7.37704918</v>
      </c>
      <c r="E609" s="1006">
        <f t="shared" si="3"/>
        <v>8</v>
      </c>
      <c r="F609" s="1006" t="s">
        <v>2781</v>
      </c>
      <c r="G609" s="1007">
        <v>0.011048517791749868</v>
      </c>
      <c r="H609" s="1012">
        <v>1.0</v>
      </c>
      <c r="I609" s="1009"/>
    </row>
    <row r="610">
      <c r="A610" t="s">
        <v>1726</v>
      </c>
      <c r="B610" s="1003">
        <v>42594.0</v>
      </c>
      <c r="C610" s="1004">
        <f t="shared" si="1"/>
        <v>225</v>
      </c>
      <c r="D610" s="1005">
        <f t="shared" si="2"/>
        <v>7.37704918</v>
      </c>
      <c r="E610" s="1006">
        <f t="shared" si="3"/>
        <v>8</v>
      </c>
      <c r="F610" s="1006" t="s">
        <v>2781</v>
      </c>
      <c r="G610" s="1007">
        <v>-0.01190369970135563</v>
      </c>
      <c r="H610" s="1012">
        <v>-1.0</v>
      </c>
      <c r="I610" s="1009"/>
    </row>
    <row r="611">
      <c r="A611" t="s">
        <v>237</v>
      </c>
      <c r="B611" s="1003">
        <v>42229.0</v>
      </c>
      <c r="C611" s="1004">
        <f t="shared" si="1"/>
        <v>225</v>
      </c>
      <c r="D611" s="1005">
        <f t="shared" si="2"/>
        <v>7.37704918</v>
      </c>
      <c r="E611" s="1006">
        <f t="shared" si="3"/>
        <v>8</v>
      </c>
      <c r="F611" s="1006" t="s">
        <v>2781</v>
      </c>
      <c r="G611" s="1007">
        <v>-0.003637713003044496</v>
      </c>
      <c r="H611" s="1012">
        <v>0.0</v>
      </c>
      <c r="I611" s="1009"/>
    </row>
    <row r="612">
      <c r="A612" t="s">
        <v>623</v>
      </c>
      <c r="B612" s="1003">
        <v>42229.0</v>
      </c>
      <c r="C612" s="1004">
        <f t="shared" si="1"/>
        <v>225</v>
      </c>
      <c r="D612" s="1005">
        <f t="shared" si="2"/>
        <v>7.37704918</v>
      </c>
      <c r="E612" s="1006">
        <f t="shared" si="3"/>
        <v>8</v>
      </c>
      <c r="F612" s="1006" t="s">
        <v>2781</v>
      </c>
      <c r="G612" s="1007">
        <v>-0.0024110546528643972</v>
      </c>
      <c r="H612" s="1012">
        <v>0.0</v>
      </c>
      <c r="I612" s="1009"/>
    </row>
    <row r="613">
      <c r="A613" t="s">
        <v>636</v>
      </c>
      <c r="B613" s="1003">
        <v>42229.0</v>
      </c>
      <c r="C613" s="1004">
        <f t="shared" si="1"/>
        <v>225</v>
      </c>
      <c r="D613" s="1005">
        <f t="shared" si="2"/>
        <v>7.37704918</v>
      </c>
      <c r="E613" s="1006">
        <f t="shared" si="3"/>
        <v>8</v>
      </c>
      <c r="F613" s="1006" t="s">
        <v>2781</v>
      </c>
      <c r="G613" s="1007">
        <v>1.0897221025674142E-4</v>
      </c>
      <c r="H613" s="1012">
        <v>0.0</v>
      </c>
      <c r="I613" s="1009"/>
    </row>
    <row r="614">
      <c r="A614" t="s">
        <v>1128</v>
      </c>
      <c r="B614" s="1003">
        <v>42595.0</v>
      </c>
      <c r="C614" s="1004">
        <f t="shared" si="1"/>
        <v>226</v>
      </c>
      <c r="D614" s="1005">
        <f t="shared" si="2"/>
        <v>7.409836066</v>
      </c>
      <c r="E614" s="1006">
        <f t="shared" si="3"/>
        <v>8</v>
      </c>
      <c r="F614" s="1006" t="s">
        <v>2781</v>
      </c>
      <c r="G614" s="1007">
        <v>0.016558220026313353</v>
      </c>
      <c r="H614" s="1012">
        <v>1.0</v>
      </c>
      <c r="I614" s="1009"/>
    </row>
    <row r="615">
      <c r="A615" t="s">
        <v>1690</v>
      </c>
      <c r="B615" s="1003">
        <v>42230.0</v>
      </c>
      <c r="C615" s="1004">
        <f t="shared" si="1"/>
        <v>226</v>
      </c>
      <c r="D615" s="1005">
        <f t="shared" si="2"/>
        <v>7.409836066</v>
      </c>
      <c r="E615" s="1006">
        <f t="shared" si="3"/>
        <v>8</v>
      </c>
      <c r="F615" s="1006" t="s">
        <v>2781</v>
      </c>
      <c r="G615" s="1007">
        <v>-0.007664541703654493</v>
      </c>
      <c r="H615" s="1012">
        <v>0.0</v>
      </c>
      <c r="I615" s="1009"/>
    </row>
    <row r="616">
      <c r="A616" t="s">
        <v>221</v>
      </c>
      <c r="B616" s="1003">
        <v>42230.0</v>
      </c>
      <c r="C616" s="1004">
        <f t="shared" si="1"/>
        <v>226</v>
      </c>
      <c r="D616" s="1005">
        <f t="shared" si="2"/>
        <v>7.409836066</v>
      </c>
      <c r="E616" s="1006">
        <f t="shared" si="3"/>
        <v>8</v>
      </c>
      <c r="F616" s="1006" t="s">
        <v>2781</v>
      </c>
      <c r="G616" s="1007">
        <v>-0.004572203948990716</v>
      </c>
      <c r="H616" s="1012">
        <v>0.0</v>
      </c>
      <c r="I616" s="1009"/>
    </row>
    <row r="617">
      <c r="A617" t="s">
        <v>227</v>
      </c>
      <c r="B617" s="1003">
        <v>42230.0</v>
      </c>
      <c r="C617" s="1004">
        <f t="shared" si="1"/>
        <v>226</v>
      </c>
      <c r="D617" s="1005">
        <f t="shared" si="2"/>
        <v>7.409836066</v>
      </c>
      <c r="E617" s="1006">
        <f t="shared" si="3"/>
        <v>8</v>
      </c>
      <c r="F617" s="1006" t="s">
        <v>2781</v>
      </c>
      <c r="G617" s="1007">
        <v>0.015322998103405316</v>
      </c>
      <c r="H617" s="1012">
        <v>1.0</v>
      </c>
      <c r="I617" s="1009"/>
    </row>
    <row r="618">
      <c r="A618" t="s">
        <v>1898</v>
      </c>
      <c r="B618" s="1003">
        <v>42962.0</v>
      </c>
      <c r="C618" s="1004">
        <f t="shared" si="1"/>
        <v>227</v>
      </c>
      <c r="D618" s="1005">
        <f t="shared" si="2"/>
        <v>7.442622951</v>
      </c>
      <c r="E618" s="1006">
        <f t="shared" si="3"/>
        <v>8</v>
      </c>
      <c r="F618" s="1006" t="s">
        <v>2781</v>
      </c>
      <c r="G618" s="1007">
        <v>0.007735825466853474</v>
      </c>
      <c r="H618" s="1012">
        <v>0.0</v>
      </c>
      <c r="I618" s="1009"/>
    </row>
    <row r="619">
      <c r="A619" t="s">
        <v>777</v>
      </c>
      <c r="B619" s="1003">
        <v>42962.0</v>
      </c>
      <c r="C619" s="1004">
        <f t="shared" si="1"/>
        <v>227</v>
      </c>
      <c r="D619" s="1005">
        <f t="shared" si="2"/>
        <v>7.442622951</v>
      </c>
      <c r="E619" s="1006">
        <f t="shared" si="3"/>
        <v>8</v>
      </c>
      <c r="F619" s="1006" t="s">
        <v>2781</v>
      </c>
      <c r="G619" s="1007">
        <v>-0.0013581822761470352</v>
      </c>
      <c r="H619" s="1012">
        <v>0.0</v>
      </c>
      <c r="I619" s="1009"/>
    </row>
    <row r="620">
      <c r="A620" t="s">
        <v>1741</v>
      </c>
      <c r="B620" s="1003">
        <v>42596.0</v>
      </c>
      <c r="C620" s="1004">
        <f t="shared" si="1"/>
        <v>227</v>
      </c>
      <c r="D620" s="1005">
        <f t="shared" si="2"/>
        <v>7.442622951</v>
      </c>
      <c r="E620" s="1006">
        <f t="shared" si="3"/>
        <v>8</v>
      </c>
      <c r="F620" s="1006" t="s">
        <v>2781</v>
      </c>
      <c r="G620" s="1007">
        <v>0.013729037380087239</v>
      </c>
      <c r="H620" s="1012">
        <v>1.0</v>
      </c>
      <c r="I620" s="1009"/>
    </row>
    <row r="621">
      <c r="A621" t="s">
        <v>1166</v>
      </c>
      <c r="B621" s="1003">
        <v>42231.0</v>
      </c>
      <c r="C621" s="1004">
        <f t="shared" si="1"/>
        <v>227</v>
      </c>
      <c r="D621" s="1005">
        <f t="shared" si="2"/>
        <v>7.442622951</v>
      </c>
      <c r="E621" s="1006">
        <f t="shared" si="3"/>
        <v>8</v>
      </c>
      <c r="F621" s="1006" t="s">
        <v>2781</v>
      </c>
      <c r="G621" s="1007">
        <v>-0.058903592082193645</v>
      </c>
      <c r="H621" s="1012">
        <v>-1.0</v>
      </c>
      <c r="I621" s="1009"/>
    </row>
    <row r="622">
      <c r="A622" t="s">
        <v>717</v>
      </c>
      <c r="B622" s="1003">
        <v>42231.0</v>
      </c>
      <c r="C622" s="1004">
        <f t="shared" si="1"/>
        <v>227</v>
      </c>
      <c r="D622" s="1005">
        <f t="shared" si="2"/>
        <v>7.442622951</v>
      </c>
      <c r="E622" s="1006">
        <f t="shared" si="3"/>
        <v>8</v>
      </c>
      <c r="F622" s="1006" t="s">
        <v>2781</v>
      </c>
      <c r="G622" s="1007">
        <v>0.01743439125391466</v>
      </c>
      <c r="H622" s="1012">
        <v>1.0</v>
      </c>
      <c r="I622" s="1009"/>
    </row>
    <row r="623">
      <c r="A623" t="s">
        <v>279</v>
      </c>
      <c r="B623" s="1003">
        <v>42231.0</v>
      </c>
      <c r="C623" s="1004">
        <f t="shared" si="1"/>
        <v>227</v>
      </c>
      <c r="D623" s="1005">
        <f t="shared" si="2"/>
        <v>7.442622951</v>
      </c>
      <c r="E623" s="1006">
        <f t="shared" si="3"/>
        <v>8</v>
      </c>
      <c r="F623" s="1006" t="s">
        <v>2781</v>
      </c>
      <c r="G623" s="1007">
        <v>0.00720848335774138</v>
      </c>
      <c r="H623" s="1012">
        <v>0.0</v>
      </c>
      <c r="I623" s="1009"/>
    </row>
    <row r="624">
      <c r="A624" t="s">
        <v>1664</v>
      </c>
      <c r="B624" s="1003">
        <v>42963.0</v>
      </c>
      <c r="C624" s="1004">
        <f t="shared" si="1"/>
        <v>228</v>
      </c>
      <c r="D624" s="1005">
        <f t="shared" si="2"/>
        <v>7.475409836</v>
      </c>
      <c r="E624" s="1006">
        <f t="shared" si="3"/>
        <v>8</v>
      </c>
      <c r="F624" s="1006" t="s">
        <v>2781</v>
      </c>
      <c r="G624" s="1007">
        <v>0.012590310597536236</v>
      </c>
      <c r="H624" s="1012">
        <v>1.0</v>
      </c>
      <c r="I624" s="1009"/>
    </row>
    <row r="625">
      <c r="A625" t="s">
        <v>1013</v>
      </c>
      <c r="B625" s="1003">
        <v>42963.0</v>
      </c>
      <c r="C625" s="1004">
        <f t="shared" si="1"/>
        <v>228</v>
      </c>
      <c r="D625" s="1005">
        <f t="shared" si="2"/>
        <v>7.475409836</v>
      </c>
      <c r="E625" s="1006">
        <f t="shared" si="3"/>
        <v>8</v>
      </c>
      <c r="F625" s="1006" t="s">
        <v>2781</v>
      </c>
      <c r="G625" s="1007">
        <v>-0.007850439119833408</v>
      </c>
      <c r="H625" s="1012">
        <v>0.0</v>
      </c>
      <c r="I625" s="1009"/>
    </row>
    <row r="626">
      <c r="A626" t="s">
        <v>1661</v>
      </c>
      <c r="B626" s="1003">
        <v>42597.0</v>
      </c>
      <c r="C626" s="1004">
        <f t="shared" si="1"/>
        <v>228</v>
      </c>
      <c r="D626" s="1005">
        <f t="shared" si="2"/>
        <v>7.475409836</v>
      </c>
      <c r="E626" s="1006">
        <f t="shared" si="3"/>
        <v>8</v>
      </c>
      <c r="F626" s="1006" t="s">
        <v>2781</v>
      </c>
      <c r="G626" s="1007">
        <v>0.004777693804682959</v>
      </c>
      <c r="H626" s="1012">
        <v>0.0</v>
      </c>
      <c r="I626" s="1009"/>
    </row>
    <row r="627">
      <c r="A627" t="s">
        <v>1043</v>
      </c>
      <c r="B627" s="1003">
        <v>42232.0</v>
      </c>
      <c r="C627" s="1004">
        <f t="shared" si="1"/>
        <v>228</v>
      </c>
      <c r="D627" s="1005">
        <f t="shared" si="2"/>
        <v>7.475409836</v>
      </c>
      <c r="E627" s="1006">
        <f t="shared" si="3"/>
        <v>8</v>
      </c>
      <c r="F627" s="1006" t="s">
        <v>2781</v>
      </c>
      <c r="G627" s="1007">
        <v>-0.07924062338271676</v>
      </c>
      <c r="H627" s="1012">
        <v>-1.0</v>
      </c>
      <c r="I627" s="1009"/>
    </row>
    <row r="628">
      <c r="A628" t="s">
        <v>1779</v>
      </c>
      <c r="B628" s="1003">
        <v>42964.0</v>
      </c>
      <c r="C628" s="1004">
        <f t="shared" si="1"/>
        <v>229</v>
      </c>
      <c r="D628" s="1005">
        <f t="shared" si="2"/>
        <v>7.508196721</v>
      </c>
      <c r="E628" s="1006">
        <f t="shared" si="3"/>
        <v>8</v>
      </c>
      <c r="F628" s="1006" t="s">
        <v>2781</v>
      </c>
      <c r="G628" s="1007">
        <v>-0.0034697153465450548</v>
      </c>
      <c r="H628" s="1012">
        <v>0.0</v>
      </c>
      <c r="I628" s="1009"/>
    </row>
    <row r="629">
      <c r="A629" t="s">
        <v>241</v>
      </c>
      <c r="B629" s="1003">
        <v>42233.0</v>
      </c>
      <c r="C629" s="1004">
        <f t="shared" si="1"/>
        <v>229</v>
      </c>
      <c r="D629" s="1005">
        <f t="shared" si="2"/>
        <v>7.508196721</v>
      </c>
      <c r="E629" s="1006">
        <f t="shared" si="3"/>
        <v>8</v>
      </c>
      <c r="F629" s="1006" t="s">
        <v>2781</v>
      </c>
      <c r="G629" s="1007">
        <v>-0.027600473010352844</v>
      </c>
      <c r="H629" s="1012">
        <v>-1.0</v>
      </c>
      <c r="I629" s="1009"/>
    </row>
    <row r="630">
      <c r="A630" t="s">
        <v>1741</v>
      </c>
      <c r="B630" s="1003">
        <v>42233.0</v>
      </c>
      <c r="C630" s="1004">
        <f t="shared" si="1"/>
        <v>229</v>
      </c>
      <c r="D630" s="1005">
        <f t="shared" si="2"/>
        <v>7.508196721</v>
      </c>
      <c r="E630" s="1006">
        <f t="shared" si="3"/>
        <v>8</v>
      </c>
      <c r="F630" s="1006" t="s">
        <v>2781</v>
      </c>
      <c r="G630" s="1007">
        <v>-0.03356907227293582</v>
      </c>
      <c r="H630" s="1012">
        <v>-1.0</v>
      </c>
      <c r="I630" s="1009"/>
    </row>
    <row r="631">
      <c r="A631" t="s">
        <v>548</v>
      </c>
      <c r="B631" s="1003">
        <v>42965.0</v>
      </c>
      <c r="C631" s="1004">
        <f t="shared" si="1"/>
        <v>230</v>
      </c>
      <c r="D631" s="1005">
        <f t="shared" si="2"/>
        <v>7.540983607</v>
      </c>
      <c r="E631" s="1006">
        <f t="shared" si="3"/>
        <v>8</v>
      </c>
      <c r="F631" s="1006" t="s">
        <v>2781</v>
      </c>
      <c r="G631" s="1007">
        <v>-0.003946190416558415</v>
      </c>
      <c r="H631" s="1012">
        <v>0.0</v>
      </c>
      <c r="I631" s="1009"/>
    </row>
    <row r="632">
      <c r="A632" t="s">
        <v>699</v>
      </c>
      <c r="B632" s="1003">
        <v>42965.0</v>
      </c>
      <c r="C632" s="1004">
        <f t="shared" si="1"/>
        <v>230</v>
      </c>
      <c r="D632" s="1005">
        <f t="shared" si="2"/>
        <v>7.540983607</v>
      </c>
      <c r="E632" s="1006">
        <f t="shared" si="3"/>
        <v>8</v>
      </c>
      <c r="F632" s="1006" t="s">
        <v>2781</v>
      </c>
      <c r="G632" s="1007">
        <v>-7.617397923243008E-4</v>
      </c>
      <c r="H632" s="1012">
        <v>0.0</v>
      </c>
      <c r="I632" s="1009"/>
    </row>
    <row r="633">
      <c r="A633" t="s">
        <v>1703</v>
      </c>
      <c r="B633" s="1003">
        <v>42599.0</v>
      </c>
      <c r="C633" s="1004">
        <f t="shared" si="1"/>
        <v>230</v>
      </c>
      <c r="D633" s="1005">
        <f t="shared" si="2"/>
        <v>7.540983607</v>
      </c>
      <c r="E633" s="1006">
        <f t="shared" si="3"/>
        <v>8</v>
      </c>
      <c r="F633" s="1006" t="s">
        <v>2781</v>
      </c>
      <c r="G633" s="1007">
        <v>0.021660847372766745</v>
      </c>
      <c r="H633" s="1012">
        <v>1.0</v>
      </c>
      <c r="I633" s="1009"/>
    </row>
    <row r="634">
      <c r="A634" t="s">
        <v>1095</v>
      </c>
      <c r="B634" s="1003">
        <v>42599.0</v>
      </c>
      <c r="C634" s="1004">
        <f t="shared" si="1"/>
        <v>230</v>
      </c>
      <c r="D634" s="1005">
        <f t="shared" si="2"/>
        <v>7.540983607</v>
      </c>
      <c r="E634" s="1006">
        <f t="shared" si="3"/>
        <v>8</v>
      </c>
      <c r="F634" s="1006" t="s">
        <v>2781</v>
      </c>
      <c r="G634" s="1007">
        <v>0.014923058892266639</v>
      </c>
      <c r="H634" s="1012">
        <v>1.0</v>
      </c>
      <c r="I634" s="1009"/>
    </row>
    <row r="635">
      <c r="A635" t="s">
        <v>348</v>
      </c>
      <c r="B635" s="1003">
        <v>42234.0</v>
      </c>
      <c r="C635" s="1004">
        <f t="shared" si="1"/>
        <v>230</v>
      </c>
      <c r="D635" s="1005">
        <f t="shared" si="2"/>
        <v>7.540983607</v>
      </c>
      <c r="E635" s="1006">
        <f t="shared" si="3"/>
        <v>8</v>
      </c>
      <c r="F635" s="1006" t="s">
        <v>2781</v>
      </c>
      <c r="G635" s="1007">
        <v>-0.017634865766417707</v>
      </c>
      <c r="H635" s="1012">
        <v>-1.0</v>
      </c>
      <c r="I635" s="1009"/>
    </row>
    <row r="636">
      <c r="A636" t="s">
        <v>207</v>
      </c>
      <c r="B636" s="1003">
        <v>42234.0</v>
      </c>
      <c r="C636" s="1004">
        <f t="shared" si="1"/>
        <v>230</v>
      </c>
      <c r="D636" s="1005">
        <f t="shared" si="2"/>
        <v>7.540983607</v>
      </c>
      <c r="E636" s="1006">
        <f t="shared" si="3"/>
        <v>8</v>
      </c>
      <c r="F636" s="1006" t="s">
        <v>2781</v>
      </c>
      <c r="G636" s="1007">
        <v>0.02349426135235899</v>
      </c>
      <c r="H636" s="1012">
        <v>1.0</v>
      </c>
      <c r="I636" s="1009"/>
    </row>
    <row r="637">
      <c r="A637" t="s">
        <v>813</v>
      </c>
      <c r="B637" s="1003">
        <v>42235.0</v>
      </c>
      <c r="C637" s="1004">
        <f t="shared" si="1"/>
        <v>231</v>
      </c>
      <c r="D637" s="1005">
        <f t="shared" si="2"/>
        <v>7.573770492</v>
      </c>
      <c r="E637" s="1006">
        <f t="shared" si="3"/>
        <v>8</v>
      </c>
      <c r="F637" s="1006" t="s">
        <v>2781</v>
      </c>
      <c r="G637" s="1007">
        <v>0.01463045385373285</v>
      </c>
      <c r="H637" s="1012">
        <v>1.0</v>
      </c>
      <c r="I637" s="1009"/>
    </row>
    <row r="638">
      <c r="A638" t="s">
        <v>114</v>
      </c>
      <c r="B638" s="1003">
        <v>42967.0</v>
      </c>
      <c r="C638" s="1004">
        <f t="shared" si="1"/>
        <v>232</v>
      </c>
      <c r="D638" s="1005">
        <f t="shared" si="2"/>
        <v>7.606557377</v>
      </c>
      <c r="E638" s="1006">
        <f t="shared" si="3"/>
        <v>8</v>
      </c>
      <c r="F638" s="1006" t="s">
        <v>2781</v>
      </c>
      <c r="G638" s="1007">
        <v>0.02358919886134503</v>
      </c>
      <c r="H638" s="1012">
        <v>1.0</v>
      </c>
      <c r="I638" s="1009"/>
    </row>
    <row r="639">
      <c r="A639" t="s">
        <v>227</v>
      </c>
      <c r="B639" s="1003">
        <v>42601.0</v>
      </c>
      <c r="C639" s="1004">
        <f t="shared" si="1"/>
        <v>232</v>
      </c>
      <c r="D639" s="1005">
        <f t="shared" si="2"/>
        <v>7.606557377</v>
      </c>
      <c r="E639" s="1006">
        <f t="shared" si="3"/>
        <v>8</v>
      </c>
      <c r="F639" s="1006" t="s">
        <v>2781</v>
      </c>
      <c r="G639" s="1007">
        <v>0.010430319109520192</v>
      </c>
      <c r="H639" s="1012">
        <v>1.0</v>
      </c>
      <c r="I639" s="1009"/>
    </row>
    <row r="640">
      <c r="A640" t="s">
        <v>536</v>
      </c>
      <c r="B640" s="1003">
        <v>42601.0</v>
      </c>
      <c r="C640" s="1004">
        <f t="shared" si="1"/>
        <v>232</v>
      </c>
      <c r="D640" s="1005">
        <f t="shared" si="2"/>
        <v>7.606557377</v>
      </c>
      <c r="E640" s="1006">
        <f t="shared" si="3"/>
        <v>8</v>
      </c>
      <c r="F640" s="1006" t="s">
        <v>2781</v>
      </c>
      <c r="G640" s="1007">
        <v>0.015258803727774328</v>
      </c>
      <c r="H640" s="1012">
        <v>1.0</v>
      </c>
      <c r="I640" s="1009"/>
    </row>
    <row r="641">
      <c r="A641" t="s">
        <v>1263</v>
      </c>
      <c r="B641" s="1003">
        <v>42236.0</v>
      </c>
      <c r="C641" s="1004">
        <f t="shared" si="1"/>
        <v>232</v>
      </c>
      <c r="D641" s="1005">
        <f t="shared" si="2"/>
        <v>7.606557377</v>
      </c>
      <c r="E641" s="1006">
        <f t="shared" si="3"/>
        <v>8</v>
      </c>
      <c r="F641" s="1006" t="s">
        <v>2781</v>
      </c>
      <c r="G641" s="1007">
        <v>-0.044671286315748016</v>
      </c>
      <c r="H641" s="1012">
        <v>-1.0</v>
      </c>
      <c r="I641" s="1009"/>
    </row>
    <row r="642">
      <c r="A642" t="s">
        <v>449</v>
      </c>
      <c r="B642" s="1003">
        <v>42236.0</v>
      </c>
      <c r="C642" s="1004">
        <f t="shared" si="1"/>
        <v>232</v>
      </c>
      <c r="D642" s="1005">
        <f t="shared" si="2"/>
        <v>7.606557377</v>
      </c>
      <c r="E642" s="1006">
        <f t="shared" si="3"/>
        <v>8</v>
      </c>
      <c r="F642" s="1006" t="s">
        <v>2781</v>
      </c>
      <c r="G642" s="1007">
        <v>-0.002005933123002235</v>
      </c>
      <c r="H642" s="1012">
        <v>0.0</v>
      </c>
      <c r="I642" s="1009"/>
    </row>
    <row r="643">
      <c r="A643" t="s">
        <v>231</v>
      </c>
      <c r="B643" s="1003">
        <v>42968.0</v>
      </c>
      <c r="C643" s="1004">
        <f t="shared" si="1"/>
        <v>233</v>
      </c>
      <c r="D643" s="1005">
        <f t="shared" si="2"/>
        <v>7.639344262</v>
      </c>
      <c r="E643" s="1006">
        <f t="shared" si="3"/>
        <v>8</v>
      </c>
      <c r="F643" s="1006" t="s">
        <v>2781</v>
      </c>
      <c r="G643" s="1007">
        <v>-0.012987597848249766</v>
      </c>
      <c r="H643" s="1012">
        <v>-1.0</v>
      </c>
      <c r="I643" s="1009"/>
    </row>
    <row r="644">
      <c r="A644" t="s">
        <v>1797</v>
      </c>
      <c r="B644" s="1003">
        <v>42968.0</v>
      </c>
      <c r="C644" s="1004">
        <f t="shared" si="1"/>
        <v>233</v>
      </c>
      <c r="D644" s="1005">
        <f t="shared" si="2"/>
        <v>7.639344262</v>
      </c>
      <c r="E644" s="1006">
        <f t="shared" si="3"/>
        <v>8</v>
      </c>
      <c r="F644" s="1006" t="s">
        <v>2781</v>
      </c>
      <c r="G644" s="1007">
        <v>0.0376910987833875</v>
      </c>
      <c r="H644" s="1012">
        <v>1.0</v>
      </c>
      <c r="I644" s="1009"/>
    </row>
    <row r="645">
      <c r="A645" t="s">
        <v>1839</v>
      </c>
      <c r="B645" s="1013">
        <v>42968.0</v>
      </c>
      <c r="C645" s="1004">
        <f t="shared" si="1"/>
        <v>233</v>
      </c>
      <c r="D645" s="1005">
        <f t="shared" si="2"/>
        <v>7.639344262</v>
      </c>
      <c r="E645" s="1006">
        <f t="shared" si="3"/>
        <v>8</v>
      </c>
      <c r="F645" s="1006" t="s">
        <v>2781</v>
      </c>
      <c r="G645" s="1007">
        <v>-0.005632205603517737</v>
      </c>
      <c r="H645" s="1012">
        <v>0.0</v>
      </c>
      <c r="I645" s="1009"/>
    </row>
    <row r="646">
      <c r="A646" t="s">
        <v>143</v>
      </c>
      <c r="B646" s="1003">
        <v>42968.0</v>
      </c>
      <c r="C646" s="1004">
        <f t="shared" si="1"/>
        <v>233</v>
      </c>
      <c r="D646" s="1005">
        <f t="shared" si="2"/>
        <v>7.639344262</v>
      </c>
      <c r="E646" s="1006">
        <f t="shared" si="3"/>
        <v>8</v>
      </c>
      <c r="F646" s="1006" t="s">
        <v>2781</v>
      </c>
      <c r="G646" s="1007">
        <v>0.0016840283755343854</v>
      </c>
      <c r="H646" s="1012">
        <v>0.0</v>
      </c>
      <c r="I646" s="1009"/>
    </row>
    <row r="647">
      <c r="A647" t="s">
        <v>1787</v>
      </c>
      <c r="B647" s="1003">
        <v>42969.0</v>
      </c>
      <c r="C647" s="1004">
        <f t="shared" si="1"/>
        <v>234</v>
      </c>
      <c r="D647" s="1005">
        <f t="shared" si="2"/>
        <v>7.672131148</v>
      </c>
      <c r="E647" s="1006">
        <f t="shared" si="3"/>
        <v>8</v>
      </c>
      <c r="F647" s="1006" t="s">
        <v>2781</v>
      </c>
      <c r="G647" s="1007">
        <v>2.0089638632536655E-5</v>
      </c>
      <c r="H647" s="1012">
        <v>0.0</v>
      </c>
      <c r="I647" s="1009"/>
    </row>
    <row r="648">
      <c r="A648" t="s">
        <v>423</v>
      </c>
      <c r="B648" s="1003">
        <v>42969.0</v>
      </c>
      <c r="C648" s="1004">
        <f t="shared" si="1"/>
        <v>234</v>
      </c>
      <c r="D648" s="1005">
        <f t="shared" si="2"/>
        <v>7.672131148</v>
      </c>
      <c r="E648" s="1006">
        <f t="shared" si="3"/>
        <v>8</v>
      </c>
      <c r="F648" s="1006" t="s">
        <v>2781</v>
      </c>
      <c r="G648" s="1007">
        <v>-0.007892746536731332</v>
      </c>
      <c r="H648" s="1012">
        <v>0.0</v>
      </c>
      <c r="I648" s="1009"/>
    </row>
    <row r="649">
      <c r="A649" t="s">
        <v>1855</v>
      </c>
      <c r="B649" s="1003">
        <v>42603.0</v>
      </c>
      <c r="C649" s="1004">
        <f t="shared" si="1"/>
        <v>234</v>
      </c>
      <c r="D649" s="1005">
        <f t="shared" si="2"/>
        <v>7.672131148</v>
      </c>
      <c r="E649" s="1006">
        <f t="shared" si="3"/>
        <v>8</v>
      </c>
      <c r="F649" s="1006" t="s">
        <v>2781</v>
      </c>
      <c r="G649" s="1007">
        <v>-0.02311853187635493</v>
      </c>
      <c r="H649" s="1012">
        <v>-1.0</v>
      </c>
      <c r="I649" s="1009"/>
    </row>
    <row r="650">
      <c r="A650" t="s">
        <v>361</v>
      </c>
      <c r="B650" s="1003">
        <v>42238.0</v>
      </c>
      <c r="C650" s="1004">
        <f t="shared" si="1"/>
        <v>234</v>
      </c>
      <c r="D650" s="1005">
        <f t="shared" si="2"/>
        <v>7.672131148</v>
      </c>
      <c r="E650" s="1006">
        <f t="shared" si="3"/>
        <v>8</v>
      </c>
      <c r="F650" s="1006" t="s">
        <v>2781</v>
      </c>
      <c r="G650" s="1007">
        <v>-0.014661461363885686</v>
      </c>
      <c r="H650" s="1012">
        <v>-1.0</v>
      </c>
      <c r="I650" s="1009"/>
    </row>
    <row r="651">
      <c r="A651" t="s">
        <v>58</v>
      </c>
      <c r="B651" s="1003">
        <v>42970.0</v>
      </c>
      <c r="C651" s="1004">
        <f t="shared" si="1"/>
        <v>235</v>
      </c>
      <c r="D651" s="1005">
        <f t="shared" si="2"/>
        <v>7.704918033</v>
      </c>
      <c r="E651" s="1006">
        <f t="shared" si="3"/>
        <v>8</v>
      </c>
      <c r="F651" s="1006" t="s">
        <v>2781</v>
      </c>
      <c r="G651" s="1007">
        <v>0.0058632864573611165</v>
      </c>
      <c r="H651" s="1012">
        <v>0.0</v>
      </c>
      <c r="I651" s="1009"/>
    </row>
    <row r="652">
      <c r="A652" t="s">
        <v>292</v>
      </c>
      <c r="B652" s="1003">
        <v>42970.0</v>
      </c>
      <c r="C652" s="1004">
        <f t="shared" si="1"/>
        <v>235</v>
      </c>
      <c r="D652" s="1005">
        <f t="shared" si="2"/>
        <v>7.704918033</v>
      </c>
      <c r="E652" s="1006">
        <f t="shared" si="3"/>
        <v>8</v>
      </c>
      <c r="F652" s="1006" t="s">
        <v>2781</v>
      </c>
      <c r="G652" s="1007">
        <v>0.012299721774857497</v>
      </c>
      <c r="H652" s="1012">
        <v>1.0</v>
      </c>
      <c r="I652" s="1009"/>
    </row>
    <row r="653">
      <c r="A653" t="s">
        <v>328</v>
      </c>
      <c r="B653" s="1003">
        <v>42604.0</v>
      </c>
      <c r="C653" s="1004">
        <f t="shared" si="1"/>
        <v>235</v>
      </c>
      <c r="D653" s="1005">
        <f t="shared" si="2"/>
        <v>7.704918033</v>
      </c>
      <c r="E653" s="1006">
        <f t="shared" si="3"/>
        <v>8</v>
      </c>
      <c r="F653" s="1006" t="s">
        <v>2781</v>
      </c>
      <c r="G653" s="1007">
        <v>0.005151416035577783</v>
      </c>
      <c r="H653" s="1012">
        <v>0.0</v>
      </c>
      <c r="I653" s="1009"/>
    </row>
    <row r="654">
      <c r="A654" t="s">
        <v>1127</v>
      </c>
      <c r="B654" s="1003">
        <v>42604.0</v>
      </c>
      <c r="C654" s="1004">
        <f t="shared" si="1"/>
        <v>235</v>
      </c>
      <c r="D654" s="1005">
        <f t="shared" si="2"/>
        <v>7.704918033</v>
      </c>
      <c r="E654" s="1006">
        <f t="shared" si="3"/>
        <v>8</v>
      </c>
      <c r="F654" s="1006" t="s">
        <v>2781</v>
      </c>
      <c r="G654" s="1007">
        <v>0.018794939170930003</v>
      </c>
      <c r="H654" s="1012">
        <v>1.0</v>
      </c>
      <c r="I654" s="1009"/>
    </row>
    <row r="655">
      <c r="A655" t="s">
        <v>1801</v>
      </c>
      <c r="B655" s="1003">
        <v>42971.0</v>
      </c>
      <c r="C655" s="1004">
        <f t="shared" si="1"/>
        <v>236</v>
      </c>
      <c r="D655" s="1005">
        <f t="shared" si="2"/>
        <v>7.737704918</v>
      </c>
      <c r="E655" s="1006">
        <f t="shared" si="3"/>
        <v>8</v>
      </c>
      <c r="F655" s="1006" t="s">
        <v>2781</v>
      </c>
      <c r="G655" s="1007">
        <v>0.07054334741392732</v>
      </c>
      <c r="H655" s="1012">
        <v>1.0</v>
      </c>
      <c r="I655" s="1009"/>
    </row>
    <row r="656">
      <c r="A656" t="s">
        <v>792</v>
      </c>
      <c r="B656" s="1003">
        <v>42971.0</v>
      </c>
      <c r="C656" s="1004">
        <f t="shared" si="1"/>
        <v>236</v>
      </c>
      <c r="D656" s="1005">
        <f t="shared" si="2"/>
        <v>7.737704918</v>
      </c>
      <c r="E656" s="1006">
        <f t="shared" si="3"/>
        <v>8</v>
      </c>
      <c r="F656" s="1006" t="s">
        <v>2781</v>
      </c>
      <c r="G656" s="1007">
        <v>0.003298711580699387</v>
      </c>
      <c r="H656" s="1012">
        <v>0.0</v>
      </c>
      <c r="I656" s="1009"/>
    </row>
    <row r="657">
      <c r="A657" t="s">
        <v>839</v>
      </c>
      <c r="B657" s="1003">
        <v>42971.0</v>
      </c>
      <c r="C657" s="1004">
        <f t="shared" si="1"/>
        <v>236</v>
      </c>
      <c r="D657" s="1005">
        <f t="shared" si="2"/>
        <v>7.737704918</v>
      </c>
      <c r="E657" s="1006">
        <f t="shared" si="3"/>
        <v>8</v>
      </c>
      <c r="F657" s="1006" t="s">
        <v>2781</v>
      </c>
      <c r="G657" s="1007">
        <v>-0.0016274136936506034</v>
      </c>
      <c r="H657" s="1012">
        <v>0.0</v>
      </c>
      <c r="I657" s="1009"/>
    </row>
    <row r="658">
      <c r="A658" t="s">
        <v>548</v>
      </c>
      <c r="B658" s="1003">
        <v>42605.0</v>
      </c>
      <c r="C658" s="1004">
        <f t="shared" si="1"/>
        <v>236</v>
      </c>
      <c r="D658" s="1005">
        <f t="shared" si="2"/>
        <v>7.737704918</v>
      </c>
      <c r="E658" s="1006">
        <f t="shared" si="3"/>
        <v>8</v>
      </c>
      <c r="F658" s="1006" t="s">
        <v>2781</v>
      </c>
      <c r="G658" s="1007">
        <v>0.01940842748156657</v>
      </c>
      <c r="H658" s="1012">
        <v>1.0</v>
      </c>
      <c r="I658" s="1009"/>
    </row>
    <row r="659">
      <c r="A659" t="s">
        <v>1900</v>
      </c>
      <c r="B659" s="1003">
        <v>42605.0</v>
      </c>
      <c r="C659" s="1004">
        <f t="shared" si="1"/>
        <v>236</v>
      </c>
      <c r="D659" s="1005">
        <f t="shared" si="2"/>
        <v>7.737704918</v>
      </c>
      <c r="E659" s="1006">
        <f t="shared" si="3"/>
        <v>8</v>
      </c>
      <c r="F659" s="1006" t="s">
        <v>2781</v>
      </c>
      <c r="G659" s="1007">
        <v>0.0073646753116531904</v>
      </c>
      <c r="H659" s="1012">
        <v>0.0</v>
      </c>
      <c r="I659" s="1009"/>
    </row>
    <row r="660">
      <c r="A660" t="s">
        <v>605</v>
      </c>
      <c r="B660" s="1003">
        <v>42240.0</v>
      </c>
      <c r="C660" s="1004">
        <f t="shared" si="1"/>
        <v>236</v>
      </c>
      <c r="D660" s="1005">
        <f t="shared" si="2"/>
        <v>7.737704918</v>
      </c>
      <c r="E660" s="1006">
        <f t="shared" si="3"/>
        <v>8</v>
      </c>
      <c r="F660" s="1006" t="s">
        <v>2781</v>
      </c>
      <c r="G660" s="1007">
        <v>-0.008937838987087887</v>
      </c>
      <c r="H660" s="1012">
        <v>0.0</v>
      </c>
      <c r="I660" s="1009"/>
    </row>
    <row r="661">
      <c r="A661" t="s">
        <v>314</v>
      </c>
      <c r="B661" s="1003">
        <v>42240.0</v>
      </c>
      <c r="C661" s="1004">
        <f t="shared" si="1"/>
        <v>236</v>
      </c>
      <c r="D661" s="1005">
        <f t="shared" si="2"/>
        <v>7.737704918</v>
      </c>
      <c r="E661" s="1006">
        <f t="shared" si="3"/>
        <v>8</v>
      </c>
      <c r="F661" s="1006" t="s">
        <v>2781</v>
      </c>
      <c r="G661" s="1007">
        <v>0.026200601308835947</v>
      </c>
      <c r="H661" s="1012">
        <v>1.0</v>
      </c>
      <c r="I661" s="1009"/>
    </row>
    <row r="662">
      <c r="A662" t="s">
        <v>541</v>
      </c>
      <c r="B662" s="1003">
        <v>42972.0</v>
      </c>
      <c r="C662" s="1004">
        <f t="shared" si="1"/>
        <v>237</v>
      </c>
      <c r="D662" s="1005">
        <f t="shared" si="2"/>
        <v>7.770491803</v>
      </c>
      <c r="E662" s="1006">
        <f t="shared" si="3"/>
        <v>8</v>
      </c>
      <c r="F662" s="1006" t="s">
        <v>2781</v>
      </c>
      <c r="G662" s="1007">
        <v>-0.01968396326772681</v>
      </c>
      <c r="H662" s="1012">
        <v>-1.0</v>
      </c>
      <c r="I662" s="1009"/>
    </row>
    <row r="663">
      <c r="A663" t="s">
        <v>541</v>
      </c>
      <c r="B663" s="1003">
        <v>42972.0</v>
      </c>
      <c r="C663" s="1004">
        <f t="shared" si="1"/>
        <v>237</v>
      </c>
      <c r="D663" s="1005">
        <f t="shared" si="2"/>
        <v>7.770491803</v>
      </c>
      <c r="E663" s="1006">
        <f t="shared" si="3"/>
        <v>8</v>
      </c>
      <c r="F663" s="1006" t="s">
        <v>2781</v>
      </c>
      <c r="G663" s="1007">
        <v>-0.03458865758575502</v>
      </c>
      <c r="H663" s="1012">
        <v>-1.0</v>
      </c>
      <c r="I663" s="1009"/>
    </row>
    <row r="664">
      <c r="A664" t="s">
        <v>1800</v>
      </c>
      <c r="B664" s="1003">
        <v>42972.0</v>
      </c>
      <c r="C664" s="1004">
        <f t="shared" si="1"/>
        <v>237</v>
      </c>
      <c r="D664" s="1005">
        <f t="shared" si="2"/>
        <v>7.770491803</v>
      </c>
      <c r="E664" s="1006">
        <f t="shared" si="3"/>
        <v>8</v>
      </c>
      <c r="F664" s="1006" t="s">
        <v>2781</v>
      </c>
      <c r="G664" s="1007">
        <v>0.027624376485177238</v>
      </c>
      <c r="H664" s="1012">
        <v>1.0</v>
      </c>
      <c r="I664" s="1009"/>
    </row>
    <row r="665">
      <c r="A665" t="s">
        <v>798</v>
      </c>
      <c r="B665" s="1003">
        <v>42972.0</v>
      </c>
      <c r="C665" s="1004">
        <f t="shared" si="1"/>
        <v>237</v>
      </c>
      <c r="D665" s="1005">
        <f t="shared" si="2"/>
        <v>7.770491803</v>
      </c>
      <c r="E665" s="1006">
        <f t="shared" si="3"/>
        <v>8</v>
      </c>
      <c r="F665" s="1006" t="s">
        <v>2781</v>
      </c>
      <c r="G665" s="1007">
        <v>0.0275447609883952</v>
      </c>
      <c r="H665" s="1012">
        <v>1.0</v>
      </c>
      <c r="I665" s="1009"/>
    </row>
    <row r="666">
      <c r="A666" t="s">
        <v>78</v>
      </c>
      <c r="B666" s="1003">
        <v>42606.0</v>
      </c>
      <c r="C666" s="1004">
        <f t="shared" si="1"/>
        <v>237</v>
      </c>
      <c r="D666" s="1005">
        <f t="shared" si="2"/>
        <v>7.770491803</v>
      </c>
      <c r="E666" s="1006">
        <f t="shared" si="3"/>
        <v>8</v>
      </c>
      <c r="F666" s="1006" t="s">
        <v>2781</v>
      </c>
      <c r="G666" s="1007">
        <v>-0.004678777538297152</v>
      </c>
      <c r="H666" s="1012">
        <v>0.0</v>
      </c>
      <c r="I666" s="1009"/>
    </row>
    <row r="667">
      <c r="A667" t="s">
        <v>1292</v>
      </c>
      <c r="B667" s="1003">
        <v>42241.0</v>
      </c>
      <c r="C667" s="1004">
        <f t="shared" si="1"/>
        <v>237</v>
      </c>
      <c r="D667" s="1005">
        <f t="shared" si="2"/>
        <v>7.770491803</v>
      </c>
      <c r="E667" s="1006">
        <f t="shared" si="3"/>
        <v>8</v>
      </c>
      <c r="F667" s="1006" t="s">
        <v>2781</v>
      </c>
      <c r="G667" s="1007">
        <v>-0.05629736323036616</v>
      </c>
      <c r="H667" s="1012">
        <v>-1.0</v>
      </c>
      <c r="I667" s="1009"/>
    </row>
    <row r="668">
      <c r="A668" t="s">
        <v>339</v>
      </c>
      <c r="B668" s="1003">
        <v>42607.0</v>
      </c>
      <c r="C668" s="1004">
        <f t="shared" si="1"/>
        <v>238</v>
      </c>
      <c r="D668" s="1005">
        <f t="shared" si="2"/>
        <v>7.803278689</v>
      </c>
      <c r="E668" s="1006">
        <f t="shared" si="3"/>
        <v>8</v>
      </c>
      <c r="F668" s="1006" t="s">
        <v>2781</v>
      </c>
      <c r="G668" s="1007">
        <v>-0.00492688838641131</v>
      </c>
      <c r="H668" s="1012">
        <v>0.0</v>
      </c>
      <c r="I668" s="1009"/>
    </row>
    <row r="669">
      <c r="A669" t="s">
        <v>1013</v>
      </c>
      <c r="B669" s="1003">
        <v>42242.0</v>
      </c>
      <c r="C669" s="1004">
        <f t="shared" si="1"/>
        <v>238</v>
      </c>
      <c r="D669" s="1005">
        <f t="shared" si="2"/>
        <v>7.803278689</v>
      </c>
      <c r="E669" s="1006">
        <f t="shared" si="3"/>
        <v>8</v>
      </c>
      <c r="F669" s="1006" t="s">
        <v>2781</v>
      </c>
      <c r="G669" s="1007">
        <v>0.00926900106797568</v>
      </c>
      <c r="H669" s="1012">
        <v>0.0</v>
      </c>
      <c r="I669" s="1009"/>
    </row>
    <row r="670">
      <c r="A670" t="s">
        <v>1714</v>
      </c>
      <c r="B670" s="1003">
        <v>42974.0</v>
      </c>
      <c r="C670" s="1004">
        <f t="shared" si="1"/>
        <v>239</v>
      </c>
      <c r="D670" s="1005">
        <f t="shared" si="2"/>
        <v>7.836065574</v>
      </c>
      <c r="E670" s="1006">
        <f t="shared" si="3"/>
        <v>8</v>
      </c>
      <c r="F670" s="1006" t="s">
        <v>2781</v>
      </c>
      <c r="G670" s="1007">
        <v>0.010767643024729767</v>
      </c>
      <c r="H670" s="1012">
        <v>1.0</v>
      </c>
      <c r="I670" s="1009"/>
    </row>
    <row r="671">
      <c r="A671" t="s">
        <v>761</v>
      </c>
      <c r="B671" s="1003">
        <v>42974.0</v>
      </c>
      <c r="C671" s="1004">
        <f t="shared" si="1"/>
        <v>239</v>
      </c>
      <c r="D671" s="1005">
        <f t="shared" si="2"/>
        <v>7.836065574</v>
      </c>
      <c r="E671" s="1006">
        <f t="shared" si="3"/>
        <v>8</v>
      </c>
      <c r="F671" s="1006" t="s">
        <v>2781</v>
      </c>
      <c r="G671" s="1007">
        <v>-0.0033917114363494205</v>
      </c>
      <c r="H671" s="1012">
        <v>0.0</v>
      </c>
      <c r="I671" s="1009"/>
    </row>
    <row r="672">
      <c r="A672" t="s">
        <v>1789</v>
      </c>
      <c r="B672" s="1003">
        <v>42974.0</v>
      </c>
      <c r="C672" s="1004">
        <f t="shared" si="1"/>
        <v>239</v>
      </c>
      <c r="D672" s="1005">
        <f t="shared" si="2"/>
        <v>7.836065574</v>
      </c>
      <c r="E672" s="1006">
        <f t="shared" si="3"/>
        <v>8</v>
      </c>
      <c r="F672" s="1006" t="s">
        <v>2781</v>
      </c>
      <c r="G672" s="1007">
        <v>0.029041583055711917</v>
      </c>
      <c r="H672" s="1012">
        <v>1.0</v>
      </c>
      <c r="I672" s="1009"/>
    </row>
    <row r="673">
      <c r="A673" t="s">
        <v>126</v>
      </c>
      <c r="B673" s="1003">
        <v>42975.0</v>
      </c>
      <c r="C673" s="1004">
        <f t="shared" si="1"/>
        <v>240</v>
      </c>
      <c r="D673" s="1005">
        <f t="shared" si="2"/>
        <v>7.868852459</v>
      </c>
      <c r="E673" s="1006">
        <f t="shared" si="3"/>
        <v>8</v>
      </c>
      <c r="F673" s="1006" t="s">
        <v>2781</v>
      </c>
      <c r="G673" s="1007">
        <v>0.003291795491578431</v>
      </c>
      <c r="H673" s="1012">
        <v>0.0</v>
      </c>
      <c r="I673" s="1009"/>
    </row>
    <row r="674">
      <c r="A674" t="s">
        <v>1712</v>
      </c>
      <c r="B674" s="1003">
        <v>42975.0</v>
      </c>
      <c r="C674" s="1004">
        <f t="shared" si="1"/>
        <v>240</v>
      </c>
      <c r="D674" s="1005">
        <f t="shared" si="2"/>
        <v>7.868852459</v>
      </c>
      <c r="E674" s="1006">
        <f t="shared" si="3"/>
        <v>8</v>
      </c>
      <c r="F674" s="1006" t="s">
        <v>2781</v>
      </c>
      <c r="G674" s="1007">
        <v>0.012464123627641932</v>
      </c>
      <c r="H674" s="1012">
        <v>1.0</v>
      </c>
      <c r="I674" s="1009"/>
    </row>
    <row r="675">
      <c r="A675" t="s">
        <v>1637</v>
      </c>
      <c r="B675" s="1003">
        <v>42609.0</v>
      </c>
      <c r="C675" s="1004">
        <f t="shared" si="1"/>
        <v>240</v>
      </c>
      <c r="D675" s="1005">
        <f t="shared" si="2"/>
        <v>7.868852459</v>
      </c>
      <c r="E675" s="1006">
        <f t="shared" si="3"/>
        <v>8</v>
      </c>
      <c r="F675" s="1006" t="s">
        <v>2781</v>
      </c>
      <c r="G675" s="1007">
        <v>0.021472919783138034</v>
      </c>
      <c r="H675" s="1012">
        <v>1.0</v>
      </c>
      <c r="I675" s="1009"/>
    </row>
    <row r="676">
      <c r="A676" t="s">
        <v>161</v>
      </c>
      <c r="B676" s="1003">
        <v>42244.0</v>
      </c>
      <c r="C676" s="1004">
        <f t="shared" si="1"/>
        <v>240</v>
      </c>
      <c r="D676" s="1005">
        <f t="shared" si="2"/>
        <v>7.868852459</v>
      </c>
      <c r="E676" s="1006">
        <f t="shared" si="3"/>
        <v>8</v>
      </c>
      <c r="F676" s="1006" t="s">
        <v>2781</v>
      </c>
      <c r="G676" s="1007">
        <v>-0.00938220543598034</v>
      </c>
      <c r="H676" s="1012">
        <v>0.0</v>
      </c>
      <c r="I676" s="1009"/>
    </row>
    <row r="677">
      <c r="A677" t="s">
        <v>1628</v>
      </c>
      <c r="B677" s="1003">
        <v>42976.0</v>
      </c>
      <c r="C677" s="1004">
        <f t="shared" si="1"/>
        <v>241</v>
      </c>
      <c r="D677" s="1005">
        <f t="shared" si="2"/>
        <v>7.901639344</v>
      </c>
      <c r="E677" s="1006">
        <f t="shared" si="3"/>
        <v>8</v>
      </c>
      <c r="F677" s="1006" t="s">
        <v>2781</v>
      </c>
      <c r="G677" s="1007">
        <v>0.002214021770411856</v>
      </c>
      <c r="H677" s="1012">
        <v>0.0</v>
      </c>
      <c r="I677" s="1009"/>
    </row>
    <row r="678">
      <c r="A678" t="s">
        <v>1858</v>
      </c>
      <c r="B678" s="1003">
        <v>42611.0</v>
      </c>
      <c r="C678" s="1004">
        <f t="shared" si="1"/>
        <v>242</v>
      </c>
      <c r="D678" s="1005">
        <f t="shared" si="2"/>
        <v>7.93442623</v>
      </c>
      <c r="E678" s="1006">
        <f t="shared" si="3"/>
        <v>8</v>
      </c>
      <c r="F678" s="1006" t="s">
        <v>2781</v>
      </c>
      <c r="G678" s="1007">
        <v>0.028723905175750852</v>
      </c>
      <c r="H678" s="1012">
        <v>1.0</v>
      </c>
      <c r="I678" s="1009"/>
    </row>
    <row r="679">
      <c r="A679" t="s">
        <v>300</v>
      </c>
      <c r="B679" s="1003">
        <v>42246.0</v>
      </c>
      <c r="C679" s="1004">
        <f t="shared" si="1"/>
        <v>242</v>
      </c>
      <c r="D679" s="1005">
        <f t="shared" si="2"/>
        <v>7.93442623</v>
      </c>
      <c r="E679" s="1006">
        <f t="shared" si="3"/>
        <v>8</v>
      </c>
      <c r="F679" s="1006" t="s">
        <v>2781</v>
      </c>
      <c r="G679" s="1007">
        <v>-0.03750065364442434</v>
      </c>
      <c r="H679" s="1012">
        <v>-1.0</v>
      </c>
      <c r="I679" s="1009"/>
    </row>
    <row r="680">
      <c r="A680" t="s">
        <v>244</v>
      </c>
      <c r="B680" s="1003">
        <v>42246.0</v>
      </c>
      <c r="C680" s="1004">
        <f t="shared" si="1"/>
        <v>242</v>
      </c>
      <c r="D680" s="1005">
        <f t="shared" si="2"/>
        <v>7.93442623</v>
      </c>
      <c r="E680" s="1006">
        <f t="shared" si="3"/>
        <v>8</v>
      </c>
      <c r="F680" s="1006" t="s">
        <v>2781</v>
      </c>
      <c r="G680" s="1007">
        <v>-0.07390838823678536</v>
      </c>
      <c r="H680" s="1012">
        <v>-1.0</v>
      </c>
      <c r="I680" s="1009"/>
    </row>
    <row r="681">
      <c r="A681" t="s">
        <v>1761</v>
      </c>
      <c r="B681" s="1003">
        <v>42978.0</v>
      </c>
      <c r="C681" s="1004">
        <f t="shared" si="1"/>
        <v>243</v>
      </c>
      <c r="D681" s="1005">
        <f t="shared" si="2"/>
        <v>7.967213115</v>
      </c>
      <c r="E681" s="1006">
        <f t="shared" si="3"/>
        <v>8</v>
      </c>
      <c r="F681" s="1006" t="s">
        <v>2781</v>
      </c>
      <c r="G681" s="1007">
        <v>-0.006826226749905628</v>
      </c>
      <c r="H681" s="1012">
        <v>0.0</v>
      </c>
      <c r="I681" s="1009"/>
    </row>
    <row r="682">
      <c r="A682" t="s">
        <v>1719</v>
      </c>
      <c r="B682" s="1003">
        <v>42978.0</v>
      </c>
      <c r="C682" s="1004">
        <f t="shared" si="1"/>
        <v>243</v>
      </c>
      <c r="D682" s="1005">
        <f t="shared" si="2"/>
        <v>7.967213115</v>
      </c>
      <c r="E682" s="1006">
        <f t="shared" si="3"/>
        <v>8</v>
      </c>
      <c r="F682" s="1006" t="s">
        <v>2781</v>
      </c>
      <c r="G682" s="1007">
        <v>0.029062731732666602</v>
      </c>
      <c r="H682" s="1012">
        <v>1.0</v>
      </c>
      <c r="I682" s="1009"/>
    </row>
    <row r="683">
      <c r="A683" t="s">
        <v>279</v>
      </c>
      <c r="B683" s="1003">
        <v>42612.0</v>
      </c>
      <c r="C683" s="1004">
        <f t="shared" si="1"/>
        <v>243</v>
      </c>
      <c r="D683" s="1005">
        <f t="shared" si="2"/>
        <v>7.967213115</v>
      </c>
      <c r="E683" s="1006">
        <f t="shared" si="3"/>
        <v>8</v>
      </c>
      <c r="F683" s="1006" t="s">
        <v>2781</v>
      </c>
      <c r="G683" s="1007">
        <v>0.022466430580349472</v>
      </c>
      <c r="H683" s="1012">
        <v>1.0</v>
      </c>
      <c r="I683" s="1009"/>
    </row>
    <row r="684">
      <c r="A684" t="s">
        <v>1642</v>
      </c>
      <c r="B684" s="1003">
        <v>42612.0</v>
      </c>
      <c r="C684" s="1004">
        <f t="shared" si="1"/>
        <v>243</v>
      </c>
      <c r="D684" s="1005">
        <f t="shared" si="2"/>
        <v>7.967213115</v>
      </c>
      <c r="E684" s="1006">
        <f t="shared" si="3"/>
        <v>8</v>
      </c>
      <c r="F684" s="1006" t="s">
        <v>2781</v>
      </c>
      <c r="G684" s="1007">
        <v>0.012906866176564002</v>
      </c>
      <c r="H684" s="1012">
        <v>1.0</v>
      </c>
      <c r="I684" s="1009"/>
    </row>
    <row r="685">
      <c r="A685" t="s">
        <v>457</v>
      </c>
      <c r="B685" s="1003">
        <v>42247.0</v>
      </c>
      <c r="C685" s="1004">
        <f t="shared" si="1"/>
        <v>243</v>
      </c>
      <c r="D685" s="1005">
        <f t="shared" si="2"/>
        <v>7.967213115</v>
      </c>
      <c r="E685" s="1006">
        <f t="shared" si="3"/>
        <v>8</v>
      </c>
      <c r="F685" s="1006" t="s">
        <v>2781</v>
      </c>
      <c r="G685" s="1007">
        <v>0.008601810930201848</v>
      </c>
      <c r="H685" s="1012">
        <v>0.0</v>
      </c>
      <c r="I685" s="1009"/>
    </row>
    <row r="686">
      <c r="A686" t="s">
        <v>218</v>
      </c>
      <c r="B686" s="1003">
        <v>42247.0</v>
      </c>
      <c r="C686" s="1004">
        <f t="shared" si="1"/>
        <v>243</v>
      </c>
      <c r="D686" s="1005">
        <f t="shared" si="2"/>
        <v>7.967213115</v>
      </c>
      <c r="E686" s="1006">
        <f t="shared" si="3"/>
        <v>8</v>
      </c>
      <c r="F686" s="1006" t="s">
        <v>2781</v>
      </c>
      <c r="G686" s="1007">
        <v>-0.016762154660123985</v>
      </c>
      <c r="H686" s="1012">
        <v>-1.0</v>
      </c>
      <c r="I686" s="1009"/>
    </row>
    <row r="687">
      <c r="A687" t="s">
        <v>1757</v>
      </c>
      <c r="B687" s="1003">
        <v>42979.0</v>
      </c>
      <c r="C687" s="1004">
        <f t="shared" si="1"/>
        <v>244</v>
      </c>
      <c r="D687" s="1005">
        <f t="shared" si="2"/>
        <v>8</v>
      </c>
      <c r="E687" s="1006">
        <f t="shared" si="3"/>
        <v>8</v>
      </c>
      <c r="F687" s="1006" t="s">
        <v>2781</v>
      </c>
      <c r="G687" s="1007">
        <v>-2.326918480805018E-4</v>
      </c>
      <c r="H687" s="1012">
        <v>0.0</v>
      </c>
      <c r="I687" s="1009"/>
    </row>
    <row r="688">
      <c r="A688" t="s">
        <v>876</v>
      </c>
      <c r="B688" s="1003">
        <v>42248.0</v>
      </c>
      <c r="C688" s="1004">
        <f t="shared" si="1"/>
        <v>244</v>
      </c>
      <c r="D688" s="1005">
        <f t="shared" si="2"/>
        <v>8</v>
      </c>
      <c r="E688" s="1006">
        <f t="shared" si="3"/>
        <v>8</v>
      </c>
      <c r="F688" s="1006" t="s">
        <v>2781</v>
      </c>
      <c r="G688" s="1007">
        <v>-0.006374578480279558</v>
      </c>
      <c r="H688" s="1012">
        <v>0.0</v>
      </c>
      <c r="I688" s="1009"/>
    </row>
    <row r="689">
      <c r="A689" t="s">
        <v>246</v>
      </c>
      <c r="B689" s="1003">
        <v>42980.0</v>
      </c>
      <c r="C689" s="1004">
        <f t="shared" si="1"/>
        <v>245</v>
      </c>
      <c r="D689" s="1005">
        <f t="shared" si="2"/>
        <v>8.032786885</v>
      </c>
      <c r="E689" s="1006">
        <f t="shared" si="3"/>
        <v>9</v>
      </c>
      <c r="F689" s="1006" t="s">
        <v>2782</v>
      </c>
      <c r="G689" s="1007">
        <v>0.015596891538101398</v>
      </c>
      <c r="H689" s="1012">
        <v>1.0</v>
      </c>
      <c r="I689" s="1009"/>
    </row>
    <row r="690">
      <c r="A690" t="s">
        <v>1890</v>
      </c>
      <c r="B690" s="1003">
        <v>42614.0</v>
      </c>
      <c r="C690" s="1004">
        <f t="shared" si="1"/>
        <v>245</v>
      </c>
      <c r="D690" s="1005">
        <f t="shared" si="2"/>
        <v>8.032786885</v>
      </c>
      <c r="E690" s="1006">
        <f t="shared" si="3"/>
        <v>9</v>
      </c>
      <c r="F690" s="1006" t="s">
        <v>2782</v>
      </c>
      <c r="G690" s="1007">
        <v>-0.02273727660967584</v>
      </c>
      <c r="H690" s="1012">
        <v>-1.0</v>
      </c>
      <c r="I690" s="1009"/>
    </row>
    <row r="691">
      <c r="A691" t="s">
        <v>253</v>
      </c>
      <c r="B691" s="1003">
        <v>42249.0</v>
      </c>
      <c r="C691" s="1004">
        <f t="shared" si="1"/>
        <v>245</v>
      </c>
      <c r="D691" s="1005">
        <f t="shared" si="2"/>
        <v>8.032786885</v>
      </c>
      <c r="E691" s="1006">
        <f t="shared" si="3"/>
        <v>9</v>
      </c>
      <c r="F691" s="1006" t="s">
        <v>2782</v>
      </c>
      <c r="G691" s="1007">
        <v>0.0043035424460982075</v>
      </c>
      <c r="H691" s="1012">
        <v>0.0</v>
      </c>
      <c r="I691" s="1009"/>
    </row>
    <row r="692">
      <c r="A692" t="s">
        <v>262</v>
      </c>
      <c r="B692" s="1003">
        <v>42249.0</v>
      </c>
      <c r="C692" s="1004">
        <f t="shared" si="1"/>
        <v>245</v>
      </c>
      <c r="D692" s="1005">
        <f t="shared" si="2"/>
        <v>8.032786885</v>
      </c>
      <c r="E692" s="1006">
        <f t="shared" si="3"/>
        <v>9</v>
      </c>
      <c r="F692" s="1006" t="s">
        <v>2782</v>
      </c>
      <c r="G692" s="1007">
        <v>-0.01985826610537622</v>
      </c>
      <c r="H692" s="1012">
        <v>-1.0</v>
      </c>
      <c r="I692" s="1009"/>
    </row>
    <row r="693">
      <c r="A693" t="s">
        <v>78</v>
      </c>
      <c r="B693" s="1003">
        <v>42981.0</v>
      </c>
      <c r="C693" s="1004">
        <f t="shared" si="1"/>
        <v>246</v>
      </c>
      <c r="D693" s="1005">
        <f t="shared" si="2"/>
        <v>8.06557377</v>
      </c>
      <c r="E693" s="1006">
        <f t="shared" si="3"/>
        <v>9</v>
      </c>
      <c r="F693" s="1006" t="s">
        <v>2782</v>
      </c>
      <c r="G693" s="1007">
        <v>-0.014799758757324755</v>
      </c>
      <c r="H693" s="1012">
        <v>-1.0</v>
      </c>
      <c r="I693" s="1009"/>
    </row>
    <row r="694">
      <c r="A694" t="s">
        <v>1737</v>
      </c>
      <c r="B694" s="1003">
        <v>42982.0</v>
      </c>
      <c r="C694" s="1004">
        <f t="shared" si="1"/>
        <v>247</v>
      </c>
      <c r="D694" s="1005">
        <f t="shared" si="2"/>
        <v>8.098360656</v>
      </c>
      <c r="E694" s="1006">
        <f t="shared" si="3"/>
        <v>9</v>
      </c>
      <c r="F694" s="1006" t="s">
        <v>2782</v>
      </c>
      <c r="G694" s="1007">
        <v>0.016322727909021895</v>
      </c>
      <c r="H694" s="1012">
        <v>1.0</v>
      </c>
      <c r="I694" s="1009"/>
    </row>
    <row r="695">
      <c r="A695" t="s">
        <v>640</v>
      </c>
      <c r="B695" s="1003">
        <v>42982.0</v>
      </c>
      <c r="C695" s="1004">
        <f t="shared" si="1"/>
        <v>247</v>
      </c>
      <c r="D695" s="1005">
        <f t="shared" si="2"/>
        <v>8.098360656</v>
      </c>
      <c r="E695" s="1006">
        <f t="shared" si="3"/>
        <v>9</v>
      </c>
      <c r="F695" s="1006" t="s">
        <v>2782</v>
      </c>
      <c r="G695" s="1007">
        <v>0.010547855111043614</v>
      </c>
      <c r="H695" s="1012">
        <v>1.0</v>
      </c>
      <c r="I695" s="1009"/>
    </row>
    <row r="696">
      <c r="A696" t="s">
        <v>1827</v>
      </c>
      <c r="B696" s="1003">
        <v>42616.0</v>
      </c>
      <c r="C696" s="1004">
        <f t="shared" si="1"/>
        <v>247</v>
      </c>
      <c r="D696" s="1005">
        <f t="shared" si="2"/>
        <v>8.098360656</v>
      </c>
      <c r="E696" s="1006">
        <f t="shared" si="3"/>
        <v>9</v>
      </c>
      <c r="F696" s="1006" t="s">
        <v>2782</v>
      </c>
      <c r="G696" s="1007">
        <v>0.008931238174041511</v>
      </c>
      <c r="H696" s="1012">
        <v>0.0</v>
      </c>
      <c r="I696" s="1009"/>
    </row>
    <row r="697">
      <c r="A697" t="s">
        <v>1823</v>
      </c>
      <c r="B697" s="1003">
        <v>42616.0</v>
      </c>
      <c r="C697" s="1004">
        <f t="shared" si="1"/>
        <v>247</v>
      </c>
      <c r="D697" s="1005">
        <f t="shared" si="2"/>
        <v>8.098360656</v>
      </c>
      <c r="E697" s="1006">
        <f t="shared" si="3"/>
        <v>9</v>
      </c>
      <c r="F697" s="1006" t="s">
        <v>2782</v>
      </c>
      <c r="G697" s="1007">
        <v>-4.551479796277569E-5</v>
      </c>
      <c r="H697" s="1012">
        <v>0.0</v>
      </c>
      <c r="I697" s="1009"/>
    </row>
    <row r="698">
      <c r="A698" t="s">
        <v>192</v>
      </c>
      <c r="B698" s="1003">
        <v>42251.0</v>
      </c>
      <c r="C698" s="1004">
        <f t="shared" si="1"/>
        <v>247</v>
      </c>
      <c r="D698" s="1005">
        <f t="shared" si="2"/>
        <v>8.098360656</v>
      </c>
      <c r="E698" s="1006">
        <f t="shared" si="3"/>
        <v>9</v>
      </c>
      <c r="F698" s="1006" t="s">
        <v>2782</v>
      </c>
      <c r="G698" s="1007">
        <v>-0.005947290846152087</v>
      </c>
      <c r="H698" s="1012">
        <v>0.0</v>
      </c>
      <c r="I698" s="1009"/>
    </row>
    <row r="699">
      <c r="A699" t="s">
        <v>1460</v>
      </c>
      <c r="B699" s="1003">
        <v>42251.0</v>
      </c>
      <c r="C699" s="1004">
        <f t="shared" si="1"/>
        <v>247</v>
      </c>
      <c r="D699" s="1005">
        <f t="shared" si="2"/>
        <v>8.098360656</v>
      </c>
      <c r="E699" s="1006">
        <f t="shared" si="3"/>
        <v>9</v>
      </c>
      <c r="F699" s="1006" t="s">
        <v>2782</v>
      </c>
      <c r="G699" s="1007">
        <v>-0.001283199946885305</v>
      </c>
      <c r="H699" s="1012">
        <v>0.0</v>
      </c>
      <c r="I699" s="1009"/>
    </row>
    <row r="700">
      <c r="A700" t="s">
        <v>1751</v>
      </c>
      <c r="B700" s="1003">
        <v>42983.0</v>
      </c>
      <c r="C700" s="1004">
        <f t="shared" si="1"/>
        <v>248</v>
      </c>
      <c r="D700" s="1005">
        <f t="shared" si="2"/>
        <v>8.131147541</v>
      </c>
      <c r="E700" s="1006">
        <f t="shared" si="3"/>
        <v>9</v>
      </c>
      <c r="F700" s="1006" t="s">
        <v>2782</v>
      </c>
      <c r="G700" s="1007">
        <v>0.03392314613894598</v>
      </c>
      <c r="H700" s="1012">
        <v>1.0</v>
      </c>
      <c r="I700" s="1009"/>
    </row>
    <row r="701">
      <c r="A701" t="s">
        <v>1689</v>
      </c>
      <c r="B701" s="1003">
        <v>42983.0</v>
      </c>
      <c r="C701" s="1004">
        <f t="shared" si="1"/>
        <v>248</v>
      </c>
      <c r="D701" s="1005">
        <f t="shared" si="2"/>
        <v>8.131147541</v>
      </c>
      <c r="E701" s="1006">
        <f t="shared" si="3"/>
        <v>9</v>
      </c>
      <c r="F701" s="1006" t="s">
        <v>2782</v>
      </c>
      <c r="G701" s="1007">
        <v>0.022407683444649718</v>
      </c>
      <c r="H701" s="1012">
        <v>1.0</v>
      </c>
      <c r="I701" s="1009"/>
    </row>
    <row r="702">
      <c r="A702" t="s">
        <v>296</v>
      </c>
      <c r="B702" s="1003">
        <v>42252.0</v>
      </c>
      <c r="C702" s="1004">
        <f t="shared" si="1"/>
        <v>248</v>
      </c>
      <c r="D702" s="1005">
        <f t="shared" si="2"/>
        <v>8.131147541</v>
      </c>
      <c r="E702" s="1006">
        <f t="shared" si="3"/>
        <v>9</v>
      </c>
      <c r="F702" s="1006" t="s">
        <v>2782</v>
      </c>
      <c r="G702" s="1007">
        <v>0.025733919880701173</v>
      </c>
      <c r="H702" s="1012">
        <v>1.0</v>
      </c>
      <c r="I702" s="1009"/>
    </row>
    <row r="703">
      <c r="A703" t="s">
        <v>1896</v>
      </c>
      <c r="B703" s="1003">
        <v>42984.0</v>
      </c>
      <c r="C703" s="1004">
        <f t="shared" si="1"/>
        <v>249</v>
      </c>
      <c r="D703" s="1005">
        <f t="shared" si="2"/>
        <v>8.163934426</v>
      </c>
      <c r="E703" s="1006">
        <f t="shared" si="3"/>
        <v>9</v>
      </c>
      <c r="F703" s="1006" t="s">
        <v>2782</v>
      </c>
      <c r="G703" s="1007">
        <v>0.033872704669961506</v>
      </c>
      <c r="H703" s="1012">
        <v>1.0</v>
      </c>
      <c r="I703" s="1009"/>
    </row>
    <row r="704">
      <c r="A704" t="s">
        <v>299</v>
      </c>
      <c r="B704" s="1003">
        <v>42984.0</v>
      </c>
      <c r="C704" s="1004">
        <f t="shared" si="1"/>
        <v>249</v>
      </c>
      <c r="D704" s="1005">
        <f t="shared" si="2"/>
        <v>8.163934426</v>
      </c>
      <c r="E704" s="1006">
        <f t="shared" si="3"/>
        <v>9</v>
      </c>
      <c r="F704" s="1006" t="s">
        <v>2782</v>
      </c>
      <c r="G704" s="1007">
        <v>-0.053351094673996236</v>
      </c>
      <c r="H704" s="1012">
        <v>-1.0</v>
      </c>
      <c r="I704" s="1009"/>
    </row>
    <row r="705">
      <c r="A705" t="s">
        <v>1703</v>
      </c>
      <c r="B705" s="1003">
        <v>42618.0</v>
      </c>
      <c r="C705" s="1004">
        <f t="shared" si="1"/>
        <v>249</v>
      </c>
      <c r="D705" s="1005">
        <f t="shared" si="2"/>
        <v>8.163934426</v>
      </c>
      <c r="E705" s="1006">
        <f t="shared" si="3"/>
        <v>9</v>
      </c>
      <c r="F705" s="1006" t="s">
        <v>2782</v>
      </c>
      <c r="G705" s="1007">
        <v>0.02348936954101577</v>
      </c>
      <c r="H705" s="1012">
        <v>1.0</v>
      </c>
      <c r="I705" s="1009"/>
    </row>
    <row r="706">
      <c r="A706" t="s">
        <v>1830</v>
      </c>
      <c r="B706" s="1003">
        <v>42619.0</v>
      </c>
      <c r="C706" s="1004">
        <f t="shared" si="1"/>
        <v>250</v>
      </c>
      <c r="D706" s="1005">
        <f t="shared" si="2"/>
        <v>8.196721311</v>
      </c>
      <c r="E706" s="1006">
        <f t="shared" si="3"/>
        <v>9</v>
      </c>
      <c r="F706" s="1006" t="s">
        <v>2782</v>
      </c>
      <c r="G706" s="1007">
        <v>0.028935458296345473</v>
      </c>
      <c r="H706" s="1012">
        <v>1.0</v>
      </c>
      <c r="I706" s="1009"/>
    </row>
    <row r="707">
      <c r="A707" t="s">
        <v>1493</v>
      </c>
      <c r="B707" s="1003">
        <v>42619.0</v>
      </c>
      <c r="C707" s="1004">
        <f t="shared" si="1"/>
        <v>250</v>
      </c>
      <c r="D707" s="1005">
        <f t="shared" si="2"/>
        <v>8.196721311</v>
      </c>
      <c r="E707" s="1006">
        <f t="shared" si="3"/>
        <v>9</v>
      </c>
      <c r="F707" s="1006" t="s">
        <v>2782</v>
      </c>
      <c r="G707" s="1007">
        <v>-0.014448753536914105</v>
      </c>
      <c r="H707" s="1012">
        <v>-1.0</v>
      </c>
      <c r="I707" s="1009"/>
    </row>
    <row r="708">
      <c r="A708" t="s">
        <v>449</v>
      </c>
      <c r="B708" s="1003">
        <v>42619.0</v>
      </c>
      <c r="C708" s="1004">
        <f t="shared" si="1"/>
        <v>250</v>
      </c>
      <c r="D708" s="1005">
        <f t="shared" si="2"/>
        <v>8.196721311</v>
      </c>
      <c r="E708" s="1006">
        <f t="shared" si="3"/>
        <v>9</v>
      </c>
      <c r="F708" s="1006" t="s">
        <v>2782</v>
      </c>
      <c r="G708" s="1007">
        <v>0.021144198626911193</v>
      </c>
      <c r="H708" s="1012">
        <v>1.0</v>
      </c>
      <c r="I708" s="1009"/>
    </row>
    <row r="709">
      <c r="A709" t="s">
        <v>161</v>
      </c>
      <c r="B709" s="1003">
        <v>42619.0</v>
      </c>
      <c r="C709" s="1004">
        <f t="shared" si="1"/>
        <v>250</v>
      </c>
      <c r="D709" s="1005">
        <f t="shared" si="2"/>
        <v>8.196721311</v>
      </c>
      <c r="E709" s="1006">
        <f t="shared" si="3"/>
        <v>9</v>
      </c>
      <c r="F709" s="1006" t="s">
        <v>2782</v>
      </c>
      <c r="G709" s="1007">
        <v>-0.008016245741872652</v>
      </c>
      <c r="H709" s="1012">
        <v>0.0</v>
      </c>
      <c r="I709" s="1009"/>
    </row>
    <row r="710">
      <c r="A710" t="s">
        <v>1719</v>
      </c>
      <c r="B710" s="1003">
        <v>42986.0</v>
      </c>
      <c r="C710" s="1004">
        <f t="shared" si="1"/>
        <v>251</v>
      </c>
      <c r="D710" s="1005">
        <f t="shared" si="2"/>
        <v>8.229508197</v>
      </c>
      <c r="E710" s="1006">
        <f t="shared" si="3"/>
        <v>9</v>
      </c>
      <c r="F710" s="1006" t="s">
        <v>2782</v>
      </c>
      <c r="G710" s="1007">
        <v>0.01558763876048963</v>
      </c>
      <c r="H710" s="1012">
        <v>1.0</v>
      </c>
      <c r="I710" s="1009"/>
    </row>
    <row r="711">
      <c r="A711" t="s">
        <v>1454</v>
      </c>
      <c r="B711" s="1003">
        <v>42986.0</v>
      </c>
      <c r="C711" s="1004">
        <f t="shared" si="1"/>
        <v>251</v>
      </c>
      <c r="D711" s="1005">
        <f t="shared" si="2"/>
        <v>8.229508197</v>
      </c>
      <c r="E711" s="1006">
        <f t="shared" si="3"/>
        <v>9</v>
      </c>
      <c r="F711" s="1006" t="s">
        <v>2782</v>
      </c>
      <c r="G711" s="1007">
        <v>0.006647874305629409</v>
      </c>
      <c r="H711" s="1012">
        <v>0.0</v>
      </c>
      <c r="I711" s="1009"/>
    </row>
    <row r="712">
      <c r="A712" t="s">
        <v>587</v>
      </c>
      <c r="B712" s="1003">
        <v>42986.0</v>
      </c>
      <c r="C712" s="1004">
        <f t="shared" si="1"/>
        <v>251</v>
      </c>
      <c r="D712" s="1005">
        <f t="shared" si="2"/>
        <v>8.229508197</v>
      </c>
      <c r="E712" s="1006">
        <f t="shared" si="3"/>
        <v>9</v>
      </c>
      <c r="F712" s="1006" t="s">
        <v>2782</v>
      </c>
      <c r="G712" s="1007">
        <v>0.013057965475671729</v>
      </c>
      <c r="H712" s="1012">
        <v>1.0</v>
      </c>
      <c r="I712" s="1009"/>
    </row>
    <row r="713">
      <c r="A713" t="s">
        <v>1902</v>
      </c>
      <c r="B713" s="1003">
        <v>42620.0</v>
      </c>
      <c r="C713" s="1004">
        <f t="shared" si="1"/>
        <v>251</v>
      </c>
      <c r="D713" s="1005">
        <f t="shared" si="2"/>
        <v>8.229508197</v>
      </c>
      <c r="E713" s="1006">
        <f t="shared" si="3"/>
        <v>9</v>
      </c>
      <c r="F713" s="1006" t="s">
        <v>2782</v>
      </c>
      <c r="G713" s="1007">
        <v>0.016340800701268976</v>
      </c>
      <c r="H713" s="1012">
        <v>1.0</v>
      </c>
      <c r="I713" s="1009"/>
    </row>
    <row r="714">
      <c r="A714" t="s">
        <v>1874</v>
      </c>
      <c r="B714" s="1003">
        <v>42620.0</v>
      </c>
      <c r="C714" s="1004">
        <f t="shared" si="1"/>
        <v>251</v>
      </c>
      <c r="D714" s="1005">
        <f t="shared" si="2"/>
        <v>8.229508197</v>
      </c>
      <c r="E714" s="1006">
        <f t="shared" si="3"/>
        <v>9</v>
      </c>
      <c r="F714" s="1006" t="s">
        <v>2782</v>
      </c>
      <c r="G714" s="1007">
        <v>0.030835708904194736</v>
      </c>
      <c r="H714" s="1012">
        <v>1.0</v>
      </c>
      <c r="I714" s="1009"/>
    </row>
    <row r="715">
      <c r="A715" t="s">
        <v>1726</v>
      </c>
      <c r="B715" s="1003">
        <v>42620.0</v>
      </c>
      <c r="C715" s="1004">
        <f t="shared" si="1"/>
        <v>251</v>
      </c>
      <c r="D715" s="1005">
        <f t="shared" si="2"/>
        <v>8.229508197</v>
      </c>
      <c r="E715" s="1006">
        <f t="shared" si="3"/>
        <v>9</v>
      </c>
      <c r="F715" s="1006" t="s">
        <v>2782</v>
      </c>
      <c r="G715" s="1007">
        <v>-0.006217242968000414</v>
      </c>
      <c r="H715" s="1012">
        <v>0.0</v>
      </c>
      <c r="I715" s="1009"/>
    </row>
    <row r="716">
      <c r="A716" t="s">
        <v>171</v>
      </c>
      <c r="B716" s="1003">
        <v>42620.0</v>
      </c>
      <c r="C716" s="1004">
        <f t="shared" si="1"/>
        <v>251</v>
      </c>
      <c r="D716" s="1005">
        <f t="shared" si="2"/>
        <v>8.229508197</v>
      </c>
      <c r="E716" s="1006">
        <f t="shared" si="3"/>
        <v>9</v>
      </c>
      <c r="F716" s="1006" t="s">
        <v>2782</v>
      </c>
      <c r="G716" s="1007">
        <v>-0.004925853268035518</v>
      </c>
      <c r="H716" s="1012">
        <v>0.0</v>
      </c>
      <c r="I716" s="1009"/>
    </row>
    <row r="717">
      <c r="A717" t="s">
        <v>717</v>
      </c>
      <c r="B717" s="1003">
        <v>42255.0</v>
      </c>
      <c r="C717" s="1004">
        <f t="shared" si="1"/>
        <v>251</v>
      </c>
      <c r="D717" s="1005">
        <f t="shared" si="2"/>
        <v>8.229508197</v>
      </c>
      <c r="E717" s="1006">
        <f t="shared" si="3"/>
        <v>9</v>
      </c>
      <c r="F717" s="1006" t="s">
        <v>2782</v>
      </c>
      <c r="G717" s="1007">
        <v>0.017670521934452066</v>
      </c>
      <c r="H717" s="1012">
        <v>1.0</v>
      </c>
      <c r="I717" s="1009"/>
    </row>
    <row r="718">
      <c r="A718" t="s">
        <v>1615</v>
      </c>
      <c r="B718" s="1003">
        <v>42987.0</v>
      </c>
      <c r="C718" s="1004">
        <f t="shared" si="1"/>
        <v>252</v>
      </c>
      <c r="D718" s="1005">
        <f t="shared" si="2"/>
        <v>8.262295082</v>
      </c>
      <c r="E718" s="1006">
        <f t="shared" si="3"/>
        <v>9</v>
      </c>
      <c r="F718" s="1006" t="s">
        <v>2782</v>
      </c>
      <c r="G718" s="1007">
        <v>3.8385160781695404E-5</v>
      </c>
      <c r="H718" s="1012">
        <v>0.0</v>
      </c>
      <c r="I718" s="1009"/>
    </row>
    <row r="719">
      <c r="A719" t="s">
        <v>1795</v>
      </c>
      <c r="B719" s="1013">
        <v>42987.0</v>
      </c>
      <c r="C719" s="1004">
        <f t="shared" si="1"/>
        <v>252</v>
      </c>
      <c r="D719" s="1005">
        <f t="shared" si="2"/>
        <v>8.262295082</v>
      </c>
      <c r="E719" s="1006">
        <f t="shared" si="3"/>
        <v>9</v>
      </c>
      <c r="F719" s="1006" t="s">
        <v>2782</v>
      </c>
      <c r="G719" s="1007">
        <v>0.009927121236761538</v>
      </c>
      <c r="H719" s="1012">
        <v>0.0</v>
      </c>
      <c r="I719" s="1009"/>
    </row>
    <row r="720">
      <c r="A720" t="s">
        <v>1781</v>
      </c>
      <c r="B720" s="1003">
        <v>42621.0</v>
      </c>
      <c r="C720" s="1004">
        <f t="shared" si="1"/>
        <v>252</v>
      </c>
      <c r="D720" s="1005">
        <f t="shared" si="2"/>
        <v>8.262295082</v>
      </c>
      <c r="E720" s="1006">
        <f t="shared" si="3"/>
        <v>9</v>
      </c>
      <c r="F720" s="1006" t="s">
        <v>2782</v>
      </c>
      <c r="G720" s="1007">
        <v>0.0015941315753381646</v>
      </c>
      <c r="H720" s="1012">
        <v>0.0</v>
      </c>
      <c r="I720" s="1009"/>
    </row>
    <row r="721">
      <c r="A721" t="s">
        <v>169</v>
      </c>
      <c r="B721" s="1003">
        <v>42621.0</v>
      </c>
      <c r="C721" s="1004">
        <f t="shared" si="1"/>
        <v>252</v>
      </c>
      <c r="D721" s="1005">
        <f t="shared" si="2"/>
        <v>8.262295082</v>
      </c>
      <c r="E721" s="1006">
        <f t="shared" si="3"/>
        <v>9</v>
      </c>
      <c r="F721" s="1006" t="s">
        <v>2782</v>
      </c>
      <c r="G721" s="1007">
        <v>-0.003970008951646786</v>
      </c>
      <c r="H721" s="1012">
        <v>0.0</v>
      </c>
      <c r="I721" s="1009"/>
    </row>
    <row r="722">
      <c r="A722" t="s">
        <v>169</v>
      </c>
      <c r="B722" s="1003">
        <v>42256.0</v>
      </c>
      <c r="C722" s="1004">
        <f t="shared" si="1"/>
        <v>252</v>
      </c>
      <c r="D722" s="1005">
        <f t="shared" si="2"/>
        <v>8.262295082</v>
      </c>
      <c r="E722" s="1006">
        <f t="shared" si="3"/>
        <v>9</v>
      </c>
      <c r="F722" s="1006" t="s">
        <v>2782</v>
      </c>
      <c r="G722" s="1007">
        <v>0.0047305781555812</v>
      </c>
      <c r="H722" s="1012">
        <v>0.0</v>
      </c>
      <c r="I722" s="1009"/>
    </row>
    <row r="723">
      <c r="A723" t="s">
        <v>267</v>
      </c>
      <c r="B723" s="1003">
        <v>42256.0</v>
      </c>
      <c r="C723" s="1004">
        <f t="shared" si="1"/>
        <v>252</v>
      </c>
      <c r="D723" s="1005">
        <f t="shared" si="2"/>
        <v>8.262295082</v>
      </c>
      <c r="E723" s="1006">
        <f t="shared" si="3"/>
        <v>9</v>
      </c>
      <c r="F723" s="1006" t="s">
        <v>2782</v>
      </c>
      <c r="G723" s="1007">
        <v>-0.011800178578149856</v>
      </c>
      <c r="H723" s="1012">
        <v>-1.0</v>
      </c>
      <c r="I723" s="1009"/>
    </row>
    <row r="724">
      <c r="A724" t="s">
        <v>1844</v>
      </c>
      <c r="B724" s="1003">
        <v>42988.0</v>
      </c>
      <c r="C724" s="1004">
        <f t="shared" si="1"/>
        <v>253</v>
      </c>
      <c r="D724" s="1005">
        <f t="shared" si="2"/>
        <v>8.295081967</v>
      </c>
      <c r="E724" s="1006">
        <f t="shared" si="3"/>
        <v>9</v>
      </c>
      <c r="F724" s="1006" t="s">
        <v>2782</v>
      </c>
      <c r="G724" s="1007">
        <v>0.012310329547094434</v>
      </c>
      <c r="H724" s="1012">
        <v>1.0</v>
      </c>
      <c r="I724" s="1009"/>
    </row>
    <row r="725">
      <c r="A725" t="s">
        <v>819</v>
      </c>
      <c r="B725" s="1003">
        <v>42988.0</v>
      </c>
      <c r="C725" s="1004">
        <f t="shared" si="1"/>
        <v>253</v>
      </c>
      <c r="D725" s="1005">
        <f t="shared" si="2"/>
        <v>8.295081967</v>
      </c>
      <c r="E725" s="1006">
        <f t="shared" si="3"/>
        <v>9</v>
      </c>
      <c r="F725" s="1006" t="s">
        <v>2782</v>
      </c>
      <c r="G725" s="1007">
        <v>-0.016890111100091643</v>
      </c>
      <c r="H725" s="1012">
        <v>-1.0</v>
      </c>
      <c r="I725" s="1009"/>
    </row>
    <row r="726">
      <c r="A726" t="s">
        <v>761</v>
      </c>
      <c r="B726" s="1003">
        <v>42622.0</v>
      </c>
      <c r="C726" s="1004">
        <f t="shared" si="1"/>
        <v>253</v>
      </c>
      <c r="D726" s="1005">
        <f t="shared" si="2"/>
        <v>8.295081967</v>
      </c>
      <c r="E726" s="1006">
        <f t="shared" si="3"/>
        <v>9</v>
      </c>
      <c r="F726" s="1006" t="s">
        <v>2782</v>
      </c>
      <c r="G726" s="1007">
        <v>-0.027775530971194895</v>
      </c>
      <c r="H726" s="1012">
        <v>-1.0</v>
      </c>
      <c r="I726" s="1009"/>
    </row>
    <row r="727">
      <c r="A727" t="s">
        <v>1630</v>
      </c>
      <c r="B727" s="1003">
        <v>42989.0</v>
      </c>
      <c r="C727" s="1004">
        <f t="shared" si="1"/>
        <v>254</v>
      </c>
      <c r="D727" s="1005">
        <f t="shared" si="2"/>
        <v>8.327868852</v>
      </c>
      <c r="E727" s="1006">
        <f t="shared" si="3"/>
        <v>9</v>
      </c>
      <c r="F727" s="1006" t="s">
        <v>2782</v>
      </c>
      <c r="G727" s="1007">
        <v>0.0057820414671829745</v>
      </c>
      <c r="H727" s="1012">
        <v>0.0</v>
      </c>
      <c r="I727" s="1009"/>
    </row>
    <row r="728">
      <c r="A728" t="s">
        <v>92</v>
      </c>
      <c r="B728" s="1003">
        <v>42623.0</v>
      </c>
      <c r="C728" s="1004">
        <f t="shared" si="1"/>
        <v>254</v>
      </c>
      <c r="D728" s="1005">
        <f t="shared" si="2"/>
        <v>8.327868852</v>
      </c>
      <c r="E728" s="1006">
        <f t="shared" si="3"/>
        <v>9</v>
      </c>
      <c r="F728" s="1006" t="s">
        <v>2782</v>
      </c>
      <c r="G728" s="1007">
        <v>0.025165727973059604</v>
      </c>
      <c r="H728" s="1012">
        <v>1.0</v>
      </c>
      <c r="I728" s="1009"/>
    </row>
    <row r="729">
      <c r="A729" t="s">
        <v>161</v>
      </c>
      <c r="B729" s="1003">
        <v>42258.0</v>
      </c>
      <c r="C729" s="1004">
        <f t="shared" si="1"/>
        <v>254</v>
      </c>
      <c r="D729" s="1005">
        <f t="shared" si="2"/>
        <v>8.327868852</v>
      </c>
      <c r="E729" s="1006">
        <f t="shared" si="3"/>
        <v>9</v>
      </c>
      <c r="F729" s="1006" t="s">
        <v>2782</v>
      </c>
      <c r="G729" s="1007">
        <v>-0.012856828333147274</v>
      </c>
      <c r="H729" s="1012">
        <v>-1.0</v>
      </c>
      <c r="I729" s="1009"/>
    </row>
    <row r="730">
      <c r="A730" t="s">
        <v>1884</v>
      </c>
      <c r="B730" s="1003">
        <v>42990.0</v>
      </c>
      <c r="C730" s="1004">
        <f t="shared" si="1"/>
        <v>255</v>
      </c>
      <c r="D730" s="1005">
        <f t="shared" si="2"/>
        <v>8.360655738</v>
      </c>
      <c r="E730" s="1006">
        <f t="shared" si="3"/>
        <v>9</v>
      </c>
      <c r="F730" s="1006" t="s">
        <v>2782</v>
      </c>
      <c r="G730" s="1007">
        <v>-0.004506064793853959</v>
      </c>
      <c r="H730" s="1012">
        <v>0.0</v>
      </c>
      <c r="I730" s="1009"/>
    </row>
    <row r="731">
      <c r="A731" t="s">
        <v>1836</v>
      </c>
      <c r="B731" s="1003">
        <v>42624.0</v>
      </c>
      <c r="C731" s="1004">
        <f t="shared" si="1"/>
        <v>255</v>
      </c>
      <c r="D731" s="1005">
        <f t="shared" si="2"/>
        <v>8.360655738</v>
      </c>
      <c r="E731" s="1006">
        <f t="shared" si="3"/>
        <v>9</v>
      </c>
      <c r="F731" s="1006" t="s">
        <v>2782</v>
      </c>
      <c r="G731" s="1007">
        <v>0.03535436046082574</v>
      </c>
      <c r="H731" s="1012">
        <v>1.0</v>
      </c>
      <c r="I731" s="1009"/>
    </row>
    <row r="732">
      <c r="A732" t="s">
        <v>541</v>
      </c>
      <c r="B732" s="1003">
        <v>42624.0</v>
      </c>
      <c r="C732" s="1004">
        <f t="shared" si="1"/>
        <v>255</v>
      </c>
      <c r="D732" s="1005">
        <f t="shared" si="2"/>
        <v>8.360655738</v>
      </c>
      <c r="E732" s="1006">
        <f t="shared" si="3"/>
        <v>9</v>
      </c>
      <c r="F732" s="1006" t="s">
        <v>2782</v>
      </c>
      <c r="G732" s="1007">
        <v>0.007858955717973237</v>
      </c>
      <c r="H732" s="1012">
        <v>0.0</v>
      </c>
      <c r="I732" s="1009"/>
    </row>
    <row r="733">
      <c r="A733" t="s">
        <v>376</v>
      </c>
      <c r="B733" s="1003">
        <v>42625.0</v>
      </c>
      <c r="C733" s="1004">
        <f t="shared" si="1"/>
        <v>256</v>
      </c>
      <c r="D733" s="1005">
        <f t="shared" si="2"/>
        <v>8.393442623</v>
      </c>
      <c r="E733" s="1006">
        <f t="shared" si="3"/>
        <v>9</v>
      </c>
      <c r="F733" s="1006" t="s">
        <v>2782</v>
      </c>
      <c r="G733" s="1007">
        <v>-0.008388353365232804</v>
      </c>
      <c r="H733" s="1012">
        <v>0.0</v>
      </c>
      <c r="I733" s="1009"/>
    </row>
    <row r="734">
      <c r="A734" t="s">
        <v>1878</v>
      </c>
      <c r="B734" s="1003">
        <v>42625.0</v>
      </c>
      <c r="C734" s="1004">
        <f t="shared" si="1"/>
        <v>256</v>
      </c>
      <c r="D734" s="1005">
        <f t="shared" si="2"/>
        <v>8.393442623</v>
      </c>
      <c r="E734" s="1006">
        <f t="shared" si="3"/>
        <v>9</v>
      </c>
      <c r="F734" s="1006" t="s">
        <v>2782</v>
      </c>
      <c r="G734" s="1007">
        <v>0.013989204202360717</v>
      </c>
      <c r="H734" s="1012">
        <v>1.0</v>
      </c>
      <c r="I734" s="1009"/>
    </row>
    <row r="735">
      <c r="A735" t="s">
        <v>1741</v>
      </c>
      <c r="B735" s="1003">
        <v>42625.0</v>
      </c>
      <c r="C735" s="1004">
        <f t="shared" si="1"/>
        <v>256</v>
      </c>
      <c r="D735" s="1005">
        <f t="shared" si="2"/>
        <v>8.393442623</v>
      </c>
      <c r="E735" s="1006">
        <f t="shared" si="3"/>
        <v>9</v>
      </c>
      <c r="F735" s="1006" t="s">
        <v>2782</v>
      </c>
      <c r="G735" s="1007">
        <v>0.019798728514394237</v>
      </c>
      <c r="H735" s="1012">
        <v>1.0</v>
      </c>
      <c r="I735" s="1009"/>
    </row>
    <row r="736">
      <c r="A736" t="s">
        <v>761</v>
      </c>
      <c r="B736" s="1003">
        <v>42260.0</v>
      </c>
      <c r="C736" s="1004">
        <f t="shared" si="1"/>
        <v>256</v>
      </c>
      <c r="D736" s="1005">
        <f t="shared" si="2"/>
        <v>8.393442623</v>
      </c>
      <c r="E736" s="1006">
        <f t="shared" si="3"/>
        <v>9</v>
      </c>
      <c r="F736" s="1006" t="s">
        <v>2782</v>
      </c>
      <c r="G736" s="1007">
        <v>-0.026927066480040285</v>
      </c>
      <c r="H736" s="1012">
        <v>-1.0</v>
      </c>
      <c r="I736" s="1009"/>
    </row>
    <row r="737">
      <c r="A737" t="s">
        <v>161</v>
      </c>
      <c r="B737" s="1003">
        <v>42992.0</v>
      </c>
      <c r="C737" s="1004">
        <f t="shared" si="1"/>
        <v>257</v>
      </c>
      <c r="D737" s="1005">
        <f t="shared" si="2"/>
        <v>8.426229508</v>
      </c>
      <c r="E737" s="1006">
        <f t="shared" si="3"/>
        <v>9</v>
      </c>
      <c r="F737" s="1006" t="s">
        <v>2782</v>
      </c>
      <c r="G737" s="1007">
        <v>-0.005021390296682027</v>
      </c>
      <c r="H737" s="1012">
        <v>0.0</v>
      </c>
      <c r="I737" s="1009"/>
    </row>
    <row r="738">
      <c r="A738" t="s">
        <v>545</v>
      </c>
      <c r="B738" s="1003">
        <v>42626.0</v>
      </c>
      <c r="C738" s="1004">
        <f t="shared" si="1"/>
        <v>257</v>
      </c>
      <c r="D738" s="1005">
        <f t="shared" si="2"/>
        <v>8.426229508</v>
      </c>
      <c r="E738" s="1006">
        <f t="shared" si="3"/>
        <v>9</v>
      </c>
      <c r="F738" s="1006" t="s">
        <v>2782</v>
      </c>
      <c r="G738" s="1007">
        <v>-0.0034262687403252556</v>
      </c>
      <c r="H738" s="1012">
        <v>0.0</v>
      </c>
      <c r="I738" s="1009"/>
    </row>
    <row r="739">
      <c r="A739" t="s">
        <v>290</v>
      </c>
      <c r="B739" s="1003">
        <v>42261.0</v>
      </c>
      <c r="C739" s="1004">
        <f t="shared" si="1"/>
        <v>257</v>
      </c>
      <c r="D739" s="1005">
        <f t="shared" si="2"/>
        <v>8.426229508</v>
      </c>
      <c r="E739" s="1006">
        <f t="shared" si="3"/>
        <v>9</v>
      </c>
      <c r="F739" s="1006" t="s">
        <v>2782</v>
      </c>
      <c r="G739" s="1007">
        <v>-0.011268907312102394</v>
      </c>
      <c r="H739" s="1012">
        <v>-1.0</v>
      </c>
      <c r="I739" s="1009"/>
    </row>
    <row r="740">
      <c r="A740" t="s">
        <v>306</v>
      </c>
      <c r="B740" s="1003">
        <v>42261.0</v>
      </c>
      <c r="C740" s="1004">
        <f t="shared" si="1"/>
        <v>257</v>
      </c>
      <c r="D740" s="1005">
        <f t="shared" si="2"/>
        <v>8.426229508</v>
      </c>
      <c r="E740" s="1006">
        <f t="shared" si="3"/>
        <v>9</v>
      </c>
      <c r="F740" s="1006" t="s">
        <v>2782</v>
      </c>
      <c r="G740" s="1007">
        <v>0.009858014005723503</v>
      </c>
      <c r="H740" s="1012">
        <v>0.0</v>
      </c>
      <c r="I740" s="1009"/>
    </row>
    <row r="741">
      <c r="A741" t="s">
        <v>1866</v>
      </c>
      <c r="B741" s="1003">
        <v>42993.0</v>
      </c>
      <c r="C741" s="1004">
        <f t="shared" si="1"/>
        <v>258</v>
      </c>
      <c r="D741" s="1005">
        <f t="shared" si="2"/>
        <v>8.459016393</v>
      </c>
      <c r="E741" s="1006">
        <f t="shared" si="3"/>
        <v>9</v>
      </c>
      <c r="F741" s="1006" t="s">
        <v>2782</v>
      </c>
      <c r="G741" s="1007">
        <v>0.019776252205741973</v>
      </c>
      <c r="H741" s="1012">
        <v>1.0</v>
      </c>
      <c r="I741" s="1009"/>
    </row>
    <row r="742">
      <c r="A742" t="s">
        <v>1685</v>
      </c>
      <c r="B742" s="1003">
        <v>42627.0</v>
      </c>
      <c r="C742" s="1004">
        <f t="shared" si="1"/>
        <v>258</v>
      </c>
      <c r="D742" s="1005">
        <f t="shared" si="2"/>
        <v>8.459016393</v>
      </c>
      <c r="E742" s="1006">
        <f t="shared" si="3"/>
        <v>9</v>
      </c>
      <c r="F742" s="1006" t="s">
        <v>2782</v>
      </c>
      <c r="G742" s="1007">
        <v>9.59901725596235E-4</v>
      </c>
      <c r="H742" s="1012">
        <v>0.0</v>
      </c>
      <c r="I742" s="1009"/>
    </row>
    <row r="743">
      <c r="A743" t="s">
        <v>640</v>
      </c>
      <c r="B743" s="1003">
        <v>42262.0</v>
      </c>
      <c r="C743" s="1004">
        <f t="shared" si="1"/>
        <v>258</v>
      </c>
      <c r="D743" s="1005">
        <f t="shared" si="2"/>
        <v>8.459016393</v>
      </c>
      <c r="E743" s="1006">
        <f t="shared" si="3"/>
        <v>9</v>
      </c>
      <c r="F743" s="1006" t="s">
        <v>2782</v>
      </c>
      <c r="G743" s="1007">
        <v>-0.005006335879620183</v>
      </c>
      <c r="H743" s="1012">
        <v>0.0</v>
      </c>
      <c r="I743" s="1009"/>
    </row>
    <row r="744">
      <c r="A744" t="s">
        <v>623</v>
      </c>
      <c r="B744" s="1003">
        <v>42262.0</v>
      </c>
      <c r="C744" s="1004">
        <f t="shared" si="1"/>
        <v>258</v>
      </c>
      <c r="D744" s="1005">
        <f t="shared" si="2"/>
        <v>8.459016393</v>
      </c>
      <c r="E744" s="1006">
        <f t="shared" si="3"/>
        <v>9</v>
      </c>
      <c r="F744" s="1006" t="s">
        <v>2782</v>
      </c>
      <c r="G744" s="1007">
        <v>-0.036015696701393485</v>
      </c>
      <c r="H744" s="1012">
        <v>-1.0</v>
      </c>
      <c r="I744" s="1009"/>
    </row>
    <row r="745">
      <c r="A745" t="s">
        <v>304</v>
      </c>
      <c r="B745" s="1003">
        <v>42994.0</v>
      </c>
      <c r="C745" s="1004">
        <f t="shared" si="1"/>
        <v>259</v>
      </c>
      <c r="D745" s="1005">
        <f t="shared" si="2"/>
        <v>8.491803279</v>
      </c>
      <c r="E745" s="1006">
        <f t="shared" si="3"/>
        <v>9</v>
      </c>
      <c r="F745" s="1006" t="s">
        <v>2782</v>
      </c>
      <c r="G745" s="1007">
        <v>0.011309835371106636</v>
      </c>
      <c r="H745" s="1012">
        <v>1.0</v>
      </c>
      <c r="I745" s="1009"/>
    </row>
    <row r="746">
      <c r="A746" t="s">
        <v>126</v>
      </c>
      <c r="B746" s="1003">
        <v>42628.0</v>
      </c>
      <c r="C746" s="1004">
        <f t="shared" si="1"/>
        <v>259</v>
      </c>
      <c r="D746" s="1005">
        <f t="shared" si="2"/>
        <v>8.491803279</v>
      </c>
      <c r="E746" s="1006">
        <f t="shared" si="3"/>
        <v>9</v>
      </c>
      <c r="F746" s="1006" t="s">
        <v>2782</v>
      </c>
      <c r="G746" s="1007">
        <v>1.2466653720366594E-4</v>
      </c>
      <c r="H746" s="1012">
        <v>0.0</v>
      </c>
      <c r="I746" s="1009"/>
    </row>
    <row r="747">
      <c r="A747" t="s">
        <v>376</v>
      </c>
      <c r="B747" s="1003">
        <v>42263.0</v>
      </c>
      <c r="C747" s="1004">
        <f t="shared" si="1"/>
        <v>259</v>
      </c>
      <c r="D747" s="1005">
        <f t="shared" si="2"/>
        <v>8.491803279</v>
      </c>
      <c r="E747" s="1006">
        <f t="shared" si="3"/>
        <v>9</v>
      </c>
      <c r="F747" s="1006" t="s">
        <v>2782</v>
      </c>
      <c r="G747" s="1007">
        <v>-0.033533794388828864</v>
      </c>
      <c r="H747" s="1012">
        <v>-1.0</v>
      </c>
      <c r="I747" s="1009"/>
    </row>
    <row r="748">
      <c r="A748" t="s">
        <v>761</v>
      </c>
      <c r="B748" s="1003">
        <v>42264.0</v>
      </c>
      <c r="C748" s="1004">
        <f t="shared" si="1"/>
        <v>260</v>
      </c>
      <c r="D748" s="1005">
        <f t="shared" si="2"/>
        <v>8.524590164</v>
      </c>
      <c r="E748" s="1006">
        <f t="shared" si="3"/>
        <v>9</v>
      </c>
      <c r="F748" s="1006" t="s">
        <v>2782</v>
      </c>
      <c r="G748" s="1007">
        <v>-0.026675399925195076</v>
      </c>
      <c r="H748" s="1012">
        <v>-1.0</v>
      </c>
      <c r="I748" s="1009"/>
    </row>
    <row r="749">
      <c r="A749" t="s">
        <v>761</v>
      </c>
      <c r="B749" s="1003">
        <v>42264.0</v>
      </c>
      <c r="C749" s="1004">
        <f t="shared" si="1"/>
        <v>260</v>
      </c>
      <c r="D749" s="1005">
        <f t="shared" si="2"/>
        <v>8.524590164</v>
      </c>
      <c r="E749" s="1006">
        <f t="shared" si="3"/>
        <v>9</v>
      </c>
      <c r="F749" s="1006" t="s">
        <v>2782</v>
      </c>
      <c r="G749" s="1007">
        <v>-0.02402816487796411</v>
      </c>
      <c r="H749" s="1012">
        <v>-1.0</v>
      </c>
      <c r="I749" s="1009"/>
    </row>
    <row r="750">
      <c r="A750" t="s">
        <v>761</v>
      </c>
      <c r="B750" s="1003">
        <v>42264.0</v>
      </c>
      <c r="C750" s="1004">
        <f t="shared" si="1"/>
        <v>260</v>
      </c>
      <c r="D750" s="1005">
        <f t="shared" si="2"/>
        <v>8.524590164</v>
      </c>
      <c r="E750" s="1006">
        <f t="shared" si="3"/>
        <v>9</v>
      </c>
      <c r="F750" s="1006" t="s">
        <v>2782</v>
      </c>
      <c r="G750" s="1007">
        <v>-0.02377891678154309</v>
      </c>
      <c r="H750" s="1012">
        <v>-1.0</v>
      </c>
      <c r="I750" s="1009"/>
    </row>
    <row r="751">
      <c r="A751" t="s">
        <v>717</v>
      </c>
      <c r="B751" s="1003">
        <v>42264.0</v>
      </c>
      <c r="C751" s="1004">
        <f t="shared" si="1"/>
        <v>260</v>
      </c>
      <c r="D751" s="1005">
        <f t="shared" si="2"/>
        <v>8.524590164</v>
      </c>
      <c r="E751" s="1006">
        <f t="shared" si="3"/>
        <v>9</v>
      </c>
      <c r="F751" s="1006" t="s">
        <v>2782</v>
      </c>
      <c r="G751" s="1007">
        <v>0.01878796071635902</v>
      </c>
      <c r="H751" s="1012">
        <v>1.0</v>
      </c>
      <c r="I751" s="1009"/>
    </row>
    <row r="752">
      <c r="A752" t="s">
        <v>58</v>
      </c>
      <c r="B752" s="1003">
        <v>41900.0</v>
      </c>
      <c r="C752" s="1004">
        <f t="shared" si="1"/>
        <v>261</v>
      </c>
      <c r="D752" s="1005">
        <f t="shared" si="2"/>
        <v>8.557377049</v>
      </c>
      <c r="E752" s="1006">
        <f t="shared" si="3"/>
        <v>9</v>
      </c>
      <c r="F752" s="1006" t="s">
        <v>2782</v>
      </c>
      <c r="G752" s="1007">
        <v>0.021632992626098302</v>
      </c>
      <c r="H752" s="1012">
        <v>1.0</v>
      </c>
      <c r="I752" s="1009"/>
    </row>
    <row r="753">
      <c r="A753" t="s">
        <v>76</v>
      </c>
      <c r="B753" s="1003">
        <v>41900.0</v>
      </c>
      <c r="C753" s="1004">
        <f t="shared" si="1"/>
        <v>261</v>
      </c>
      <c r="D753" s="1005">
        <f t="shared" si="2"/>
        <v>8.557377049</v>
      </c>
      <c r="E753" s="1006">
        <f t="shared" si="3"/>
        <v>9</v>
      </c>
      <c r="F753" s="1006" t="s">
        <v>2782</v>
      </c>
      <c r="G753" s="1007">
        <v>0.018360987746035784</v>
      </c>
      <c r="H753" s="1012">
        <v>1.0</v>
      </c>
      <c r="I753" s="1009"/>
    </row>
    <row r="754">
      <c r="A754" t="s">
        <v>84</v>
      </c>
      <c r="B754" s="1003">
        <v>41900.0</v>
      </c>
      <c r="C754" s="1004">
        <f t="shared" si="1"/>
        <v>261</v>
      </c>
      <c r="D754" s="1005">
        <f t="shared" si="2"/>
        <v>8.557377049</v>
      </c>
      <c r="E754" s="1006">
        <f t="shared" si="3"/>
        <v>9</v>
      </c>
      <c r="F754" s="1006" t="s">
        <v>2782</v>
      </c>
      <c r="G754" s="1007">
        <v>-0.00782182455610092</v>
      </c>
      <c r="H754" s="1012">
        <v>0.0</v>
      </c>
      <c r="I754" s="1009"/>
    </row>
    <row r="755">
      <c r="A755" t="s">
        <v>96</v>
      </c>
      <c r="B755" s="1003">
        <v>41900.0</v>
      </c>
      <c r="C755" s="1004">
        <f t="shared" si="1"/>
        <v>261</v>
      </c>
      <c r="D755" s="1005">
        <f t="shared" si="2"/>
        <v>8.557377049</v>
      </c>
      <c r="E755" s="1006">
        <f t="shared" si="3"/>
        <v>9</v>
      </c>
      <c r="F755" s="1006" t="s">
        <v>2782</v>
      </c>
      <c r="G755" s="1007">
        <v>0.004511850016528207</v>
      </c>
      <c r="H755" s="1012">
        <v>0.0</v>
      </c>
      <c r="I755" s="1009"/>
    </row>
    <row r="756">
      <c r="A756" t="s">
        <v>101</v>
      </c>
      <c r="B756" s="1003">
        <v>41900.0</v>
      </c>
      <c r="C756" s="1004">
        <f t="shared" si="1"/>
        <v>261</v>
      </c>
      <c r="D756" s="1005">
        <f t="shared" si="2"/>
        <v>8.557377049</v>
      </c>
      <c r="E756" s="1006">
        <f t="shared" si="3"/>
        <v>9</v>
      </c>
      <c r="F756" s="1006" t="s">
        <v>2782</v>
      </c>
      <c r="G756" s="1007">
        <v>-0.00519286375736272</v>
      </c>
      <c r="H756" s="1012">
        <v>0.0</v>
      </c>
      <c r="I756" s="1009"/>
    </row>
    <row r="757">
      <c r="A757" t="s">
        <v>114</v>
      </c>
      <c r="B757" s="1003">
        <v>41900.0</v>
      </c>
      <c r="C757" s="1004">
        <f t="shared" si="1"/>
        <v>261</v>
      </c>
      <c r="D757" s="1005">
        <f t="shared" si="2"/>
        <v>8.557377049</v>
      </c>
      <c r="E757" s="1006">
        <f t="shared" si="3"/>
        <v>9</v>
      </c>
      <c r="F757" s="1006" t="s">
        <v>2782</v>
      </c>
      <c r="G757" s="1007">
        <v>-2.984718279051002E-4</v>
      </c>
      <c r="H757" s="1012">
        <v>0.0</v>
      </c>
      <c r="I757" s="1009"/>
    </row>
    <row r="758">
      <c r="A758" t="s">
        <v>328</v>
      </c>
      <c r="B758" s="1003">
        <v>42997.0</v>
      </c>
      <c r="C758" s="1004">
        <f t="shared" si="1"/>
        <v>262</v>
      </c>
      <c r="D758" s="1005">
        <f t="shared" si="2"/>
        <v>8.590163934</v>
      </c>
      <c r="E758" s="1006">
        <f t="shared" si="3"/>
        <v>9</v>
      </c>
      <c r="F758" s="1006" t="s">
        <v>2782</v>
      </c>
      <c r="G758" s="1007">
        <v>-0.015249541474439243</v>
      </c>
      <c r="H758" s="1012">
        <v>-1.0</v>
      </c>
      <c r="I758" s="1009"/>
    </row>
    <row r="759">
      <c r="A759" t="s">
        <v>623</v>
      </c>
      <c r="B759" s="1003">
        <v>42997.0</v>
      </c>
      <c r="C759" s="1004">
        <f t="shared" si="1"/>
        <v>262</v>
      </c>
      <c r="D759" s="1005">
        <f t="shared" si="2"/>
        <v>8.590163934</v>
      </c>
      <c r="E759" s="1006">
        <f t="shared" si="3"/>
        <v>9</v>
      </c>
      <c r="F759" s="1006" t="s">
        <v>2782</v>
      </c>
      <c r="G759" s="1007">
        <v>0.007974256006988312</v>
      </c>
      <c r="H759" s="1012">
        <v>0.0</v>
      </c>
      <c r="I759" s="1009"/>
    </row>
    <row r="760">
      <c r="A760" t="s">
        <v>322</v>
      </c>
      <c r="B760" s="1003">
        <v>42266.0</v>
      </c>
      <c r="C760" s="1004">
        <f t="shared" si="1"/>
        <v>262</v>
      </c>
      <c r="D760" s="1005">
        <f t="shared" si="2"/>
        <v>8.590163934</v>
      </c>
      <c r="E760" s="1006">
        <f t="shared" si="3"/>
        <v>9</v>
      </c>
      <c r="F760" s="1006" t="s">
        <v>2782</v>
      </c>
      <c r="G760" s="1007">
        <v>0.001092757739138528</v>
      </c>
      <c r="H760" s="1012">
        <v>0.0</v>
      </c>
      <c r="I760" s="1009"/>
    </row>
    <row r="761">
      <c r="A761" t="s">
        <v>331</v>
      </c>
      <c r="B761" s="1003">
        <v>42266.0</v>
      </c>
      <c r="C761" s="1004">
        <f t="shared" si="1"/>
        <v>262</v>
      </c>
      <c r="D761" s="1005">
        <f t="shared" si="2"/>
        <v>8.590163934</v>
      </c>
      <c r="E761" s="1006">
        <f t="shared" si="3"/>
        <v>9</v>
      </c>
      <c r="F761" s="1006" t="s">
        <v>2782</v>
      </c>
      <c r="G761" s="1007">
        <v>0.01041169977671752</v>
      </c>
      <c r="H761" s="1012">
        <v>1.0</v>
      </c>
      <c r="I761" s="1009"/>
    </row>
    <row r="762">
      <c r="A762" t="s">
        <v>126</v>
      </c>
      <c r="B762" s="1003">
        <v>41901.0</v>
      </c>
      <c r="C762" s="1004">
        <f t="shared" si="1"/>
        <v>262</v>
      </c>
      <c r="D762" s="1005">
        <f t="shared" si="2"/>
        <v>8.590163934</v>
      </c>
      <c r="E762" s="1006">
        <f t="shared" si="3"/>
        <v>9</v>
      </c>
      <c r="F762" s="1006" t="s">
        <v>2782</v>
      </c>
      <c r="G762" s="1007">
        <v>0.013556036569979169</v>
      </c>
      <c r="H762" s="1012">
        <v>1.0</v>
      </c>
      <c r="I762" s="1009"/>
    </row>
    <row r="763">
      <c r="A763" t="s">
        <v>132</v>
      </c>
      <c r="B763" s="1003">
        <v>41901.0</v>
      </c>
      <c r="C763" s="1004">
        <f t="shared" si="1"/>
        <v>262</v>
      </c>
      <c r="D763" s="1005">
        <f t="shared" si="2"/>
        <v>8.590163934</v>
      </c>
      <c r="E763" s="1006">
        <f t="shared" si="3"/>
        <v>9</v>
      </c>
      <c r="F763" s="1006" t="s">
        <v>2782</v>
      </c>
      <c r="G763" s="1007">
        <v>0.022292186501084443</v>
      </c>
      <c r="H763" s="1012">
        <v>1.0</v>
      </c>
      <c r="I763" s="1009"/>
    </row>
    <row r="764">
      <c r="A764" t="s">
        <v>361</v>
      </c>
      <c r="B764" s="1003">
        <v>42998.0</v>
      </c>
      <c r="C764" s="1004">
        <f t="shared" si="1"/>
        <v>263</v>
      </c>
      <c r="D764" s="1005">
        <f t="shared" si="2"/>
        <v>8.62295082</v>
      </c>
      <c r="E764" s="1006">
        <f t="shared" si="3"/>
        <v>9</v>
      </c>
      <c r="F764" s="1006" t="s">
        <v>2782</v>
      </c>
      <c r="G764" s="1007">
        <v>0.018016136542417405</v>
      </c>
      <c r="H764" s="1012">
        <v>1.0</v>
      </c>
      <c r="I764" s="1009"/>
    </row>
    <row r="765">
      <c r="A765" t="s">
        <v>1336</v>
      </c>
      <c r="B765" s="1003">
        <v>42632.0</v>
      </c>
      <c r="C765" s="1004">
        <f t="shared" si="1"/>
        <v>263</v>
      </c>
      <c r="D765" s="1005">
        <f t="shared" si="2"/>
        <v>8.62295082</v>
      </c>
      <c r="E765" s="1006">
        <f t="shared" si="3"/>
        <v>9</v>
      </c>
      <c r="F765" s="1006" t="s">
        <v>2782</v>
      </c>
      <c r="G765" s="1007">
        <v>0.009028763509893789</v>
      </c>
      <c r="H765" s="1012">
        <v>0.0</v>
      </c>
      <c r="I765" s="1009"/>
    </row>
    <row r="766">
      <c r="A766" t="s">
        <v>78</v>
      </c>
      <c r="B766" s="1003">
        <v>42267.0</v>
      </c>
      <c r="C766" s="1004">
        <f t="shared" si="1"/>
        <v>263</v>
      </c>
      <c r="D766" s="1005">
        <f t="shared" si="2"/>
        <v>8.62295082</v>
      </c>
      <c r="E766" s="1006">
        <f t="shared" si="3"/>
        <v>9</v>
      </c>
      <c r="F766" s="1006" t="s">
        <v>2782</v>
      </c>
      <c r="G766" s="1007">
        <v>-0.006938669696315403</v>
      </c>
      <c r="H766" s="1012">
        <v>0.0</v>
      </c>
      <c r="I766" s="1009"/>
    </row>
    <row r="767">
      <c r="A767" t="s">
        <v>140</v>
      </c>
      <c r="B767" s="1003">
        <v>41902.0</v>
      </c>
      <c r="C767" s="1004">
        <f t="shared" si="1"/>
        <v>263</v>
      </c>
      <c r="D767" s="1005">
        <f t="shared" si="2"/>
        <v>8.62295082</v>
      </c>
      <c r="E767" s="1006">
        <f t="shared" si="3"/>
        <v>9</v>
      </c>
      <c r="F767" s="1006" t="s">
        <v>2782</v>
      </c>
      <c r="G767" s="1007">
        <v>0.003794659345424334</v>
      </c>
      <c r="H767" s="1012">
        <v>0.0</v>
      </c>
      <c r="I767" s="1009"/>
    </row>
    <row r="768">
      <c r="A768" t="s">
        <v>1703</v>
      </c>
      <c r="B768" s="1003">
        <v>42633.0</v>
      </c>
      <c r="C768" s="1004">
        <f t="shared" si="1"/>
        <v>264</v>
      </c>
      <c r="D768" s="1005">
        <f t="shared" si="2"/>
        <v>8.655737705</v>
      </c>
      <c r="E768" s="1006">
        <f t="shared" si="3"/>
        <v>9</v>
      </c>
      <c r="F768" s="1006" t="s">
        <v>2782</v>
      </c>
      <c r="G768" s="1007">
        <v>0.03089994915770866</v>
      </c>
      <c r="H768" s="1012">
        <v>1.0</v>
      </c>
      <c r="I768" s="1009"/>
    </row>
    <row r="769">
      <c r="A769" t="s">
        <v>1387</v>
      </c>
      <c r="B769" s="1003">
        <v>42268.0</v>
      </c>
      <c r="C769" s="1004">
        <f t="shared" si="1"/>
        <v>264</v>
      </c>
      <c r="D769" s="1005">
        <f t="shared" si="2"/>
        <v>8.655737705</v>
      </c>
      <c r="E769" s="1006">
        <f t="shared" si="3"/>
        <v>9</v>
      </c>
      <c r="F769" s="1006" t="s">
        <v>2782</v>
      </c>
      <c r="G769" s="1007">
        <v>-0.039726472974287996</v>
      </c>
      <c r="H769" s="1012">
        <v>-1.0</v>
      </c>
      <c r="I769" s="1009"/>
    </row>
    <row r="770">
      <c r="A770" t="s">
        <v>344</v>
      </c>
      <c r="B770" s="1003">
        <v>42268.0</v>
      </c>
      <c r="C770" s="1004">
        <f t="shared" si="1"/>
        <v>264</v>
      </c>
      <c r="D770" s="1005">
        <f t="shared" si="2"/>
        <v>8.655737705</v>
      </c>
      <c r="E770" s="1006">
        <f t="shared" si="3"/>
        <v>9</v>
      </c>
      <c r="F770" s="1006" t="s">
        <v>2782</v>
      </c>
      <c r="G770" s="1007">
        <v>-0.03304333739978649</v>
      </c>
      <c r="H770" s="1012">
        <v>-1.0</v>
      </c>
      <c r="I770" s="1009"/>
    </row>
    <row r="771">
      <c r="A771" t="s">
        <v>147</v>
      </c>
      <c r="B771" s="1003">
        <v>41903.0</v>
      </c>
      <c r="C771" s="1004">
        <f t="shared" si="1"/>
        <v>264</v>
      </c>
      <c r="D771" s="1005">
        <f t="shared" si="2"/>
        <v>8.655737705</v>
      </c>
      <c r="E771" s="1006">
        <f t="shared" si="3"/>
        <v>9</v>
      </c>
      <c r="F771" s="1006" t="s">
        <v>2782</v>
      </c>
      <c r="G771" s="1007">
        <v>0.006900343519871455</v>
      </c>
      <c r="H771" s="1012">
        <v>0.0</v>
      </c>
      <c r="I771" s="1009"/>
    </row>
    <row r="772">
      <c r="A772" t="s">
        <v>155</v>
      </c>
      <c r="B772" s="1003">
        <v>41903.0</v>
      </c>
      <c r="C772" s="1004">
        <f t="shared" si="1"/>
        <v>264</v>
      </c>
      <c r="D772" s="1005">
        <f t="shared" si="2"/>
        <v>8.655737705</v>
      </c>
      <c r="E772" s="1006">
        <f t="shared" si="3"/>
        <v>9</v>
      </c>
      <c r="F772" s="1006" t="s">
        <v>2782</v>
      </c>
      <c r="G772" s="1007">
        <v>0.014911639246115493</v>
      </c>
      <c r="H772" s="1012">
        <v>1.0</v>
      </c>
      <c r="I772" s="1009"/>
    </row>
    <row r="773">
      <c r="A773" t="s">
        <v>1726</v>
      </c>
      <c r="B773" s="1003">
        <v>43000.0</v>
      </c>
      <c r="C773" s="1004">
        <f t="shared" si="1"/>
        <v>265</v>
      </c>
      <c r="D773" s="1005">
        <f t="shared" si="2"/>
        <v>8.68852459</v>
      </c>
      <c r="E773" s="1006">
        <f t="shared" si="3"/>
        <v>9</v>
      </c>
      <c r="F773" s="1006" t="s">
        <v>2782</v>
      </c>
      <c r="G773" s="1007">
        <v>-0.006774640000766219</v>
      </c>
      <c r="H773" s="1012">
        <v>0.0</v>
      </c>
      <c r="I773" s="1009"/>
    </row>
    <row r="774">
      <c r="A774" t="s">
        <v>1741</v>
      </c>
      <c r="B774" s="1003">
        <v>42634.0</v>
      </c>
      <c r="C774" s="1004">
        <f t="shared" si="1"/>
        <v>265</v>
      </c>
      <c r="D774" s="1005">
        <f t="shared" si="2"/>
        <v>8.68852459</v>
      </c>
      <c r="E774" s="1006">
        <f t="shared" si="3"/>
        <v>9</v>
      </c>
      <c r="F774" s="1006" t="s">
        <v>2782</v>
      </c>
      <c r="G774" s="1007">
        <v>0.022665053356331732</v>
      </c>
      <c r="H774" s="1012">
        <v>1.0</v>
      </c>
      <c r="I774" s="1009"/>
    </row>
    <row r="775">
      <c r="A775" t="s">
        <v>605</v>
      </c>
      <c r="B775" s="1003">
        <v>42269.0</v>
      </c>
      <c r="C775" s="1004">
        <f t="shared" si="1"/>
        <v>265</v>
      </c>
      <c r="D775" s="1005">
        <f t="shared" si="2"/>
        <v>8.68852459</v>
      </c>
      <c r="E775" s="1006">
        <f t="shared" si="3"/>
        <v>9</v>
      </c>
      <c r="F775" s="1006" t="s">
        <v>2782</v>
      </c>
      <c r="G775" s="1007">
        <v>-0.015762863193839127</v>
      </c>
      <c r="H775" s="1012">
        <v>-1.0</v>
      </c>
      <c r="I775" s="1009"/>
    </row>
    <row r="776">
      <c r="A776" t="s">
        <v>163</v>
      </c>
      <c r="B776" s="1003">
        <v>41904.0</v>
      </c>
      <c r="C776" s="1004">
        <f t="shared" si="1"/>
        <v>265</v>
      </c>
      <c r="D776" s="1005">
        <f t="shared" si="2"/>
        <v>8.68852459</v>
      </c>
      <c r="E776" s="1006">
        <f t="shared" si="3"/>
        <v>9</v>
      </c>
      <c r="F776" s="1006" t="s">
        <v>2782</v>
      </c>
      <c r="G776" s="1007">
        <v>-0.01667712682606526</v>
      </c>
      <c r="H776" s="1012">
        <v>-1.0</v>
      </c>
      <c r="I776" s="1009"/>
    </row>
    <row r="777">
      <c r="A777" t="s">
        <v>171</v>
      </c>
      <c r="B777" s="1003">
        <v>41904.0</v>
      </c>
      <c r="C777" s="1004">
        <f t="shared" si="1"/>
        <v>265</v>
      </c>
      <c r="D777" s="1005">
        <f t="shared" si="2"/>
        <v>8.68852459</v>
      </c>
      <c r="E777" s="1006">
        <f t="shared" si="3"/>
        <v>9</v>
      </c>
      <c r="F777" s="1006" t="s">
        <v>2782</v>
      </c>
      <c r="G777" s="1007">
        <v>0.004662355048088651</v>
      </c>
      <c r="H777" s="1012">
        <v>0.0</v>
      </c>
      <c r="I777" s="1009"/>
    </row>
    <row r="778">
      <c r="A778" t="s">
        <v>177</v>
      </c>
      <c r="B778" s="1003">
        <v>41905.0</v>
      </c>
      <c r="C778" s="1004">
        <f t="shared" si="1"/>
        <v>266</v>
      </c>
      <c r="D778" s="1005">
        <f t="shared" si="2"/>
        <v>8.721311475</v>
      </c>
      <c r="E778" s="1006">
        <f t="shared" si="3"/>
        <v>9</v>
      </c>
      <c r="F778" s="1006" t="s">
        <v>2782</v>
      </c>
      <c r="G778" s="1007">
        <v>0.0018286700206396889</v>
      </c>
      <c r="H778" s="1012">
        <v>0.0</v>
      </c>
      <c r="I778" s="1009"/>
    </row>
    <row r="779">
      <c r="A779" t="s">
        <v>1848</v>
      </c>
      <c r="B779" s="1003">
        <v>43002.0</v>
      </c>
      <c r="C779" s="1004">
        <f t="shared" si="1"/>
        <v>267</v>
      </c>
      <c r="D779" s="1005">
        <f t="shared" si="2"/>
        <v>8.754098361</v>
      </c>
      <c r="E779" s="1006">
        <f t="shared" si="3"/>
        <v>9</v>
      </c>
      <c r="F779" s="1006" t="s">
        <v>2782</v>
      </c>
      <c r="G779" s="1007">
        <v>0.018767667977155345</v>
      </c>
      <c r="H779" s="1012">
        <v>1.0</v>
      </c>
      <c r="I779" s="1009"/>
    </row>
    <row r="780">
      <c r="A780" t="s">
        <v>1615</v>
      </c>
      <c r="B780" s="1003">
        <v>43002.0</v>
      </c>
      <c r="C780" s="1004">
        <f t="shared" si="1"/>
        <v>267</v>
      </c>
      <c r="D780" s="1005">
        <f t="shared" si="2"/>
        <v>8.754098361</v>
      </c>
      <c r="E780" s="1006">
        <f t="shared" si="3"/>
        <v>9</v>
      </c>
      <c r="F780" s="1006" t="s">
        <v>2782</v>
      </c>
      <c r="G780" s="1007">
        <v>-0.0015662717603505127</v>
      </c>
      <c r="H780" s="1012">
        <v>0.0</v>
      </c>
      <c r="I780" s="1009"/>
    </row>
    <row r="781">
      <c r="A781" t="s">
        <v>1784</v>
      </c>
      <c r="B781" s="1003">
        <v>42636.0</v>
      </c>
      <c r="C781" s="1004">
        <f t="shared" si="1"/>
        <v>267</v>
      </c>
      <c r="D781" s="1005">
        <f t="shared" si="2"/>
        <v>8.754098361</v>
      </c>
      <c r="E781" s="1006">
        <f t="shared" si="3"/>
        <v>9</v>
      </c>
      <c r="F781" s="1006" t="s">
        <v>2782</v>
      </c>
      <c r="G781" s="1007">
        <v>0.011397662173545875</v>
      </c>
      <c r="H781" s="1012">
        <v>1.0</v>
      </c>
      <c r="I781" s="1009"/>
    </row>
    <row r="782">
      <c r="A782" t="s">
        <v>1723</v>
      </c>
      <c r="B782" s="1003">
        <v>42636.0</v>
      </c>
      <c r="C782" s="1004">
        <f t="shared" si="1"/>
        <v>267</v>
      </c>
      <c r="D782" s="1005">
        <f t="shared" si="2"/>
        <v>8.754098361</v>
      </c>
      <c r="E782" s="1006">
        <f t="shared" si="3"/>
        <v>9</v>
      </c>
      <c r="F782" s="1006" t="s">
        <v>2782</v>
      </c>
      <c r="G782" s="1007">
        <v>0.02030721124938195</v>
      </c>
      <c r="H782" s="1012">
        <v>1.0</v>
      </c>
      <c r="I782" s="1009"/>
    </row>
    <row r="783">
      <c r="A783" t="s">
        <v>181</v>
      </c>
      <c r="B783" s="1003">
        <v>41906.0</v>
      </c>
      <c r="C783" s="1004">
        <f t="shared" si="1"/>
        <v>267</v>
      </c>
      <c r="D783" s="1005">
        <f t="shared" si="2"/>
        <v>8.754098361</v>
      </c>
      <c r="E783" s="1006">
        <f t="shared" si="3"/>
        <v>9</v>
      </c>
      <c r="F783" s="1006" t="s">
        <v>2782</v>
      </c>
      <c r="G783" s="1007">
        <v>0.005588253845407953</v>
      </c>
      <c r="H783" s="1012">
        <v>0.0</v>
      </c>
      <c r="I783" s="1009"/>
    </row>
    <row r="784">
      <c r="A784" t="s">
        <v>186</v>
      </c>
      <c r="B784" s="1003">
        <v>41906.0</v>
      </c>
      <c r="C784" s="1004">
        <f t="shared" si="1"/>
        <v>267</v>
      </c>
      <c r="D784" s="1005">
        <f t="shared" si="2"/>
        <v>8.754098361</v>
      </c>
      <c r="E784" s="1006">
        <f t="shared" si="3"/>
        <v>9</v>
      </c>
      <c r="F784" s="1006" t="s">
        <v>2782</v>
      </c>
      <c r="G784" s="1007">
        <v>0.012110466198033798</v>
      </c>
      <c r="H784" s="1012">
        <v>1.0</v>
      </c>
      <c r="I784" s="1009"/>
    </row>
    <row r="785">
      <c r="A785" t="s">
        <v>192</v>
      </c>
      <c r="B785" s="1003">
        <v>41906.0</v>
      </c>
      <c r="C785" s="1004">
        <f t="shared" si="1"/>
        <v>267</v>
      </c>
      <c r="D785" s="1005">
        <f t="shared" si="2"/>
        <v>8.754098361</v>
      </c>
      <c r="E785" s="1006">
        <f t="shared" si="3"/>
        <v>9</v>
      </c>
      <c r="F785" s="1006" t="s">
        <v>2782</v>
      </c>
      <c r="G785" s="1007">
        <v>-0.009934309914071404</v>
      </c>
      <c r="H785" s="1012">
        <v>0.0</v>
      </c>
      <c r="I785" s="1009"/>
    </row>
    <row r="786">
      <c r="A786" t="s">
        <v>201</v>
      </c>
      <c r="B786" s="1003">
        <v>41906.0</v>
      </c>
      <c r="C786" s="1004">
        <f t="shared" si="1"/>
        <v>267</v>
      </c>
      <c r="D786" s="1005">
        <f t="shared" si="2"/>
        <v>8.754098361</v>
      </c>
      <c r="E786" s="1006">
        <f t="shared" si="3"/>
        <v>9</v>
      </c>
      <c r="F786" s="1006" t="s">
        <v>2782</v>
      </c>
      <c r="G786" s="1007">
        <v>-0.00805475959961166</v>
      </c>
      <c r="H786" s="1012">
        <v>0.0</v>
      </c>
      <c r="I786" s="1009"/>
    </row>
    <row r="787">
      <c r="A787" t="s">
        <v>207</v>
      </c>
      <c r="B787" s="1003">
        <v>41906.0</v>
      </c>
      <c r="C787" s="1004">
        <f t="shared" si="1"/>
        <v>267</v>
      </c>
      <c r="D787" s="1005">
        <f t="shared" si="2"/>
        <v>8.754098361</v>
      </c>
      <c r="E787" s="1006">
        <f t="shared" si="3"/>
        <v>9</v>
      </c>
      <c r="F787" s="1006" t="s">
        <v>2782</v>
      </c>
      <c r="G787" s="1007">
        <v>0.011360662786202846</v>
      </c>
      <c r="H787" s="1012">
        <v>1.0</v>
      </c>
      <c r="I787" s="1009"/>
    </row>
    <row r="788">
      <c r="A788" t="s">
        <v>212</v>
      </c>
      <c r="B788" s="1003">
        <v>41906.0</v>
      </c>
      <c r="C788" s="1004">
        <f t="shared" si="1"/>
        <v>267</v>
      </c>
      <c r="D788" s="1005">
        <f t="shared" si="2"/>
        <v>8.754098361</v>
      </c>
      <c r="E788" s="1006">
        <f t="shared" si="3"/>
        <v>9</v>
      </c>
      <c r="F788" s="1006" t="s">
        <v>2782</v>
      </c>
      <c r="G788" s="1007">
        <v>0.020896564471088563</v>
      </c>
      <c r="H788" s="1012">
        <v>1.0</v>
      </c>
      <c r="I788" s="1009"/>
    </row>
    <row r="789">
      <c r="A789" t="s">
        <v>218</v>
      </c>
      <c r="B789" s="1003">
        <v>41906.0</v>
      </c>
      <c r="C789" s="1004">
        <f t="shared" si="1"/>
        <v>267</v>
      </c>
      <c r="D789" s="1005">
        <f t="shared" si="2"/>
        <v>8.754098361</v>
      </c>
      <c r="E789" s="1006">
        <f t="shared" si="3"/>
        <v>9</v>
      </c>
      <c r="F789" s="1006" t="s">
        <v>2782</v>
      </c>
      <c r="G789" s="1007">
        <v>0.0023813691852523355</v>
      </c>
      <c r="H789" s="1012">
        <v>0.0</v>
      </c>
      <c r="I789" s="1009"/>
    </row>
    <row r="790">
      <c r="A790" t="s">
        <v>1755</v>
      </c>
      <c r="B790" s="1003">
        <v>43003.0</v>
      </c>
      <c r="C790" s="1004">
        <f t="shared" si="1"/>
        <v>268</v>
      </c>
      <c r="D790" s="1005">
        <f t="shared" si="2"/>
        <v>8.786885246</v>
      </c>
      <c r="E790" s="1006">
        <f t="shared" si="3"/>
        <v>9</v>
      </c>
      <c r="F790" s="1006" t="s">
        <v>2782</v>
      </c>
      <c r="G790" s="1007">
        <v>0.013931318389216019</v>
      </c>
      <c r="H790" s="1012">
        <v>1.0</v>
      </c>
      <c r="I790" s="1009"/>
    </row>
    <row r="791">
      <c r="A791" t="s">
        <v>761</v>
      </c>
      <c r="B791" s="1003">
        <v>42637.0</v>
      </c>
      <c r="C791" s="1004">
        <f t="shared" si="1"/>
        <v>268</v>
      </c>
      <c r="D791" s="1005">
        <f t="shared" si="2"/>
        <v>8.786885246</v>
      </c>
      <c r="E791" s="1006">
        <f t="shared" si="3"/>
        <v>9</v>
      </c>
      <c r="F791" s="1006" t="s">
        <v>2782</v>
      </c>
      <c r="G791" s="1007">
        <v>-0.0300296132214094</v>
      </c>
      <c r="H791" s="1012">
        <v>-1.0</v>
      </c>
      <c r="I791" s="1009"/>
    </row>
    <row r="792">
      <c r="A792" t="s">
        <v>1263</v>
      </c>
      <c r="B792" s="1003">
        <v>42272.0</v>
      </c>
      <c r="C792" s="1004">
        <f t="shared" si="1"/>
        <v>268</v>
      </c>
      <c r="D792" s="1005">
        <f t="shared" si="2"/>
        <v>8.786885246</v>
      </c>
      <c r="E792" s="1006">
        <f t="shared" si="3"/>
        <v>9</v>
      </c>
      <c r="F792" s="1006" t="s">
        <v>2782</v>
      </c>
      <c r="G792" s="1007">
        <v>-0.04142115327020102</v>
      </c>
      <c r="H792" s="1012">
        <v>-1.0</v>
      </c>
      <c r="I792" s="1009"/>
    </row>
    <row r="793">
      <c r="A793" t="s">
        <v>717</v>
      </c>
      <c r="B793" s="1003">
        <v>42272.0</v>
      </c>
      <c r="C793" s="1004">
        <f t="shared" si="1"/>
        <v>268</v>
      </c>
      <c r="D793" s="1005">
        <f t="shared" si="2"/>
        <v>8.786885246</v>
      </c>
      <c r="E793" s="1006">
        <f t="shared" si="3"/>
        <v>9</v>
      </c>
      <c r="F793" s="1006" t="s">
        <v>2782</v>
      </c>
      <c r="G793" s="1007">
        <v>0.0234535178730938</v>
      </c>
      <c r="H793" s="1012">
        <v>1.0</v>
      </c>
      <c r="I793" s="1009"/>
    </row>
    <row r="794">
      <c r="A794" t="s">
        <v>225</v>
      </c>
      <c r="B794" s="1003">
        <v>41907.0</v>
      </c>
      <c r="C794" s="1004">
        <f t="shared" si="1"/>
        <v>268</v>
      </c>
      <c r="D794" s="1005">
        <f t="shared" si="2"/>
        <v>8.786885246</v>
      </c>
      <c r="E794" s="1006">
        <f t="shared" si="3"/>
        <v>9</v>
      </c>
      <c r="F794" s="1006" t="s">
        <v>2782</v>
      </c>
      <c r="G794" s="1007">
        <v>0.018739166245663963</v>
      </c>
      <c r="H794" s="1012">
        <v>1.0</v>
      </c>
      <c r="I794" s="1009"/>
    </row>
    <row r="795">
      <c r="A795" t="s">
        <v>231</v>
      </c>
      <c r="B795" s="1003">
        <v>41907.0</v>
      </c>
      <c r="C795" s="1004">
        <f t="shared" si="1"/>
        <v>268</v>
      </c>
      <c r="D795" s="1005">
        <f t="shared" si="2"/>
        <v>8.786885246</v>
      </c>
      <c r="E795" s="1006">
        <f t="shared" si="3"/>
        <v>9</v>
      </c>
      <c r="F795" s="1006" t="s">
        <v>2782</v>
      </c>
      <c r="G795" s="1007">
        <v>0.00447097294631793</v>
      </c>
      <c r="H795" s="1012">
        <v>0.0</v>
      </c>
      <c r="I795" s="1009"/>
    </row>
    <row r="796">
      <c r="A796" t="s">
        <v>237</v>
      </c>
      <c r="B796" s="1003">
        <v>41907.0</v>
      </c>
      <c r="C796" s="1004">
        <f t="shared" si="1"/>
        <v>268</v>
      </c>
      <c r="D796" s="1005">
        <f t="shared" si="2"/>
        <v>8.786885246</v>
      </c>
      <c r="E796" s="1006">
        <f t="shared" si="3"/>
        <v>9</v>
      </c>
      <c r="F796" s="1006" t="s">
        <v>2782</v>
      </c>
      <c r="G796" s="1007">
        <v>9.468270361642217E-4</v>
      </c>
      <c r="H796" s="1012">
        <v>0.0</v>
      </c>
      <c r="I796" s="1009"/>
    </row>
    <row r="797">
      <c r="A797" t="s">
        <v>241</v>
      </c>
      <c r="B797" s="1003">
        <v>41907.0</v>
      </c>
      <c r="C797" s="1004">
        <f t="shared" si="1"/>
        <v>268</v>
      </c>
      <c r="D797" s="1005">
        <f t="shared" si="2"/>
        <v>8.786885246</v>
      </c>
      <c r="E797" s="1006">
        <f t="shared" si="3"/>
        <v>9</v>
      </c>
      <c r="F797" s="1006" t="s">
        <v>2782</v>
      </c>
      <c r="G797" s="1007">
        <v>-0.003263091798686779</v>
      </c>
      <c r="H797" s="1012">
        <v>0.0</v>
      </c>
      <c r="I797" s="1009"/>
    </row>
    <row r="798">
      <c r="A798" t="s">
        <v>1727</v>
      </c>
      <c r="B798" s="1003">
        <v>43004.0</v>
      </c>
      <c r="C798" s="1004">
        <f t="shared" si="1"/>
        <v>269</v>
      </c>
      <c r="D798" s="1005">
        <f t="shared" si="2"/>
        <v>8.819672131</v>
      </c>
      <c r="E798" s="1006">
        <f t="shared" si="3"/>
        <v>9</v>
      </c>
      <c r="F798" s="1006" t="s">
        <v>2782</v>
      </c>
      <c r="G798" s="1007">
        <v>-0.01652997256258215</v>
      </c>
      <c r="H798" s="1012">
        <v>-1.0</v>
      </c>
      <c r="I798" s="1009"/>
    </row>
    <row r="799">
      <c r="A799" t="s">
        <v>761</v>
      </c>
      <c r="B799" s="1003">
        <v>42638.0</v>
      </c>
      <c r="C799" s="1004">
        <f t="shared" si="1"/>
        <v>269</v>
      </c>
      <c r="D799" s="1005">
        <f t="shared" si="2"/>
        <v>8.819672131</v>
      </c>
      <c r="E799" s="1006">
        <f t="shared" si="3"/>
        <v>9</v>
      </c>
      <c r="F799" s="1006" t="s">
        <v>2782</v>
      </c>
      <c r="G799" s="1007">
        <v>-0.02492082086619518</v>
      </c>
      <c r="H799" s="1012">
        <v>-1.0</v>
      </c>
      <c r="I799" s="1009"/>
    </row>
    <row r="800">
      <c r="A800" t="s">
        <v>246</v>
      </c>
      <c r="B800" s="1003">
        <v>41908.0</v>
      </c>
      <c r="C800" s="1004">
        <f t="shared" si="1"/>
        <v>269</v>
      </c>
      <c r="D800" s="1005">
        <f t="shared" si="2"/>
        <v>8.819672131</v>
      </c>
      <c r="E800" s="1006">
        <f t="shared" si="3"/>
        <v>9</v>
      </c>
      <c r="F800" s="1006" t="s">
        <v>2782</v>
      </c>
      <c r="G800" s="1007">
        <v>0.0029281861488378302</v>
      </c>
      <c r="H800" s="1012">
        <v>0.0</v>
      </c>
      <c r="I800" s="1009"/>
    </row>
    <row r="801">
      <c r="A801" t="s">
        <v>255</v>
      </c>
      <c r="B801" s="1003">
        <v>41908.0</v>
      </c>
      <c r="C801" s="1004">
        <f t="shared" si="1"/>
        <v>269</v>
      </c>
      <c r="D801" s="1005">
        <f t="shared" si="2"/>
        <v>8.819672131</v>
      </c>
      <c r="E801" s="1006">
        <f t="shared" si="3"/>
        <v>9</v>
      </c>
      <c r="F801" s="1006" t="s">
        <v>2782</v>
      </c>
      <c r="G801" s="1007">
        <v>-0.004771060635761271</v>
      </c>
      <c r="H801" s="1012">
        <v>0.0</v>
      </c>
      <c r="I801" s="1009"/>
    </row>
    <row r="802">
      <c r="A802" t="s">
        <v>261</v>
      </c>
      <c r="B802" s="1003">
        <v>41908.0</v>
      </c>
      <c r="C802" s="1004">
        <f t="shared" si="1"/>
        <v>269</v>
      </c>
      <c r="D802" s="1005">
        <f t="shared" si="2"/>
        <v>8.819672131</v>
      </c>
      <c r="E802" s="1006">
        <f t="shared" si="3"/>
        <v>9</v>
      </c>
      <c r="F802" s="1006" t="s">
        <v>2782</v>
      </c>
      <c r="G802" s="1007">
        <v>0.006540390543083308</v>
      </c>
      <c r="H802" s="1012">
        <v>0.0</v>
      </c>
      <c r="I802" s="1009"/>
    </row>
    <row r="803">
      <c r="A803" t="s">
        <v>265</v>
      </c>
      <c r="B803" s="1003">
        <v>41908.0</v>
      </c>
      <c r="C803" s="1004">
        <f t="shared" si="1"/>
        <v>269</v>
      </c>
      <c r="D803" s="1005">
        <f t="shared" si="2"/>
        <v>8.819672131</v>
      </c>
      <c r="E803" s="1006">
        <f t="shared" si="3"/>
        <v>9</v>
      </c>
      <c r="F803" s="1006" t="s">
        <v>2782</v>
      </c>
      <c r="G803" s="1007">
        <v>-0.013851482208250165</v>
      </c>
      <c r="H803" s="1012">
        <v>-1.0</v>
      </c>
      <c r="I803" s="1009"/>
    </row>
    <row r="804">
      <c r="A804" t="s">
        <v>273</v>
      </c>
      <c r="B804" s="1003">
        <v>41908.0</v>
      </c>
      <c r="C804" s="1004">
        <f t="shared" si="1"/>
        <v>269</v>
      </c>
      <c r="D804" s="1005">
        <f t="shared" si="2"/>
        <v>8.819672131</v>
      </c>
      <c r="E804" s="1006">
        <f t="shared" si="3"/>
        <v>9</v>
      </c>
      <c r="F804" s="1006" t="s">
        <v>2782</v>
      </c>
      <c r="G804" s="1007">
        <v>0.011807130419186906</v>
      </c>
      <c r="H804" s="1012">
        <v>1.0</v>
      </c>
      <c r="I804" s="1009"/>
    </row>
    <row r="805">
      <c r="A805" t="s">
        <v>751</v>
      </c>
      <c r="B805" s="1003">
        <v>41908.0</v>
      </c>
      <c r="C805" s="1004">
        <f t="shared" si="1"/>
        <v>269</v>
      </c>
      <c r="D805" s="1005">
        <f t="shared" si="2"/>
        <v>8.819672131</v>
      </c>
      <c r="E805" s="1006">
        <f t="shared" si="3"/>
        <v>9</v>
      </c>
      <c r="F805" s="1006" t="s">
        <v>2782</v>
      </c>
      <c r="G805" s="1007">
        <v>0.007472532894728934</v>
      </c>
      <c r="H805" s="1012">
        <v>0.0</v>
      </c>
      <c r="I805" s="1009"/>
    </row>
    <row r="806">
      <c r="A806" t="s">
        <v>1716</v>
      </c>
      <c r="B806" s="1003">
        <v>43005.0</v>
      </c>
      <c r="C806" s="1004">
        <f t="shared" si="1"/>
        <v>270</v>
      </c>
      <c r="D806" s="1005">
        <f t="shared" si="2"/>
        <v>8.852459016</v>
      </c>
      <c r="E806" s="1006">
        <f t="shared" si="3"/>
        <v>9</v>
      </c>
      <c r="F806" s="1006" t="s">
        <v>2782</v>
      </c>
      <c r="G806" s="1007">
        <v>0.018555290019061643</v>
      </c>
      <c r="H806" s="1012">
        <v>1.0</v>
      </c>
      <c r="I806" s="1009"/>
    </row>
    <row r="807">
      <c r="A807" t="s">
        <v>449</v>
      </c>
      <c r="B807" s="1003">
        <v>42639.0</v>
      </c>
      <c r="C807" s="1004">
        <f t="shared" si="1"/>
        <v>270</v>
      </c>
      <c r="D807" s="1005">
        <f t="shared" si="2"/>
        <v>8.852459016</v>
      </c>
      <c r="E807" s="1006">
        <f t="shared" si="3"/>
        <v>9</v>
      </c>
      <c r="F807" s="1006" t="s">
        <v>2782</v>
      </c>
      <c r="G807" s="1007">
        <v>0.006813545333510751</v>
      </c>
      <c r="H807" s="1012">
        <v>0.0</v>
      </c>
      <c r="I807" s="1009"/>
    </row>
    <row r="808">
      <c r="A808" t="s">
        <v>1727</v>
      </c>
      <c r="B808" s="1003">
        <v>42639.0</v>
      </c>
      <c r="C808" s="1004">
        <f t="shared" si="1"/>
        <v>270</v>
      </c>
      <c r="D808" s="1005">
        <f t="shared" si="2"/>
        <v>8.852459016</v>
      </c>
      <c r="E808" s="1006">
        <f t="shared" si="3"/>
        <v>9</v>
      </c>
      <c r="F808" s="1006" t="s">
        <v>2782</v>
      </c>
      <c r="G808" s="1007">
        <v>-0.004108957829427218</v>
      </c>
      <c r="H808" s="1012">
        <v>0.0</v>
      </c>
      <c r="I808" s="1009"/>
    </row>
    <row r="809">
      <c r="A809" t="s">
        <v>454</v>
      </c>
      <c r="B809" s="1003">
        <v>42639.0</v>
      </c>
      <c r="C809" s="1004">
        <f t="shared" si="1"/>
        <v>270</v>
      </c>
      <c r="D809" s="1005">
        <f t="shared" si="2"/>
        <v>8.852459016</v>
      </c>
      <c r="E809" s="1006">
        <f t="shared" si="3"/>
        <v>9</v>
      </c>
      <c r="F809" s="1006" t="s">
        <v>2782</v>
      </c>
      <c r="G809" s="1007">
        <v>-0.026145603593276223</v>
      </c>
      <c r="H809" s="1012">
        <v>-1.0</v>
      </c>
      <c r="I809" s="1009"/>
    </row>
    <row r="810">
      <c r="A810" t="s">
        <v>640</v>
      </c>
      <c r="B810" s="1003">
        <v>42274.0</v>
      </c>
      <c r="C810" s="1004">
        <f t="shared" si="1"/>
        <v>270</v>
      </c>
      <c r="D810" s="1005">
        <f t="shared" si="2"/>
        <v>8.852459016</v>
      </c>
      <c r="E810" s="1006">
        <f t="shared" si="3"/>
        <v>9</v>
      </c>
      <c r="F810" s="1006" t="s">
        <v>2782</v>
      </c>
      <c r="G810" s="1007">
        <v>-0.006526729772390327</v>
      </c>
      <c r="H810" s="1012">
        <v>0.0</v>
      </c>
      <c r="I810" s="1009"/>
    </row>
    <row r="811">
      <c r="A811" t="s">
        <v>640</v>
      </c>
      <c r="B811" s="1003">
        <v>42274.0</v>
      </c>
      <c r="C811" s="1004">
        <f t="shared" si="1"/>
        <v>270</v>
      </c>
      <c r="D811" s="1005">
        <f t="shared" si="2"/>
        <v>8.852459016</v>
      </c>
      <c r="E811" s="1006">
        <f t="shared" si="3"/>
        <v>9</v>
      </c>
      <c r="F811" s="1006" t="s">
        <v>2782</v>
      </c>
      <c r="G811" s="1007">
        <v>-0.006198246861567225</v>
      </c>
      <c r="H811" s="1012">
        <v>0.0</v>
      </c>
      <c r="I811" s="1009"/>
    </row>
    <row r="812">
      <c r="A812" t="s">
        <v>279</v>
      </c>
      <c r="B812" s="1003">
        <v>41909.0</v>
      </c>
      <c r="C812" s="1004">
        <f t="shared" si="1"/>
        <v>270</v>
      </c>
      <c r="D812" s="1005">
        <f t="shared" si="2"/>
        <v>8.852459016</v>
      </c>
      <c r="E812" s="1006">
        <f t="shared" si="3"/>
        <v>9</v>
      </c>
      <c r="F812" s="1006" t="s">
        <v>2782</v>
      </c>
      <c r="G812" s="1007">
        <v>0.00682753726587193</v>
      </c>
      <c r="H812" s="1012">
        <v>0.0</v>
      </c>
      <c r="I812" s="1009"/>
    </row>
    <row r="813">
      <c r="A813" t="s">
        <v>285</v>
      </c>
      <c r="B813" s="1003">
        <v>41909.0</v>
      </c>
      <c r="C813" s="1004">
        <f t="shared" si="1"/>
        <v>270</v>
      </c>
      <c r="D813" s="1005">
        <f t="shared" si="2"/>
        <v>8.852459016</v>
      </c>
      <c r="E813" s="1006">
        <f t="shared" si="3"/>
        <v>9</v>
      </c>
      <c r="F813" s="1006" t="s">
        <v>2782</v>
      </c>
      <c r="G813" s="1007">
        <v>0.008005924130025766</v>
      </c>
      <c r="H813" s="1012">
        <v>0.0</v>
      </c>
      <c r="I813" s="1009"/>
    </row>
    <row r="814">
      <c r="A814" t="s">
        <v>288</v>
      </c>
      <c r="B814" s="1003">
        <v>41909.0</v>
      </c>
      <c r="C814" s="1004">
        <f t="shared" si="1"/>
        <v>270</v>
      </c>
      <c r="D814" s="1005">
        <f t="shared" si="2"/>
        <v>8.852459016</v>
      </c>
      <c r="E814" s="1006">
        <f t="shared" si="3"/>
        <v>9</v>
      </c>
      <c r="F814" s="1006" t="s">
        <v>2782</v>
      </c>
      <c r="G814" s="1007">
        <v>-0.006085438345176053</v>
      </c>
      <c r="H814" s="1012">
        <v>0.0</v>
      </c>
      <c r="I814" s="1009"/>
    </row>
    <row r="815">
      <c r="A815" t="s">
        <v>1673</v>
      </c>
      <c r="B815" s="1003">
        <v>43006.0</v>
      </c>
      <c r="C815" s="1004">
        <f t="shared" si="1"/>
        <v>271</v>
      </c>
      <c r="D815" s="1005">
        <f t="shared" si="2"/>
        <v>8.885245902</v>
      </c>
      <c r="E815" s="1006">
        <f t="shared" si="3"/>
        <v>9</v>
      </c>
      <c r="F815" s="1006" t="s">
        <v>2782</v>
      </c>
      <c r="G815" s="1007">
        <v>0.016406694898747243</v>
      </c>
      <c r="H815" s="1012">
        <v>1.0</v>
      </c>
      <c r="I815" s="1009"/>
    </row>
    <row r="816">
      <c r="A816" t="s">
        <v>623</v>
      </c>
      <c r="B816" s="1003">
        <v>42640.0</v>
      </c>
      <c r="C816" s="1004">
        <f t="shared" si="1"/>
        <v>271</v>
      </c>
      <c r="D816" s="1005">
        <f t="shared" si="2"/>
        <v>8.885245902</v>
      </c>
      <c r="E816" s="1006">
        <f t="shared" si="3"/>
        <v>9</v>
      </c>
      <c r="F816" s="1006" t="s">
        <v>2782</v>
      </c>
      <c r="G816" s="1007">
        <v>0.013160800363611558</v>
      </c>
      <c r="H816" s="1012">
        <v>1.0</v>
      </c>
      <c r="I816" s="1009"/>
    </row>
    <row r="817">
      <c r="A817" t="s">
        <v>294</v>
      </c>
      <c r="B817" s="1003">
        <v>41910.0</v>
      </c>
      <c r="C817" s="1004">
        <f t="shared" si="1"/>
        <v>271</v>
      </c>
      <c r="D817" s="1005">
        <f t="shared" si="2"/>
        <v>8.885245902</v>
      </c>
      <c r="E817" s="1006">
        <f t="shared" si="3"/>
        <v>9</v>
      </c>
      <c r="F817" s="1006" t="s">
        <v>2782</v>
      </c>
      <c r="G817" s="1007">
        <v>-0.010198782945382012</v>
      </c>
      <c r="H817" s="1012">
        <v>-1.0</v>
      </c>
      <c r="I817" s="1009"/>
    </row>
    <row r="818">
      <c r="A818" t="s">
        <v>772</v>
      </c>
      <c r="B818" s="1003">
        <v>43007.0</v>
      </c>
      <c r="C818" s="1004">
        <f t="shared" si="1"/>
        <v>272</v>
      </c>
      <c r="D818" s="1005">
        <f t="shared" si="2"/>
        <v>8.918032787</v>
      </c>
      <c r="E818" s="1006">
        <f t="shared" si="3"/>
        <v>9</v>
      </c>
      <c r="F818" s="1006" t="s">
        <v>2782</v>
      </c>
      <c r="G818" s="1007">
        <v>-0.03536786215416632</v>
      </c>
      <c r="H818" s="1012">
        <v>-1.0</v>
      </c>
      <c r="I818" s="1009"/>
    </row>
    <row r="819">
      <c r="A819" t="s">
        <v>761</v>
      </c>
      <c r="B819" s="1003">
        <v>43008.0</v>
      </c>
      <c r="C819" s="1004">
        <f t="shared" si="1"/>
        <v>273</v>
      </c>
      <c r="D819" s="1005">
        <f t="shared" si="2"/>
        <v>8.950819672</v>
      </c>
      <c r="E819" s="1006">
        <f t="shared" si="3"/>
        <v>9</v>
      </c>
      <c r="F819" s="1006" t="s">
        <v>2782</v>
      </c>
      <c r="G819" s="1007">
        <v>-5.435700021364509E-4</v>
      </c>
      <c r="H819" s="1012">
        <v>0.0</v>
      </c>
      <c r="I819" s="1009"/>
    </row>
    <row r="820">
      <c r="A820" t="s">
        <v>1715</v>
      </c>
      <c r="B820" s="1003">
        <v>42642.0</v>
      </c>
      <c r="C820" s="1004">
        <f t="shared" si="1"/>
        <v>273</v>
      </c>
      <c r="D820" s="1005">
        <f t="shared" si="2"/>
        <v>8.950819672</v>
      </c>
      <c r="E820" s="1006">
        <f t="shared" si="3"/>
        <v>9</v>
      </c>
      <c r="F820" s="1006" t="s">
        <v>2782</v>
      </c>
      <c r="G820" s="1007">
        <v>0.014199628108462314</v>
      </c>
      <c r="H820" s="1012">
        <v>1.0</v>
      </c>
      <c r="I820" s="1009"/>
    </row>
    <row r="821">
      <c r="A821" t="s">
        <v>126</v>
      </c>
      <c r="B821" s="1003">
        <v>42277.0</v>
      </c>
      <c r="C821" s="1004">
        <f t="shared" si="1"/>
        <v>273</v>
      </c>
      <c r="D821" s="1005">
        <f t="shared" si="2"/>
        <v>8.950819672</v>
      </c>
      <c r="E821" s="1006">
        <f t="shared" si="3"/>
        <v>9</v>
      </c>
      <c r="F821" s="1006" t="s">
        <v>2782</v>
      </c>
      <c r="G821" s="1007">
        <v>-0.010730306158870828</v>
      </c>
      <c r="H821" s="1012">
        <v>-1.0</v>
      </c>
      <c r="I821" s="1009"/>
    </row>
    <row r="822">
      <c r="A822" t="s">
        <v>300</v>
      </c>
      <c r="B822" s="1003">
        <v>41912.0</v>
      </c>
      <c r="C822" s="1004">
        <f t="shared" si="1"/>
        <v>273</v>
      </c>
      <c r="D822" s="1005">
        <f t="shared" si="2"/>
        <v>8.950819672</v>
      </c>
      <c r="E822" s="1006">
        <f t="shared" si="3"/>
        <v>9</v>
      </c>
      <c r="F822" s="1006" t="s">
        <v>2782</v>
      </c>
      <c r="G822" s="1007">
        <v>0.012938345317013544</v>
      </c>
      <c r="H822" s="1012">
        <v>1.0</v>
      </c>
      <c r="I822" s="1009"/>
    </row>
    <row r="823">
      <c r="A823" t="s">
        <v>548</v>
      </c>
      <c r="B823" s="1003">
        <v>42278.0</v>
      </c>
      <c r="C823" s="1004">
        <f t="shared" si="1"/>
        <v>274</v>
      </c>
      <c r="D823" s="1005">
        <f t="shared" si="2"/>
        <v>8.983606557</v>
      </c>
      <c r="E823" s="1006">
        <f t="shared" si="3"/>
        <v>9</v>
      </c>
      <c r="F823" s="1006" t="s">
        <v>2782</v>
      </c>
      <c r="G823" s="1007">
        <v>-0.005065253026337646</v>
      </c>
      <c r="H823" s="1012">
        <v>0.0</v>
      </c>
      <c r="I823" s="1009"/>
    </row>
    <row r="824">
      <c r="A824" t="s">
        <v>1505</v>
      </c>
      <c r="B824" s="1003">
        <v>42278.0</v>
      </c>
      <c r="C824" s="1004">
        <f t="shared" si="1"/>
        <v>274</v>
      </c>
      <c r="D824" s="1005">
        <f t="shared" si="2"/>
        <v>8.983606557</v>
      </c>
      <c r="E824" s="1006">
        <f t="shared" si="3"/>
        <v>9</v>
      </c>
      <c r="F824" s="1006" t="s">
        <v>2782</v>
      </c>
      <c r="G824" s="1007">
        <v>0.003444384240644416</v>
      </c>
      <c r="H824" s="1012">
        <v>0.0</v>
      </c>
      <c r="I824" s="1009"/>
    </row>
    <row r="825">
      <c r="A825" t="s">
        <v>1762</v>
      </c>
      <c r="B825" s="1003">
        <v>42278.0</v>
      </c>
      <c r="C825" s="1004">
        <f t="shared" si="1"/>
        <v>274</v>
      </c>
      <c r="D825" s="1005">
        <f t="shared" si="2"/>
        <v>8.983606557</v>
      </c>
      <c r="E825" s="1006">
        <f t="shared" si="3"/>
        <v>9</v>
      </c>
      <c r="F825" s="1006" t="s">
        <v>2782</v>
      </c>
      <c r="G825" s="1007">
        <v>-0.01005188958310499</v>
      </c>
      <c r="H825" s="1012">
        <v>-1.0</v>
      </c>
      <c r="I825" s="1009"/>
    </row>
    <row r="826">
      <c r="A826" t="s">
        <v>308</v>
      </c>
      <c r="B826" s="1003">
        <v>41913.0</v>
      </c>
      <c r="C826" s="1004">
        <f t="shared" si="1"/>
        <v>274</v>
      </c>
      <c r="D826" s="1005">
        <f t="shared" si="2"/>
        <v>8.983606557</v>
      </c>
      <c r="E826" s="1006">
        <f t="shared" si="3"/>
        <v>9</v>
      </c>
      <c r="F826" s="1006" t="s">
        <v>2782</v>
      </c>
      <c r="G826" s="1007">
        <v>-0.009786808463089991</v>
      </c>
      <c r="H826" s="1012">
        <v>0.0</v>
      </c>
      <c r="I826" s="1009"/>
    </row>
    <row r="827">
      <c r="A827" t="s">
        <v>1890</v>
      </c>
      <c r="B827" s="1003">
        <v>42644.0</v>
      </c>
      <c r="C827" s="1004">
        <f t="shared" si="1"/>
        <v>275</v>
      </c>
      <c r="D827" s="1005">
        <f t="shared" si="2"/>
        <v>9.016393443</v>
      </c>
      <c r="E827" s="1006">
        <f t="shared" si="3"/>
        <v>10</v>
      </c>
      <c r="F827" s="1006" t="s">
        <v>2783</v>
      </c>
      <c r="G827" s="1007">
        <v>0.005719072695120508</v>
      </c>
      <c r="H827" s="1012">
        <v>0.0</v>
      </c>
      <c r="I827" s="1009"/>
    </row>
    <row r="828">
      <c r="A828" t="s">
        <v>856</v>
      </c>
      <c r="B828" s="1003">
        <v>42644.0</v>
      </c>
      <c r="C828" s="1004">
        <f t="shared" si="1"/>
        <v>275</v>
      </c>
      <c r="D828" s="1005">
        <f t="shared" si="2"/>
        <v>9.016393443</v>
      </c>
      <c r="E828" s="1006">
        <f t="shared" si="3"/>
        <v>10</v>
      </c>
      <c r="F828" s="1006" t="s">
        <v>2783</v>
      </c>
      <c r="G828" s="1007">
        <v>-0.01964137396344856</v>
      </c>
      <c r="H828" s="1012">
        <v>-1.0</v>
      </c>
      <c r="I828" s="1009"/>
    </row>
    <row r="829">
      <c r="A829" t="s">
        <v>1447</v>
      </c>
      <c r="B829" s="1003">
        <v>42279.0</v>
      </c>
      <c r="C829" s="1004">
        <f t="shared" si="1"/>
        <v>275</v>
      </c>
      <c r="D829" s="1005">
        <f t="shared" si="2"/>
        <v>9.016393443</v>
      </c>
      <c r="E829" s="1006">
        <f t="shared" si="3"/>
        <v>10</v>
      </c>
      <c r="F829" s="1006" t="s">
        <v>2783</v>
      </c>
      <c r="G829" s="1007">
        <v>0.006253592046144507</v>
      </c>
      <c r="H829" s="1012">
        <v>0.0</v>
      </c>
      <c r="I829" s="1009"/>
    </row>
    <row r="830">
      <c r="A830" t="s">
        <v>339</v>
      </c>
      <c r="B830" s="1003">
        <v>42280.0</v>
      </c>
      <c r="C830" s="1004">
        <f t="shared" si="1"/>
        <v>276</v>
      </c>
      <c r="D830" s="1005">
        <f t="shared" si="2"/>
        <v>9.049180328</v>
      </c>
      <c r="E830" s="1006">
        <f t="shared" si="3"/>
        <v>10</v>
      </c>
      <c r="F830" s="1006" t="s">
        <v>2783</v>
      </c>
      <c r="G830" s="1007">
        <v>-0.02058725202383005</v>
      </c>
      <c r="H830" s="1012">
        <v>-1.0</v>
      </c>
      <c r="I830" s="1009"/>
    </row>
    <row r="831">
      <c r="A831" t="s">
        <v>705</v>
      </c>
      <c r="B831" s="1003">
        <v>43012.0</v>
      </c>
      <c r="C831" s="1004">
        <f t="shared" si="1"/>
        <v>277</v>
      </c>
      <c r="D831" s="1005">
        <f t="shared" si="2"/>
        <v>9.081967213</v>
      </c>
      <c r="E831" s="1006">
        <f t="shared" si="3"/>
        <v>10</v>
      </c>
      <c r="F831" s="1006" t="s">
        <v>2783</v>
      </c>
      <c r="G831" s="1007">
        <v>0.026032529438821284</v>
      </c>
      <c r="H831" s="1012">
        <v>1.0</v>
      </c>
      <c r="I831" s="1009"/>
    </row>
    <row r="832">
      <c r="A832" t="s">
        <v>1628</v>
      </c>
      <c r="B832" s="1003">
        <v>42646.0</v>
      </c>
      <c r="C832" s="1004">
        <f t="shared" si="1"/>
        <v>277</v>
      </c>
      <c r="D832" s="1005">
        <f t="shared" si="2"/>
        <v>9.081967213</v>
      </c>
      <c r="E832" s="1006">
        <f t="shared" si="3"/>
        <v>10</v>
      </c>
      <c r="F832" s="1006" t="s">
        <v>2783</v>
      </c>
      <c r="G832" s="1007">
        <v>0.00581812042697738</v>
      </c>
      <c r="H832" s="1012">
        <v>0.0</v>
      </c>
      <c r="I832" s="1009"/>
    </row>
    <row r="833">
      <c r="A833" t="s">
        <v>374</v>
      </c>
      <c r="B833" s="1003">
        <v>42281.0</v>
      </c>
      <c r="C833" s="1004">
        <f t="shared" si="1"/>
        <v>277</v>
      </c>
      <c r="D833" s="1005">
        <f t="shared" si="2"/>
        <v>9.081967213</v>
      </c>
      <c r="E833" s="1006">
        <f t="shared" si="3"/>
        <v>10</v>
      </c>
      <c r="F833" s="1006" t="s">
        <v>2783</v>
      </c>
      <c r="G833" s="1007">
        <v>0.019370269721229683</v>
      </c>
      <c r="H833" s="1012">
        <v>1.0</v>
      </c>
      <c r="I833" s="1009"/>
    </row>
    <row r="834">
      <c r="A834" t="s">
        <v>315</v>
      </c>
      <c r="B834" s="1003">
        <v>41916.0</v>
      </c>
      <c r="C834" s="1004">
        <f t="shared" si="1"/>
        <v>277</v>
      </c>
      <c r="D834" s="1005">
        <f t="shared" si="2"/>
        <v>9.081967213</v>
      </c>
      <c r="E834" s="1006">
        <f t="shared" si="3"/>
        <v>10</v>
      </c>
      <c r="F834" s="1006" t="s">
        <v>2783</v>
      </c>
      <c r="G834" s="1007">
        <v>0.018718379032003463</v>
      </c>
      <c r="H834" s="1012">
        <v>1.0</v>
      </c>
      <c r="I834" s="1009"/>
    </row>
    <row r="835">
      <c r="A835" t="s">
        <v>324</v>
      </c>
      <c r="B835" s="1003">
        <v>41916.0</v>
      </c>
      <c r="C835" s="1004">
        <f t="shared" si="1"/>
        <v>277</v>
      </c>
      <c r="D835" s="1005">
        <f t="shared" si="2"/>
        <v>9.081967213</v>
      </c>
      <c r="E835" s="1006">
        <f t="shared" si="3"/>
        <v>10</v>
      </c>
      <c r="F835" s="1006" t="s">
        <v>2783</v>
      </c>
      <c r="G835" s="1007">
        <v>0.01018674591379265</v>
      </c>
      <c r="H835" s="1012">
        <v>1.0</v>
      </c>
      <c r="I835" s="1009"/>
    </row>
    <row r="836">
      <c r="A836" t="s">
        <v>1810</v>
      </c>
      <c r="B836" s="1003">
        <v>43013.0</v>
      </c>
      <c r="C836" s="1004">
        <f t="shared" si="1"/>
        <v>278</v>
      </c>
      <c r="D836" s="1005">
        <f t="shared" si="2"/>
        <v>9.114754098</v>
      </c>
      <c r="E836" s="1006">
        <f t="shared" si="3"/>
        <v>10</v>
      </c>
      <c r="F836" s="1006" t="s">
        <v>2783</v>
      </c>
      <c r="G836" s="1007">
        <v>0.05020188665613845</v>
      </c>
      <c r="H836" s="1012">
        <v>1.0</v>
      </c>
      <c r="I836" s="1009"/>
    </row>
    <row r="837">
      <c r="A837" t="s">
        <v>231</v>
      </c>
      <c r="B837" s="1003">
        <v>43013.0</v>
      </c>
      <c r="C837" s="1004">
        <f t="shared" si="1"/>
        <v>278</v>
      </c>
      <c r="D837" s="1005">
        <f t="shared" si="2"/>
        <v>9.114754098</v>
      </c>
      <c r="E837" s="1006">
        <f t="shared" si="3"/>
        <v>10</v>
      </c>
      <c r="F837" s="1006" t="s">
        <v>2783</v>
      </c>
      <c r="G837" s="1007">
        <v>0.003836522912710749</v>
      </c>
      <c r="H837" s="1012">
        <v>0.0</v>
      </c>
      <c r="I837" s="1009"/>
    </row>
    <row r="838">
      <c r="A838" t="s">
        <v>1647</v>
      </c>
      <c r="B838" s="1003">
        <v>43013.0</v>
      </c>
      <c r="C838" s="1004">
        <f t="shared" si="1"/>
        <v>278</v>
      </c>
      <c r="D838" s="1005">
        <f t="shared" si="2"/>
        <v>9.114754098</v>
      </c>
      <c r="E838" s="1006">
        <f t="shared" si="3"/>
        <v>10</v>
      </c>
      <c r="F838" s="1006" t="s">
        <v>2783</v>
      </c>
      <c r="G838" s="1007">
        <v>-0.008846353861909906</v>
      </c>
      <c r="H838" s="1012">
        <v>0.0</v>
      </c>
      <c r="I838" s="1009"/>
    </row>
    <row r="839">
      <c r="A839" t="s">
        <v>361</v>
      </c>
      <c r="B839" s="1003">
        <v>42647.0</v>
      </c>
      <c r="C839" s="1004">
        <f t="shared" si="1"/>
        <v>278</v>
      </c>
      <c r="D839" s="1005">
        <f t="shared" si="2"/>
        <v>9.114754098</v>
      </c>
      <c r="E839" s="1006">
        <f t="shared" si="3"/>
        <v>10</v>
      </c>
      <c r="F839" s="1006" t="s">
        <v>2783</v>
      </c>
      <c r="G839" s="1007">
        <v>0.009970469163917306</v>
      </c>
      <c r="H839" s="1012">
        <v>0.0</v>
      </c>
      <c r="I839" s="1009"/>
    </row>
    <row r="840">
      <c r="A840" t="s">
        <v>1454</v>
      </c>
      <c r="B840" s="1003">
        <v>42282.0</v>
      </c>
      <c r="C840" s="1004">
        <f t="shared" si="1"/>
        <v>278</v>
      </c>
      <c r="D840" s="1005">
        <f t="shared" si="2"/>
        <v>9.114754098</v>
      </c>
      <c r="E840" s="1006">
        <f t="shared" si="3"/>
        <v>10</v>
      </c>
      <c r="F840" s="1006" t="s">
        <v>2783</v>
      </c>
      <c r="G840" s="1007">
        <v>-0.02444101446991287</v>
      </c>
      <c r="H840" s="1012">
        <v>-1.0</v>
      </c>
      <c r="I840" s="1009"/>
    </row>
    <row r="841">
      <c r="A841" t="s">
        <v>328</v>
      </c>
      <c r="B841" s="1003">
        <v>41917.0</v>
      </c>
      <c r="C841" s="1004">
        <f t="shared" si="1"/>
        <v>278</v>
      </c>
      <c r="D841" s="1005">
        <f t="shared" si="2"/>
        <v>9.114754098</v>
      </c>
      <c r="E841" s="1006">
        <f t="shared" si="3"/>
        <v>10</v>
      </c>
      <c r="F841" s="1006" t="s">
        <v>2783</v>
      </c>
      <c r="G841" s="1007">
        <v>-1.9286375736271566E-4</v>
      </c>
      <c r="H841" s="1012">
        <v>0.0</v>
      </c>
      <c r="I841" s="1009"/>
    </row>
    <row r="842">
      <c r="A842" t="s">
        <v>1755</v>
      </c>
      <c r="B842" s="1003">
        <v>43014.0</v>
      </c>
      <c r="C842" s="1004">
        <f t="shared" si="1"/>
        <v>279</v>
      </c>
      <c r="D842" s="1005">
        <f t="shared" si="2"/>
        <v>9.147540984</v>
      </c>
      <c r="E842" s="1006">
        <f t="shared" si="3"/>
        <v>10</v>
      </c>
      <c r="F842" s="1006" t="s">
        <v>2783</v>
      </c>
      <c r="G842" s="1007">
        <v>0.028681608556264226</v>
      </c>
      <c r="H842" s="1012">
        <v>1.0</v>
      </c>
      <c r="I842" s="1009"/>
    </row>
    <row r="843">
      <c r="A843" t="s">
        <v>1637</v>
      </c>
      <c r="B843" s="1003">
        <v>43014.0</v>
      </c>
      <c r="C843" s="1004">
        <f t="shared" si="1"/>
        <v>279</v>
      </c>
      <c r="D843" s="1005">
        <f t="shared" si="2"/>
        <v>9.147540984</v>
      </c>
      <c r="E843" s="1006">
        <f t="shared" si="3"/>
        <v>10</v>
      </c>
      <c r="F843" s="1006" t="s">
        <v>2783</v>
      </c>
      <c r="G843" s="1007">
        <v>0.02002774233278748</v>
      </c>
      <c r="H843" s="1012">
        <v>1.0</v>
      </c>
      <c r="I843" s="1009"/>
    </row>
    <row r="844">
      <c r="A844" t="s">
        <v>1703</v>
      </c>
      <c r="B844" s="1003">
        <v>42648.0</v>
      </c>
      <c r="C844" s="1004">
        <f t="shared" si="1"/>
        <v>279</v>
      </c>
      <c r="D844" s="1005">
        <f t="shared" si="2"/>
        <v>9.147540984</v>
      </c>
      <c r="E844" s="1006">
        <f t="shared" si="3"/>
        <v>10</v>
      </c>
      <c r="F844" s="1006" t="s">
        <v>2783</v>
      </c>
      <c r="G844" s="1007">
        <v>0.026596271989695608</v>
      </c>
      <c r="H844" s="1012">
        <v>1.0</v>
      </c>
      <c r="I844" s="1009"/>
    </row>
    <row r="845">
      <c r="A845" t="s">
        <v>1458</v>
      </c>
      <c r="B845" s="1003">
        <v>42283.0</v>
      </c>
      <c r="C845" s="1004">
        <f t="shared" si="1"/>
        <v>279</v>
      </c>
      <c r="D845" s="1005">
        <f t="shared" si="2"/>
        <v>9.147540984</v>
      </c>
      <c r="E845" s="1006">
        <f t="shared" si="3"/>
        <v>10</v>
      </c>
      <c r="F845" s="1006" t="s">
        <v>2783</v>
      </c>
      <c r="G845" s="1007">
        <v>-0.002138441369985422</v>
      </c>
      <c r="H845" s="1012">
        <v>0.0</v>
      </c>
      <c r="I845" s="1009"/>
    </row>
    <row r="846">
      <c r="A846" t="s">
        <v>339</v>
      </c>
      <c r="B846" s="1003">
        <v>41918.0</v>
      </c>
      <c r="C846" s="1004">
        <f t="shared" si="1"/>
        <v>279</v>
      </c>
      <c r="D846" s="1005">
        <f t="shared" si="2"/>
        <v>9.147540984</v>
      </c>
      <c r="E846" s="1006">
        <f t="shared" si="3"/>
        <v>10</v>
      </c>
      <c r="F846" s="1006" t="s">
        <v>2783</v>
      </c>
      <c r="G846" s="1007">
        <v>0.014918909149214787</v>
      </c>
      <c r="H846" s="1012">
        <v>1.0</v>
      </c>
      <c r="I846" s="1009"/>
    </row>
    <row r="847">
      <c r="A847" t="s">
        <v>342</v>
      </c>
      <c r="B847" s="1003">
        <v>41918.0</v>
      </c>
      <c r="C847" s="1004">
        <f t="shared" si="1"/>
        <v>279</v>
      </c>
      <c r="D847" s="1005">
        <f t="shared" si="2"/>
        <v>9.147540984</v>
      </c>
      <c r="E847" s="1006">
        <f t="shared" si="3"/>
        <v>10</v>
      </c>
      <c r="F847" s="1006" t="s">
        <v>2783</v>
      </c>
      <c r="G847" s="1007">
        <v>-0.009478386118697224</v>
      </c>
      <c r="H847" s="1012">
        <v>0.0</v>
      </c>
      <c r="I847" s="1009"/>
    </row>
    <row r="848">
      <c r="A848" t="s">
        <v>348</v>
      </c>
      <c r="B848" s="1003">
        <v>41918.0</v>
      </c>
      <c r="C848" s="1004">
        <f t="shared" si="1"/>
        <v>279</v>
      </c>
      <c r="D848" s="1005">
        <f t="shared" si="2"/>
        <v>9.147540984</v>
      </c>
      <c r="E848" s="1006">
        <f t="shared" si="3"/>
        <v>10</v>
      </c>
      <c r="F848" s="1006" t="s">
        <v>2783</v>
      </c>
      <c r="G848" s="1007">
        <v>0.0054130278571606905</v>
      </c>
      <c r="H848" s="1012">
        <v>0.0</v>
      </c>
      <c r="I848" s="1009"/>
    </row>
    <row r="849">
      <c r="A849" t="s">
        <v>1885</v>
      </c>
      <c r="B849" s="1003">
        <v>43015.0</v>
      </c>
      <c r="C849" s="1004">
        <f t="shared" si="1"/>
        <v>280</v>
      </c>
      <c r="D849" s="1005">
        <f t="shared" si="2"/>
        <v>9.180327869</v>
      </c>
      <c r="E849" s="1006">
        <f t="shared" si="3"/>
        <v>10</v>
      </c>
      <c r="F849" s="1006" t="s">
        <v>2783</v>
      </c>
      <c r="G849" s="1007">
        <v>0.004895020835347874</v>
      </c>
      <c r="H849" s="1012">
        <v>0.0</v>
      </c>
      <c r="I849" s="1009"/>
    </row>
    <row r="850">
      <c r="A850" t="s">
        <v>1759</v>
      </c>
      <c r="B850" s="1003">
        <v>43015.0</v>
      </c>
      <c r="C850" s="1004">
        <f t="shared" si="1"/>
        <v>280</v>
      </c>
      <c r="D850" s="1005">
        <f t="shared" si="2"/>
        <v>9.180327869</v>
      </c>
      <c r="E850" s="1006">
        <f t="shared" si="3"/>
        <v>10</v>
      </c>
      <c r="F850" s="1006" t="s">
        <v>2783</v>
      </c>
      <c r="G850" s="1007">
        <v>0.021417797639454617</v>
      </c>
      <c r="H850" s="1012">
        <v>1.0</v>
      </c>
      <c r="I850" s="1009"/>
    </row>
    <row r="851">
      <c r="A851" t="s">
        <v>1873</v>
      </c>
      <c r="B851" s="1003">
        <v>42649.0</v>
      </c>
      <c r="C851" s="1004">
        <f t="shared" si="1"/>
        <v>280</v>
      </c>
      <c r="D851" s="1005">
        <f t="shared" si="2"/>
        <v>9.180327869</v>
      </c>
      <c r="E851" s="1006">
        <f t="shared" si="3"/>
        <v>10</v>
      </c>
      <c r="F851" s="1006" t="s">
        <v>2783</v>
      </c>
      <c r="G851" s="1007">
        <v>-0.030489670452905515</v>
      </c>
      <c r="H851" s="1012">
        <v>-1.0</v>
      </c>
      <c r="I851" s="1009"/>
    </row>
    <row r="852">
      <c r="A852" t="s">
        <v>161</v>
      </c>
      <c r="B852" s="1003">
        <v>42649.0</v>
      </c>
      <c r="C852" s="1004">
        <f t="shared" si="1"/>
        <v>280</v>
      </c>
      <c r="D852" s="1005">
        <f t="shared" si="2"/>
        <v>9.180327869</v>
      </c>
      <c r="E852" s="1006">
        <f t="shared" si="3"/>
        <v>10</v>
      </c>
      <c r="F852" s="1006" t="s">
        <v>2783</v>
      </c>
      <c r="G852" s="1007">
        <v>-0.011434463145386653</v>
      </c>
      <c r="H852" s="1012">
        <v>-1.0</v>
      </c>
      <c r="I852" s="1009"/>
    </row>
    <row r="853">
      <c r="A853" t="s">
        <v>845</v>
      </c>
      <c r="B853" s="1003">
        <v>43016.0</v>
      </c>
      <c r="C853" s="1004">
        <f t="shared" si="1"/>
        <v>281</v>
      </c>
      <c r="D853" s="1005">
        <f t="shared" si="2"/>
        <v>9.213114754</v>
      </c>
      <c r="E853" s="1006">
        <f t="shared" si="3"/>
        <v>10</v>
      </c>
      <c r="F853" s="1006" t="s">
        <v>2783</v>
      </c>
      <c r="G853" s="1007">
        <v>-0.027742077215545335</v>
      </c>
      <c r="H853" s="1012">
        <v>-1.0</v>
      </c>
      <c r="I853" s="1009"/>
    </row>
    <row r="854">
      <c r="A854" t="s">
        <v>1726</v>
      </c>
      <c r="B854" s="1003">
        <v>42650.0</v>
      </c>
      <c r="C854" s="1004">
        <f t="shared" si="1"/>
        <v>281</v>
      </c>
      <c r="D854" s="1005">
        <f t="shared" si="2"/>
        <v>9.213114754</v>
      </c>
      <c r="E854" s="1006">
        <f t="shared" si="3"/>
        <v>10</v>
      </c>
      <c r="F854" s="1006" t="s">
        <v>2783</v>
      </c>
      <c r="G854" s="1007">
        <v>-0.0013823907521494094</v>
      </c>
      <c r="H854" s="1012">
        <v>0.0</v>
      </c>
      <c r="I854" s="1009"/>
    </row>
    <row r="855">
      <c r="A855" t="s">
        <v>1637</v>
      </c>
      <c r="B855" s="1003">
        <v>42650.0</v>
      </c>
      <c r="C855" s="1004">
        <f t="shared" si="1"/>
        <v>281</v>
      </c>
      <c r="D855" s="1005">
        <f t="shared" si="2"/>
        <v>9.213114754</v>
      </c>
      <c r="E855" s="1006">
        <f t="shared" si="3"/>
        <v>10</v>
      </c>
      <c r="F855" s="1006" t="s">
        <v>2783</v>
      </c>
      <c r="G855" s="1007">
        <v>0.020208229231649888</v>
      </c>
      <c r="H855" s="1012">
        <v>1.0</v>
      </c>
      <c r="I855" s="1009"/>
    </row>
    <row r="856">
      <c r="A856" t="s">
        <v>1454</v>
      </c>
      <c r="B856" s="1003">
        <v>42285.0</v>
      </c>
      <c r="C856" s="1004">
        <f t="shared" si="1"/>
        <v>281</v>
      </c>
      <c r="D856" s="1005">
        <f t="shared" si="2"/>
        <v>9.213114754</v>
      </c>
      <c r="E856" s="1006">
        <f t="shared" si="3"/>
        <v>10</v>
      </c>
      <c r="F856" s="1006" t="s">
        <v>2783</v>
      </c>
      <c r="G856" s="1007">
        <v>-0.024110928518393138</v>
      </c>
      <c r="H856" s="1012">
        <v>-1.0</v>
      </c>
      <c r="I856" s="1009"/>
    </row>
    <row r="857">
      <c r="A857" t="s">
        <v>354</v>
      </c>
      <c r="B857" s="1003">
        <v>41920.0</v>
      </c>
      <c r="C857" s="1004">
        <f t="shared" si="1"/>
        <v>281</v>
      </c>
      <c r="D857" s="1005">
        <f t="shared" si="2"/>
        <v>9.213114754</v>
      </c>
      <c r="E857" s="1006">
        <f t="shared" si="3"/>
        <v>10</v>
      </c>
      <c r="F857" s="1006" t="s">
        <v>2783</v>
      </c>
      <c r="G857" s="1007">
        <v>0.02380985993634055</v>
      </c>
      <c r="H857" s="1012">
        <v>1.0</v>
      </c>
      <c r="I857" s="1009"/>
    </row>
    <row r="858">
      <c r="A858" t="s">
        <v>358</v>
      </c>
      <c r="B858" s="1003">
        <v>41920.0</v>
      </c>
      <c r="C858" s="1004">
        <f t="shared" si="1"/>
        <v>281</v>
      </c>
      <c r="D858" s="1005">
        <f t="shared" si="2"/>
        <v>9.213114754</v>
      </c>
      <c r="E858" s="1006">
        <f t="shared" si="3"/>
        <v>10</v>
      </c>
      <c r="F858" s="1006" t="s">
        <v>2783</v>
      </c>
      <c r="G858" s="1007">
        <v>-0.005595521947764581</v>
      </c>
      <c r="H858" s="1012">
        <v>0.0</v>
      </c>
      <c r="I858" s="1009"/>
    </row>
    <row r="859">
      <c r="A859" t="s">
        <v>1615</v>
      </c>
      <c r="B859" s="1003">
        <v>42651.0</v>
      </c>
      <c r="C859" s="1004">
        <f t="shared" si="1"/>
        <v>282</v>
      </c>
      <c r="D859" s="1005">
        <f t="shared" si="2"/>
        <v>9.245901639</v>
      </c>
      <c r="E859" s="1006">
        <f t="shared" si="3"/>
        <v>10</v>
      </c>
      <c r="F859" s="1006" t="s">
        <v>2783</v>
      </c>
      <c r="G859" s="1007">
        <v>0.00207215110459702</v>
      </c>
      <c r="H859" s="1012">
        <v>0.0</v>
      </c>
      <c r="I859" s="1009"/>
    </row>
    <row r="860">
      <c r="A860" t="s">
        <v>361</v>
      </c>
      <c r="B860" s="1003">
        <v>41921.0</v>
      </c>
      <c r="C860" s="1004">
        <f t="shared" si="1"/>
        <v>282</v>
      </c>
      <c r="D860" s="1005">
        <f t="shared" si="2"/>
        <v>9.245901639</v>
      </c>
      <c r="E860" s="1006">
        <f t="shared" si="3"/>
        <v>10</v>
      </c>
      <c r="F860" s="1006" t="s">
        <v>2783</v>
      </c>
      <c r="G860" s="1007">
        <v>-0.009086756383484662</v>
      </c>
      <c r="H860" s="1012">
        <v>0.0</v>
      </c>
      <c r="I860" s="1009"/>
    </row>
    <row r="861">
      <c r="A861" t="s">
        <v>1845</v>
      </c>
      <c r="B861" s="1003">
        <v>43018.0</v>
      </c>
      <c r="C861" s="1004">
        <f t="shared" si="1"/>
        <v>283</v>
      </c>
      <c r="D861" s="1005">
        <f t="shared" si="2"/>
        <v>9.278688525</v>
      </c>
      <c r="E861" s="1006">
        <f t="shared" si="3"/>
        <v>10</v>
      </c>
      <c r="F861" s="1006" t="s">
        <v>2783</v>
      </c>
      <c r="G861" s="1007">
        <v>0.008861446179990629</v>
      </c>
      <c r="H861" s="1012">
        <v>0.0</v>
      </c>
      <c r="I861" s="1009"/>
    </row>
    <row r="862">
      <c r="A862" t="s">
        <v>829</v>
      </c>
      <c r="B862" s="1003">
        <v>43018.0</v>
      </c>
      <c r="C862" s="1004">
        <f t="shared" si="1"/>
        <v>283</v>
      </c>
      <c r="D862" s="1005">
        <f t="shared" si="2"/>
        <v>9.278688525</v>
      </c>
      <c r="E862" s="1006">
        <f t="shared" si="3"/>
        <v>10</v>
      </c>
      <c r="F862" s="1006" t="s">
        <v>2783</v>
      </c>
      <c r="G862" s="1007">
        <v>-0.009111415998679817</v>
      </c>
      <c r="H862" s="1012">
        <v>0.0</v>
      </c>
      <c r="I862" s="1009"/>
    </row>
    <row r="863">
      <c r="A863" t="s">
        <v>519</v>
      </c>
      <c r="B863" s="1003">
        <v>43018.0</v>
      </c>
      <c r="C863" s="1004">
        <f t="shared" si="1"/>
        <v>283</v>
      </c>
      <c r="D863" s="1005">
        <f t="shared" si="2"/>
        <v>9.278688525</v>
      </c>
      <c r="E863" s="1006">
        <f t="shared" si="3"/>
        <v>10</v>
      </c>
      <c r="F863" s="1006" t="s">
        <v>2783</v>
      </c>
      <c r="G863" s="1007">
        <v>0.010758804796441424</v>
      </c>
      <c r="H863" s="1012">
        <v>1.0</v>
      </c>
      <c r="I863" s="1009"/>
    </row>
    <row r="864">
      <c r="A864" t="s">
        <v>1741</v>
      </c>
      <c r="B864" s="1003">
        <v>42653.0</v>
      </c>
      <c r="C864" s="1004">
        <f t="shared" si="1"/>
        <v>284</v>
      </c>
      <c r="D864" s="1005">
        <f t="shared" si="2"/>
        <v>9.31147541</v>
      </c>
      <c r="E864" s="1006">
        <f t="shared" si="3"/>
        <v>10</v>
      </c>
      <c r="F864" s="1006" t="s">
        <v>2783</v>
      </c>
      <c r="G864" s="1007">
        <v>0.025335089326672833</v>
      </c>
      <c r="H864" s="1012">
        <v>1.0</v>
      </c>
      <c r="I864" s="1009"/>
    </row>
    <row r="865">
      <c r="A865" t="s">
        <v>147</v>
      </c>
      <c r="B865" s="1003">
        <v>42288.0</v>
      </c>
      <c r="C865" s="1004">
        <f t="shared" si="1"/>
        <v>284</v>
      </c>
      <c r="D865" s="1005">
        <f t="shared" si="2"/>
        <v>9.31147541</v>
      </c>
      <c r="E865" s="1006">
        <f t="shared" si="3"/>
        <v>10</v>
      </c>
      <c r="F865" s="1006" t="s">
        <v>2783</v>
      </c>
      <c r="G865" s="1007">
        <v>-0.010769421844418758</v>
      </c>
      <c r="H865" s="1012">
        <v>-1.0</v>
      </c>
      <c r="I865" s="1009"/>
    </row>
    <row r="866">
      <c r="A866" t="s">
        <v>1127</v>
      </c>
      <c r="B866" s="1003">
        <v>42288.0</v>
      </c>
      <c r="C866" s="1004">
        <f t="shared" si="1"/>
        <v>284</v>
      </c>
      <c r="D866" s="1005">
        <f t="shared" si="2"/>
        <v>9.31147541</v>
      </c>
      <c r="E866" s="1006">
        <f t="shared" si="3"/>
        <v>10</v>
      </c>
      <c r="F866" s="1006" t="s">
        <v>2783</v>
      </c>
      <c r="G866" s="1007">
        <v>-0.03773238798091594</v>
      </c>
      <c r="H866" s="1012">
        <v>-1.0</v>
      </c>
      <c r="I866" s="1009"/>
    </row>
    <row r="867">
      <c r="A867" t="s">
        <v>349</v>
      </c>
      <c r="B867" s="1003">
        <v>42288.0</v>
      </c>
      <c r="C867" s="1004">
        <f t="shared" si="1"/>
        <v>284</v>
      </c>
      <c r="D867" s="1005">
        <f t="shared" si="2"/>
        <v>9.31147541</v>
      </c>
      <c r="E867" s="1006">
        <f t="shared" si="3"/>
        <v>10</v>
      </c>
      <c r="F867" s="1006" t="s">
        <v>2783</v>
      </c>
      <c r="G867" s="1007">
        <v>0.013736967897325703</v>
      </c>
      <c r="H867" s="1012">
        <v>1.0</v>
      </c>
      <c r="I867" s="1009"/>
    </row>
    <row r="868">
      <c r="A868" t="s">
        <v>623</v>
      </c>
      <c r="B868" s="1003">
        <v>42654.0</v>
      </c>
      <c r="C868" s="1004">
        <f t="shared" si="1"/>
        <v>285</v>
      </c>
      <c r="D868" s="1005">
        <f t="shared" si="2"/>
        <v>9.344262295</v>
      </c>
      <c r="E868" s="1006">
        <f t="shared" si="3"/>
        <v>10</v>
      </c>
      <c r="F868" s="1006" t="s">
        <v>2783</v>
      </c>
      <c r="G868" s="1007">
        <v>0.013611903653986346</v>
      </c>
      <c r="H868" s="1012">
        <v>1.0</v>
      </c>
      <c r="I868" s="1009"/>
    </row>
    <row r="869">
      <c r="A869" t="s">
        <v>1741</v>
      </c>
      <c r="B869" s="1003">
        <v>42654.0</v>
      </c>
      <c r="C869" s="1004">
        <f t="shared" si="1"/>
        <v>285</v>
      </c>
      <c r="D869" s="1005">
        <f t="shared" si="2"/>
        <v>9.344262295</v>
      </c>
      <c r="E869" s="1006">
        <f t="shared" si="3"/>
        <v>10</v>
      </c>
      <c r="F869" s="1006" t="s">
        <v>2783</v>
      </c>
      <c r="G869" s="1007">
        <v>0.027889103705847518</v>
      </c>
      <c r="H869" s="1012">
        <v>1.0</v>
      </c>
      <c r="I869" s="1009"/>
    </row>
    <row r="870">
      <c r="A870" t="s">
        <v>519</v>
      </c>
      <c r="B870" s="1003">
        <v>42654.0</v>
      </c>
      <c r="C870" s="1004">
        <f t="shared" si="1"/>
        <v>285</v>
      </c>
      <c r="D870" s="1005">
        <f t="shared" si="2"/>
        <v>9.344262295</v>
      </c>
      <c r="E870" s="1006">
        <f t="shared" si="3"/>
        <v>10</v>
      </c>
      <c r="F870" s="1006" t="s">
        <v>2783</v>
      </c>
      <c r="G870" s="1007">
        <v>0.0289814959261957</v>
      </c>
      <c r="H870" s="1012">
        <v>1.0</v>
      </c>
      <c r="I870" s="1009"/>
    </row>
    <row r="871">
      <c r="A871" t="s">
        <v>1456</v>
      </c>
      <c r="B871" s="1003">
        <v>42289.0</v>
      </c>
      <c r="C871" s="1004">
        <f t="shared" si="1"/>
        <v>285</v>
      </c>
      <c r="D871" s="1005">
        <f t="shared" si="2"/>
        <v>9.344262295</v>
      </c>
      <c r="E871" s="1006">
        <f t="shared" si="3"/>
        <v>10</v>
      </c>
      <c r="F871" s="1006" t="s">
        <v>2783</v>
      </c>
      <c r="G871" s="1007">
        <v>0.021485908046180002</v>
      </c>
      <c r="H871" s="1012">
        <v>1.0</v>
      </c>
      <c r="I871" s="1009"/>
    </row>
    <row r="872">
      <c r="A872" t="s">
        <v>423</v>
      </c>
      <c r="B872" s="1003">
        <v>42289.0</v>
      </c>
      <c r="C872" s="1004">
        <f t="shared" si="1"/>
        <v>285</v>
      </c>
      <c r="D872" s="1005">
        <f t="shared" si="2"/>
        <v>9.344262295</v>
      </c>
      <c r="E872" s="1006">
        <f t="shared" si="3"/>
        <v>10</v>
      </c>
      <c r="F872" s="1006" t="s">
        <v>2783</v>
      </c>
      <c r="G872" s="1007">
        <v>-0.002540851098243202</v>
      </c>
      <c r="H872" s="1012">
        <v>0.0</v>
      </c>
      <c r="I872" s="1009"/>
    </row>
    <row r="873">
      <c r="A873" t="s">
        <v>1880</v>
      </c>
      <c r="B873" s="1003">
        <v>43021.0</v>
      </c>
      <c r="C873" s="1004">
        <f t="shared" si="1"/>
        <v>286</v>
      </c>
      <c r="D873" s="1005">
        <f t="shared" si="2"/>
        <v>9.37704918</v>
      </c>
      <c r="E873" s="1006">
        <f t="shared" si="3"/>
        <v>10</v>
      </c>
      <c r="F873" s="1006" t="s">
        <v>2783</v>
      </c>
      <c r="G873" s="1007">
        <v>0.05142404730177119</v>
      </c>
      <c r="H873" s="1012">
        <v>1.0</v>
      </c>
      <c r="I873" s="1009"/>
    </row>
    <row r="874">
      <c r="A874" t="s">
        <v>1762</v>
      </c>
      <c r="B874" s="1003">
        <v>43021.0</v>
      </c>
      <c r="C874" s="1004">
        <f t="shared" si="1"/>
        <v>286</v>
      </c>
      <c r="D874" s="1005">
        <f t="shared" si="2"/>
        <v>9.37704918</v>
      </c>
      <c r="E874" s="1006">
        <f t="shared" si="3"/>
        <v>10</v>
      </c>
      <c r="F874" s="1006" t="s">
        <v>2783</v>
      </c>
      <c r="G874" s="1007">
        <v>0.014668076954802989</v>
      </c>
      <c r="H874" s="1012">
        <v>1.0</v>
      </c>
      <c r="I874" s="1009"/>
    </row>
    <row r="875">
      <c r="A875" t="s">
        <v>1741</v>
      </c>
      <c r="B875" s="1003">
        <v>42655.0</v>
      </c>
      <c r="C875" s="1004">
        <f t="shared" si="1"/>
        <v>286</v>
      </c>
      <c r="D875" s="1005">
        <f t="shared" si="2"/>
        <v>9.37704918</v>
      </c>
      <c r="E875" s="1006">
        <f t="shared" si="3"/>
        <v>10</v>
      </c>
      <c r="F875" s="1006" t="s">
        <v>2783</v>
      </c>
      <c r="G875" s="1007">
        <v>0.023350083888901585</v>
      </c>
      <c r="H875" s="1012">
        <v>1.0</v>
      </c>
      <c r="I875" s="1009"/>
    </row>
    <row r="876">
      <c r="A876" t="s">
        <v>194</v>
      </c>
      <c r="B876" s="1003">
        <v>42655.0</v>
      </c>
      <c r="C876" s="1004">
        <f t="shared" si="1"/>
        <v>286</v>
      </c>
      <c r="D876" s="1005">
        <f t="shared" si="2"/>
        <v>9.37704918</v>
      </c>
      <c r="E876" s="1006">
        <f t="shared" si="3"/>
        <v>10</v>
      </c>
      <c r="F876" s="1006" t="s">
        <v>2783</v>
      </c>
      <c r="G876" s="1007">
        <v>-0.04644648482801461</v>
      </c>
      <c r="H876" s="1012">
        <v>-1.0</v>
      </c>
      <c r="I876" s="1009"/>
    </row>
    <row r="877">
      <c r="A877" t="s">
        <v>556</v>
      </c>
      <c r="B877" s="1003">
        <v>42655.0</v>
      </c>
      <c r="C877" s="1004">
        <f t="shared" si="1"/>
        <v>286</v>
      </c>
      <c r="D877" s="1005">
        <f t="shared" si="2"/>
        <v>9.37704918</v>
      </c>
      <c r="E877" s="1006">
        <f t="shared" si="3"/>
        <v>10</v>
      </c>
      <c r="F877" s="1006" t="s">
        <v>2783</v>
      </c>
      <c r="G877" s="1007">
        <v>-0.057671805037178836</v>
      </c>
      <c r="H877" s="1012">
        <v>-1.0</v>
      </c>
      <c r="I877" s="1009"/>
    </row>
    <row r="878">
      <c r="A878" t="s">
        <v>1465</v>
      </c>
      <c r="B878" s="1003">
        <v>42290.0</v>
      </c>
      <c r="C878" s="1004">
        <f t="shared" si="1"/>
        <v>286</v>
      </c>
      <c r="D878" s="1005">
        <f t="shared" si="2"/>
        <v>9.37704918</v>
      </c>
      <c r="E878" s="1006">
        <f t="shared" si="3"/>
        <v>10</v>
      </c>
      <c r="F878" s="1006" t="s">
        <v>2783</v>
      </c>
      <c r="G878" s="1007">
        <v>0.004648277084447594</v>
      </c>
      <c r="H878" s="1012">
        <v>0.0</v>
      </c>
      <c r="I878" s="1009"/>
    </row>
    <row r="879">
      <c r="A879" t="s">
        <v>1884</v>
      </c>
      <c r="B879" s="1003">
        <v>43022.0</v>
      </c>
      <c r="C879" s="1004">
        <f t="shared" si="1"/>
        <v>287</v>
      </c>
      <c r="D879" s="1005">
        <f t="shared" si="2"/>
        <v>9.409836066</v>
      </c>
      <c r="E879" s="1006">
        <f t="shared" si="3"/>
        <v>10</v>
      </c>
      <c r="F879" s="1006" t="s">
        <v>2783</v>
      </c>
      <c r="G879" s="1007">
        <v>-0.0025474959742177727</v>
      </c>
      <c r="H879" s="1012">
        <v>0.0</v>
      </c>
      <c r="I879" s="1009"/>
    </row>
    <row r="880">
      <c r="A880" t="s">
        <v>1885</v>
      </c>
      <c r="B880" s="1003">
        <v>43022.0</v>
      </c>
      <c r="C880" s="1004">
        <f t="shared" si="1"/>
        <v>287</v>
      </c>
      <c r="D880" s="1005">
        <f t="shared" si="2"/>
        <v>9.409836066</v>
      </c>
      <c r="E880" s="1006">
        <f t="shared" si="3"/>
        <v>10</v>
      </c>
      <c r="F880" s="1006" t="s">
        <v>2783</v>
      </c>
      <c r="G880" s="1007">
        <v>0.0014779759848205787</v>
      </c>
      <c r="H880" s="1012">
        <v>0.0</v>
      </c>
      <c r="I880" s="1009"/>
    </row>
    <row r="881">
      <c r="A881" t="s">
        <v>1628</v>
      </c>
      <c r="B881" s="1003">
        <v>42656.0</v>
      </c>
      <c r="C881" s="1004">
        <f t="shared" si="1"/>
        <v>287</v>
      </c>
      <c r="D881" s="1005">
        <f t="shared" si="2"/>
        <v>9.409836066</v>
      </c>
      <c r="E881" s="1006">
        <f t="shared" si="3"/>
        <v>10</v>
      </c>
      <c r="F881" s="1006" t="s">
        <v>2783</v>
      </c>
      <c r="G881" s="1007">
        <v>-0.0017539911405244357</v>
      </c>
      <c r="H881" s="1012">
        <v>0.0</v>
      </c>
      <c r="I881" s="1009"/>
    </row>
    <row r="882">
      <c r="A882" t="s">
        <v>367</v>
      </c>
      <c r="B882" s="1003">
        <v>41926.0</v>
      </c>
      <c r="C882" s="1004">
        <f t="shared" si="1"/>
        <v>287</v>
      </c>
      <c r="D882" s="1005">
        <f t="shared" si="2"/>
        <v>9.409836066</v>
      </c>
      <c r="E882" s="1006">
        <f t="shared" si="3"/>
        <v>10</v>
      </c>
      <c r="F882" s="1006" t="s">
        <v>2783</v>
      </c>
      <c r="G882" s="1007">
        <v>0.0014795870653090404</v>
      </c>
      <c r="H882" s="1012">
        <v>0.0</v>
      </c>
      <c r="I882" s="1009"/>
    </row>
    <row r="883">
      <c r="A883" t="s">
        <v>1128</v>
      </c>
      <c r="B883" s="1003">
        <v>43023.0</v>
      </c>
      <c r="C883" s="1004">
        <f t="shared" si="1"/>
        <v>288</v>
      </c>
      <c r="D883" s="1005">
        <f t="shared" si="2"/>
        <v>9.442622951</v>
      </c>
      <c r="E883" s="1006">
        <f t="shared" si="3"/>
        <v>10</v>
      </c>
      <c r="F883" s="1006" t="s">
        <v>2783</v>
      </c>
      <c r="G883" s="1007">
        <v>0.009908200472861117</v>
      </c>
      <c r="H883" s="1012">
        <v>0.0</v>
      </c>
      <c r="I883" s="1009"/>
    </row>
    <row r="884">
      <c r="A884" t="s">
        <v>1498</v>
      </c>
      <c r="B884" s="1003">
        <v>42292.0</v>
      </c>
      <c r="C884" s="1004">
        <f t="shared" si="1"/>
        <v>288</v>
      </c>
      <c r="D884" s="1005">
        <f t="shared" si="2"/>
        <v>9.442622951</v>
      </c>
      <c r="E884" s="1006">
        <f t="shared" si="3"/>
        <v>10</v>
      </c>
      <c r="F884" s="1006" t="s">
        <v>2783</v>
      </c>
      <c r="G884" s="1007">
        <v>-0.04002982731687954</v>
      </c>
      <c r="H884" s="1012">
        <v>-1.0</v>
      </c>
      <c r="I884" s="1009"/>
    </row>
    <row r="885">
      <c r="A885" t="s">
        <v>1808</v>
      </c>
      <c r="B885" s="1003">
        <v>43024.0</v>
      </c>
      <c r="C885" s="1004">
        <f t="shared" si="1"/>
        <v>289</v>
      </c>
      <c r="D885" s="1005">
        <f t="shared" si="2"/>
        <v>9.475409836</v>
      </c>
      <c r="E885" s="1006">
        <f t="shared" si="3"/>
        <v>10</v>
      </c>
      <c r="F885" s="1006" t="s">
        <v>2783</v>
      </c>
      <c r="G885" s="1007">
        <v>0.0264972019198233</v>
      </c>
      <c r="H885" s="1012">
        <v>1.0</v>
      </c>
      <c r="I885" s="1009"/>
    </row>
    <row r="886">
      <c r="A886" t="s">
        <v>1764</v>
      </c>
      <c r="B886" s="1003">
        <v>43024.0</v>
      </c>
      <c r="C886" s="1004">
        <f t="shared" si="1"/>
        <v>289</v>
      </c>
      <c r="D886" s="1005">
        <f t="shared" si="2"/>
        <v>9.475409836</v>
      </c>
      <c r="E886" s="1006">
        <f t="shared" si="3"/>
        <v>10</v>
      </c>
      <c r="F886" s="1006" t="s">
        <v>2783</v>
      </c>
      <c r="G886" s="1007">
        <v>0.0035796735173042604</v>
      </c>
      <c r="H886" s="1012">
        <v>0.0</v>
      </c>
      <c r="I886" s="1009"/>
    </row>
    <row r="887">
      <c r="A887" t="s">
        <v>1883</v>
      </c>
      <c r="B887" s="1003">
        <v>42658.0</v>
      </c>
      <c r="C887" s="1004">
        <f t="shared" si="1"/>
        <v>289</v>
      </c>
      <c r="D887" s="1005">
        <f t="shared" si="2"/>
        <v>9.475409836</v>
      </c>
      <c r="E887" s="1006">
        <f t="shared" si="3"/>
        <v>10</v>
      </c>
      <c r="F887" s="1006" t="s">
        <v>2783</v>
      </c>
      <c r="G887" s="1007">
        <v>7.997414409350867E-4</v>
      </c>
      <c r="H887" s="1012">
        <v>0.0</v>
      </c>
      <c r="I887" s="1009"/>
    </row>
    <row r="888">
      <c r="A888" t="s">
        <v>1615</v>
      </c>
      <c r="B888" s="1003">
        <v>42658.0</v>
      </c>
      <c r="C888" s="1004">
        <f t="shared" si="1"/>
        <v>289</v>
      </c>
      <c r="D888" s="1005">
        <f t="shared" si="2"/>
        <v>9.475409836</v>
      </c>
      <c r="E888" s="1006">
        <f t="shared" si="3"/>
        <v>10</v>
      </c>
      <c r="F888" s="1006" t="s">
        <v>2783</v>
      </c>
      <c r="G888" s="1007">
        <v>0.005424708855095273</v>
      </c>
      <c r="H888" s="1012">
        <v>0.0</v>
      </c>
      <c r="I888" s="1009"/>
    </row>
    <row r="889">
      <c r="A889" t="s">
        <v>1883</v>
      </c>
      <c r="B889" s="1003">
        <v>42659.0</v>
      </c>
      <c r="C889" s="1004">
        <f t="shared" si="1"/>
        <v>290</v>
      </c>
      <c r="D889" s="1005">
        <f t="shared" si="2"/>
        <v>9.508196721</v>
      </c>
      <c r="E889" s="1006">
        <f t="shared" si="3"/>
        <v>10</v>
      </c>
      <c r="F889" s="1006" t="s">
        <v>2783</v>
      </c>
      <c r="G889" s="1007">
        <v>0.012946055247793797</v>
      </c>
      <c r="H889" s="1012">
        <v>1.0</v>
      </c>
      <c r="I889" s="1009"/>
    </row>
    <row r="890">
      <c r="A890" t="s">
        <v>138</v>
      </c>
      <c r="B890" s="1003">
        <v>42659.0</v>
      </c>
      <c r="C890" s="1004">
        <f t="shared" si="1"/>
        <v>290</v>
      </c>
      <c r="D890" s="1005">
        <f t="shared" si="2"/>
        <v>9.508196721</v>
      </c>
      <c r="E890" s="1006">
        <f t="shared" si="3"/>
        <v>10</v>
      </c>
      <c r="F890" s="1006" t="s">
        <v>2783</v>
      </c>
      <c r="G890" s="1007">
        <v>0.023319987825769828</v>
      </c>
      <c r="H890" s="1012">
        <v>1.0</v>
      </c>
      <c r="I890" s="1009"/>
    </row>
    <row r="891">
      <c r="A891" t="s">
        <v>1784</v>
      </c>
      <c r="B891" s="1003">
        <v>43026.0</v>
      </c>
      <c r="C891" s="1004">
        <f t="shared" si="1"/>
        <v>291</v>
      </c>
      <c r="D891" s="1005">
        <f t="shared" si="2"/>
        <v>9.540983607</v>
      </c>
      <c r="E891" s="1006">
        <f t="shared" si="3"/>
        <v>10</v>
      </c>
      <c r="F891" s="1006" t="s">
        <v>2783</v>
      </c>
      <c r="G891" s="1007">
        <v>0.013798124734728745</v>
      </c>
      <c r="H891" s="1012">
        <v>1.0</v>
      </c>
      <c r="I891" s="1009"/>
    </row>
    <row r="892">
      <c r="A892" t="s">
        <v>1493</v>
      </c>
      <c r="B892" s="1003">
        <v>43026.0</v>
      </c>
      <c r="C892" s="1004">
        <f t="shared" si="1"/>
        <v>291</v>
      </c>
      <c r="D892" s="1005">
        <f t="shared" si="2"/>
        <v>9.540983607</v>
      </c>
      <c r="E892" s="1006">
        <f t="shared" si="3"/>
        <v>10</v>
      </c>
      <c r="F892" s="1006" t="s">
        <v>2783</v>
      </c>
      <c r="G892" s="1007">
        <v>-0.0015967066733879598</v>
      </c>
      <c r="H892" s="1012">
        <v>0.0</v>
      </c>
      <c r="I892" s="1009"/>
    </row>
    <row r="893">
      <c r="A893" t="s">
        <v>623</v>
      </c>
      <c r="B893" s="1003">
        <v>42295.0</v>
      </c>
      <c r="C893" s="1004">
        <f t="shared" si="1"/>
        <v>291</v>
      </c>
      <c r="D893" s="1005">
        <f t="shared" si="2"/>
        <v>9.540983607</v>
      </c>
      <c r="E893" s="1006">
        <f t="shared" si="3"/>
        <v>10</v>
      </c>
      <c r="F893" s="1006" t="s">
        <v>2783</v>
      </c>
      <c r="G893" s="1007">
        <v>-0.037312252506560006</v>
      </c>
      <c r="H893" s="1012">
        <v>-1.0</v>
      </c>
      <c r="I893" s="1009"/>
    </row>
    <row r="894">
      <c r="A894" t="s">
        <v>1558</v>
      </c>
      <c r="B894" s="1003">
        <v>42295.0</v>
      </c>
      <c r="C894" s="1004">
        <f t="shared" si="1"/>
        <v>291</v>
      </c>
      <c r="D894" s="1005">
        <f t="shared" si="2"/>
        <v>9.540983607</v>
      </c>
      <c r="E894" s="1006">
        <f t="shared" si="3"/>
        <v>10</v>
      </c>
      <c r="F894" s="1006" t="s">
        <v>2783</v>
      </c>
      <c r="G894" s="1007">
        <v>-0.004072740400751673</v>
      </c>
      <c r="H894" s="1012">
        <v>0.0</v>
      </c>
      <c r="I894" s="1009"/>
    </row>
    <row r="895">
      <c r="A895" t="s">
        <v>1741</v>
      </c>
      <c r="B895" s="1003">
        <v>42661.0</v>
      </c>
      <c r="C895" s="1004">
        <f t="shared" si="1"/>
        <v>292</v>
      </c>
      <c r="D895" s="1005">
        <f t="shared" si="2"/>
        <v>9.573770492</v>
      </c>
      <c r="E895" s="1006">
        <f t="shared" si="3"/>
        <v>10</v>
      </c>
      <c r="F895" s="1006" t="s">
        <v>2783</v>
      </c>
      <c r="G895" s="1007">
        <v>0.030560637555926196</v>
      </c>
      <c r="H895" s="1012">
        <v>1.0</v>
      </c>
      <c r="I895" s="1009"/>
    </row>
    <row r="896">
      <c r="A896" t="s">
        <v>1471</v>
      </c>
      <c r="B896" s="1003">
        <v>42296.0</v>
      </c>
      <c r="C896" s="1004">
        <f t="shared" si="1"/>
        <v>292</v>
      </c>
      <c r="D896" s="1005">
        <f t="shared" si="2"/>
        <v>9.573770492</v>
      </c>
      <c r="E896" s="1006">
        <f t="shared" si="3"/>
        <v>10</v>
      </c>
      <c r="F896" s="1006" t="s">
        <v>2783</v>
      </c>
      <c r="G896" s="1007">
        <v>0.015055307159370312</v>
      </c>
      <c r="H896" s="1012">
        <v>1.0</v>
      </c>
      <c r="I896" s="1009"/>
    </row>
    <row r="897">
      <c r="A897" t="s">
        <v>1475</v>
      </c>
      <c r="B897" s="1003">
        <v>42297.0</v>
      </c>
      <c r="C897" s="1004">
        <f t="shared" si="1"/>
        <v>293</v>
      </c>
      <c r="D897" s="1005">
        <f t="shared" si="2"/>
        <v>9.606557377</v>
      </c>
      <c r="E897" s="1006">
        <f t="shared" si="3"/>
        <v>10</v>
      </c>
      <c r="F897" s="1006" t="s">
        <v>2783</v>
      </c>
      <c r="G897" s="1007">
        <v>0.009470379544375573</v>
      </c>
      <c r="H897" s="1012">
        <v>0.0</v>
      </c>
      <c r="I897" s="1009"/>
    </row>
    <row r="898">
      <c r="A898" t="s">
        <v>1478</v>
      </c>
      <c r="B898" s="1003">
        <v>42297.0</v>
      </c>
      <c r="C898" s="1004">
        <f t="shared" si="1"/>
        <v>293</v>
      </c>
      <c r="D898" s="1005">
        <f t="shared" si="2"/>
        <v>9.606557377</v>
      </c>
      <c r="E898" s="1006">
        <f t="shared" si="3"/>
        <v>10</v>
      </c>
      <c r="F898" s="1006" t="s">
        <v>2783</v>
      </c>
      <c r="G898" s="1007">
        <v>-0.02628265128477869</v>
      </c>
      <c r="H898" s="1012">
        <v>-1.0</v>
      </c>
      <c r="I898" s="1009"/>
    </row>
    <row r="899">
      <c r="A899" t="s">
        <v>1637</v>
      </c>
      <c r="B899" s="1003">
        <v>42297.0</v>
      </c>
      <c r="C899" s="1004">
        <f t="shared" si="1"/>
        <v>293</v>
      </c>
      <c r="D899" s="1005">
        <f t="shared" si="2"/>
        <v>9.606557377</v>
      </c>
      <c r="E899" s="1006">
        <f t="shared" si="3"/>
        <v>10</v>
      </c>
      <c r="F899" s="1006" t="s">
        <v>2783</v>
      </c>
      <c r="G899" s="1007">
        <v>0.008791503568658543</v>
      </c>
      <c r="H899" s="1012">
        <v>0.0</v>
      </c>
      <c r="I899" s="1009"/>
    </row>
    <row r="900">
      <c r="A900" t="s">
        <v>1741</v>
      </c>
      <c r="B900" s="1003">
        <v>42297.0</v>
      </c>
      <c r="C900" s="1004">
        <f t="shared" si="1"/>
        <v>293</v>
      </c>
      <c r="D900" s="1005">
        <f t="shared" si="2"/>
        <v>9.606557377</v>
      </c>
      <c r="E900" s="1006">
        <f t="shared" si="3"/>
        <v>10</v>
      </c>
      <c r="F900" s="1006" t="s">
        <v>2783</v>
      </c>
      <c r="G900" s="1007">
        <v>-0.04850897165898049</v>
      </c>
      <c r="H900" s="1012">
        <v>-1.0</v>
      </c>
      <c r="I900" s="1009"/>
    </row>
    <row r="901">
      <c r="A901" t="s">
        <v>1799</v>
      </c>
      <c r="B901" s="1003">
        <v>42663.0</v>
      </c>
      <c r="C901" s="1004">
        <f t="shared" si="1"/>
        <v>294</v>
      </c>
      <c r="D901" s="1005">
        <f t="shared" si="2"/>
        <v>9.639344262</v>
      </c>
      <c r="E901" s="1006">
        <f t="shared" si="3"/>
        <v>10</v>
      </c>
      <c r="F901" s="1006" t="s">
        <v>2783</v>
      </c>
      <c r="G901" s="1007">
        <v>0.001986566231718001</v>
      </c>
      <c r="H901" s="1012">
        <v>0.0</v>
      </c>
      <c r="I901" s="1009"/>
    </row>
    <row r="902">
      <c r="A902" t="s">
        <v>1717</v>
      </c>
      <c r="B902" s="1003">
        <v>42663.0</v>
      </c>
      <c r="C902" s="1004">
        <f t="shared" si="1"/>
        <v>294</v>
      </c>
      <c r="D902" s="1005">
        <f t="shared" si="2"/>
        <v>9.639344262</v>
      </c>
      <c r="E902" s="1006">
        <f t="shared" si="3"/>
        <v>10</v>
      </c>
      <c r="F902" s="1006" t="s">
        <v>2783</v>
      </c>
      <c r="G902" s="1007">
        <v>0.036244490060982404</v>
      </c>
      <c r="H902" s="1012">
        <v>1.0</v>
      </c>
      <c r="I902" s="1009"/>
    </row>
    <row r="903">
      <c r="A903" t="s">
        <v>565</v>
      </c>
      <c r="B903" s="1003">
        <v>42663.0</v>
      </c>
      <c r="C903" s="1004">
        <f t="shared" si="1"/>
        <v>294</v>
      </c>
      <c r="D903" s="1005">
        <f t="shared" si="2"/>
        <v>9.639344262</v>
      </c>
      <c r="E903" s="1006">
        <f t="shared" si="3"/>
        <v>10</v>
      </c>
      <c r="F903" s="1006" t="s">
        <v>2783</v>
      </c>
      <c r="G903" s="1007">
        <v>0.045187273290099195</v>
      </c>
      <c r="H903" s="1012">
        <v>1.0</v>
      </c>
      <c r="I903" s="1009"/>
    </row>
    <row r="904">
      <c r="A904" t="s">
        <v>569</v>
      </c>
      <c r="B904" s="1003">
        <v>42663.0</v>
      </c>
      <c r="C904" s="1004">
        <f t="shared" si="1"/>
        <v>294</v>
      </c>
      <c r="D904" s="1005">
        <f t="shared" si="2"/>
        <v>9.639344262</v>
      </c>
      <c r="E904" s="1006">
        <f t="shared" si="3"/>
        <v>10</v>
      </c>
      <c r="F904" s="1006" t="s">
        <v>2783</v>
      </c>
      <c r="G904" s="1007">
        <v>0.02344905456429469</v>
      </c>
      <c r="H904" s="1012">
        <v>1.0</v>
      </c>
      <c r="I904" s="1009"/>
    </row>
    <row r="905">
      <c r="A905" t="s">
        <v>1485</v>
      </c>
      <c r="B905" s="1003">
        <v>42298.0</v>
      </c>
      <c r="C905" s="1004">
        <f t="shared" si="1"/>
        <v>294</v>
      </c>
      <c r="D905" s="1005">
        <f t="shared" si="2"/>
        <v>9.639344262</v>
      </c>
      <c r="E905" s="1006">
        <f t="shared" si="3"/>
        <v>10</v>
      </c>
      <c r="F905" s="1006" t="s">
        <v>2783</v>
      </c>
      <c r="G905" s="1007">
        <v>-0.03509524280496268</v>
      </c>
      <c r="H905" s="1012">
        <v>-1.0</v>
      </c>
      <c r="I905" s="1009"/>
    </row>
    <row r="906">
      <c r="A906" t="s">
        <v>1491</v>
      </c>
      <c r="B906" s="1003">
        <v>42298.0</v>
      </c>
      <c r="C906" s="1004">
        <f t="shared" si="1"/>
        <v>294</v>
      </c>
      <c r="D906" s="1005">
        <f t="shared" si="2"/>
        <v>9.639344262</v>
      </c>
      <c r="E906" s="1006">
        <f t="shared" si="3"/>
        <v>10</v>
      </c>
      <c r="F906" s="1006" t="s">
        <v>2783</v>
      </c>
      <c r="G906" s="1007">
        <v>-0.07226789329180516</v>
      </c>
      <c r="H906" s="1012">
        <v>-1.0</v>
      </c>
      <c r="I906" s="1009"/>
    </row>
    <row r="907">
      <c r="A907" t="s">
        <v>1493</v>
      </c>
      <c r="B907" s="1003">
        <v>42298.0</v>
      </c>
      <c r="C907" s="1004">
        <f t="shared" si="1"/>
        <v>294</v>
      </c>
      <c r="D907" s="1005">
        <f t="shared" si="2"/>
        <v>9.639344262</v>
      </c>
      <c r="E907" s="1006">
        <f t="shared" si="3"/>
        <v>10</v>
      </c>
      <c r="F907" s="1006" t="s">
        <v>2783</v>
      </c>
      <c r="G907" s="1007">
        <v>-0.021105884033894573</v>
      </c>
      <c r="H907" s="1012">
        <v>-1.0</v>
      </c>
      <c r="I907" s="1009"/>
    </row>
    <row r="908">
      <c r="A908" t="s">
        <v>361</v>
      </c>
      <c r="B908" s="1003">
        <v>42298.0</v>
      </c>
      <c r="C908" s="1004">
        <f t="shared" si="1"/>
        <v>294</v>
      </c>
      <c r="D908" s="1005">
        <f t="shared" si="2"/>
        <v>9.639344262</v>
      </c>
      <c r="E908" s="1006">
        <f t="shared" si="3"/>
        <v>10</v>
      </c>
      <c r="F908" s="1006" t="s">
        <v>2783</v>
      </c>
      <c r="G908" s="1007">
        <v>-0.022362813793290748</v>
      </c>
      <c r="H908" s="1012">
        <v>-1.0</v>
      </c>
      <c r="I908" s="1009"/>
    </row>
    <row r="909">
      <c r="A909" t="s">
        <v>1503</v>
      </c>
      <c r="B909" s="1003">
        <v>42298.0</v>
      </c>
      <c r="C909" s="1004">
        <f t="shared" si="1"/>
        <v>294</v>
      </c>
      <c r="D909" s="1005">
        <f t="shared" si="2"/>
        <v>9.639344262</v>
      </c>
      <c r="E909" s="1006">
        <f t="shared" si="3"/>
        <v>10</v>
      </c>
      <c r="F909" s="1006" t="s">
        <v>2783</v>
      </c>
      <c r="G909" s="1007">
        <v>0.006446135525346786</v>
      </c>
      <c r="H909" s="1012">
        <v>0.0</v>
      </c>
      <c r="I909" s="1009"/>
    </row>
    <row r="910">
      <c r="A910" t="s">
        <v>640</v>
      </c>
      <c r="B910" s="1003">
        <v>42298.0</v>
      </c>
      <c r="C910" s="1004">
        <f t="shared" si="1"/>
        <v>294</v>
      </c>
      <c r="D910" s="1005">
        <f t="shared" si="2"/>
        <v>9.639344262</v>
      </c>
      <c r="E910" s="1006">
        <f t="shared" si="3"/>
        <v>10</v>
      </c>
      <c r="F910" s="1006" t="s">
        <v>2783</v>
      </c>
      <c r="G910" s="1007">
        <v>-0.009239623785020079</v>
      </c>
      <c r="H910" s="1012">
        <v>0.0</v>
      </c>
      <c r="I910" s="1009"/>
    </row>
    <row r="911">
      <c r="A911" t="s">
        <v>1560</v>
      </c>
      <c r="B911" s="1003">
        <v>42298.0</v>
      </c>
      <c r="C911" s="1004">
        <f t="shared" si="1"/>
        <v>294</v>
      </c>
      <c r="D911" s="1005">
        <f t="shared" si="2"/>
        <v>9.639344262</v>
      </c>
      <c r="E911" s="1006">
        <f t="shared" si="3"/>
        <v>10</v>
      </c>
      <c r="F911" s="1006" t="s">
        <v>2783</v>
      </c>
      <c r="G911" s="1007">
        <v>-0.009000112128061621</v>
      </c>
      <c r="H911" s="1012">
        <v>0.0</v>
      </c>
      <c r="I911" s="1009"/>
    </row>
    <row r="912">
      <c r="A912" t="s">
        <v>357</v>
      </c>
      <c r="B912" s="1003">
        <v>42298.0</v>
      </c>
      <c r="C912" s="1004">
        <f t="shared" si="1"/>
        <v>294</v>
      </c>
      <c r="D912" s="1005">
        <f t="shared" si="2"/>
        <v>9.639344262</v>
      </c>
      <c r="E912" s="1006">
        <f t="shared" si="3"/>
        <v>10</v>
      </c>
      <c r="F912" s="1006" t="s">
        <v>2783</v>
      </c>
      <c r="G912" s="1007">
        <v>-0.009599037272437494</v>
      </c>
      <c r="H912" s="1012">
        <v>0.0</v>
      </c>
      <c r="I912" s="1009"/>
    </row>
    <row r="913">
      <c r="A913" t="s">
        <v>392</v>
      </c>
      <c r="B913" s="1003">
        <v>42299.0</v>
      </c>
      <c r="C913" s="1004">
        <f t="shared" si="1"/>
        <v>295</v>
      </c>
      <c r="D913" s="1005">
        <f t="shared" si="2"/>
        <v>9.672131148</v>
      </c>
      <c r="E913" s="1006">
        <f t="shared" si="3"/>
        <v>10</v>
      </c>
      <c r="F913" s="1006" t="s">
        <v>2783</v>
      </c>
      <c r="G913" s="1007">
        <v>-0.00937645254787356</v>
      </c>
      <c r="H913" s="1012">
        <v>0.0</v>
      </c>
      <c r="I913" s="1009"/>
    </row>
    <row r="914">
      <c r="A914" t="s">
        <v>125</v>
      </c>
      <c r="B914" s="1003">
        <v>42299.0</v>
      </c>
      <c r="C914" s="1004">
        <f t="shared" si="1"/>
        <v>295</v>
      </c>
      <c r="D914" s="1005">
        <f t="shared" si="2"/>
        <v>9.672131148</v>
      </c>
      <c r="E914" s="1006">
        <f t="shared" si="3"/>
        <v>10</v>
      </c>
      <c r="F914" s="1006" t="s">
        <v>2783</v>
      </c>
      <c r="G914" s="1007">
        <v>0.014895085270292374</v>
      </c>
      <c r="H914" s="1012">
        <v>1.0</v>
      </c>
      <c r="I914" s="1009"/>
    </row>
    <row r="915">
      <c r="A915" t="s">
        <v>161</v>
      </c>
      <c r="B915" s="1003">
        <v>42299.0</v>
      </c>
      <c r="C915" s="1004">
        <f t="shared" si="1"/>
        <v>295</v>
      </c>
      <c r="D915" s="1005">
        <f t="shared" si="2"/>
        <v>9.672131148</v>
      </c>
      <c r="E915" s="1006">
        <f t="shared" si="3"/>
        <v>10</v>
      </c>
      <c r="F915" s="1006" t="s">
        <v>2783</v>
      </c>
      <c r="G915" s="1007">
        <v>-0.015540604401371616</v>
      </c>
      <c r="H915" s="1012">
        <v>-1.0</v>
      </c>
      <c r="I915" s="1009"/>
    </row>
    <row r="916">
      <c r="A916" t="s">
        <v>623</v>
      </c>
      <c r="B916" s="1003">
        <v>43031.0</v>
      </c>
      <c r="C916" s="1004">
        <f t="shared" si="1"/>
        <v>296</v>
      </c>
      <c r="D916" s="1005">
        <f t="shared" si="2"/>
        <v>9.704918033</v>
      </c>
      <c r="E916" s="1006">
        <f t="shared" si="3"/>
        <v>10</v>
      </c>
      <c r="F916" s="1006" t="s">
        <v>2783</v>
      </c>
      <c r="G916" s="1007">
        <v>0.006416011580630876</v>
      </c>
      <c r="H916" s="1012">
        <v>0.0</v>
      </c>
      <c r="I916" s="1009"/>
    </row>
    <row r="917">
      <c r="A917" t="s">
        <v>279</v>
      </c>
      <c r="B917" s="1003">
        <v>42300.0</v>
      </c>
      <c r="C917" s="1004">
        <f t="shared" si="1"/>
        <v>296</v>
      </c>
      <c r="D917" s="1005">
        <f t="shared" si="2"/>
        <v>9.704918033</v>
      </c>
      <c r="E917" s="1006">
        <f t="shared" si="3"/>
        <v>10</v>
      </c>
      <c r="F917" s="1006" t="s">
        <v>2783</v>
      </c>
      <c r="G917" s="1007">
        <v>0.007194806292591505</v>
      </c>
      <c r="H917" s="1012">
        <v>0.0</v>
      </c>
      <c r="I917" s="1009"/>
    </row>
    <row r="918">
      <c r="A918" t="s">
        <v>541</v>
      </c>
      <c r="B918" s="1003">
        <v>42300.0</v>
      </c>
      <c r="C918" s="1004">
        <f t="shared" si="1"/>
        <v>296</v>
      </c>
      <c r="D918" s="1005">
        <f t="shared" si="2"/>
        <v>9.704918033</v>
      </c>
      <c r="E918" s="1006">
        <f t="shared" si="3"/>
        <v>10</v>
      </c>
      <c r="F918" s="1006" t="s">
        <v>2783</v>
      </c>
      <c r="G918" s="1007">
        <v>-0.015748583964422136</v>
      </c>
      <c r="H918" s="1012">
        <v>-1.0</v>
      </c>
      <c r="I918" s="1009"/>
    </row>
    <row r="919">
      <c r="A919" t="s">
        <v>651</v>
      </c>
      <c r="B919" s="1003">
        <v>42300.0</v>
      </c>
      <c r="C919" s="1004">
        <f t="shared" si="1"/>
        <v>296</v>
      </c>
      <c r="D919" s="1005">
        <f t="shared" si="2"/>
        <v>9.704918033</v>
      </c>
      <c r="E919" s="1006">
        <f t="shared" si="3"/>
        <v>10</v>
      </c>
      <c r="F919" s="1006" t="s">
        <v>2783</v>
      </c>
      <c r="G919" s="1007">
        <v>0.024292574109301746</v>
      </c>
      <c r="H919" s="1012">
        <v>1.0</v>
      </c>
      <c r="I919" s="1009"/>
    </row>
    <row r="920">
      <c r="A920" t="s">
        <v>1784</v>
      </c>
      <c r="B920" s="1003">
        <v>42666.0</v>
      </c>
      <c r="C920" s="1004">
        <f t="shared" si="1"/>
        <v>297</v>
      </c>
      <c r="D920" s="1005">
        <f t="shared" si="2"/>
        <v>9.737704918</v>
      </c>
      <c r="E920" s="1006">
        <f t="shared" si="3"/>
        <v>10</v>
      </c>
      <c r="F920" s="1006" t="s">
        <v>2783</v>
      </c>
      <c r="G920" s="1007">
        <v>0.010021182857484878</v>
      </c>
      <c r="H920" s="1012">
        <v>1.0</v>
      </c>
      <c r="I920" s="1009"/>
    </row>
    <row r="921">
      <c r="A921" t="s">
        <v>300</v>
      </c>
      <c r="B921" s="1003">
        <v>42666.0</v>
      </c>
      <c r="C921" s="1004">
        <f t="shared" si="1"/>
        <v>297</v>
      </c>
      <c r="D921" s="1005">
        <f t="shared" si="2"/>
        <v>9.737704918</v>
      </c>
      <c r="E921" s="1006">
        <f t="shared" si="3"/>
        <v>10</v>
      </c>
      <c r="F921" s="1006" t="s">
        <v>2783</v>
      </c>
      <c r="G921" s="1007">
        <v>-0.0025122121980517553</v>
      </c>
      <c r="H921" s="1012">
        <v>0.0</v>
      </c>
      <c r="I921" s="1009"/>
    </row>
    <row r="922">
      <c r="A922" t="s">
        <v>1776</v>
      </c>
      <c r="B922" s="1003">
        <v>42666.0</v>
      </c>
      <c r="C922" s="1004">
        <f t="shared" si="1"/>
        <v>297</v>
      </c>
      <c r="D922" s="1005">
        <f t="shared" si="2"/>
        <v>9.737704918</v>
      </c>
      <c r="E922" s="1006">
        <f t="shared" si="3"/>
        <v>10</v>
      </c>
      <c r="F922" s="1006" t="s">
        <v>2783</v>
      </c>
      <c r="G922" s="1007">
        <v>-0.024817504398184087</v>
      </c>
      <c r="H922" s="1012">
        <v>-1.0</v>
      </c>
      <c r="I922" s="1009"/>
    </row>
    <row r="923">
      <c r="A923" t="s">
        <v>1454</v>
      </c>
      <c r="B923" s="1003">
        <v>42301.0</v>
      </c>
      <c r="C923" s="1004">
        <f t="shared" si="1"/>
        <v>297</v>
      </c>
      <c r="D923" s="1005">
        <f t="shared" si="2"/>
        <v>9.737704918</v>
      </c>
      <c r="E923" s="1006">
        <f t="shared" si="3"/>
        <v>10</v>
      </c>
      <c r="F923" s="1006" t="s">
        <v>2783</v>
      </c>
      <c r="G923" s="1007">
        <v>-0.02125461307317389</v>
      </c>
      <c r="H923" s="1012">
        <v>-1.0</v>
      </c>
      <c r="I923" s="1009"/>
    </row>
    <row r="924">
      <c r="A924" t="s">
        <v>761</v>
      </c>
      <c r="B924" s="1003">
        <v>42301.0</v>
      </c>
      <c r="C924" s="1004">
        <f t="shared" si="1"/>
        <v>297</v>
      </c>
      <c r="D924" s="1005">
        <f t="shared" si="2"/>
        <v>9.737704918</v>
      </c>
      <c r="E924" s="1006">
        <f t="shared" si="3"/>
        <v>10</v>
      </c>
      <c r="F924" s="1006" t="s">
        <v>2783</v>
      </c>
      <c r="G924" s="1007">
        <v>-0.013955774035699142</v>
      </c>
      <c r="H924" s="1012">
        <v>-1.0</v>
      </c>
      <c r="I924" s="1009"/>
    </row>
    <row r="925">
      <c r="A925" t="s">
        <v>761</v>
      </c>
      <c r="B925" s="1003">
        <v>42301.0</v>
      </c>
      <c r="C925" s="1004">
        <f t="shared" si="1"/>
        <v>297</v>
      </c>
      <c r="D925" s="1005">
        <f t="shared" si="2"/>
        <v>9.737704918</v>
      </c>
      <c r="E925" s="1006">
        <f t="shared" si="3"/>
        <v>10</v>
      </c>
      <c r="F925" s="1006" t="s">
        <v>2783</v>
      </c>
      <c r="G925" s="1007">
        <v>-0.013856492912929008</v>
      </c>
      <c r="H925" s="1012">
        <v>-1.0</v>
      </c>
      <c r="I925" s="1009"/>
    </row>
    <row r="926">
      <c r="A926" t="s">
        <v>761</v>
      </c>
      <c r="B926" s="1003">
        <v>42301.0</v>
      </c>
      <c r="C926" s="1004">
        <f t="shared" si="1"/>
        <v>297</v>
      </c>
      <c r="D926" s="1005">
        <f t="shared" si="2"/>
        <v>9.737704918</v>
      </c>
      <c r="E926" s="1006">
        <f t="shared" si="3"/>
        <v>10</v>
      </c>
      <c r="F926" s="1006" t="s">
        <v>2783</v>
      </c>
      <c r="G926" s="1007">
        <v>-0.011160055787193923</v>
      </c>
      <c r="H926" s="1012">
        <v>-1.0</v>
      </c>
      <c r="I926" s="1009"/>
    </row>
    <row r="927">
      <c r="A927" t="s">
        <v>477</v>
      </c>
      <c r="B927" s="1003">
        <v>42301.0</v>
      </c>
      <c r="C927" s="1004">
        <f t="shared" si="1"/>
        <v>297</v>
      </c>
      <c r="D927" s="1005">
        <f t="shared" si="2"/>
        <v>9.737704918</v>
      </c>
      <c r="E927" s="1006">
        <f t="shared" si="3"/>
        <v>10</v>
      </c>
      <c r="F927" s="1006" t="s">
        <v>2783</v>
      </c>
      <c r="G927" s="1007">
        <v>0.009291081604422935</v>
      </c>
      <c r="H927" s="1012">
        <v>0.0</v>
      </c>
      <c r="I927" s="1009"/>
    </row>
    <row r="928">
      <c r="A928" t="s">
        <v>155</v>
      </c>
      <c r="B928" s="1003">
        <v>42301.0</v>
      </c>
      <c r="C928" s="1004">
        <f t="shared" si="1"/>
        <v>297</v>
      </c>
      <c r="D928" s="1005">
        <f t="shared" si="2"/>
        <v>9.737704918</v>
      </c>
      <c r="E928" s="1006">
        <f t="shared" si="3"/>
        <v>10</v>
      </c>
      <c r="F928" s="1006" t="s">
        <v>2783</v>
      </c>
      <c r="G928" s="1007">
        <v>-0.008783200672571767</v>
      </c>
      <c r="H928" s="1012">
        <v>0.0</v>
      </c>
      <c r="I928" s="1009"/>
    </row>
    <row r="929">
      <c r="A929" t="s">
        <v>1447</v>
      </c>
      <c r="B929" s="1003">
        <v>42667.0</v>
      </c>
      <c r="C929" s="1004">
        <f t="shared" si="1"/>
        <v>298</v>
      </c>
      <c r="D929" s="1005">
        <f t="shared" si="2"/>
        <v>9.770491803</v>
      </c>
      <c r="E929" s="1006">
        <f t="shared" si="3"/>
        <v>10</v>
      </c>
      <c r="F929" s="1006" t="s">
        <v>2783</v>
      </c>
      <c r="G929" s="1007">
        <v>0.0027687171274628497</v>
      </c>
      <c r="H929" s="1012">
        <v>0.0</v>
      </c>
      <c r="I929" s="1009"/>
    </row>
    <row r="930">
      <c r="A930" t="s">
        <v>363</v>
      </c>
      <c r="B930" s="1003">
        <v>42302.0</v>
      </c>
      <c r="C930" s="1004">
        <f t="shared" si="1"/>
        <v>298</v>
      </c>
      <c r="D930" s="1005">
        <f t="shared" si="2"/>
        <v>9.770491803</v>
      </c>
      <c r="E930" s="1006">
        <f t="shared" si="3"/>
        <v>10</v>
      </c>
      <c r="F930" s="1006" t="s">
        <v>2783</v>
      </c>
      <c r="G930" s="1007">
        <v>-0.12892244403226316</v>
      </c>
      <c r="H930" s="1012">
        <v>-1.0</v>
      </c>
      <c r="I930" s="1009"/>
    </row>
    <row r="931">
      <c r="A931" t="s">
        <v>1762</v>
      </c>
      <c r="B931" s="1003">
        <v>42668.0</v>
      </c>
      <c r="C931" s="1004">
        <f t="shared" si="1"/>
        <v>299</v>
      </c>
      <c r="D931" s="1005">
        <f t="shared" si="2"/>
        <v>9.803278689</v>
      </c>
      <c r="E931" s="1006">
        <f t="shared" si="3"/>
        <v>10</v>
      </c>
      <c r="F931" s="1006" t="s">
        <v>2783</v>
      </c>
      <c r="G931" s="1007">
        <v>0.005148279948025025</v>
      </c>
      <c r="H931" s="1012">
        <v>0.0</v>
      </c>
      <c r="I931" s="1009"/>
    </row>
    <row r="932">
      <c r="A932" t="s">
        <v>1741</v>
      </c>
      <c r="B932" s="1003">
        <v>42668.0</v>
      </c>
      <c r="C932" s="1004">
        <f t="shared" si="1"/>
        <v>299</v>
      </c>
      <c r="D932" s="1005">
        <f t="shared" si="2"/>
        <v>9.803278689</v>
      </c>
      <c r="E932" s="1006">
        <f t="shared" si="3"/>
        <v>10</v>
      </c>
      <c r="F932" s="1006" t="s">
        <v>2783</v>
      </c>
      <c r="G932" s="1007">
        <v>0.026014753495220644</v>
      </c>
      <c r="H932" s="1012">
        <v>1.0</v>
      </c>
      <c r="I932" s="1009"/>
    </row>
    <row r="933">
      <c r="A933" t="s">
        <v>428</v>
      </c>
      <c r="B933" s="1003">
        <v>42668.0</v>
      </c>
      <c r="C933" s="1004">
        <f t="shared" si="1"/>
        <v>299</v>
      </c>
      <c r="D933" s="1005">
        <f t="shared" si="2"/>
        <v>9.803278689</v>
      </c>
      <c r="E933" s="1006">
        <f t="shared" si="3"/>
        <v>10</v>
      </c>
      <c r="F933" s="1006" t="s">
        <v>2783</v>
      </c>
      <c r="G933" s="1007">
        <v>0.02876513091308175</v>
      </c>
      <c r="H933" s="1012">
        <v>1.0</v>
      </c>
      <c r="I933" s="1009"/>
    </row>
    <row r="934">
      <c r="A934" t="s">
        <v>1551</v>
      </c>
      <c r="B934" s="1003">
        <v>42303.0</v>
      </c>
      <c r="C934" s="1004">
        <f t="shared" si="1"/>
        <v>299</v>
      </c>
      <c r="D934" s="1005">
        <f t="shared" si="2"/>
        <v>9.803278689</v>
      </c>
      <c r="E934" s="1006">
        <f t="shared" si="3"/>
        <v>10</v>
      </c>
      <c r="F934" s="1006" t="s">
        <v>2783</v>
      </c>
      <c r="G934" s="1007">
        <v>-0.013082647778064893</v>
      </c>
      <c r="H934" s="1012">
        <v>-1.0</v>
      </c>
      <c r="I934" s="1009"/>
    </row>
    <row r="935">
      <c r="A935" t="s">
        <v>1454</v>
      </c>
      <c r="B935" s="1003">
        <v>42303.0</v>
      </c>
      <c r="C935" s="1004">
        <f t="shared" si="1"/>
        <v>299</v>
      </c>
      <c r="D935" s="1005">
        <f t="shared" si="2"/>
        <v>9.803278689</v>
      </c>
      <c r="E935" s="1006">
        <f t="shared" si="3"/>
        <v>10</v>
      </c>
      <c r="F935" s="1006" t="s">
        <v>2783</v>
      </c>
      <c r="G935" s="1007">
        <v>0.004059542628689794</v>
      </c>
      <c r="H935" s="1012">
        <v>0.0</v>
      </c>
      <c r="I935" s="1009"/>
    </row>
    <row r="936">
      <c r="A936" t="s">
        <v>1845</v>
      </c>
      <c r="B936" s="1003">
        <v>43035.0</v>
      </c>
      <c r="C936" s="1004">
        <f t="shared" si="1"/>
        <v>300</v>
      </c>
      <c r="D936" s="1005">
        <f t="shared" si="2"/>
        <v>9.836065574</v>
      </c>
      <c r="E936" s="1006">
        <f t="shared" si="3"/>
        <v>10</v>
      </c>
      <c r="F936" s="1006" t="s">
        <v>2783</v>
      </c>
      <c r="G936" s="1007">
        <v>0.0032328002003554346</v>
      </c>
      <c r="H936" s="1012">
        <v>0.0</v>
      </c>
      <c r="I936" s="1009"/>
    </row>
    <row r="937">
      <c r="A937" t="s">
        <v>1554</v>
      </c>
      <c r="B937" s="1003">
        <v>42304.0</v>
      </c>
      <c r="C937" s="1004">
        <f t="shared" si="1"/>
        <v>300</v>
      </c>
      <c r="D937" s="1005">
        <f t="shared" si="2"/>
        <v>9.836065574</v>
      </c>
      <c r="E937" s="1006">
        <f t="shared" si="3"/>
        <v>10</v>
      </c>
      <c r="F937" s="1006" t="s">
        <v>2783</v>
      </c>
      <c r="G937" s="1007">
        <v>0.0328449114693703</v>
      </c>
      <c r="H937" s="1012">
        <v>1.0</v>
      </c>
      <c r="I937" s="1009"/>
    </row>
    <row r="938">
      <c r="A938" t="s">
        <v>92</v>
      </c>
      <c r="B938" s="1003">
        <v>42304.0</v>
      </c>
      <c r="C938" s="1004">
        <f t="shared" si="1"/>
        <v>300</v>
      </c>
      <c r="D938" s="1005">
        <f t="shared" si="2"/>
        <v>9.836065574</v>
      </c>
      <c r="E938" s="1006">
        <f t="shared" si="3"/>
        <v>10</v>
      </c>
      <c r="F938" s="1006" t="s">
        <v>2783</v>
      </c>
      <c r="G938" s="1007">
        <v>0.011820345180178049</v>
      </c>
      <c r="H938" s="1012">
        <v>1.0</v>
      </c>
      <c r="I938" s="1009"/>
    </row>
    <row r="939">
      <c r="A939" t="s">
        <v>1454</v>
      </c>
      <c r="B939" s="1003">
        <v>43036.0</v>
      </c>
      <c r="C939" s="1004">
        <f t="shared" si="1"/>
        <v>301</v>
      </c>
      <c r="D939" s="1005">
        <f t="shared" si="2"/>
        <v>9.868852459</v>
      </c>
      <c r="E939" s="1006">
        <f t="shared" si="3"/>
        <v>10</v>
      </c>
      <c r="F939" s="1006" t="s">
        <v>2783</v>
      </c>
      <c r="G939" s="1007">
        <v>0.007807179174443957</v>
      </c>
      <c r="H939" s="1012">
        <v>0.0</v>
      </c>
      <c r="I939" s="1009"/>
    </row>
    <row r="940">
      <c r="A940" t="s">
        <v>1741</v>
      </c>
      <c r="B940" s="1003">
        <v>42670.0</v>
      </c>
      <c r="C940" s="1004">
        <f t="shared" si="1"/>
        <v>301</v>
      </c>
      <c r="D940" s="1005">
        <f t="shared" si="2"/>
        <v>9.868852459</v>
      </c>
      <c r="E940" s="1006">
        <f t="shared" si="3"/>
        <v>10</v>
      </c>
      <c r="F940" s="1006" t="s">
        <v>2783</v>
      </c>
      <c r="G940" s="1007">
        <v>0.02635576534774764</v>
      </c>
      <c r="H940" s="1012">
        <v>1.0</v>
      </c>
      <c r="I940" s="1009"/>
    </row>
    <row r="941">
      <c r="A941" t="s">
        <v>221</v>
      </c>
      <c r="B941" s="1003">
        <v>42670.0</v>
      </c>
      <c r="C941" s="1004">
        <f t="shared" si="1"/>
        <v>301</v>
      </c>
      <c r="D941" s="1005">
        <f t="shared" si="2"/>
        <v>9.868852459</v>
      </c>
      <c r="E941" s="1006">
        <f t="shared" si="3"/>
        <v>10</v>
      </c>
      <c r="F941" s="1006" t="s">
        <v>2783</v>
      </c>
      <c r="G941" s="1007">
        <v>0.02352736562100155</v>
      </c>
      <c r="H941" s="1012">
        <v>1.0</v>
      </c>
      <c r="I941" s="1009"/>
    </row>
    <row r="942">
      <c r="A942" t="s">
        <v>304</v>
      </c>
      <c r="B942" s="1003">
        <v>43037.0</v>
      </c>
      <c r="C942" s="1004">
        <f t="shared" si="1"/>
        <v>302</v>
      </c>
      <c r="D942" s="1005">
        <f t="shared" si="2"/>
        <v>9.901639344</v>
      </c>
      <c r="E942" s="1006">
        <f t="shared" si="3"/>
        <v>10</v>
      </c>
      <c r="F942" s="1006" t="s">
        <v>2783</v>
      </c>
      <c r="G942" s="1007">
        <v>0.01004277769766404</v>
      </c>
      <c r="H942" s="1012">
        <v>1.0</v>
      </c>
      <c r="I942" s="1009"/>
    </row>
    <row r="943">
      <c r="A943" t="s">
        <v>1814</v>
      </c>
      <c r="B943" s="1003">
        <v>42671.0</v>
      </c>
      <c r="C943" s="1004">
        <f t="shared" si="1"/>
        <v>302</v>
      </c>
      <c r="D943" s="1005">
        <f t="shared" si="2"/>
        <v>9.901639344</v>
      </c>
      <c r="E943" s="1006">
        <f t="shared" si="3"/>
        <v>10</v>
      </c>
      <c r="F943" s="1006" t="s">
        <v>2783</v>
      </c>
      <c r="G943" s="1007">
        <v>-9.146344409978191E-4</v>
      </c>
      <c r="H943" s="1012">
        <v>0.0</v>
      </c>
      <c r="I943" s="1009"/>
    </row>
    <row r="944">
      <c r="A944" t="s">
        <v>849</v>
      </c>
      <c r="B944" s="1003">
        <v>43038.0</v>
      </c>
      <c r="C944" s="1004">
        <f t="shared" si="1"/>
        <v>303</v>
      </c>
      <c r="D944" s="1005">
        <f t="shared" si="2"/>
        <v>9.93442623</v>
      </c>
      <c r="E944" s="1006">
        <f t="shared" si="3"/>
        <v>10</v>
      </c>
      <c r="F944" s="1006" t="s">
        <v>2783</v>
      </c>
      <c r="G944" s="1007">
        <v>0.011948623092289501</v>
      </c>
      <c r="H944" s="1012">
        <v>1.0</v>
      </c>
      <c r="I944" s="1009"/>
    </row>
    <row r="945">
      <c r="A945" t="s">
        <v>1795</v>
      </c>
      <c r="B945" s="1003">
        <v>42672.0</v>
      </c>
      <c r="C945" s="1004">
        <f t="shared" si="1"/>
        <v>303</v>
      </c>
      <c r="D945" s="1005">
        <f t="shared" si="2"/>
        <v>9.93442623</v>
      </c>
      <c r="E945" s="1006">
        <f t="shared" si="3"/>
        <v>10</v>
      </c>
      <c r="F945" s="1006" t="s">
        <v>2783</v>
      </c>
      <c r="G945" s="1007">
        <v>0.028519732004950393</v>
      </c>
      <c r="H945" s="1012">
        <v>1.0</v>
      </c>
      <c r="I945" s="1009"/>
    </row>
    <row r="946">
      <c r="A946" t="s">
        <v>761</v>
      </c>
      <c r="B946" s="1003">
        <v>42672.0</v>
      </c>
      <c r="C946" s="1004">
        <f t="shared" si="1"/>
        <v>303</v>
      </c>
      <c r="D946" s="1005">
        <f t="shared" si="2"/>
        <v>9.93442623</v>
      </c>
      <c r="E946" s="1006">
        <f t="shared" si="3"/>
        <v>10</v>
      </c>
      <c r="F946" s="1006" t="s">
        <v>2783</v>
      </c>
      <c r="G946" s="1007">
        <v>-0.024209879693954273</v>
      </c>
      <c r="H946" s="1012">
        <v>-1.0</v>
      </c>
      <c r="I946" s="1009"/>
    </row>
    <row r="947">
      <c r="A947" t="s">
        <v>1458</v>
      </c>
      <c r="B947" s="1003">
        <v>42307.0</v>
      </c>
      <c r="C947" s="1004">
        <f t="shared" si="1"/>
        <v>303</v>
      </c>
      <c r="D947" s="1005">
        <f t="shared" si="2"/>
        <v>9.93442623</v>
      </c>
      <c r="E947" s="1006">
        <f t="shared" si="3"/>
        <v>10</v>
      </c>
      <c r="F947" s="1006" t="s">
        <v>2783</v>
      </c>
      <c r="G947" s="1007">
        <v>-0.009201558213117855</v>
      </c>
      <c r="H947" s="1012">
        <v>0.0</v>
      </c>
      <c r="I947" s="1009"/>
    </row>
    <row r="948">
      <c r="A948" t="s">
        <v>1741</v>
      </c>
      <c r="B948" s="1003">
        <v>42307.0</v>
      </c>
      <c r="C948" s="1004">
        <f t="shared" si="1"/>
        <v>303</v>
      </c>
      <c r="D948" s="1005">
        <f t="shared" si="2"/>
        <v>9.93442623</v>
      </c>
      <c r="E948" s="1006">
        <f t="shared" si="3"/>
        <v>10</v>
      </c>
      <c r="F948" s="1006" t="s">
        <v>2783</v>
      </c>
      <c r="G948" s="1007">
        <v>-0.04699503797342275</v>
      </c>
      <c r="H948" s="1012">
        <v>-1.0</v>
      </c>
      <c r="I948" s="1009"/>
    </row>
    <row r="949">
      <c r="A949" t="s">
        <v>339</v>
      </c>
      <c r="B949" s="1003">
        <v>41942.0</v>
      </c>
      <c r="C949" s="1004">
        <f t="shared" si="1"/>
        <v>303</v>
      </c>
      <c r="D949" s="1005">
        <f t="shared" si="2"/>
        <v>9.93442623</v>
      </c>
      <c r="E949" s="1006">
        <f t="shared" si="3"/>
        <v>10</v>
      </c>
      <c r="F949" s="1006" t="s">
        <v>2783</v>
      </c>
      <c r="G949" s="1007">
        <v>0.0082271710200158</v>
      </c>
      <c r="H949" s="1012">
        <v>0.0</v>
      </c>
      <c r="I949" s="1009"/>
    </row>
    <row r="950">
      <c r="A950" t="s">
        <v>1814</v>
      </c>
      <c r="B950" s="1003">
        <v>42673.0</v>
      </c>
      <c r="C950" s="1004">
        <f t="shared" si="1"/>
        <v>304</v>
      </c>
      <c r="D950" s="1005">
        <f t="shared" si="2"/>
        <v>9.967213115</v>
      </c>
      <c r="E950" s="1006">
        <f t="shared" si="3"/>
        <v>10</v>
      </c>
      <c r="F950" s="1006" t="s">
        <v>2783</v>
      </c>
      <c r="G950" s="1007">
        <v>0.038721274163039276</v>
      </c>
      <c r="H950" s="1012">
        <v>1.0</v>
      </c>
      <c r="I950" s="1009"/>
    </row>
    <row r="951">
      <c r="A951" t="s">
        <v>1275</v>
      </c>
      <c r="B951" s="1003">
        <v>43040.0</v>
      </c>
      <c r="C951" s="1004">
        <f t="shared" si="1"/>
        <v>305</v>
      </c>
      <c r="D951" s="1005">
        <f t="shared" si="2"/>
        <v>10</v>
      </c>
      <c r="E951" s="1006">
        <f t="shared" si="3"/>
        <v>10</v>
      </c>
      <c r="F951" s="1006" t="s">
        <v>2783</v>
      </c>
      <c r="G951" s="1007">
        <v>-0.03675148327886191</v>
      </c>
      <c r="H951" s="1012">
        <v>-1.0</v>
      </c>
      <c r="I951" s="1009"/>
    </row>
    <row r="952">
      <c r="A952" t="s">
        <v>853</v>
      </c>
      <c r="B952" s="1003">
        <v>43040.0</v>
      </c>
      <c r="C952" s="1004">
        <f t="shared" si="1"/>
        <v>305</v>
      </c>
      <c r="D952" s="1005">
        <f t="shared" si="2"/>
        <v>10</v>
      </c>
      <c r="E952" s="1006">
        <f t="shared" si="3"/>
        <v>10</v>
      </c>
      <c r="F952" s="1006" t="s">
        <v>2783</v>
      </c>
      <c r="G952" s="1007">
        <v>0.004180550046314457</v>
      </c>
      <c r="H952" s="1012">
        <v>0.0</v>
      </c>
      <c r="I952" s="1009"/>
    </row>
    <row r="953">
      <c r="A953" t="s">
        <v>203</v>
      </c>
      <c r="B953" s="1003">
        <v>42674.0</v>
      </c>
      <c r="C953" s="1004">
        <f t="shared" si="1"/>
        <v>305</v>
      </c>
      <c r="D953" s="1005">
        <f t="shared" si="2"/>
        <v>10</v>
      </c>
      <c r="E953" s="1006">
        <f t="shared" si="3"/>
        <v>10</v>
      </c>
      <c r="F953" s="1006" t="s">
        <v>2783</v>
      </c>
      <c r="G953" s="1007">
        <v>0.02833707364776894</v>
      </c>
      <c r="H953" s="1012">
        <v>1.0</v>
      </c>
      <c r="I953" s="1009"/>
    </row>
    <row r="954">
      <c r="A954" t="s">
        <v>376</v>
      </c>
      <c r="B954" s="1003">
        <v>41944.0</v>
      </c>
      <c r="C954" s="1004">
        <f t="shared" si="1"/>
        <v>305</v>
      </c>
      <c r="D954" s="1005">
        <f t="shared" si="2"/>
        <v>10</v>
      </c>
      <c r="E954" s="1006">
        <f t="shared" si="3"/>
        <v>10</v>
      </c>
      <c r="F954" s="1006" t="s">
        <v>2783</v>
      </c>
      <c r="G954" s="1007">
        <v>-0.006121099315084422</v>
      </c>
      <c r="H954" s="1012">
        <v>0.0</v>
      </c>
      <c r="I954" s="1009"/>
    </row>
    <row r="955">
      <c r="A955" t="s">
        <v>314</v>
      </c>
      <c r="B955" s="1003">
        <v>42310.0</v>
      </c>
      <c r="C955" s="1004">
        <f t="shared" si="1"/>
        <v>306</v>
      </c>
      <c r="D955" s="1005">
        <f t="shared" si="2"/>
        <v>10.03278689</v>
      </c>
      <c r="E955" s="1006">
        <f t="shared" si="3"/>
        <v>11</v>
      </c>
      <c r="F955" s="1006" t="s">
        <v>2784</v>
      </c>
      <c r="G955" s="1007">
        <v>-0.017749103846323333</v>
      </c>
      <c r="H955" s="1012">
        <v>-1.0</v>
      </c>
      <c r="I955" s="1009"/>
    </row>
    <row r="956">
      <c r="A956" t="s">
        <v>161</v>
      </c>
      <c r="B956" s="1003">
        <v>43042.0</v>
      </c>
      <c r="C956" s="1004">
        <f t="shared" si="1"/>
        <v>307</v>
      </c>
      <c r="D956" s="1005">
        <f t="shared" si="2"/>
        <v>10.06557377</v>
      </c>
      <c r="E956" s="1006">
        <f t="shared" si="3"/>
        <v>11</v>
      </c>
      <c r="F956" s="1006" t="s">
        <v>2784</v>
      </c>
      <c r="G956" s="1007">
        <v>-0.008468055328342494</v>
      </c>
      <c r="H956" s="1012">
        <v>0.0</v>
      </c>
      <c r="I956" s="1009"/>
    </row>
    <row r="957">
      <c r="A957" t="s">
        <v>1731</v>
      </c>
      <c r="B957" s="1003">
        <v>42676.0</v>
      </c>
      <c r="C957" s="1004">
        <f t="shared" si="1"/>
        <v>307</v>
      </c>
      <c r="D957" s="1005">
        <f t="shared" si="2"/>
        <v>10.06557377</v>
      </c>
      <c r="E957" s="1006">
        <f t="shared" si="3"/>
        <v>11</v>
      </c>
      <c r="F957" s="1006" t="s">
        <v>2784</v>
      </c>
      <c r="G957" s="1007">
        <v>0.004368989363844111</v>
      </c>
      <c r="H957" s="1012">
        <v>0.0</v>
      </c>
      <c r="I957" s="1009"/>
    </row>
    <row r="958">
      <c r="A958" t="s">
        <v>1726</v>
      </c>
      <c r="B958" s="1003">
        <v>42676.0</v>
      </c>
      <c r="C958" s="1004">
        <f t="shared" si="1"/>
        <v>307</v>
      </c>
      <c r="D958" s="1005">
        <f t="shared" si="2"/>
        <v>10.06557377</v>
      </c>
      <c r="E958" s="1006">
        <f t="shared" si="3"/>
        <v>11</v>
      </c>
      <c r="F958" s="1006" t="s">
        <v>2784</v>
      </c>
      <c r="G958" s="1007">
        <v>0.009062286996955438</v>
      </c>
      <c r="H958" s="1012">
        <v>0.0</v>
      </c>
      <c r="I958" s="1009"/>
    </row>
    <row r="959">
      <c r="A959" t="s">
        <v>657</v>
      </c>
      <c r="B959" s="1003">
        <v>42676.0</v>
      </c>
      <c r="C959" s="1004">
        <f t="shared" si="1"/>
        <v>307</v>
      </c>
      <c r="D959" s="1005">
        <f t="shared" si="2"/>
        <v>10.06557377</v>
      </c>
      <c r="E959" s="1006">
        <f t="shared" si="3"/>
        <v>11</v>
      </c>
      <c r="F959" s="1006" t="s">
        <v>2784</v>
      </c>
      <c r="G959" s="1007">
        <v>0.016566271959003176</v>
      </c>
      <c r="H959" s="1012">
        <v>1.0</v>
      </c>
      <c r="I959" s="1009"/>
    </row>
    <row r="960">
      <c r="A960" t="s">
        <v>1454</v>
      </c>
      <c r="B960" s="1003">
        <v>42311.0</v>
      </c>
      <c r="C960" s="1004">
        <f t="shared" si="1"/>
        <v>307</v>
      </c>
      <c r="D960" s="1005">
        <f t="shared" si="2"/>
        <v>10.06557377</v>
      </c>
      <c r="E960" s="1006">
        <f t="shared" si="3"/>
        <v>11</v>
      </c>
      <c r="F960" s="1006" t="s">
        <v>2784</v>
      </c>
      <c r="G960" s="1007">
        <v>0.022024204572940187</v>
      </c>
      <c r="H960" s="1012">
        <v>1.0</v>
      </c>
      <c r="I960" s="1009"/>
    </row>
    <row r="961">
      <c r="A961" t="s">
        <v>1615</v>
      </c>
      <c r="B961" s="1003">
        <v>42677.0</v>
      </c>
      <c r="C961" s="1004">
        <f t="shared" si="1"/>
        <v>308</v>
      </c>
      <c r="D961" s="1005">
        <f t="shared" si="2"/>
        <v>10.09836066</v>
      </c>
      <c r="E961" s="1006">
        <f t="shared" si="3"/>
        <v>11</v>
      </c>
      <c r="F961" s="1006" t="s">
        <v>2784</v>
      </c>
      <c r="G961" s="1007">
        <v>0.013413975154292435</v>
      </c>
      <c r="H961" s="1012">
        <v>1.0</v>
      </c>
      <c r="I961" s="1009"/>
    </row>
    <row r="962">
      <c r="A962" t="s">
        <v>574</v>
      </c>
      <c r="B962" s="1003">
        <v>42677.0</v>
      </c>
      <c r="C962" s="1004">
        <f t="shared" si="1"/>
        <v>308</v>
      </c>
      <c r="D962" s="1005">
        <f t="shared" si="2"/>
        <v>10.09836066</v>
      </c>
      <c r="E962" s="1006">
        <f t="shared" si="3"/>
        <v>11</v>
      </c>
      <c r="F962" s="1006" t="s">
        <v>2784</v>
      </c>
      <c r="G962" s="1007">
        <v>0.0011111160191038527</v>
      </c>
      <c r="H962" s="1012">
        <v>0.0</v>
      </c>
      <c r="I962" s="1009"/>
    </row>
    <row r="963">
      <c r="A963" t="s">
        <v>587</v>
      </c>
      <c r="B963" s="1003">
        <v>42677.0</v>
      </c>
      <c r="C963" s="1004">
        <f t="shared" si="1"/>
        <v>308</v>
      </c>
      <c r="D963" s="1005">
        <f t="shared" si="2"/>
        <v>10.09836066</v>
      </c>
      <c r="E963" s="1006">
        <f t="shared" si="3"/>
        <v>11</v>
      </c>
      <c r="F963" s="1006" t="s">
        <v>2784</v>
      </c>
      <c r="G963" s="1007">
        <v>0.014483056009151785</v>
      </c>
      <c r="H963" s="1012">
        <v>1.0</v>
      </c>
      <c r="I963" s="1009"/>
    </row>
    <row r="964">
      <c r="A964" t="s">
        <v>143</v>
      </c>
      <c r="B964" s="1003">
        <v>42312.0</v>
      </c>
      <c r="C964" s="1004">
        <f t="shared" si="1"/>
        <v>308</v>
      </c>
      <c r="D964" s="1005">
        <f t="shared" si="2"/>
        <v>10.09836066</v>
      </c>
      <c r="E964" s="1006">
        <f t="shared" si="3"/>
        <v>11</v>
      </c>
      <c r="F964" s="1006" t="s">
        <v>2784</v>
      </c>
      <c r="G964" s="1007">
        <v>-0.0037642360770101524</v>
      </c>
      <c r="H964" s="1012">
        <v>0.0</v>
      </c>
      <c r="I964" s="1009"/>
    </row>
    <row r="965">
      <c r="A965" t="s">
        <v>1695</v>
      </c>
      <c r="B965" s="1003">
        <v>42678.0</v>
      </c>
      <c r="C965" s="1004">
        <f t="shared" si="1"/>
        <v>309</v>
      </c>
      <c r="D965" s="1005">
        <f t="shared" si="2"/>
        <v>10.13114754</v>
      </c>
      <c r="E965" s="1006">
        <f t="shared" si="3"/>
        <v>11</v>
      </c>
      <c r="F965" s="1006" t="s">
        <v>2784</v>
      </c>
      <c r="G965" s="1007">
        <v>0.011200791462315007</v>
      </c>
      <c r="H965" s="1012">
        <v>1.0</v>
      </c>
      <c r="I965" s="1009"/>
    </row>
    <row r="966">
      <c r="A966" t="s">
        <v>1752</v>
      </c>
      <c r="B966" s="1003">
        <v>42678.0</v>
      </c>
      <c r="C966" s="1004">
        <f t="shared" si="1"/>
        <v>309</v>
      </c>
      <c r="D966" s="1005">
        <f t="shared" si="2"/>
        <v>10.13114754</v>
      </c>
      <c r="E966" s="1006">
        <f t="shared" si="3"/>
        <v>11</v>
      </c>
      <c r="F966" s="1006" t="s">
        <v>2784</v>
      </c>
      <c r="G966" s="1007">
        <v>0.009877693804682952</v>
      </c>
      <c r="H966" s="1012">
        <v>0.0</v>
      </c>
      <c r="I966" s="1009"/>
    </row>
    <row r="967">
      <c r="A967" t="s">
        <v>210</v>
      </c>
      <c r="B967" s="1003">
        <v>42678.0</v>
      </c>
      <c r="C967" s="1004">
        <f t="shared" si="1"/>
        <v>309</v>
      </c>
      <c r="D967" s="1005">
        <f t="shared" si="2"/>
        <v>10.13114754</v>
      </c>
      <c r="E967" s="1006">
        <f t="shared" si="3"/>
        <v>11</v>
      </c>
      <c r="F967" s="1006" t="s">
        <v>2784</v>
      </c>
      <c r="G967" s="1007">
        <v>-0.012094679613126047</v>
      </c>
      <c r="H967" s="1012">
        <v>-1.0</v>
      </c>
      <c r="I967" s="1009"/>
    </row>
    <row r="968">
      <c r="A968" t="s">
        <v>143</v>
      </c>
      <c r="B968" s="1003">
        <v>42678.0</v>
      </c>
      <c r="C968" s="1004">
        <f t="shared" si="1"/>
        <v>309</v>
      </c>
      <c r="D968" s="1005">
        <f t="shared" si="2"/>
        <v>10.13114754</v>
      </c>
      <c r="E968" s="1006">
        <f t="shared" si="3"/>
        <v>11</v>
      </c>
      <c r="F968" s="1006" t="s">
        <v>2784</v>
      </c>
      <c r="G968" s="1007">
        <v>0.0034444895892752347</v>
      </c>
      <c r="H968" s="1012">
        <v>0.0</v>
      </c>
      <c r="I968" s="1009"/>
    </row>
    <row r="969">
      <c r="A969" t="s">
        <v>579</v>
      </c>
      <c r="B969" s="1003">
        <v>42678.0</v>
      </c>
      <c r="C969" s="1004">
        <f t="shared" si="1"/>
        <v>309</v>
      </c>
      <c r="D969" s="1005">
        <f t="shared" si="2"/>
        <v>10.13114754</v>
      </c>
      <c r="E969" s="1006">
        <f t="shared" si="3"/>
        <v>11</v>
      </c>
      <c r="F969" s="1006" t="s">
        <v>2784</v>
      </c>
      <c r="G969" s="1007">
        <v>-0.0074471914549509854</v>
      </c>
      <c r="H969" s="1012">
        <v>0.0</v>
      </c>
      <c r="I969" s="1009"/>
    </row>
    <row r="970">
      <c r="A970" t="s">
        <v>1336</v>
      </c>
      <c r="B970" s="1003">
        <v>42313.0</v>
      </c>
      <c r="C970" s="1004">
        <f t="shared" si="1"/>
        <v>309</v>
      </c>
      <c r="D970" s="1005">
        <f t="shared" si="2"/>
        <v>10.13114754</v>
      </c>
      <c r="E970" s="1006">
        <f t="shared" si="3"/>
        <v>11</v>
      </c>
      <c r="F970" s="1006" t="s">
        <v>2784</v>
      </c>
      <c r="G970" s="1007">
        <v>0.001334350836609266</v>
      </c>
      <c r="H970" s="1012">
        <v>0.0</v>
      </c>
      <c r="I970" s="1009"/>
    </row>
    <row r="971">
      <c r="A971" t="s">
        <v>1454</v>
      </c>
      <c r="B971" s="1003">
        <v>42313.0</v>
      </c>
      <c r="C971" s="1004">
        <f t="shared" si="1"/>
        <v>309</v>
      </c>
      <c r="D971" s="1005">
        <f t="shared" si="2"/>
        <v>10.13114754</v>
      </c>
      <c r="E971" s="1006">
        <f t="shared" si="3"/>
        <v>11</v>
      </c>
      <c r="F971" s="1006" t="s">
        <v>2784</v>
      </c>
      <c r="G971" s="1007">
        <v>-0.016547526018801717</v>
      </c>
      <c r="H971" s="1012">
        <v>-1.0</v>
      </c>
      <c r="I971" s="1009"/>
    </row>
    <row r="972">
      <c r="A972" t="s">
        <v>1584</v>
      </c>
      <c r="B972" s="1003">
        <v>42313.0</v>
      </c>
      <c r="C972" s="1004">
        <f t="shared" si="1"/>
        <v>309</v>
      </c>
      <c r="D972" s="1005">
        <f t="shared" si="2"/>
        <v>10.13114754</v>
      </c>
      <c r="E972" s="1006">
        <f t="shared" si="3"/>
        <v>11</v>
      </c>
      <c r="F972" s="1006" t="s">
        <v>2784</v>
      </c>
      <c r="G972" s="1007">
        <v>0.016802262494763798</v>
      </c>
      <c r="H972" s="1012">
        <v>1.0</v>
      </c>
      <c r="I972" s="1009"/>
    </row>
    <row r="973">
      <c r="A973" t="s">
        <v>1760</v>
      </c>
      <c r="B973" s="1003">
        <v>43045.0</v>
      </c>
      <c r="C973" s="1004">
        <f t="shared" si="1"/>
        <v>310</v>
      </c>
      <c r="D973" s="1005">
        <f t="shared" si="2"/>
        <v>10.16393443</v>
      </c>
      <c r="E973" s="1006">
        <f t="shared" si="3"/>
        <v>11</v>
      </c>
      <c r="F973" s="1006" t="s">
        <v>2784</v>
      </c>
      <c r="G973" s="1007">
        <v>-0.016176789541101355</v>
      </c>
      <c r="H973" s="1012">
        <v>-1.0</v>
      </c>
      <c r="I973" s="1009"/>
    </row>
    <row r="974">
      <c r="A974" t="s">
        <v>761</v>
      </c>
      <c r="B974" s="1003">
        <v>42314.0</v>
      </c>
      <c r="C974" s="1004">
        <f t="shared" si="1"/>
        <v>310</v>
      </c>
      <c r="D974" s="1005">
        <f t="shared" si="2"/>
        <v>10.16393443</v>
      </c>
      <c r="E974" s="1006">
        <f t="shared" si="3"/>
        <v>11</v>
      </c>
      <c r="F974" s="1006" t="s">
        <v>2784</v>
      </c>
      <c r="G974" s="1007">
        <v>-0.017699212806821962</v>
      </c>
      <c r="H974" s="1012">
        <v>-1.0</v>
      </c>
      <c r="I974" s="1009"/>
    </row>
    <row r="975">
      <c r="A975" t="s">
        <v>761</v>
      </c>
      <c r="B975" s="1003">
        <v>42314.0</v>
      </c>
      <c r="C975" s="1004">
        <f t="shared" si="1"/>
        <v>310</v>
      </c>
      <c r="D975" s="1005">
        <f t="shared" si="2"/>
        <v>10.16393443</v>
      </c>
      <c r="E975" s="1006">
        <f t="shared" si="3"/>
        <v>11</v>
      </c>
      <c r="F975" s="1006" t="s">
        <v>2784</v>
      </c>
      <c r="G975" s="1007">
        <v>-0.015088236804219113</v>
      </c>
      <c r="H975" s="1012">
        <v>-1.0</v>
      </c>
      <c r="I975" s="1009"/>
    </row>
    <row r="976">
      <c r="A976" t="s">
        <v>1591</v>
      </c>
      <c r="B976" s="1003">
        <v>42314.0</v>
      </c>
      <c r="C976" s="1004">
        <f t="shared" si="1"/>
        <v>310</v>
      </c>
      <c r="D976" s="1005">
        <f t="shared" si="2"/>
        <v>10.16393443</v>
      </c>
      <c r="E976" s="1006">
        <f t="shared" si="3"/>
        <v>11</v>
      </c>
      <c r="F976" s="1006" t="s">
        <v>2784</v>
      </c>
      <c r="G976" s="1007">
        <v>-0.04618469530389013</v>
      </c>
      <c r="H976" s="1012">
        <v>-1.0</v>
      </c>
      <c r="I976" s="1009"/>
    </row>
    <row r="977">
      <c r="A977" t="s">
        <v>1775</v>
      </c>
      <c r="B977" s="1003">
        <v>42680.0</v>
      </c>
      <c r="C977" s="1004">
        <f t="shared" si="1"/>
        <v>311</v>
      </c>
      <c r="D977" s="1005">
        <f t="shared" si="2"/>
        <v>10.19672131</v>
      </c>
      <c r="E977" s="1006">
        <f t="shared" si="3"/>
        <v>11</v>
      </c>
      <c r="F977" s="1006" t="s">
        <v>2784</v>
      </c>
      <c r="G977" s="1007">
        <v>-0.010426296609819974</v>
      </c>
      <c r="H977" s="1012">
        <v>-1.0</v>
      </c>
      <c r="I977" s="1009"/>
    </row>
    <row r="978">
      <c r="A978" t="s">
        <v>138</v>
      </c>
      <c r="B978" s="1003">
        <v>42315.0</v>
      </c>
      <c r="C978" s="1004">
        <f t="shared" si="1"/>
        <v>311</v>
      </c>
      <c r="D978" s="1005">
        <f t="shared" si="2"/>
        <v>10.19672131</v>
      </c>
      <c r="E978" s="1006">
        <f t="shared" si="3"/>
        <v>11</v>
      </c>
      <c r="F978" s="1006" t="s">
        <v>2784</v>
      </c>
      <c r="G978" s="1007">
        <v>-7.202427164254566E-4</v>
      </c>
      <c r="H978" s="1012">
        <v>0.0</v>
      </c>
      <c r="I978" s="1009"/>
    </row>
    <row r="979">
      <c r="A979" t="s">
        <v>381</v>
      </c>
      <c r="B979" s="1003">
        <v>41950.0</v>
      </c>
      <c r="C979" s="1004">
        <f t="shared" si="1"/>
        <v>311</v>
      </c>
      <c r="D979" s="1005">
        <f t="shared" si="2"/>
        <v>10.19672131</v>
      </c>
      <c r="E979" s="1006">
        <f t="shared" si="3"/>
        <v>11</v>
      </c>
      <c r="F979" s="1006" t="s">
        <v>2784</v>
      </c>
      <c r="G979" s="1007">
        <v>0.0037100950582522607</v>
      </c>
      <c r="H979" s="1012">
        <v>0.0</v>
      </c>
      <c r="I979" s="1009"/>
    </row>
    <row r="980">
      <c r="A980" t="s">
        <v>212</v>
      </c>
      <c r="B980" s="1003">
        <v>41950.0</v>
      </c>
      <c r="C980" s="1004">
        <f t="shared" si="1"/>
        <v>311</v>
      </c>
      <c r="D980" s="1005">
        <f t="shared" si="2"/>
        <v>10.19672131</v>
      </c>
      <c r="E980" s="1006">
        <f t="shared" si="3"/>
        <v>11</v>
      </c>
      <c r="F980" s="1006" t="s">
        <v>2784</v>
      </c>
      <c r="G980" s="1007">
        <v>-4.6989765665006455E-4</v>
      </c>
      <c r="H980" s="1012">
        <v>0.0</v>
      </c>
      <c r="I980" s="1009"/>
    </row>
    <row r="981">
      <c r="A981" t="s">
        <v>2818</v>
      </c>
      <c r="B981" s="1003">
        <v>43047.0</v>
      </c>
      <c r="C981" s="1004">
        <f t="shared" si="1"/>
        <v>312</v>
      </c>
      <c r="D981" s="1005">
        <f t="shared" si="2"/>
        <v>10.2295082</v>
      </c>
      <c r="E981" s="1006">
        <f t="shared" si="3"/>
        <v>11</v>
      </c>
      <c r="F981" s="1006" t="s">
        <v>2784</v>
      </c>
      <c r="G981" s="1007"/>
      <c r="H981" s="1012" t="s">
        <v>71</v>
      </c>
      <c r="I981" s="1009"/>
    </row>
    <row r="982">
      <c r="A982" t="s">
        <v>279</v>
      </c>
      <c r="B982" s="1003">
        <v>42681.0</v>
      </c>
      <c r="C982" s="1004">
        <f t="shared" si="1"/>
        <v>312</v>
      </c>
      <c r="D982" s="1005">
        <f t="shared" si="2"/>
        <v>10.2295082</v>
      </c>
      <c r="E982" s="1006">
        <f t="shared" si="3"/>
        <v>11</v>
      </c>
      <c r="F982" s="1006" t="s">
        <v>2784</v>
      </c>
      <c r="G982" s="1007">
        <v>0.013390838885285583</v>
      </c>
      <c r="H982" s="1012">
        <v>1.0</v>
      </c>
      <c r="I982" s="1009"/>
    </row>
    <row r="983">
      <c r="A983" t="s">
        <v>1581</v>
      </c>
      <c r="B983" s="1003">
        <v>42316.0</v>
      </c>
      <c r="C983" s="1004">
        <f t="shared" si="1"/>
        <v>312</v>
      </c>
      <c r="D983" s="1005">
        <f t="shared" si="2"/>
        <v>10.2295082</v>
      </c>
      <c r="E983" s="1006">
        <f t="shared" si="3"/>
        <v>11</v>
      </c>
      <c r="F983" s="1006" t="s">
        <v>2784</v>
      </c>
      <c r="G983" s="1007">
        <v>-0.02486710716688345</v>
      </c>
      <c r="H983" s="1012">
        <v>-1.0</v>
      </c>
      <c r="I983" s="1009"/>
    </row>
    <row r="984">
      <c r="A984" t="s">
        <v>445</v>
      </c>
      <c r="B984" s="1003">
        <v>42316.0</v>
      </c>
      <c r="C984" s="1004">
        <f t="shared" si="1"/>
        <v>312</v>
      </c>
      <c r="D984" s="1005">
        <f t="shared" si="2"/>
        <v>10.2295082</v>
      </c>
      <c r="E984" s="1006">
        <f t="shared" si="3"/>
        <v>11</v>
      </c>
      <c r="F984" s="1006" t="s">
        <v>2784</v>
      </c>
      <c r="G984" s="1007">
        <v>0.009875770664341865</v>
      </c>
      <c r="H984" s="1012">
        <v>0.0</v>
      </c>
      <c r="I984" s="1009"/>
    </row>
    <row r="985">
      <c r="A985" s="991" t="s">
        <v>126</v>
      </c>
      <c r="B985" s="1045">
        <v>43048.0</v>
      </c>
      <c r="C985" s="1004">
        <f t="shared" si="1"/>
        <v>313</v>
      </c>
      <c r="D985" s="1005">
        <f t="shared" si="2"/>
        <v>10.26229508</v>
      </c>
      <c r="E985" s="1006">
        <f t="shared" si="3"/>
        <v>11</v>
      </c>
      <c r="F985" s="1006" t="s">
        <v>2784</v>
      </c>
      <c r="G985" s="1007">
        <v>-0.01583823046643118</v>
      </c>
      <c r="H985" s="1012">
        <v>-1.0</v>
      </c>
      <c r="I985" s="1009"/>
    </row>
    <row r="986">
      <c r="A986" t="s">
        <v>1588</v>
      </c>
      <c r="B986" s="1003">
        <v>42317.0</v>
      </c>
      <c r="C986" s="1004">
        <f t="shared" si="1"/>
        <v>313</v>
      </c>
      <c r="D986" s="1005">
        <f t="shared" si="2"/>
        <v>10.26229508</v>
      </c>
      <c r="E986" s="1006">
        <f t="shared" si="3"/>
        <v>11</v>
      </c>
      <c r="F986" s="1006" t="s">
        <v>2784</v>
      </c>
      <c r="G986" s="1007">
        <v>-0.038546178282246046</v>
      </c>
      <c r="H986" s="1012">
        <v>-1.0</v>
      </c>
      <c r="I986" s="1009"/>
    </row>
    <row r="987">
      <c r="A987" t="s">
        <v>286</v>
      </c>
      <c r="B987" s="1003">
        <v>42317.0</v>
      </c>
      <c r="C987" s="1004">
        <f t="shared" si="1"/>
        <v>313</v>
      </c>
      <c r="D987" s="1005">
        <f t="shared" si="2"/>
        <v>10.26229508</v>
      </c>
      <c r="E987" s="1006">
        <f t="shared" si="3"/>
        <v>11</v>
      </c>
      <c r="F987" s="1006" t="s">
        <v>2784</v>
      </c>
      <c r="G987" s="1007">
        <v>0.012092669899699482</v>
      </c>
      <c r="H987" s="1012">
        <v>1.0</v>
      </c>
      <c r="I987" s="1009"/>
    </row>
    <row r="988">
      <c r="A988" t="s">
        <v>1618</v>
      </c>
      <c r="B988" s="1003">
        <v>42683.0</v>
      </c>
      <c r="C988" s="1004">
        <f t="shared" si="1"/>
        <v>314</v>
      </c>
      <c r="D988" s="1005">
        <f t="shared" si="2"/>
        <v>10.29508197</v>
      </c>
      <c r="E988" s="1006">
        <f t="shared" si="3"/>
        <v>11</v>
      </c>
      <c r="F988" s="1006" t="s">
        <v>2784</v>
      </c>
      <c r="G988" s="1007">
        <v>-0.01163751807195712</v>
      </c>
      <c r="H988" s="1012">
        <v>-1.0</v>
      </c>
      <c r="I988" s="1009"/>
    </row>
    <row r="989">
      <c r="A989" t="s">
        <v>1593</v>
      </c>
      <c r="B989" s="1003">
        <v>42318.0</v>
      </c>
      <c r="C989" s="1004">
        <f t="shared" si="1"/>
        <v>314</v>
      </c>
      <c r="D989" s="1005">
        <f t="shared" si="2"/>
        <v>10.29508197</v>
      </c>
      <c r="E989" s="1006">
        <f t="shared" si="3"/>
        <v>11</v>
      </c>
      <c r="F989" s="1006" t="s">
        <v>2784</v>
      </c>
      <c r="G989" s="1007">
        <v>0.019682033328221604</v>
      </c>
      <c r="H989" s="1012">
        <v>1.0</v>
      </c>
      <c r="I989" s="1009"/>
    </row>
    <row r="990">
      <c r="A990" t="s">
        <v>1637</v>
      </c>
      <c r="B990" s="1003">
        <v>42318.0</v>
      </c>
      <c r="C990" s="1004">
        <f t="shared" si="1"/>
        <v>314</v>
      </c>
      <c r="D990" s="1005">
        <f t="shared" si="2"/>
        <v>10.29508197</v>
      </c>
      <c r="E990" s="1006">
        <f t="shared" si="3"/>
        <v>11</v>
      </c>
      <c r="F990" s="1006" t="s">
        <v>2784</v>
      </c>
      <c r="G990" s="1007">
        <v>0.029269565494628447</v>
      </c>
      <c r="H990" s="1012">
        <v>1.0</v>
      </c>
      <c r="I990" s="1009"/>
    </row>
    <row r="991">
      <c r="A991" t="s">
        <v>126</v>
      </c>
      <c r="B991" s="1003">
        <v>41953.0</v>
      </c>
      <c r="C991" s="1004">
        <f t="shared" si="1"/>
        <v>314</v>
      </c>
      <c r="D991" s="1005">
        <f t="shared" si="2"/>
        <v>10.29508197</v>
      </c>
      <c r="E991" s="1006">
        <f t="shared" si="3"/>
        <v>11</v>
      </c>
      <c r="F991" s="1006" t="s">
        <v>2784</v>
      </c>
      <c r="G991" s="1007">
        <v>-6.694375383897722E-5</v>
      </c>
      <c r="H991" s="1012">
        <v>0.0</v>
      </c>
      <c r="I991" s="1009"/>
    </row>
    <row r="992">
      <c r="A992" t="s">
        <v>1882</v>
      </c>
      <c r="B992" s="1003">
        <v>42684.0</v>
      </c>
      <c r="C992" s="1004">
        <f t="shared" si="1"/>
        <v>315</v>
      </c>
      <c r="D992" s="1005">
        <f t="shared" si="2"/>
        <v>10.32786885</v>
      </c>
      <c r="E992" s="1006">
        <f t="shared" si="3"/>
        <v>11</v>
      </c>
      <c r="F992" s="1006" t="s">
        <v>2784</v>
      </c>
      <c r="G992" s="1007">
        <v>0.0037354583149152853</v>
      </c>
      <c r="H992" s="1012">
        <v>0.0</v>
      </c>
      <c r="I992" s="1009"/>
    </row>
    <row r="993">
      <c r="A993" t="s">
        <v>212</v>
      </c>
      <c r="B993" s="1003">
        <v>42319.0</v>
      </c>
      <c r="C993" s="1004">
        <f t="shared" si="1"/>
        <v>315</v>
      </c>
      <c r="D993" s="1005">
        <f t="shared" si="2"/>
        <v>10.32786885</v>
      </c>
      <c r="E993" s="1006">
        <f t="shared" si="3"/>
        <v>11</v>
      </c>
      <c r="F993" s="1006" t="s">
        <v>2784</v>
      </c>
      <c r="G993" s="1007">
        <v>-7.605645066517397E-4</v>
      </c>
      <c r="H993" s="1012">
        <v>0.0</v>
      </c>
      <c r="I993" s="1009"/>
    </row>
    <row r="994">
      <c r="A994" t="s">
        <v>640</v>
      </c>
      <c r="B994" s="1003">
        <v>42319.0</v>
      </c>
      <c r="C994" s="1004">
        <f t="shared" si="1"/>
        <v>315</v>
      </c>
      <c r="D994" s="1005">
        <f t="shared" si="2"/>
        <v>10.32786885</v>
      </c>
      <c r="E994" s="1006">
        <f t="shared" si="3"/>
        <v>11</v>
      </c>
      <c r="F994" s="1006" t="s">
        <v>2784</v>
      </c>
      <c r="G994" s="1007">
        <v>-0.00505433091206553</v>
      </c>
      <c r="H994" s="1012">
        <v>0.0</v>
      </c>
      <c r="I994" s="1009"/>
    </row>
    <row r="995">
      <c r="A995" t="s">
        <v>1611</v>
      </c>
      <c r="B995" s="1003">
        <v>42319.0</v>
      </c>
      <c r="C995" s="1004">
        <f t="shared" si="1"/>
        <v>315</v>
      </c>
      <c r="D995" s="1005">
        <f t="shared" si="2"/>
        <v>10.32786885</v>
      </c>
      <c r="E995" s="1006">
        <f t="shared" si="3"/>
        <v>11</v>
      </c>
      <c r="F995" s="1006" t="s">
        <v>2784</v>
      </c>
      <c r="G995" s="1007">
        <v>0.015527259599248389</v>
      </c>
      <c r="H995" s="1012">
        <v>1.0</v>
      </c>
      <c r="I995" s="1009"/>
    </row>
    <row r="996">
      <c r="A996" t="s">
        <v>154</v>
      </c>
      <c r="B996" s="1003">
        <v>42319.0</v>
      </c>
      <c r="C996" s="1004">
        <f t="shared" si="1"/>
        <v>315</v>
      </c>
      <c r="D996" s="1005">
        <f t="shared" si="2"/>
        <v>10.32786885</v>
      </c>
      <c r="E996" s="1006">
        <f t="shared" si="3"/>
        <v>11</v>
      </c>
      <c r="F996" s="1006" t="s">
        <v>2784</v>
      </c>
      <c r="G996" s="1007">
        <v>0.008259766844070593</v>
      </c>
      <c r="H996" s="1012">
        <v>0.0</v>
      </c>
      <c r="I996" s="1009"/>
    </row>
    <row r="997">
      <c r="A997" t="s">
        <v>392</v>
      </c>
      <c r="B997" s="1003">
        <v>41954.0</v>
      </c>
      <c r="C997" s="1004">
        <f t="shared" si="1"/>
        <v>315</v>
      </c>
      <c r="D997" s="1005">
        <f t="shared" si="2"/>
        <v>10.32786885</v>
      </c>
      <c r="E997" s="1006">
        <f t="shared" si="3"/>
        <v>11</v>
      </c>
      <c r="F997" s="1006" t="s">
        <v>2784</v>
      </c>
      <c r="G997" s="1007">
        <v>-0.010002817860502722</v>
      </c>
      <c r="H997" s="1012">
        <v>-1.0</v>
      </c>
      <c r="I997" s="1009"/>
    </row>
    <row r="998">
      <c r="A998" t="s">
        <v>1013</v>
      </c>
      <c r="B998" s="1003">
        <v>42685.0</v>
      </c>
      <c r="C998" s="1004">
        <f t="shared" si="1"/>
        <v>316</v>
      </c>
      <c r="D998" s="1005">
        <f t="shared" si="2"/>
        <v>10.36065574</v>
      </c>
      <c r="E998" s="1006">
        <f t="shared" si="3"/>
        <v>11</v>
      </c>
      <c r="F998" s="1006" t="s">
        <v>2784</v>
      </c>
      <c r="G998" s="1007">
        <v>0.0021719691604936697</v>
      </c>
      <c r="H998" s="1012">
        <v>0.0</v>
      </c>
      <c r="I998" s="1009"/>
    </row>
    <row r="999">
      <c r="A999" t="s">
        <v>1628</v>
      </c>
      <c r="B999" s="1003">
        <v>42685.0</v>
      </c>
      <c r="C999" s="1004">
        <f t="shared" si="1"/>
        <v>316</v>
      </c>
      <c r="D999" s="1005">
        <f t="shared" si="2"/>
        <v>10.36065574</v>
      </c>
      <c r="E999" s="1006">
        <f t="shared" si="3"/>
        <v>11</v>
      </c>
      <c r="F999" s="1006" t="s">
        <v>2784</v>
      </c>
      <c r="G999" s="1007">
        <v>0.011095588181941785</v>
      </c>
      <c r="H999" s="1012">
        <v>1.0</v>
      </c>
      <c r="I999" s="1009"/>
    </row>
    <row r="1000">
      <c r="A1000" t="s">
        <v>143</v>
      </c>
      <c r="B1000" s="1003">
        <v>42685.0</v>
      </c>
      <c r="C1000" s="1004">
        <f t="shared" si="1"/>
        <v>316</v>
      </c>
      <c r="D1000" s="1005">
        <f t="shared" si="2"/>
        <v>10.36065574</v>
      </c>
      <c r="E1000" s="1006">
        <f t="shared" si="3"/>
        <v>11</v>
      </c>
      <c r="F1000" s="1006" t="s">
        <v>2784</v>
      </c>
      <c r="G1000" s="1007">
        <v>0.004335375285049348</v>
      </c>
      <c r="H1000" s="1012">
        <v>0.0</v>
      </c>
      <c r="I1000" s="1009"/>
    </row>
    <row r="1001">
      <c r="A1001" t="s">
        <v>155</v>
      </c>
      <c r="B1001" s="1003">
        <v>42320.0</v>
      </c>
      <c r="C1001" s="1004">
        <f t="shared" si="1"/>
        <v>316</v>
      </c>
      <c r="D1001" s="1005">
        <f t="shared" si="2"/>
        <v>10.36065574</v>
      </c>
      <c r="E1001" s="1006">
        <f t="shared" si="3"/>
        <v>11</v>
      </c>
      <c r="F1001" s="1006" t="s">
        <v>2784</v>
      </c>
      <c r="G1001" s="1007">
        <v>0.06106598293082088</v>
      </c>
      <c r="H1001" s="1012">
        <v>1.0</v>
      </c>
      <c r="I1001" s="1009"/>
    </row>
    <row r="1002">
      <c r="A1002" t="s">
        <v>1602</v>
      </c>
      <c r="B1002" s="1003">
        <v>42320.0</v>
      </c>
      <c r="C1002" s="1004">
        <f t="shared" si="1"/>
        <v>316</v>
      </c>
      <c r="D1002" s="1005">
        <f t="shared" si="2"/>
        <v>10.36065574</v>
      </c>
      <c r="E1002" s="1006">
        <f t="shared" si="3"/>
        <v>11</v>
      </c>
      <c r="F1002" s="1006" t="s">
        <v>2784</v>
      </c>
      <c r="G1002" s="1007">
        <v>0.001038154471758701</v>
      </c>
      <c r="H1002" s="1012">
        <v>0.0</v>
      </c>
      <c r="I1002" s="1009"/>
    </row>
    <row r="1003">
      <c r="A1003" t="s">
        <v>192</v>
      </c>
      <c r="B1003" s="1003">
        <v>42320.0</v>
      </c>
      <c r="C1003" s="1004">
        <f t="shared" si="1"/>
        <v>316</v>
      </c>
      <c r="D1003" s="1005">
        <f t="shared" si="2"/>
        <v>10.36065574</v>
      </c>
      <c r="E1003" s="1006">
        <f t="shared" si="3"/>
        <v>11</v>
      </c>
      <c r="F1003" s="1006" t="s">
        <v>2784</v>
      </c>
      <c r="G1003" s="1007">
        <v>-0.016223527663605908</v>
      </c>
      <c r="H1003" s="1012">
        <v>-1.0</v>
      </c>
      <c r="I1003" s="1009"/>
    </row>
    <row r="1004">
      <c r="A1004" t="s">
        <v>1607</v>
      </c>
      <c r="B1004" s="1003">
        <v>42320.0</v>
      </c>
      <c r="C1004" s="1004">
        <f t="shared" si="1"/>
        <v>316</v>
      </c>
      <c r="D1004" s="1005">
        <f t="shared" si="2"/>
        <v>10.36065574</v>
      </c>
      <c r="E1004" s="1006">
        <f t="shared" si="3"/>
        <v>11</v>
      </c>
      <c r="F1004" s="1006" t="s">
        <v>2784</v>
      </c>
      <c r="G1004" s="1007">
        <v>-0.009586376375293693</v>
      </c>
      <c r="H1004" s="1012">
        <v>0.0</v>
      </c>
      <c r="I1004" s="1009"/>
    </row>
    <row r="1005">
      <c r="A1005" t="s">
        <v>246</v>
      </c>
      <c r="B1005" s="1003">
        <v>42320.0</v>
      </c>
      <c r="C1005" s="1004">
        <f t="shared" si="1"/>
        <v>316</v>
      </c>
      <c r="D1005" s="1005">
        <f t="shared" si="2"/>
        <v>10.36065574</v>
      </c>
      <c r="E1005" s="1006">
        <f t="shared" si="3"/>
        <v>11</v>
      </c>
      <c r="F1005" s="1006" t="s">
        <v>2784</v>
      </c>
      <c r="G1005" s="1007">
        <v>-0.057729767317016845</v>
      </c>
      <c r="H1005" s="1012">
        <v>-1.0</v>
      </c>
      <c r="I1005" s="1009"/>
    </row>
    <row r="1006">
      <c r="A1006" t="s">
        <v>1611</v>
      </c>
      <c r="B1006" s="1003">
        <v>42686.0</v>
      </c>
      <c r="C1006" s="1004">
        <f t="shared" si="1"/>
        <v>317</v>
      </c>
      <c r="D1006" s="1005">
        <f t="shared" si="2"/>
        <v>10.39344262</v>
      </c>
      <c r="E1006" s="1006">
        <f t="shared" si="3"/>
        <v>11</v>
      </c>
      <c r="F1006" s="1006" t="s">
        <v>2784</v>
      </c>
      <c r="G1006" s="1007">
        <v>0.002637073647768995</v>
      </c>
      <c r="H1006" s="1012">
        <v>0.0</v>
      </c>
      <c r="I1006" s="1009"/>
    </row>
    <row r="1007">
      <c r="A1007" t="s">
        <v>361</v>
      </c>
      <c r="B1007" s="1003">
        <v>42321.0</v>
      </c>
      <c r="C1007" s="1004">
        <f t="shared" si="1"/>
        <v>317</v>
      </c>
      <c r="D1007" s="1005">
        <f t="shared" si="2"/>
        <v>10.39344262</v>
      </c>
      <c r="E1007" s="1006">
        <f t="shared" si="3"/>
        <v>11</v>
      </c>
      <c r="F1007" s="1006" t="s">
        <v>2784</v>
      </c>
      <c r="G1007" s="1007">
        <v>-0.03196951654659186</v>
      </c>
      <c r="H1007" s="1012">
        <v>-1.0</v>
      </c>
      <c r="I1007" s="1009"/>
    </row>
    <row r="1008">
      <c r="A1008" t="s">
        <v>397</v>
      </c>
      <c r="B1008" s="1003">
        <v>41956.0</v>
      </c>
      <c r="C1008" s="1004">
        <f t="shared" si="1"/>
        <v>317</v>
      </c>
      <c r="D1008" s="1005">
        <f t="shared" si="2"/>
        <v>10.39344262</v>
      </c>
      <c r="E1008" s="1006">
        <f t="shared" si="3"/>
        <v>11</v>
      </c>
      <c r="F1008" s="1006" t="s">
        <v>2784</v>
      </c>
      <c r="G1008" s="1007">
        <v>-0.011124077778027486</v>
      </c>
      <c r="H1008" s="1012">
        <v>-1.0</v>
      </c>
      <c r="I1008" s="1009"/>
    </row>
    <row r="1009">
      <c r="A1009" t="s">
        <v>378</v>
      </c>
      <c r="B1009" s="1003">
        <v>42322.0</v>
      </c>
      <c r="C1009" s="1004">
        <f t="shared" si="1"/>
        <v>318</v>
      </c>
      <c r="D1009" s="1005">
        <f t="shared" si="2"/>
        <v>10.42622951</v>
      </c>
      <c r="E1009" s="1006">
        <f t="shared" si="3"/>
        <v>11</v>
      </c>
      <c r="F1009" s="1006" t="s">
        <v>2784</v>
      </c>
      <c r="G1009" s="1007">
        <v>-0.009073992298867628</v>
      </c>
      <c r="H1009" s="1012">
        <v>0.0</v>
      </c>
      <c r="I1009" s="1009"/>
    </row>
    <row r="1010">
      <c r="A1010" t="s">
        <v>140</v>
      </c>
      <c r="B1010" s="1003">
        <v>41957.0</v>
      </c>
      <c r="C1010" s="1004">
        <f t="shared" si="1"/>
        <v>318</v>
      </c>
      <c r="D1010" s="1005">
        <f t="shared" si="2"/>
        <v>10.42622951</v>
      </c>
      <c r="E1010" s="1006">
        <f t="shared" si="3"/>
        <v>11</v>
      </c>
      <c r="F1010" s="1006" t="s">
        <v>2784</v>
      </c>
      <c r="G1010" s="1007">
        <v>-0.001708957829427149</v>
      </c>
      <c r="H1010" s="1012">
        <v>0.0</v>
      </c>
      <c r="I1010" s="1009"/>
    </row>
    <row r="1011">
      <c r="A1011" t="s">
        <v>1784</v>
      </c>
      <c r="B1011" s="1003">
        <v>42688.0</v>
      </c>
      <c r="C1011" s="1004">
        <f t="shared" si="1"/>
        <v>319</v>
      </c>
      <c r="D1011" s="1005">
        <f t="shared" si="2"/>
        <v>10.45901639</v>
      </c>
      <c r="E1011" s="1006">
        <f t="shared" si="3"/>
        <v>11</v>
      </c>
      <c r="F1011" s="1006" t="s">
        <v>2784</v>
      </c>
      <c r="G1011" s="1007">
        <v>0.007779815215305574</v>
      </c>
      <c r="H1011" s="1012">
        <v>0.0</v>
      </c>
      <c r="I1011" s="1009"/>
    </row>
    <row r="1012">
      <c r="A1012" t="s">
        <v>1454</v>
      </c>
      <c r="B1012" s="1003">
        <v>42324.0</v>
      </c>
      <c r="C1012" s="1004">
        <f t="shared" si="1"/>
        <v>320</v>
      </c>
      <c r="D1012" s="1005">
        <f t="shared" si="2"/>
        <v>10.49180328</v>
      </c>
      <c r="E1012" s="1006">
        <f t="shared" si="3"/>
        <v>11</v>
      </c>
      <c r="F1012" s="1006" t="s">
        <v>2784</v>
      </c>
      <c r="G1012" s="1007">
        <v>-0.020966827069478056</v>
      </c>
      <c r="H1012" s="1012">
        <v>-1.0</v>
      </c>
      <c r="I1012" s="1009"/>
    </row>
    <row r="1013">
      <c r="A1013" t="s">
        <v>96</v>
      </c>
      <c r="B1013" s="1003">
        <v>41959.0</v>
      </c>
      <c r="C1013" s="1004">
        <f t="shared" si="1"/>
        <v>320</v>
      </c>
      <c r="D1013" s="1005">
        <f t="shared" si="2"/>
        <v>10.49180328</v>
      </c>
      <c r="E1013" s="1006">
        <f t="shared" si="3"/>
        <v>11</v>
      </c>
      <c r="F1013" s="1006" t="s">
        <v>2784</v>
      </c>
      <c r="G1013" s="1007">
        <v>-0.006796386959378231</v>
      </c>
      <c r="H1013" s="1012">
        <v>0.0</v>
      </c>
      <c r="I1013" s="1009"/>
    </row>
    <row r="1014">
      <c r="A1014" t="s">
        <v>1703</v>
      </c>
      <c r="B1014" s="1003">
        <v>42691.0</v>
      </c>
      <c r="C1014" s="1004">
        <f t="shared" si="1"/>
        <v>322</v>
      </c>
      <c r="D1014" s="1005">
        <f t="shared" si="2"/>
        <v>10.55737705</v>
      </c>
      <c r="E1014" s="1006">
        <f t="shared" si="3"/>
        <v>11</v>
      </c>
      <c r="F1014" s="1006" t="s">
        <v>2784</v>
      </c>
      <c r="G1014" s="1007">
        <v>0.029720679096075675</v>
      </c>
      <c r="H1014" s="1012">
        <v>1.0</v>
      </c>
      <c r="I1014" s="1009"/>
    </row>
    <row r="1015">
      <c r="A1015" t="s">
        <v>450</v>
      </c>
      <c r="B1015" s="1003">
        <v>42326.0</v>
      </c>
      <c r="C1015" s="1004">
        <f t="shared" si="1"/>
        <v>322</v>
      </c>
      <c r="D1015" s="1005">
        <f t="shared" si="2"/>
        <v>10.55737705</v>
      </c>
      <c r="E1015" s="1006">
        <f t="shared" si="3"/>
        <v>11</v>
      </c>
      <c r="F1015" s="1006" t="s">
        <v>2784</v>
      </c>
      <c r="G1015" s="1007">
        <v>-0.02843336368791427</v>
      </c>
      <c r="H1015" s="1012">
        <v>-1.0</v>
      </c>
      <c r="I1015" s="1009"/>
    </row>
    <row r="1016">
      <c r="A1016" t="s">
        <v>1726</v>
      </c>
      <c r="B1016" s="1003">
        <v>42692.0</v>
      </c>
      <c r="C1016" s="1004">
        <f t="shared" si="1"/>
        <v>323</v>
      </c>
      <c r="D1016" s="1005">
        <f t="shared" si="2"/>
        <v>10.59016393</v>
      </c>
      <c r="E1016" s="1006">
        <f t="shared" si="3"/>
        <v>11</v>
      </c>
      <c r="F1016" s="1006" t="s">
        <v>2784</v>
      </c>
      <c r="G1016" s="1007">
        <v>0.009667759878412507</v>
      </c>
      <c r="H1016" s="1012">
        <v>0.0</v>
      </c>
      <c r="I1016" s="1009"/>
    </row>
    <row r="1017">
      <c r="A1017" t="s">
        <v>1741</v>
      </c>
      <c r="B1017" s="1003">
        <v>42692.0</v>
      </c>
      <c r="C1017" s="1004">
        <f t="shared" si="1"/>
        <v>323</v>
      </c>
      <c r="D1017" s="1005">
        <f t="shared" si="2"/>
        <v>10.59016393</v>
      </c>
      <c r="E1017" s="1006">
        <f t="shared" si="3"/>
        <v>11</v>
      </c>
      <c r="F1017" s="1006" t="s">
        <v>2784</v>
      </c>
      <c r="G1017" s="1007">
        <v>0.02678126429010874</v>
      </c>
      <c r="H1017" s="1012">
        <v>1.0</v>
      </c>
      <c r="I1017" s="1009"/>
    </row>
    <row r="1018">
      <c r="A1018" t="s">
        <v>1642</v>
      </c>
      <c r="B1018" s="1003">
        <v>42693.0</v>
      </c>
      <c r="C1018" s="1004">
        <f t="shared" si="1"/>
        <v>324</v>
      </c>
      <c r="D1018" s="1005">
        <f t="shared" si="2"/>
        <v>10.62295082</v>
      </c>
      <c r="E1018" s="1006">
        <f t="shared" si="3"/>
        <v>11</v>
      </c>
      <c r="F1018" s="1006" t="s">
        <v>2784</v>
      </c>
      <c r="G1018" s="1007">
        <v>0.023162530909440315</v>
      </c>
      <c r="H1018" s="1012">
        <v>1.0</v>
      </c>
      <c r="I1018" s="1009"/>
    </row>
    <row r="1019">
      <c r="A1019" t="s">
        <v>384</v>
      </c>
      <c r="B1019" s="1003">
        <v>42328.0</v>
      </c>
      <c r="C1019" s="1004">
        <f t="shared" si="1"/>
        <v>324</v>
      </c>
      <c r="D1019" s="1005">
        <f t="shared" si="2"/>
        <v>10.62295082</v>
      </c>
      <c r="E1019" s="1006">
        <f t="shared" si="3"/>
        <v>11</v>
      </c>
      <c r="F1019" s="1006" t="s">
        <v>2784</v>
      </c>
      <c r="G1019" s="1007">
        <v>-7.018793598931872E-4</v>
      </c>
      <c r="H1019" s="1012">
        <v>0.0</v>
      </c>
      <c r="I1019" s="1009"/>
    </row>
    <row r="1020">
      <c r="A1020" t="s">
        <v>428</v>
      </c>
      <c r="B1020" s="1003">
        <v>42328.0</v>
      </c>
      <c r="C1020" s="1004">
        <f t="shared" si="1"/>
        <v>324</v>
      </c>
      <c r="D1020" s="1005">
        <f t="shared" si="2"/>
        <v>10.62295082</v>
      </c>
      <c r="E1020" s="1006">
        <f t="shared" si="3"/>
        <v>11</v>
      </c>
      <c r="F1020" s="1006" t="s">
        <v>2784</v>
      </c>
      <c r="G1020" s="1007">
        <v>-0.009043950562782288</v>
      </c>
      <c r="H1020" s="1012">
        <v>0.0</v>
      </c>
      <c r="I1020" s="1009"/>
    </row>
    <row r="1021">
      <c r="A1021" t="s">
        <v>663</v>
      </c>
      <c r="B1021" s="1003">
        <v>42694.0</v>
      </c>
      <c r="C1021" s="1004">
        <f t="shared" si="1"/>
        <v>325</v>
      </c>
      <c r="D1021" s="1005">
        <f t="shared" si="2"/>
        <v>10.6557377</v>
      </c>
      <c r="E1021" s="1006">
        <f t="shared" si="3"/>
        <v>11</v>
      </c>
      <c r="F1021" s="1006" t="s">
        <v>2784</v>
      </c>
      <c r="G1021" s="1007">
        <v>-0.006556395399836545</v>
      </c>
      <c r="H1021" s="1012">
        <v>0.0</v>
      </c>
      <c r="I1021" s="1009"/>
    </row>
    <row r="1022">
      <c r="A1022" t="s">
        <v>339</v>
      </c>
      <c r="B1022" s="1003">
        <v>41965.0</v>
      </c>
      <c r="C1022" s="1004">
        <f t="shared" si="1"/>
        <v>326</v>
      </c>
      <c r="D1022" s="1005">
        <f t="shared" si="2"/>
        <v>10.68852459</v>
      </c>
      <c r="E1022" s="1006">
        <f t="shared" si="3"/>
        <v>11</v>
      </c>
      <c r="F1022" s="1006" t="s">
        <v>2784</v>
      </c>
      <c r="G1022" s="1007">
        <v>0.009565066560259461</v>
      </c>
      <c r="H1022" s="1012">
        <v>0.0</v>
      </c>
      <c r="I1022" s="1009"/>
    </row>
    <row r="1023">
      <c r="A1023" t="s">
        <v>623</v>
      </c>
      <c r="B1023" s="1003">
        <v>42331.0</v>
      </c>
      <c r="C1023" s="1004">
        <f t="shared" si="1"/>
        <v>327</v>
      </c>
      <c r="D1023" s="1005">
        <f t="shared" si="2"/>
        <v>10.72131148</v>
      </c>
      <c r="E1023" s="1006">
        <f t="shared" si="3"/>
        <v>11</v>
      </c>
      <c r="F1023" s="1006" t="s">
        <v>2784</v>
      </c>
      <c r="G1023" s="1007">
        <v>-0.030881852074200133</v>
      </c>
      <c r="H1023" s="1012">
        <v>-1.0</v>
      </c>
      <c r="I1023" s="1009"/>
    </row>
    <row r="1024">
      <c r="A1024" t="s">
        <v>1895</v>
      </c>
      <c r="B1024" s="1003">
        <v>42697.0</v>
      </c>
      <c r="C1024" s="1004">
        <f t="shared" si="1"/>
        <v>328</v>
      </c>
      <c r="D1024" s="1005">
        <f t="shared" si="2"/>
        <v>10.75409836</v>
      </c>
      <c r="E1024" s="1006">
        <f t="shared" si="3"/>
        <v>11</v>
      </c>
      <c r="F1024" s="1006" t="s">
        <v>2784</v>
      </c>
      <c r="G1024" s="1007">
        <v>0.018838559849951975</v>
      </c>
      <c r="H1024" s="1012">
        <v>1.0</v>
      </c>
      <c r="I1024" s="1009"/>
    </row>
    <row r="1025">
      <c r="A1025" t="s">
        <v>1615</v>
      </c>
      <c r="B1025" s="1003">
        <v>42697.0</v>
      </c>
      <c r="C1025" s="1004">
        <f t="shared" si="1"/>
        <v>328</v>
      </c>
      <c r="D1025" s="1005">
        <f t="shared" si="2"/>
        <v>10.75409836</v>
      </c>
      <c r="E1025" s="1006">
        <f t="shared" si="3"/>
        <v>11</v>
      </c>
      <c r="F1025" s="1006" t="s">
        <v>2784</v>
      </c>
      <c r="G1025" s="1007">
        <v>9.754753244952674E-4</v>
      </c>
      <c r="H1025" s="1012">
        <v>0.0</v>
      </c>
      <c r="I1025" s="1009"/>
    </row>
    <row r="1026">
      <c r="A1026" t="s">
        <v>623</v>
      </c>
      <c r="B1026" s="1003">
        <v>42697.0</v>
      </c>
      <c r="C1026" s="1004">
        <f t="shared" si="1"/>
        <v>328</v>
      </c>
      <c r="D1026" s="1005">
        <f t="shared" si="2"/>
        <v>10.75409836</v>
      </c>
      <c r="E1026" s="1006">
        <f t="shared" si="3"/>
        <v>11</v>
      </c>
      <c r="F1026" s="1006" t="s">
        <v>2784</v>
      </c>
      <c r="G1026" s="1007">
        <v>0.007524348833256034</v>
      </c>
      <c r="H1026" s="1012">
        <v>0.0</v>
      </c>
      <c r="I1026" s="1009"/>
    </row>
    <row r="1027">
      <c r="A1027" t="s">
        <v>1617</v>
      </c>
      <c r="B1027" s="1003">
        <v>42332.0</v>
      </c>
      <c r="C1027" s="1004">
        <f t="shared" si="1"/>
        <v>328</v>
      </c>
      <c r="D1027" s="1005">
        <f t="shared" si="2"/>
        <v>10.75409836</v>
      </c>
      <c r="E1027" s="1006">
        <f t="shared" si="3"/>
        <v>11</v>
      </c>
      <c r="F1027" s="1006" t="s">
        <v>2784</v>
      </c>
      <c r="G1027" s="1007">
        <v>-0.015804766502573786</v>
      </c>
      <c r="H1027" s="1012">
        <v>-1.0</v>
      </c>
      <c r="I1027" s="1009"/>
    </row>
    <row r="1028">
      <c r="A1028" t="s">
        <v>1633</v>
      </c>
      <c r="B1028" s="1003">
        <v>42332.0</v>
      </c>
      <c r="C1028" s="1004">
        <f t="shared" si="1"/>
        <v>328</v>
      </c>
      <c r="D1028" s="1005">
        <f t="shared" si="2"/>
        <v>10.75409836</v>
      </c>
      <c r="E1028" s="1006">
        <f t="shared" si="3"/>
        <v>11</v>
      </c>
      <c r="F1028" s="1006" t="s">
        <v>2784</v>
      </c>
      <c r="G1028" s="1007">
        <v>-0.010875997486624489</v>
      </c>
      <c r="H1028" s="1012">
        <v>-1.0</v>
      </c>
      <c r="I1028" s="1009"/>
    </row>
    <row r="1029">
      <c r="A1029" t="s">
        <v>416</v>
      </c>
      <c r="B1029" s="1003">
        <v>41967.0</v>
      </c>
      <c r="C1029" s="1004">
        <f t="shared" si="1"/>
        <v>328</v>
      </c>
      <c r="D1029" s="1005">
        <f t="shared" si="2"/>
        <v>10.75409836</v>
      </c>
      <c r="E1029" s="1006">
        <f t="shared" si="3"/>
        <v>11</v>
      </c>
      <c r="F1029" s="1006" t="s">
        <v>2784</v>
      </c>
      <c r="G1029" s="1007">
        <v>-0.006639012253964238</v>
      </c>
      <c r="H1029" s="1012">
        <v>0.0</v>
      </c>
      <c r="I1029" s="1009"/>
    </row>
    <row r="1030">
      <c r="A1030" t="s">
        <v>1784</v>
      </c>
      <c r="B1030" s="1003">
        <v>42698.0</v>
      </c>
      <c r="C1030" s="1004">
        <f t="shared" si="1"/>
        <v>329</v>
      </c>
      <c r="D1030" s="1005">
        <f t="shared" si="2"/>
        <v>10.78688525</v>
      </c>
      <c r="E1030" s="1006">
        <f t="shared" si="3"/>
        <v>11</v>
      </c>
      <c r="F1030" s="1006" t="s">
        <v>2784</v>
      </c>
      <c r="G1030" s="1007">
        <v>0.005466902100507931</v>
      </c>
      <c r="H1030" s="1012">
        <v>0.0</v>
      </c>
      <c r="I1030" s="1009"/>
    </row>
    <row r="1031">
      <c r="A1031" t="s">
        <v>1783</v>
      </c>
      <c r="B1031" s="1003">
        <v>42698.0</v>
      </c>
      <c r="C1031" s="1004">
        <f t="shared" si="1"/>
        <v>329</v>
      </c>
      <c r="D1031" s="1005">
        <f t="shared" si="2"/>
        <v>10.78688525</v>
      </c>
      <c r="E1031" s="1006">
        <f t="shared" si="3"/>
        <v>11</v>
      </c>
      <c r="F1031" s="1006" t="s">
        <v>2784</v>
      </c>
      <c r="G1031" s="1007">
        <v>0.00565973727456659</v>
      </c>
      <c r="H1031" s="1012">
        <v>0.0</v>
      </c>
      <c r="I1031" s="1009"/>
    </row>
    <row r="1032">
      <c r="A1032" t="s">
        <v>1637</v>
      </c>
      <c r="B1032" s="1003">
        <v>42698.0</v>
      </c>
      <c r="C1032" s="1004">
        <f t="shared" si="1"/>
        <v>329</v>
      </c>
      <c r="D1032" s="1005">
        <f t="shared" si="2"/>
        <v>10.78688525</v>
      </c>
      <c r="E1032" s="1006">
        <f t="shared" si="3"/>
        <v>11</v>
      </c>
      <c r="F1032" s="1006" t="s">
        <v>2784</v>
      </c>
      <c r="G1032" s="1007">
        <v>0.022083984213177477</v>
      </c>
      <c r="H1032" s="1012">
        <v>1.0</v>
      </c>
      <c r="I1032" s="1009"/>
    </row>
    <row r="1033">
      <c r="A1033" t="s">
        <v>126</v>
      </c>
      <c r="B1033" s="1003">
        <v>41968.0</v>
      </c>
      <c r="C1033" s="1004">
        <f t="shared" si="1"/>
        <v>329</v>
      </c>
      <c r="D1033" s="1005">
        <f t="shared" si="2"/>
        <v>10.78688525</v>
      </c>
      <c r="E1033" s="1006">
        <f t="shared" si="3"/>
        <v>11</v>
      </c>
      <c r="F1033" s="1006" t="s">
        <v>2784</v>
      </c>
      <c r="G1033" s="1007">
        <v>0.002759534526933227</v>
      </c>
      <c r="H1033" s="1012">
        <v>0.0</v>
      </c>
      <c r="I1033" s="1009"/>
    </row>
    <row r="1034">
      <c r="A1034" t="s">
        <v>593</v>
      </c>
      <c r="B1034" s="1003">
        <v>42699.0</v>
      </c>
      <c r="C1034" s="1004">
        <f t="shared" si="1"/>
        <v>330</v>
      </c>
      <c r="D1034" s="1005">
        <f t="shared" si="2"/>
        <v>10.81967213</v>
      </c>
      <c r="E1034" s="1006">
        <f t="shared" si="3"/>
        <v>11</v>
      </c>
      <c r="F1034" s="1006" t="s">
        <v>2784</v>
      </c>
      <c r="G1034" s="1007">
        <v>-0.030790856246583065</v>
      </c>
      <c r="H1034" s="1012">
        <v>-1.0</v>
      </c>
      <c r="I1034" s="1009"/>
    </row>
    <row r="1035">
      <c r="A1035" t="s">
        <v>429</v>
      </c>
      <c r="B1035" s="1003">
        <v>41969.0</v>
      </c>
      <c r="C1035" s="1004">
        <f t="shared" si="1"/>
        <v>330</v>
      </c>
      <c r="D1035" s="1005">
        <f t="shared" si="2"/>
        <v>10.81967213</v>
      </c>
      <c r="E1035" s="1006">
        <f t="shared" si="3"/>
        <v>11</v>
      </c>
      <c r="F1035" s="1006" t="s">
        <v>2784</v>
      </c>
      <c r="G1035" s="1007">
        <v>0.011015304696109895</v>
      </c>
      <c r="H1035" s="1012">
        <v>1.0</v>
      </c>
      <c r="I1035" s="1009"/>
    </row>
    <row r="1036">
      <c r="A1036" t="s">
        <v>432</v>
      </c>
      <c r="B1036" s="1003">
        <v>41970.0</v>
      </c>
      <c r="C1036" s="1004">
        <f t="shared" si="1"/>
        <v>331</v>
      </c>
      <c r="D1036" s="1005">
        <f t="shared" si="2"/>
        <v>10.85245902</v>
      </c>
      <c r="E1036" s="1006">
        <f t="shared" si="3"/>
        <v>11</v>
      </c>
      <c r="F1036" s="1006" t="s">
        <v>2784</v>
      </c>
      <c r="G1036" s="1007">
        <v>-0.0010473466293624556</v>
      </c>
      <c r="H1036" s="1012">
        <v>0.0</v>
      </c>
      <c r="I1036" s="1009"/>
    </row>
    <row r="1037">
      <c r="A1037" t="s">
        <v>1784</v>
      </c>
      <c r="B1037" s="1003">
        <v>42701.0</v>
      </c>
      <c r="C1037" s="1004">
        <f t="shared" si="1"/>
        <v>332</v>
      </c>
      <c r="D1037" s="1005">
        <f t="shared" si="2"/>
        <v>10.8852459</v>
      </c>
      <c r="E1037" s="1006">
        <f t="shared" si="3"/>
        <v>11</v>
      </c>
      <c r="F1037" s="1006" t="s">
        <v>2784</v>
      </c>
      <c r="G1037" s="1007">
        <v>0.005492004855660038</v>
      </c>
      <c r="H1037" s="1012">
        <v>0.0</v>
      </c>
      <c r="I1037" s="1009"/>
    </row>
    <row r="1038">
      <c r="A1038" t="s">
        <v>1883</v>
      </c>
      <c r="B1038" s="1003">
        <v>42701.0</v>
      </c>
      <c r="C1038" s="1004">
        <f t="shared" si="1"/>
        <v>332</v>
      </c>
      <c r="D1038" s="1005">
        <f t="shared" si="2"/>
        <v>10.8852459</v>
      </c>
      <c r="E1038" s="1006">
        <f t="shared" si="3"/>
        <v>11</v>
      </c>
      <c r="F1038" s="1006" t="s">
        <v>2784</v>
      </c>
      <c r="G1038" s="1007">
        <v>0.00829104217057286</v>
      </c>
      <c r="H1038" s="1012">
        <v>0.0</v>
      </c>
      <c r="I1038" s="1009"/>
    </row>
    <row r="1039">
      <c r="A1039" t="s">
        <v>84</v>
      </c>
      <c r="B1039" s="1003">
        <v>42701.0</v>
      </c>
      <c r="C1039" s="1004">
        <f t="shared" si="1"/>
        <v>332</v>
      </c>
      <c r="D1039" s="1005">
        <f t="shared" si="2"/>
        <v>10.8852459</v>
      </c>
      <c r="E1039" s="1006">
        <f t="shared" si="3"/>
        <v>11</v>
      </c>
      <c r="F1039" s="1006" t="s">
        <v>2784</v>
      </c>
      <c r="G1039" s="1007">
        <v>-0.0029957023072211264</v>
      </c>
      <c r="H1039" s="1012">
        <v>0.0</v>
      </c>
      <c r="I1039" s="1009"/>
    </row>
    <row r="1040">
      <c r="A1040" t="s">
        <v>1336</v>
      </c>
      <c r="B1040" s="1003">
        <v>42702.0</v>
      </c>
      <c r="C1040" s="1004">
        <f t="shared" si="1"/>
        <v>333</v>
      </c>
      <c r="D1040" s="1005">
        <f t="shared" si="2"/>
        <v>10.91803279</v>
      </c>
      <c r="E1040" s="1006">
        <f t="shared" si="3"/>
        <v>11</v>
      </c>
      <c r="F1040" s="1006" t="s">
        <v>2784</v>
      </c>
      <c r="G1040" s="1007">
        <v>0.009491739454982495</v>
      </c>
      <c r="H1040" s="1012">
        <v>0.0</v>
      </c>
      <c r="I1040" s="1009"/>
    </row>
    <row r="1041">
      <c r="A1041" t="s">
        <v>126</v>
      </c>
      <c r="B1041" s="1003">
        <v>42702.0</v>
      </c>
      <c r="C1041" s="1004">
        <f t="shared" si="1"/>
        <v>333</v>
      </c>
      <c r="D1041" s="1005">
        <f t="shared" si="2"/>
        <v>10.91803279</v>
      </c>
      <c r="E1041" s="1006">
        <f t="shared" si="3"/>
        <v>11</v>
      </c>
      <c r="F1041" s="1006" t="s">
        <v>2784</v>
      </c>
      <c r="G1041" s="1007">
        <v>-0.018379810938871644</v>
      </c>
      <c r="H1041" s="1012">
        <v>-1.0</v>
      </c>
      <c r="I1041" s="1009"/>
    </row>
    <row r="1042">
      <c r="A1042" t="s">
        <v>640</v>
      </c>
      <c r="B1042" s="1003">
        <v>42702.0</v>
      </c>
      <c r="C1042" s="1004">
        <f t="shared" si="1"/>
        <v>333</v>
      </c>
      <c r="D1042" s="1005">
        <f t="shared" si="2"/>
        <v>10.91803279</v>
      </c>
      <c r="E1042" s="1006">
        <f t="shared" si="3"/>
        <v>11</v>
      </c>
      <c r="F1042" s="1006" t="s">
        <v>2784</v>
      </c>
      <c r="G1042" s="1007">
        <v>0.0015098864304183834</v>
      </c>
      <c r="H1042" s="1012">
        <v>0.0</v>
      </c>
      <c r="I1042" s="1009"/>
    </row>
    <row r="1043">
      <c r="A1043" t="s">
        <v>1741</v>
      </c>
      <c r="B1043" s="1003">
        <v>42702.0</v>
      </c>
      <c r="C1043" s="1004">
        <f t="shared" si="1"/>
        <v>333</v>
      </c>
      <c r="D1043" s="1005">
        <f t="shared" si="2"/>
        <v>10.91803279</v>
      </c>
      <c r="E1043" s="1006">
        <f t="shared" si="3"/>
        <v>11</v>
      </c>
      <c r="F1043" s="1006" t="s">
        <v>2784</v>
      </c>
      <c r="G1043" s="1007">
        <v>0.015326636665930482</v>
      </c>
      <c r="H1043" s="1012">
        <v>1.0</v>
      </c>
      <c r="I1043" s="1009"/>
    </row>
    <row r="1044">
      <c r="A1044" t="s">
        <v>169</v>
      </c>
      <c r="B1044" s="1003">
        <v>42702.0</v>
      </c>
      <c r="C1044" s="1004">
        <f t="shared" si="1"/>
        <v>333</v>
      </c>
      <c r="D1044" s="1005">
        <f t="shared" si="2"/>
        <v>10.91803279</v>
      </c>
      <c r="E1044" s="1006">
        <f t="shared" si="3"/>
        <v>11</v>
      </c>
      <c r="F1044" s="1006" t="s">
        <v>2784</v>
      </c>
      <c r="G1044" s="1007">
        <v>-0.03095289729588213</v>
      </c>
      <c r="H1044" s="1012">
        <v>-1.0</v>
      </c>
      <c r="I1044" s="1009"/>
    </row>
    <row r="1045">
      <c r="A1045" t="s">
        <v>1666</v>
      </c>
      <c r="B1045" s="1003">
        <v>42337.0</v>
      </c>
      <c r="C1045" s="1004">
        <f t="shared" si="1"/>
        <v>333</v>
      </c>
      <c r="D1045" s="1005">
        <f t="shared" si="2"/>
        <v>10.91803279</v>
      </c>
      <c r="E1045" s="1006">
        <f t="shared" si="3"/>
        <v>11</v>
      </c>
      <c r="F1045" s="1006" t="s">
        <v>2784</v>
      </c>
      <c r="G1045" s="1007">
        <v>-0.028178639022909846</v>
      </c>
      <c r="H1045" s="1012">
        <v>-1.0</v>
      </c>
      <c r="I1045" s="1009"/>
    </row>
    <row r="1046">
      <c r="A1046" t="s">
        <v>161</v>
      </c>
      <c r="B1046" s="1003">
        <v>42337.0</v>
      </c>
      <c r="C1046" s="1004">
        <f t="shared" si="1"/>
        <v>333</v>
      </c>
      <c r="D1046" s="1005">
        <f t="shared" si="2"/>
        <v>10.91803279</v>
      </c>
      <c r="E1046" s="1006">
        <f t="shared" si="3"/>
        <v>11</v>
      </c>
      <c r="F1046" s="1006" t="s">
        <v>2784</v>
      </c>
      <c r="G1046" s="1007">
        <v>-0.011512845055015264</v>
      </c>
      <c r="H1046" s="1012">
        <v>-1.0</v>
      </c>
      <c r="I1046" s="1009"/>
    </row>
    <row r="1047">
      <c r="A1047" t="s">
        <v>1623</v>
      </c>
      <c r="B1047" s="1003">
        <v>42338.0</v>
      </c>
      <c r="C1047" s="1004">
        <f t="shared" si="1"/>
        <v>334</v>
      </c>
      <c r="D1047" s="1005">
        <f t="shared" si="2"/>
        <v>10.95081967</v>
      </c>
      <c r="E1047" s="1006">
        <f t="shared" si="3"/>
        <v>11</v>
      </c>
      <c r="F1047" s="1006" t="s">
        <v>2784</v>
      </c>
      <c r="G1047" s="1007">
        <v>-0.012456813759588292</v>
      </c>
      <c r="H1047" s="1012">
        <v>-1.0</v>
      </c>
      <c r="I1047" s="1009"/>
    </row>
    <row r="1048">
      <c r="A1048" t="s">
        <v>192</v>
      </c>
      <c r="B1048" s="1003">
        <v>42338.0</v>
      </c>
      <c r="C1048" s="1004">
        <f t="shared" si="1"/>
        <v>334</v>
      </c>
      <c r="D1048" s="1005">
        <f t="shared" si="2"/>
        <v>10.95081967</v>
      </c>
      <c r="E1048" s="1006">
        <f t="shared" si="3"/>
        <v>11</v>
      </c>
      <c r="F1048" s="1006" t="s">
        <v>2784</v>
      </c>
      <c r="G1048" s="1007">
        <v>-0.009958154316591084</v>
      </c>
      <c r="H1048" s="1012">
        <v>0.0</v>
      </c>
      <c r="I1048" s="1009"/>
    </row>
    <row r="1049">
      <c r="A1049" t="s">
        <v>339</v>
      </c>
      <c r="B1049" s="1003">
        <v>42338.0</v>
      </c>
      <c r="C1049" s="1004">
        <f t="shared" si="1"/>
        <v>334</v>
      </c>
      <c r="D1049" s="1005">
        <f t="shared" si="2"/>
        <v>10.95081967</v>
      </c>
      <c r="E1049" s="1006">
        <f t="shared" si="3"/>
        <v>11</v>
      </c>
      <c r="F1049" s="1006" t="s">
        <v>2784</v>
      </c>
      <c r="G1049" s="1007">
        <v>-0.015703395550209387</v>
      </c>
      <c r="H1049" s="1012">
        <v>-1.0</v>
      </c>
      <c r="I1049" s="1009"/>
    </row>
    <row r="1050">
      <c r="A1050" t="s">
        <v>78</v>
      </c>
      <c r="B1050" s="1003">
        <v>42338.0</v>
      </c>
      <c r="C1050" s="1004">
        <f t="shared" si="1"/>
        <v>334</v>
      </c>
      <c r="D1050" s="1005">
        <f t="shared" si="2"/>
        <v>10.95081967</v>
      </c>
      <c r="E1050" s="1006">
        <f t="shared" si="3"/>
        <v>11</v>
      </c>
      <c r="F1050" s="1006" t="s">
        <v>2784</v>
      </c>
      <c r="G1050" s="1007">
        <v>-0.0014786267808726272</v>
      </c>
      <c r="H1050" s="1012">
        <v>0.0</v>
      </c>
      <c r="I1050" s="1009"/>
    </row>
    <row r="1051">
      <c r="A1051" t="s">
        <v>155</v>
      </c>
      <c r="B1051" s="1003">
        <v>41973.0</v>
      </c>
      <c r="C1051" s="1004">
        <f t="shared" si="1"/>
        <v>334</v>
      </c>
      <c r="D1051" s="1005">
        <f t="shared" si="2"/>
        <v>10.95081967</v>
      </c>
      <c r="E1051" s="1006">
        <f t="shared" si="3"/>
        <v>11</v>
      </c>
      <c r="F1051" s="1006" t="s">
        <v>2784</v>
      </c>
      <c r="G1051" s="1007">
        <v>0.02305539676643642</v>
      </c>
      <c r="H1051" s="1012">
        <v>1.0</v>
      </c>
      <c r="I1051" s="1009"/>
    </row>
    <row r="1052">
      <c r="A1052" t="s">
        <v>519</v>
      </c>
      <c r="B1052" s="1003">
        <v>42704.0</v>
      </c>
      <c r="C1052" s="1004">
        <f t="shared" si="1"/>
        <v>335</v>
      </c>
      <c r="D1052" s="1005">
        <f t="shared" si="2"/>
        <v>10.98360656</v>
      </c>
      <c r="E1052" s="1006">
        <f t="shared" si="3"/>
        <v>11</v>
      </c>
      <c r="F1052" s="1006" t="s">
        <v>2784</v>
      </c>
      <c r="G1052" s="1007">
        <v>0.03877297138986746</v>
      </c>
      <c r="H1052" s="1012">
        <v>1.0</v>
      </c>
      <c r="I1052" s="1009"/>
    </row>
    <row r="1053">
      <c r="A1053" t="s">
        <v>601</v>
      </c>
      <c r="B1053" s="1003">
        <v>42704.0</v>
      </c>
      <c r="C1053" s="1004">
        <f t="shared" si="1"/>
        <v>335</v>
      </c>
      <c r="D1053" s="1005">
        <f t="shared" si="2"/>
        <v>10.98360656</v>
      </c>
      <c r="E1053" s="1006">
        <f t="shared" si="3"/>
        <v>11</v>
      </c>
      <c r="F1053" s="1006" t="s">
        <v>2784</v>
      </c>
      <c r="G1053" s="1007">
        <v>0.030239365010359065</v>
      </c>
      <c r="H1053" s="1012">
        <v>1.0</v>
      </c>
      <c r="I1053" s="1009"/>
    </row>
    <row r="1054">
      <c r="A1054" t="s">
        <v>1703</v>
      </c>
      <c r="B1054" s="1003">
        <v>42705.0</v>
      </c>
      <c r="C1054" s="1004">
        <f t="shared" si="1"/>
        <v>336</v>
      </c>
      <c r="D1054" s="1005">
        <f t="shared" si="2"/>
        <v>11.01639344</v>
      </c>
      <c r="E1054" s="1006">
        <f t="shared" si="3"/>
        <v>12</v>
      </c>
      <c r="F1054" s="1006" t="s">
        <v>2785</v>
      </c>
      <c r="G1054" s="1007">
        <v>0.027864511992775842</v>
      </c>
      <c r="H1054" s="1012">
        <v>1.0</v>
      </c>
      <c r="I1054" s="1009"/>
    </row>
    <row r="1055">
      <c r="A1055" t="s">
        <v>1703</v>
      </c>
      <c r="B1055" s="1003">
        <v>42705.0</v>
      </c>
      <c r="C1055" s="1004">
        <f t="shared" si="1"/>
        <v>336</v>
      </c>
      <c r="D1055" s="1005">
        <f t="shared" si="2"/>
        <v>11.01639344</v>
      </c>
      <c r="E1055" s="1006">
        <f t="shared" si="3"/>
        <v>12</v>
      </c>
      <c r="F1055" s="1006" t="s">
        <v>2785</v>
      </c>
      <c r="G1055" s="1007">
        <v>0.029092180627315556</v>
      </c>
      <c r="H1055" s="1012">
        <v>1.0</v>
      </c>
      <c r="I1055" s="1009"/>
    </row>
    <row r="1056">
      <c r="A1056" t="s">
        <v>1726</v>
      </c>
      <c r="B1056" s="1003">
        <v>42706.0</v>
      </c>
      <c r="C1056" s="1004">
        <f t="shared" si="1"/>
        <v>337</v>
      </c>
      <c r="D1056" s="1005">
        <f t="shared" si="2"/>
        <v>11.04918033</v>
      </c>
      <c r="E1056" s="1006">
        <f t="shared" si="3"/>
        <v>12</v>
      </c>
      <c r="F1056" s="1006" t="s">
        <v>2785</v>
      </c>
      <c r="G1056" s="1007">
        <v>0.00995332100078894</v>
      </c>
      <c r="H1056" s="1012">
        <v>0.0</v>
      </c>
      <c r="I1056" s="1009"/>
    </row>
    <row r="1057">
      <c r="A1057" t="s">
        <v>1637</v>
      </c>
      <c r="B1057" s="1003">
        <v>42341.0</v>
      </c>
      <c r="C1057" s="1004">
        <f t="shared" si="1"/>
        <v>337</v>
      </c>
      <c r="D1057" s="1005">
        <f t="shared" si="2"/>
        <v>11.04918033</v>
      </c>
      <c r="E1057" s="1006">
        <f t="shared" si="3"/>
        <v>12</v>
      </c>
      <c r="F1057" s="1006" t="s">
        <v>2785</v>
      </c>
      <c r="G1057" s="1007">
        <v>0.019566408204735986</v>
      </c>
      <c r="H1057" s="1012">
        <v>1.0</v>
      </c>
      <c r="I1057" s="1009"/>
    </row>
    <row r="1058">
      <c r="A1058" t="s">
        <v>541</v>
      </c>
      <c r="B1058" s="1003">
        <v>42707.0</v>
      </c>
      <c r="C1058" s="1004">
        <f t="shared" si="1"/>
        <v>338</v>
      </c>
      <c r="D1058" s="1005">
        <f t="shared" si="2"/>
        <v>11.08196721</v>
      </c>
      <c r="E1058" s="1006">
        <f t="shared" si="3"/>
        <v>12</v>
      </c>
      <c r="F1058" s="1006" t="s">
        <v>2785</v>
      </c>
      <c r="G1058" s="1007">
        <v>-0.012816642720794857</v>
      </c>
      <c r="H1058" s="1012">
        <v>-1.0</v>
      </c>
      <c r="I1058" s="1009"/>
    </row>
    <row r="1059">
      <c r="A1059" t="s">
        <v>145</v>
      </c>
      <c r="B1059" s="1003">
        <v>42342.0</v>
      </c>
      <c r="C1059" s="1004">
        <f t="shared" si="1"/>
        <v>338</v>
      </c>
      <c r="D1059" s="1005">
        <f t="shared" si="2"/>
        <v>11.08196721</v>
      </c>
      <c r="E1059" s="1006">
        <f t="shared" si="3"/>
        <v>12</v>
      </c>
      <c r="F1059" s="1006" t="s">
        <v>2785</v>
      </c>
      <c r="G1059" s="1007">
        <v>0.03001055240120898</v>
      </c>
      <c r="H1059" s="1012">
        <v>1.0</v>
      </c>
      <c r="I1059" s="1009"/>
    </row>
    <row r="1060">
      <c r="A1060" t="s">
        <v>149</v>
      </c>
      <c r="B1060" s="1003">
        <v>42342.0</v>
      </c>
      <c r="C1060" s="1004">
        <f t="shared" si="1"/>
        <v>338</v>
      </c>
      <c r="D1060" s="1005">
        <f t="shared" si="2"/>
        <v>11.08196721</v>
      </c>
      <c r="E1060" s="1006">
        <f t="shared" si="3"/>
        <v>12</v>
      </c>
      <c r="F1060" s="1006" t="s">
        <v>2785</v>
      </c>
      <c r="G1060" s="1007">
        <v>-0.012150378639061876</v>
      </c>
      <c r="H1060" s="1012">
        <v>-1.0</v>
      </c>
      <c r="I1060" s="1009"/>
    </row>
    <row r="1061">
      <c r="A1061" t="s">
        <v>1493</v>
      </c>
      <c r="B1061" s="1003">
        <v>42343.0</v>
      </c>
      <c r="C1061" s="1004">
        <f t="shared" si="1"/>
        <v>339</v>
      </c>
      <c r="D1061" s="1005">
        <f t="shared" si="2"/>
        <v>11.1147541</v>
      </c>
      <c r="E1061" s="1006">
        <f t="shared" si="3"/>
        <v>12</v>
      </c>
      <c r="F1061" s="1006" t="s">
        <v>2785</v>
      </c>
      <c r="G1061" s="1007">
        <v>-0.037537518071957154</v>
      </c>
      <c r="H1061" s="1012">
        <v>-1.0</v>
      </c>
      <c r="I1061" s="1009"/>
    </row>
    <row r="1062">
      <c r="A1062" t="s">
        <v>201</v>
      </c>
      <c r="B1062" s="1003">
        <v>41978.0</v>
      </c>
      <c r="C1062" s="1004">
        <f t="shared" si="1"/>
        <v>339</v>
      </c>
      <c r="D1062" s="1005">
        <f t="shared" si="2"/>
        <v>11.1147541</v>
      </c>
      <c r="E1062" s="1006">
        <f t="shared" si="3"/>
        <v>12</v>
      </c>
      <c r="F1062" s="1006" t="s">
        <v>2785</v>
      </c>
      <c r="G1062" s="1007">
        <v>6.765345372847786E-4</v>
      </c>
      <c r="H1062" s="1012">
        <v>0.0</v>
      </c>
      <c r="I1062" s="1009"/>
    </row>
    <row r="1063">
      <c r="A1063" t="s">
        <v>1784</v>
      </c>
      <c r="B1063" s="1003">
        <v>42710.0</v>
      </c>
      <c r="C1063" s="1004">
        <f t="shared" si="1"/>
        <v>341</v>
      </c>
      <c r="D1063" s="1005">
        <f t="shared" si="2"/>
        <v>11.18032787</v>
      </c>
      <c r="E1063" s="1006">
        <f t="shared" si="3"/>
        <v>12</v>
      </c>
      <c r="F1063" s="1006" t="s">
        <v>2785</v>
      </c>
      <c r="G1063" s="1007">
        <v>0.005746060413663323</v>
      </c>
      <c r="H1063" s="1012">
        <v>0.0</v>
      </c>
      <c r="I1063" s="1009"/>
    </row>
    <row r="1064">
      <c r="A1064" t="s">
        <v>1611</v>
      </c>
      <c r="B1064" s="1003">
        <v>42345.0</v>
      </c>
      <c r="C1064" s="1004">
        <f t="shared" si="1"/>
        <v>341</v>
      </c>
      <c r="D1064" s="1005">
        <f t="shared" si="2"/>
        <v>11.18032787</v>
      </c>
      <c r="E1064" s="1006">
        <f t="shared" si="3"/>
        <v>12</v>
      </c>
      <c r="F1064" s="1006" t="s">
        <v>2785</v>
      </c>
      <c r="G1064" s="1007">
        <v>0.008769001067975624</v>
      </c>
      <c r="H1064" s="1012">
        <v>0.0</v>
      </c>
      <c r="I1064" s="1009"/>
    </row>
    <row r="1065">
      <c r="A1065" t="s">
        <v>221</v>
      </c>
      <c r="B1065" s="1003">
        <v>42345.0</v>
      </c>
      <c r="C1065" s="1004">
        <f t="shared" si="1"/>
        <v>341</v>
      </c>
      <c r="D1065" s="1005">
        <f t="shared" si="2"/>
        <v>11.18032787</v>
      </c>
      <c r="E1065" s="1006">
        <f t="shared" si="3"/>
        <v>12</v>
      </c>
      <c r="F1065" s="1006" t="s">
        <v>2785</v>
      </c>
      <c r="G1065" s="1007">
        <v>0.004968852841006899</v>
      </c>
      <c r="H1065" s="1012">
        <v>0.0</v>
      </c>
      <c r="I1065" s="1009"/>
    </row>
    <row r="1066">
      <c r="A1066" t="s">
        <v>246</v>
      </c>
      <c r="B1066" s="1003">
        <v>42347.0</v>
      </c>
      <c r="C1066" s="1004">
        <f t="shared" si="1"/>
        <v>343</v>
      </c>
      <c r="D1066" s="1005">
        <f t="shared" si="2"/>
        <v>11.24590164</v>
      </c>
      <c r="E1066" s="1006">
        <f t="shared" si="3"/>
        <v>12</v>
      </c>
      <c r="F1066" s="1006" t="s">
        <v>2785</v>
      </c>
      <c r="G1066" s="1007">
        <v>-0.008212194079737833</v>
      </c>
      <c r="H1066" s="1012">
        <v>0.0</v>
      </c>
      <c r="I1066" s="1009"/>
    </row>
    <row r="1067">
      <c r="A1067" t="s">
        <v>186</v>
      </c>
      <c r="B1067" s="1003">
        <v>42347.0</v>
      </c>
      <c r="C1067" s="1004">
        <f t="shared" si="1"/>
        <v>343</v>
      </c>
      <c r="D1067" s="1005">
        <f t="shared" si="2"/>
        <v>11.24590164</v>
      </c>
      <c r="E1067" s="1006">
        <f t="shared" si="3"/>
        <v>12</v>
      </c>
      <c r="F1067" s="1006" t="s">
        <v>2785</v>
      </c>
      <c r="G1067" s="1007">
        <v>-0.014789732542374034</v>
      </c>
      <c r="H1067" s="1012">
        <v>-1.0</v>
      </c>
      <c r="I1067" s="1009"/>
    </row>
    <row r="1068">
      <c r="A1068" t="s">
        <v>1662</v>
      </c>
      <c r="B1068" s="1003">
        <v>42347.0</v>
      </c>
      <c r="C1068" s="1004">
        <f t="shared" si="1"/>
        <v>343</v>
      </c>
      <c r="D1068" s="1005">
        <f t="shared" si="2"/>
        <v>11.24590164</v>
      </c>
      <c r="E1068" s="1006">
        <f t="shared" si="3"/>
        <v>12</v>
      </c>
      <c r="F1068" s="1006" t="s">
        <v>2785</v>
      </c>
      <c r="G1068" s="1007">
        <v>0.07571272944882723</v>
      </c>
      <c r="H1068" s="1012">
        <v>1.0</v>
      </c>
      <c r="I1068" s="1009"/>
    </row>
    <row r="1069">
      <c r="A1069" t="s">
        <v>395</v>
      </c>
      <c r="B1069" s="1003">
        <v>42347.0</v>
      </c>
      <c r="C1069" s="1004">
        <f t="shared" si="1"/>
        <v>343</v>
      </c>
      <c r="D1069" s="1005">
        <f t="shared" si="2"/>
        <v>11.24590164</v>
      </c>
      <c r="E1069" s="1006">
        <f t="shared" si="3"/>
        <v>12</v>
      </c>
      <c r="F1069" s="1006" t="s">
        <v>2785</v>
      </c>
      <c r="G1069" s="1007">
        <v>-0.0034481683437745936</v>
      </c>
      <c r="H1069" s="1012">
        <v>0.0</v>
      </c>
      <c r="I1069" s="1009"/>
    </row>
    <row r="1070">
      <c r="A1070" t="s">
        <v>400</v>
      </c>
      <c r="B1070" s="1003">
        <v>42347.0</v>
      </c>
      <c r="C1070" s="1004">
        <f t="shared" si="1"/>
        <v>343</v>
      </c>
      <c r="D1070" s="1005">
        <f t="shared" si="2"/>
        <v>11.24590164</v>
      </c>
      <c r="E1070" s="1006">
        <f t="shared" si="3"/>
        <v>12</v>
      </c>
      <c r="F1070" s="1006" t="s">
        <v>2785</v>
      </c>
      <c r="G1070" s="1007">
        <v>-0.011820406569372555</v>
      </c>
      <c r="H1070" s="1012">
        <v>-1.0</v>
      </c>
      <c r="I1070" s="1009"/>
    </row>
    <row r="1071">
      <c r="A1071" t="s">
        <v>363</v>
      </c>
      <c r="B1071" s="1003">
        <v>42347.0</v>
      </c>
      <c r="C1071" s="1004">
        <f t="shared" si="1"/>
        <v>343</v>
      </c>
      <c r="D1071" s="1005">
        <f t="shared" si="2"/>
        <v>11.24590164</v>
      </c>
      <c r="E1071" s="1006">
        <f t="shared" si="3"/>
        <v>12</v>
      </c>
      <c r="F1071" s="1006" t="s">
        <v>2785</v>
      </c>
      <c r="G1071" s="1007">
        <v>-0.1080197729517256</v>
      </c>
      <c r="H1071" s="1012">
        <v>-1.0</v>
      </c>
      <c r="I1071" s="1009"/>
    </row>
    <row r="1072">
      <c r="A1072" t="s">
        <v>244</v>
      </c>
      <c r="B1072" s="1003">
        <v>42347.0</v>
      </c>
      <c r="C1072" s="1004">
        <f t="shared" si="1"/>
        <v>343</v>
      </c>
      <c r="D1072" s="1005">
        <f t="shared" si="2"/>
        <v>11.24590164</v>
      </c>
      <c r="E1072" s="1006">
        <f t="shared" si="3"/>
        <v>12</v>
      </c>
      <c r="F1072" s="1006" t="s">
        <v>2785</v>
      </c>
      <c r="G1072" s="1007">
        <v>-0.08691345815304086</v>
      </c>
      <c r="H1072" s="1012">
        <v>-1.0</v>
      </c>
      <c r="I1072" s="1009"/>
    </row>
    <row r="1073">
      <c r="A1073" t="s">
        <v>376</v>
      </c>
      <c r="B1073" s="1003">
        <v>42713.0</v>
      </c>
      <c r="C1073" s="1004">
        <f t="shared" si="1"/>
        <v>344</v>
      </c>
      <c r="D1073" s="1005">
        <f t="shared" si="2"/>
        <v>11.27868852</v>
      </c>
      <c r="E1073" s="1006">
        <f t="shared" si="3"/>
        <v>12</v>
      </c>
      <c r="F1073" s="1006" t="s">
        <v>2785</v>
      </c>
      <c r="G1073" s="1007">
        <v>-0.0017728088062756164</v>
      </c>
      <c r="H1073" s="1012">
        <v>0.0</v>
      </c>
      <c r="I1073" s="1009"/>
    </row>
    <row r="1074">
      <c r="A1074" t="s">
        <v>1615</v>
      </c>
      <c r="B1074" s="1003">
        <v>42713.0</v>
      </c>
      <c r="C1074" s="1004">
        <f t="shared" si="1"/>
        <v>344</v>
      </c>
      <c r="D1074" s="1005">
        <f t="shared" si="2"/>
        <v>11.27868852</v>
      </c>
      <c r="E1074" s="1006">
        <f t="shared" si="3"/>
        <v>12</v>
      </c>
      <c r="F1074" s="1006" t="s">
        <v>2785</v>
      </c>
      <c r="G1074" s="1007">
        <v>-0.004508957829427174</v>
      </c>
      <c r="H1074" s="1012">
        <v>0.0</v>
      </c>
      <c r="I1074" s="1009"/>
    </row>
    <row r="1075">
      <c r="A1075" t="s">
        <v>1683</v>
      </c>
      <c r="B1075" s="1003">
        <v>42713.0</v>
      </c>
      <c r="C1075" s="1004">
        <f t="shared" si="1"/>
        <v>344</v>
      </c>
      <c r="D1075" s="1005">
        <f t="shared" si="2"/>
        <v>11.27868852</v>
      </c>
      <c r="E1075" s="1006">
        <f t="shared" si="3"/>
        <v>12</v>
      </c>
      <c r="F1075" s="1006" t="s">
        <v>2785</v>
      </c>
      <c r="G1075" s="1007">
        <v>0.014964465767652424</v>
      </c>
      <c r="H1075" s="1012">
        <v>1.0</v>
      </c>
      <c r="I1075" s="1009"/>
    </row>
    <row r="1076">
      <c r="A1076" t="s">
        <v>761</v>
      </c>
      <c r="B1076" s="1003">
        <v>42713.0</v>
      </c>
      <c r="C1076" s="1004">
        <f t="shared" si="1"/>
        <v>344</v>
      </c>
      <c r="D1076" s="1005">
        <f t="shared" si="2"/>
        <v>11.27868852</v>
      </c>
      <c r="E1076" s="1006">
        <f t="shared" si="3"/>
        <v>12</v>
      </c>
      <c r="F1076" s="1006" t="s">
        <v>2785</v>
      </c>
      <c r="G1076" s="1007">
        <v>-0.015824731656935875</v>
      </c>
      <c r="H1076" s="1012">
        <v>-1.0</v>
      </c>
      <c r="I1076" s="1009"/>
    </row>
    <row r="1077">
      <c r="A1077" t="s">
        <v>1647</v>
      </c>
      <c r="B1077" s="1003">
        <v>42348.0</v>
      </c>
      <c r="C1077" s="1004">
        <f t="shared" si="1"/>
        <v>344</v>
      </c>
      <c r="D1077" s="1005">
        <f t="shared" si="2"/>
        <v>11.27868852</v>
      </c>
      <c r="E1077" s="1006">
        <f t="shared" si="3"/>
        <v>12</v>
      </c>
      <c r="F1077" s="1006" t="s">
        <v>2785</v>
      </c>
      <c r="G1077" s="1007">
        <v>-0.013457995242766141</v>
      </c>
      <c r="H1077" s="1012">
        <v>-1.0</v>
      </c>
      <c r="I1077" s="1009"/>
    </row>
    <row r="1078">
      <c r="A1078" t="s">
        <v>147</v>
      </c>
      <c r="B1078" s="1003">
        <v>42348.0</v>
      </c>
      <c r="C1078" s="1004">
        <f t="shared" si="1"/>
        <v>344</v>
      </c>
      <c r="D1078" s="1005">
        <f t="shared" si="2"/>
        <v>11.27868852</v>
      </c>
      <c r="E1078" s="1006">
        <f t="shared" si="3"/>
        <v>12</v>
      </c>
      <c r="F1078" s="1006" t="s">
        <v>2785</v>
      </c>
      <c r="G1078" s="1007">
        <v>-0.014431017791339262</v>
      </c>
      <c r="H1078" s="1012">
        <v>-1.0</v>
      </c>
      <c r="I1078" s="1009"/>
    </row>
    <row r="1079">
      <c r="A1079" t="s">
        <v>541</v>
      </c>
      <c r="B1079" s="1003">
        <v>42348.0</v>
      </c>
      <c r="C1079" s="1004">
        <f t="shared" si="1"/>
        <v>344</v>
      </c>
      <c r="D1079" s="1005">
        <f t="shared" si="2"/>
        <v>11.27868852</v>
      </c>
      <c r="E1079" s="1006">
        <f t="shared" si="3"/>
        <v>12</v>
      </c>
      <c r="F1079" s="1006" t="s">
        <v>2785</v>
      </c>
      <c r="G1079" s="1007">
        <v>-0.04369317971917164</v>
      </c>
      <c r="H1079" s="1012">
        <v>-1.0</v>
      </c>
      <c r="I1079" s="1009"/>
    </row>
    <row r="1080">
      <c r="A1080" t="s">
        <v>407</v>
      </c>
      <c r="B1080" s="1003">
        <v>42348.0</v>
      </c>
      <c r="C1080" s="1004">
        <f t="shared" si="1"/>
        <v>344</v>
      </c>
      <c r="D1080" s="1005">
        <f t="shared" si="2"/>
        <v>11.27868852</v>
      </c>
      <c r="E1080" s="1006">
        <f t="shared" si="3"/>
        <v>12</v>
      </c>
      <c r="F1080" s="1006" t="s">
        <v>2785</v>
      </c>
      <c r="G1080" s="1007">
        <v>-0.002610533140869009</v>
      </c>
      <c r="H1080" s="1012">
        <v>0.0</v>
      </c>
      <c r="I1080" s="1009"/>
    </row>
    <row r="1081">
      <c r="A1081" t="s">
        <v>418</v>
      </c>
      <c r="B1081" s="1003">
        <v>42348.0</v>
      </c>
      <c r="C1081" s="1004">
        <f t="shared" si="1"/>
        <v>344</v>
      </c>
      <c r="D1081" s="1005">
        <f t="shared" si="2"/>
        <v>11.27868852</v>
      </c>
      <c r="E1081" s="1006">
        <f t="shared" si="3"/>
        <v>12</v>
      </c>
      <c r="F1081" s="1006" t="s">
        <v>2785</v>
      </c>
      <c r="G1081" s="1007">
        <v>0.018479845020167973</v>
      </c>
      <c r="H1081" s="1012">
        <v>1.0</v>
      </c>
      <c r="I1081" s="1009"/>
    </row>
    <row r="1082">
      <c r="A1082" t="s">
        <v>314</v>
      </c>
      <c r="B1082" s="1003">
        <v>42348.0</v>
      </c>
      <c r="C1082" s="1004">
        <f t="shared" si="1"/>
        <v>344</v>
      </c>
      <c r="D1082" s="1005">
        <f t="shared" si="2"/>
        <v>11.27868852</v>
      </c>
      <c r="E1082" s="1006">
        <f t="shared" si="3"/>
        <v>12</v>
      </c>
      <c r="F1082" s="1006" t="s">
        <v>2785</v>
      </c>
      <c r="G1082" s="1007">
        <v>-0.00694812846778714</v>
      </c>
      <c r="H1082" s="1012">
        <v>0.0</v>
      </c>
      <c r="I1082" s="1009"/>
    </row>
    <row r="1083">
      <c r="A1083" t="s">
        <v>1795</v>
      </c>
      <c r="B1083" s="1003">
        <v>42714.0</v>
      </c>
      <c r="C1083" s="1004">
        <f t="shared" si="1"/>
        <v>345</v>
      </c>
      <c r="D1083" s="1005">
        <f t="shared" si="2"/>
        <v>11.31147541</v>
      </c>
      <c r="E1083" s="1006">
        <f t="shared" si="3"/>
        <v>12</v>
      </c>
      <c r="F1083" s="1006" t="s">
        <v>2785</v>
      </c>
      <c r="G1083" s="1007">
        <v>0.021878079037955467</v>
      </c>
      <c r="H1083" s="1012">
        <v>1.0</v>
      </c>
      <c r="I1083" s="1009"/>
    </row>
    <row r="1084">
      <c r="A1084" t="s">
        <v>605</v>
      </c>
      <c r="B1084" s="1003">
        <v>42349.0</v>
      </c>
      <c r="C1084" s="1004">
        <f t="shared" si="1"/>
        <v>345</v>
      </c>
      <c r="D1084" s="1005">
        <f t="shared" si="2"/>
        <v>11.31147541</v>
      </c>
      <c r="E1084" s="1006">
        <f t="shared" si="3"/>
        <v>12</v>
      </c>
      <c r="F1084" s="1006" t="s">
        <v>2785</v>
      </c>
      <c r="G1084" s="1007">
        <v>-0.028886376375293787</v>
      </c>
      <c r="H1084" s="1012">
        <v>-1.0</v>
      </c>
      <c r="I1084" s="1009"/>
    </row>
    <row r="1085">
      <c r="A1085" t="s">
        <v>322</v>
      </c>
      <c r="B1085" s="1003">
        <v>42349.0</v>
      </c>
      <c r="C1085" s="1004">
        <f t="shared" si="1"/>
        <v>345</v>
      </c>
      <c r="D1085" s="1005">
        <f t="shared" si="2"/>
        <v>11.31147541</v>
      </c>
      <c r="E1085" s="1006">
        <f t="shared" si="3"/>
        <v>12</v>
      </c>
      <c r="F1085" s="1006" t="s">
        <v>2785</v>
      </c>
      <c r="G1085" s="1007">
        <v>-2.0036210635498986E-4</v>
      </c>
      <c r="H1085" s="1012">
        <v>0.0</v>
      </c>
      <c r="I1085" s="1009"/>
    </row>
    <row r="1086">
      <c r="A1086" t="s">
        <v>339</v>
      </c>
      <c r="B1086" s="1003">
        <v>41984.0</v>
      </c>
      <c r="C1086" s="1004">
        <f t="shared" si="1"/>
        <v>345</v>
      </c>
      <c r="D1086" s="1005">
        <f t="shared" si="2"/>
        <v>11.31147541</v>
      </c>
      <c r="E1086" s="1006">
        <f t="shared" si="3"/>
        <v>12</v>
      </c>
      <c r="F1086" s="1006" t="s">
        <v>2785</v>
      </c>
      <c r="G1086" s="1007">
        <v>0.013385221816023307</v>
      </c>
      <c r="H1086" s="1012">
        <v>1.0</v>
      </c>
      <c r="I1086" s="1009"/>
    </row>
    <row r="1087">
      <c r="A1087" t="s">
        <v>328</v>
      </c>
      <c r="B1087" s="1003">
        <v>42350.0</v>
      </c>
      <c r="C1087" s="1004">
        <f t="shared" si="1"/>
        <v>346</v>
      </c>
      <c r="D1087" s="1005">
        <f t="shared" si="2"/>
        <v>11.3442623</v>
      </c>
      <c r="E1087" s="1006">
        <f t="shared" si="3"/>
        <v>12</v>
      </c>
      <c r="F1087" s="1006" t="s">
        <v>2785</v>
      </c>
      <c r="G1087" s="1007">
        <v>-0.02633019365002731</v>
      </c>
      <c r="H1087" s="1012">
        <v>-1.0</v>
      </c>
      <c r="I1087" s="1009"/>
    </row>
    <row r="1088">
      <c r="A1088" t="s">
        <v>436</v>
      </c>
      <c r="B1088" s="1003">
        <v>42350.0</v>
      </c>
      <c r="C1088" s="1004">
        <f t="shared" si="1"/>
        <v>346</v>
      </c>
      <c r="D1088" s="1005">
        <f t="shared" si="2"/>
        <v>11.3442623</v>
      </c>
      <c r="E1088" s="1006">
        <f t="shared" si="3"/>
        <v>12</v>
      </c>
      <c r="F1088" s="1006" t="s">
        <v>2785</v>
      </c>
      <c r="G1088" s="1007">
        <v>0.023867125263569156</v>
      </c>
      <c r="H1088" s="1012">
        <v>1.0</v>
      </c>
      <c r="I1088" s="1009"/>
    </row>
    <row r="1089">
      <c r="A1089" t="s">
        <v>439</v>
      </c>
      <c r="B1089" s="1003">
        <v>42350.0</v>
      </c>
      <c r="C1089" s="1004">
        <f t="shared" si="1"/>
        <v>346</v>
      </c>
      <c r="D1089" s="1005">
        <f t="shared" si="2"/>
        <v>11.3442623</v>
      </c>
      <c r="E1089" s="1006">
        <f t="shared" si="3"/>
        <v>12</v>
      </c>
      <c r="F1089" s="1006" t="s">
        <v>2785</v>
      </c>
      <c r="G1089" s="1007">
        <v>-0.030843999474485462</v>
      </c>
      <c r="H1089" s="1012">
        <v>-1.0</v>
      </c>
      <c r="I1089" s="1009"/>
    </row>
    <row r="1090">
      <c r="A1090" t="s">
        <v>1741</v>
      </c>
      <c r="B1090" s="1003">
        <v>42716.0</v>
      </c>
      <c r="C1090" s="1004">
        <f t="shared" si="1"/>
        <v>347</v>
      </c>
      <c r="D1090" s="1005">
        <f t="shared" si="2"/>
        <v>11.37704918</v>
      </c>
      <c r="E1090" s="1006">
        <f t="shared" si="3"/>
        <v>12</v>
      </c>
      <c r="F1090" s="1006" t="s">
        <v>2785</v>
      </c>
      <c r="G1090" s="1007">
        <v>0.015598510070427007</v>
      </c>
      <c r="H1090" s="1012">
        <v>1.0</v>
      </c>
      <c r="I1090" s="1009"/>
    </row>
    <row r="1091">
      <c r="A1091" t="s">
        <v>1682</v>
      </c>
      <c r="B1091" s="1003">
        <v>42351.0</v>
      </c>
      <c r="C1091" s="1004">
        <f t="shared" si="1"/>
        <v>347</v>
      </c>
      <c r="D1091" s="1005">
        <f t="shared" si="2"/>
        <v>11.37704918</v>
      </c>
      <c r="E1091" s="1006">
        <f t="shared" si="3"/>
        <v>12</v>
      </c>
      <c r="F1091" s="1006" t="s">
        <v>2785</v>
      </c>
      <c r="G1091" s="1007">
        <v>-0.011141140397049498</v>
      </c>
      <c r="H1091" s="1012">
        <v>-1.0</v>
      </c>
      <c r="I1091" s="1009"/>
    </row>
    <row r="1092">
      <c r="A1092" t="s">
        <v>160</v>
      </c>
      <c r="B1092" s="1003">
        <v>42351.0</v>
      </c>
      <c r="C1092" s="1004">
        <f t="shared" si="1"/>
        <v>347</v>
      </c>
      <c r="D1092" s="1005">
        <f t="shared" si="2"/>
        <v>11.37704918</v>
      </c>
      <c r="E1092" s="1006">
        <f t="shared" si="3"/>
        <v>12</v>
      </c>
      <c r="F1092" s="1006" t="s">
        <v>2785</v>
      </c>
      <c r="G1092" s="1007">
        <v>0.02460713624263733</v>
      </c>
      <c r="H1092" s="1012">
        <v>1.0</v>
      </c>
      <c r="I1092" s="1009"/>
    </row>
    <row r="1093">
      <c r="A1093" t="s">
        <v>1710</v>
      </c>
      <c r="B1093" s="1003">
        <v>42717.0</v>
      </c>
      <c r="C1093" s="1004">
        <f t="shared" si="1"/>
        <v>348</v>
      </c>
      <c r="D1093" s="1005">
        <f t="shared" si="2"/>
        <v>11.40983607</v>
      </c>
      <c r="E1093" s="1006">
        <f t="shared" si="3"/>
        <v>12</v>
      </c>
      <c r="F1093" s="1006" t="s">
        <v>2785</v>
      </c>
      <c r="G1093" s="1007">
        <v>-0.010312455325900527</v>
      </c>
      <c r="H1093" s="1012">
        <v>-1.0</v>
      </c>
      <c r="I1093" s="1009"/>
    </row>
    <row r="1094">
      <c r="A1094" t="s">
        <v>126</v>
      </c>
      <c r="B1094" s="1003">
        <v>42352.0</v>
      </c>
      <c r="C1094" s="1004">
        <f t="shared" si="1"/>
        <v>348</v>
      </c>
      <c r="D1094" s="1005">
        <f t="shared" si="2"/>
        <v>11.40983607</v>
      </c>
      <c r="E1094" s="1006">
        <f t="shared" si="3"/>
        <v>12</v>
      </c>
      <c r="F1094" s="1006" t="s">
        <v>2785</v>
      </c>
      <c r="G1094" s="1007">
        <v>-0.008659334187832712</v>
      </c>
      <c r="H1094" s="1012">
        <v>0.0</v>
      </c>
      <c r="I1094" s="1009"/>
    </row>
    <row r="1095">
      <c r="A1095" t="s">
        <v>1695</v>
      </c>
      <c r="B1095" s="1003">
        <v>42352.0</v>
      </c>
      <c r="C1095" s="1004">
        <f t="shared" si="1"/>
        <v>348</v>
      </c>
      <c r="D1095" s="1005">
        <f t="shared" si="2"/>
        <v>11.40983607</v>
      </c>
      <c r="E1095" s="1006">
        <f t="shared" si="3"/>
        <v>12</v>
      </c>
      <c r="F1095" s="1006" t="s">
        <v>2785</v>
      </c>
      <c r="G1095" s="1007">
        <v>-0.05315223569284433</v>
      </c>
      <c r="H1095" s="1012">
        <v>-1.0</v>
      </c>
      <c r="I1095" s="1009"/>
    </row>
    <row r="1096">
      <c r="A1096" t="s">
        <v>1741</v>
      </c>
      <c r="B1096" s="1003">
        <v>42718.0</v>
      </c>
      <c r="C1096" s="1004">
        <f t="shared" si="1"/>
        <v>349</v>
      </c>
      <c r="D1096" s="1005">
        <f t="shared" si="2"/>
        <v>11.44262295</v>
      </c>
      <c r="E1096" s="1006">
        <f t="shared" si="3"/>
        <v>12</v>
      </c>
      <c r="F1096" s="1006" t="s">
        <v>2785</v>
      </c>
      <c r="G1096" s="1007">
        <v>0.01100144672913339</v>
      </c>
      <c r="H1096" s="1012">
        <v>1.0</v>
      </c>
      <c r="I1096" s="1009"/>
    </row>
    <row r="1097">
      <c r="A1097" t="s">
        <v>667</v>
      </c>
      <c r="B1097" s="1003">
        <v>42718.0</v>
      </c>
      <c r="C1097" s="1004">
        <f t="shared" si="1"/>
        <v>349</v>
      </c>
      <c r="D1097" s="1005">
        <f t="shared" si="2"/>
        <v>11.44262295</v>
      </c>
      <c r="E1097" s="1006">
        <f t="shared" si="3"/>
        <v>12</v>
      </c>
      <c r="F1097" s="1006" t="s">
        <v>2785</v>
      </c>
      <c r="G1097" s="1007">
        <v>0.006834793882896539</v>
      </c>
      <c r="H1097" s="1012">
        <v>0.0</v>
      </c>
      <c r="I1097" s="1009"/>
    </row>
    <row r="1098">
      <c r="A1098" t="s">
        <v>1710</v>
      </c>
      <c r="B1098" s="1003">
        <v>42353.0</v>
      </c>
      <c r="C1098" s="1004">
        <f t="shared" si="1"/>
        <v>349</v>
      </c>
      <c r="D1098" s="1005">
        <f t="shared" si="2"/>
        <v>11.44262295</v>
      </c>
      <c r="E1098" s="1006">
        <f t="shared" si="3"/>
        <v>12</v>
      </c>
      <c r="F1098" s="1006" t="s">
        <v>2785</v>
      </c>
      <c r="G1098" s="1007">
        <v>-0.009287562541071215</v>
      </c>
      <c r="H1098" s="1012">
        <v>0.0</v>
      </c>
      <c r="I1098" s="1009"/>
    </row>
    <row r="1099">
      <c r="A1099" t="s">
        <v>449</v>
      </c>
      <c r="B1099" s="1003">
        <v>41988.0</v>
      </c>
      <c r="C1099" s="1004">
        <f t="shared" si="1"/>
        <v>349</v>
      </c>
      <c r="D1099" s="1005">
        <f t="shared" si="2"/>
        <v>11.44262295</v>
      </c>
      <c r="E1099" s="1006">
        <f t="shared" si="3"/>
        <v>12</v>
      </c>
      <c r="F1099" s="1006" t="s">
        <v>2785</v>
      </c>
      <c r="G1099" s="1007">
        <v>-0.01056291375001217</v>
      </c>
      <c r="H1099" s="1012">
        <v>-1.0</v>
      </c>
      <c r="I1099" s="1009"/>
    </row>
    <row r="1100">
      <c r="A1100" t="s">
        <v>1715</v>
      </c>
      <c r="B1100" s="1003">
        <v>42354.0</v>
      </c>
      <c r="C1100" s="1004">
        <f t="shared" si="1"/>
        <v>350</v>
      </c>
      <c r="D1100" s="1005">
        <f t="shared" si="2"/>
        <v>11.47540984</v>
      </c>
      <c r="E1100" s="1006">
        <f t="shared" si="3"/>
        <v>12</v>
      </c>
      <c r="F1100" s="1006" t="s">
        <v>2785</v>
      </c>
      <c r="G1100" s="1007">
        <v>-0.03156146853500874</v>
      </c>
      <c r="H1100" s="1012">
        <v>-1.0</v>
      </c>
      <c r="I1100" s="1009"/>
    </row>
    <row r="1101">
      <c r="A1101" t="s">
        <v>1622</v>
      </c>
      <c r="B1101" s="1003">
        <v>42354.0</v>
      </c>
      <c r="C1101" s="1004">
        <f t="shared" si="1"/>
        <v>350</v>
      </c>
      <c r="D1101" s="1005">
        <f t="shared" si="2"/>
        <v>11.47540984</v>
      </c>
      <c r="E1101" s="1006">
        <f t="shared" si="3"/>
        <v>12</v>
      </c>
      <c r="F1101" s="1006" t="s">
        <v>2785</v>
      </c>
      <c r="G1101" s="1007">
        <v>0.02451413996605223</v>
      </c>
      <c r="H1101" s="1012">
        <v>1.0</v>
      </c>
      <c r="I1101" s="1009"/>
    </row>
    <row r="1102">
      <c r="A1102" t="s">
        <v>449</v>
      </c>
      <c r="B1102" s="1003">
        <v>42354.0</v>
      </c>
      <c r="C1102" s="1004">
        <f t="shared" si="1"/>
        <v>350</v>
      </c>
      <c r="D1102" s="1005">
        <f t="shared" si="2"/>
        <v>11.47540984</v>
      </c>
      <c r="E1102" s="1006">
        <f t="shared" si="3"/>
        <v>12</v>
      </c>
      <c r="F1102" s="1006" t="s">
        <v>2785</v>
      </c>
      <c r="G1102" s="1007">
        <v>0.0016343083013558024</v>
      </c>
      <c r="H1102" s="1012">
        <v>0.0</v>
      </c>
      <c r="I1102" s="1009"/>
    </row>
    <row r="1103">
      <c r="A1103" t="s">
        <v>1726</v>
      </c>
      <c r="B1103" s="1003">
        <v>42354.0</v>
      </c>
      <c r="C1103" s="1004">
        <f t="shared" si="1"/>
        <v>350</v>
      </c>
      <c r="D1103" s="1005">
        <f t="shared" si="2"/>
        <v>11.47540984</v>
      </c>
      <c r="E1103" s="1006">
        <f t="shared" si="3"/>
        <v>12</v>
      </c>
      <c r="F1103" s="1006" t="s">
        <v>2785</v>
      </c>
      <c r="G1103" s="1007">
        <v>-0.025932228497920984</v>
      </c>
      <c r="H1103" s="1012">
        <v>-1.0</v>
      </c>
      <c r="I1103" s="1009"/>
    </row>
    <row r="1104">
      <c r="A1104" t="s">
        <v>541</v>
      </c>
      <c r="B1104" s="1003">
        <v>42354.0</v>
      </c>
      <c r="C1104" s="1004">
        <f t="shared" si="1"/>
        <v>350</v>
      </c>
      <c r="D1104" s="1005">
        <f t="shared" si="2"/>
        <v>11.47540984</v>
      </c>
      <c r="E1104" s="1006">
        <f t="shared" si="3"/>
        <v>12</v>
      </c>
      <c r="F1104" s="1006" t="s">
        <v>2785</v>
      </c>
      <c r="G1104" s="1007">
        <v>-0.016854155226627476</v>
      </c>
      <c r="H1104" s="1012">
        <v>-1.0</v>
      </c>
      <c r="I1104" s="1009"/>
    </row>
    <row r="1105">
      <c r="A1105" t="s">
        <v>96</v>
      </c>
      <c r="B1105" s="1003">
        <v>41989.0</v>
      </c>
      <c r="C1105" s="1004">
        <f t="shared" si="1"/>
        <v>350</v>
      </c>
      <c r="D1105" s="1005">
        <f t="shared" si="2"/>
        <v>11.47540984</v>
      </c>
      <c r="E1105" s="1006">
        <f t="shared" si="3"/>
        <v>12</v>
      </c>
      <c r="F1105" s="1006" t="s">
        <v>2785</v>
      </c>
      <c r="G1105" s="1007">
        <v>-0.010582295472618908</v>
      </c>
      <c r="H1105" s="1012">
        <v>-1.0</v>
      </c>
      <c r="I1105" s="1009"/>
    </row>
    <row r="1106">
      <c r="A1106" t="s">
        <v>1615</v>
      </c>
      <c r="B1106" s="1003">
        <v>42720.0</v>
      </c>
      <c r="C1106" s="1004">
        <f t="shared" si="1"/>
        <v>351</v>
      </c>
      <c r="D1106" s="1005">
        <f t="shared" si="2"/>
        <v>11.50819672</v>
      </c>
      <c r="E1106" s="1006">
        <f t="shared" si="3"/>
        <v>12</v>
      </c>
      <c r="F1106" s="1006" t="s">
        <v>2785</v>
      </c>
      <c r="G1106" s="1007">
        <v>-0.001340868128144379</v>
      </c>
      <c r="H1106" s="1012">
        <v>0.0</v>
      </c>
      <c r="I1106" s="1009"/>
    </row>
    <row r="1107">
      <c r="A1107" t="s">
        <v>541</v>
      </c>
      <c r="B1107" s="1003">
        <v>42355.0</v>
      </c>
      <c r="C1107" s="1004">
        <f t="shared" si="1"/>
        <v>351</v>
      </c>
      <c r="D1107" s="1005">
        <f t="shared" si="2"/>
        <v>11.50819672</v>
      </c>
      <c r="E1107" s="1006">
        <f t="shared" si="3"/>
        <v>12</v>
      </c>
      <c r="F1107" s="1006" t="s">
        <v>2785</v>
      </c>
      <c r="G1107" s="1007">
        <v>-0.01940382788315298</v>
      </c>
      <c r="H1107" s="1012">
        <v>-1.0</v>
      </c>
      <c r="I1107" s="1009"/>
    </row>
    <row r="1108">
      <c r="A1108" t="s">
        <v>1778</v>
      </c>
      <c r="B1108" s="1003">
        <v>42355.0</v>
      </c>
      <c r="C1108" s="1004">
        <f t="shared" si="1"/>
        <v>351</v>
      </c>
      <c r="D1108" s="1005">
        <f t="shared" si="2"/>
        <v>11.50819672</v>
      </c>
      <c r="E1108" s="1006">
        <f t="shared" si="3"/>
        <v>12</v>
      </c>
      <c r="F1108" s="1006" t="s">
        <v>2785</v>
      </c>
      <c r="G1108" s="1007">
        <v>-0.005781630553434947</v>
      </c>
      <c r="H1108" s="1012">
        <v>0.0</v>
      </c>
      <c r="I1108" s="1009"/>
    </row>
    <row r="1109">
      <c r="A1109" t="s">
        <v>241</v>
      </c>
      <c r="B1109" s="1003">
        <v>42355.0</v>
      </c>
      <c r="C1109" s="1004">
        <f t="shared" si="1"/>
        <v>351</v>
      </c>
      <c r="D1109" s="1005">
        <f t="shared" si="2"/>
        <v>11.50819672</v>
      </c>
      <c r="E1109" s="1006">
        <f t="shared" si="3"/>
        <v>12</v>
      </c>
      <c r="F1109" s="1006" t="s">
        <v>2785</v>
      </c>
      <c r="G1109" s="1007">
        <v>-0.04119953782661623</v>
      </c>
      <c r="H1109" s="1012">
        <v>-1.0</v>
      </c>
      <c r="I1109" s="1009"/>
    </row>
    <row r="1110">
      <c r="A1110" t="s">
        <v>169</v>
      </c>
      <c r="B1110" s="1003">
        <v>42721.0</v>
      </c>
      <c r="C1110" s="1004">
        <f t="shared" si="1"/>
        <v>352</v>
      </c>
      <c r="D1110" s="1005">
        <f t="shared" si="2"/>
        <v>11.54098361</v>
      </c>
      <c r="E1110" s="1006">
        <f t="shared" si="3"/>
        <v>12</v>
      </c>
      <c r="F1110" s="1006" t="s">
        <v>2785</v>
      </c>
      <c r="G1110" s="1007">
        <v>-0.007294482142576997</v>
      </c>
      <c r="H1110" s="1012">
        <v>0.0</v>
      </c>
      <c r="I1110" s="1009"/>
    </row>
    <row r="1111">
      <c r="A1111" t="s">
        <v>1703</v>
      </c>
      <c r="B1111" s="1003">
        <v>42356.0</v>
      </c>
      <c r="C1111" s="1004">
        <f t="shared" si="1"/>
        <v>352</v>
      </c>
      <c r="D1111" s="1005">
        <f t="shared" si="2"/>
        <v>11.54098361</v>
      </c>
      <c r="E1111" s="1006">
        <f t="shared" si="3"/>
        <v>12</v>
      </c>
      <c r="F1111" s="1006" t="s">
        <v>2785</v>
      </c>
      <c r="G1111" s="1007">
        <v>-0.002984729382177309</v>
      </c>
      <c r="H1111" s="1012">
        <v>0.0</v>
      </c>
      <c r="I1111" s="1009"/>
    </row>
    <row r="1112">
      <c r="A1112" t="s">
        <v>1739</v>
      </c>
      <c r="B1112" s="1003">
        <v>42356.0</v>
      </c>
      <c r="C1112" s="1004">
        <f t="shared" si="1"/>
        <v>352</v>
      </c>
      <c r="D1112" s="1005">
        <f t="shared" si="2"/>
        <v>11.54098361</v>
      </c>
      <c r="E1112" s="1006">
        <f t="shared" si="3"/>
        <v>12</v>
      </c>
      <c r="F1112" s="1006" t="s">
        <v>2785</v>
      </c>
      <c r="G1112" s="1007">
        <v>-0.029542406770465823</v>
      </c>
      <c r="H1112" s="1012">
        <v>-1.0</v>
      </c>
      <c r="I1112" s="1009"/>
    </row>
    <row r="1113">
      <c r="A1113" t="s">
        <v>1744</v>
      </c>
      <c r="B1113" s="1003">
        <v>42356.0</v>
      </c>
      <c r="C1113" s="1004">
        <f t="shared" si="1"/>
        <v>352</v>
      </c>
      <c r="D1113" s="1005">
        <f t="shared" si="2"/>
        <v>11.54098361</v>
      </c>
      <c r="E1113" s="1006">
        <f t="shared" si="3"/>
        <v>12</v>
      </c>
      <c r="F1113" s="1006" t="s">
        <v>2785</v>
      </c>
      <c r="G1113" s="1007">
        <v>-0.01017283332883534</v>
      </c>
      <c r="H1113" s="1012">
        <v>-1.0</v>
      </c>
      <c r="I1113" s="1009"/>
    </row>
    <row r="1114">
      <c r="A1114" t="s">
        <v>1632</v>
      </c>
      <c r="B1114" s="1003">
        <v>42722.0</v>
      </c>
      <c r="C1114" s="1004">
        <f t="shared" si="1"/>
        <v>353</v>
      </c>
      <c r="D1114" s="1005">
        <f t="shared" si="2"/>
        <v>11.57377049</v>
      </c>
      <c r="E1114" s="1006">
        <f t="shared" si="3"/>
        <v>12</v>
      </c>
      <c r="F1114" s="1006" t="s">
        <v>2785</v>
      </c>
      <c r="G1114" s="1007">
        <v>-0.007457879753579588</v>
      </c>
      <c r="H1114" s="1012">
        <v>0.0</v>
      </c>
      <c r="I1114" s="1009"/>
    </row>
    <row r="1115">
      <c r="A1115" t="s">
        <v>1750</v>
      </c>
      <c r="B1115" s="1003">
        <v>42357.0</v>
      </c>
      <c r="C1115" s="1004">
        <f t="shared" si="1"/>
        <v>353</v>
      </c>
      <c r="D1115" s="1005">
        <f t="shared" si="2"/>
        <v>11.57377049</v>
      </c>
      <c r="E1115" s="1006">
        <f t="shared" si="3"/>
        <v>12</v>
      </c>
      <c r="F1115" s="1006" t="s">
        <v>2785</v>
      </c>
      <c r="G1115" s="1007">
        <v>0.016087676954440133</v>
      </c>
      <c r="H1115" s="1012">
        <v>1.0</v>
      </c>
      <c r="I1115" s="1009"/>
    </row>
    <row r="1116">
      <c r="A1116" t="s">
        <v>339</v>
      </c>
      <c r="B1116" s="1003">
        <v>42357.0</v>
      </c>
      <c r="C1116" s="1004">
        <f t="shared" si="1"/>
        <v>353</v>
      </c>
      <c r="D1116" s="1005">
        <f t="shared" si="2"/>
        <v>11.57377049</v>
      </c>
      <c r="E1116" s="1006">
        <f t="shared" si="3"/>
        <v>12</v>
      </c>
      <c r="F1116" s="1006" t="s">
        <v>2785</v>
      </c>
      <c r="G1116" s="1007">
        <v>-0.004603762019670388</v>
      </c>
      <c r="H1116" s="1012">
        <v>0.0</v>
      </c>
      <c r="I1116" s="1009"/>
    </row>
    <row r="1117">
      <c r="A1117" t="s">
        <v>541</v>
      </c>
      <c r="B1117" s="1003">
        <v>42358.0</v>
      </c>
      <c r="C1117" s="1004">
        <f t="shared" si="1"/>
        <v>354</v>
      </c>
      <c r="D1117" s="1005">
        <f t="shared" si="2"/>
        <v>11.60655738</v>
      </c>
      <c r="E1117" s="1006">
        <f t="shared" si="3"/>
        <v>12</v>
      </c>
      <c r="F1117" s="1006" t="s">
        <v>2785</v>
      </c>
      <c r="G1117" s="1007">
        <v>-0.009168323189583938</v>
      </c>
      <c r="H1117" s="1012">
        <v>0.0</v>
      </c>
      <c r="I1117" s="1009"/>
    </row>
    <row r="1118">
      <c r="A1118" t="s">
        <v>1336</v>
      </c>
      <c r="B1118" s="1003">
        <v>42358.0</v>
      </c>
      <c r="C1118" s="1004">
        <f t="shared" si="1"/>
        <v>354</v>
      </c>
      <c r="D1118" s="1005">
        <f t="shared" si="2"/>
        <v>11.60655738</v>
      </c>
      <c r="E1118" s="1006">
        <f t="shared" si="3"/>
        <v>12</v>
      </c>
      <c r="F1118" s="1006" t="s">
        <v>2785</v>
      </c>
      <c r="G1118" s="1007">
        <v>-0.01426184552824128</v>
      </c>
      <c r="H1118" s="1012">
        <v>-1.0</v>
      </c>
      <c r="I1118" s="1009"/>
    </row>
    <row r="1119">
      <c r="A1119" t="s">
        <v>1760</v>
      </c>
      <c r="B1119" s="1003">
        <v>42359.0</v>
      </c>
      <c r="C1119" s="1004">
        <f t="shared" si="1"/>
        <v>355</v>
      </c>
      <c r="D1119" s="1005">
        <f t="shared" si="2"/>
        <v>11.63934426</v>
      </c>
      <c r="E1119" s="1006">
        <f t="shared" si="3"/>
        <v>12</v>
      </c>
      <c r="F1119" s="1006" t="s">
        <v>2785</v>
      </c>
      <c r="G1119" s="1007">
        <v>0.013836646787409257</v>
      </c>
      <c r="H1119" s="1012">
        <v>1.0</v>
      </c>
      <c r="I1119" s="1009"/>
    </row>
    <row r="1120">
      <c r="A1120" t="s">
        <v>1760</v>
      </c>
      <c r="B1120" s="1003">
        <v>42359.0</v>
      </c>
      <c r="C1120" s="1004">
        <f t="shared" si="1"/>
        <v>355</v>
      </c>
      <c r="D1120" s="1005">
        <f t="shared" si="2"/>
        <v>11.63934426</v>
      </c>
      <c r="E1120" s="1006">
        <f t="shared" si="3"/>
        <v>12</v>
      </c>
      <c r="F1120" s="1006" t="s">
        <v>2785</v>
      </c>
      <c r="G1120" s="1007">
        <v>0.006503480189010369</v>
      </c>
      <c r="H1120" s="1012">
        <v>0.0</v>
      </c>
      <c r="I1120" s="1009"/>
    </row>
    <row r="1121">
      <c r="A1121" t="s">
        <v>1013</v>
      </c>
      <c r="B1121" s="1003">
        <v>42361.0</v>
      </c>
      <c r="C1121" s="1004">
        <f t="shared" si="1"/>
        <v>357</v>
      </c>
      <c r="D1121" s="1005">
        <f t="shared" si="2"/>
        <v>11.70491803</v>
      </c>
      <c r="E1121" s="1006">
        <f t="shared" si="3"/>
        <v>12</v>
      </c>
      <c r="F1121" s="1006" t="s">
        <v>2785</v>
      </c>
      <c r="G1121" s="1007">
        <v>-0.002133033134972151</v>
      </c>
      <c r="H1121" s="1012">
        <v>0.0</v>
      </c>
      <c r="I1121" s="1009"/>
    </row>
    <row r="1122">
      <c r="A1122" t="s">
        <v>457</v>
      </c>
      <c r="B1122" s="1003">
        <v>41996.0</v>
      </c>
      <c r="C1122" s="1004">
        <f t="shared" si="1"/>
        <v>357</v>
      </c>
      <c r="D1122" s="1005">
        <f t="shared" si="2"/>
        <v>11.70491803</v>
      </c>
      <c r="E1122" s="1006">
        <f t="shared" si="3"/>
        <v>12</v>
      </c>
      <c r="F1122" s="1006" t="s">
        <v>2785</v>
      </c>
      <c r="G1122" s="1007">
        <v>0.0018628761539064564</v>
      </c>
      <c r="H1122" s="1012">
        <v>0.0</v>
      </c>
      <c r="I1122" s="1009"/>
    </row>
    <row r="1123">
      <c r="A1123" t="s">
        <v>1874</v>
      </c>
      <c r="B1123" s="1003">
        <v>42727.0</v>
      </c>
      <c r="C1123" s="1004">
        <f t="shared" si="1"/>
        <v>358</v>
      </c>
      <c r="D1123" s="1005">
        <f t="shared" si="2"/>
        <v>11.73770492</v>
      </c>
      <c r="E1123" s="1006">
        <f t="shared" si="3"/>
        <v>12</v>
      </c>
      <c r="F1123" s="1006" t="s">
        <v>2785</v>
      </c>
      <c r="G1123" s="1007">
        <v>0.027947659804754443</v>
      </c>
      <c r="H1123" s="1012">
        <v>1.0</v>
      </c>
      <c r="I1123" s="1009"/>
    </row>
    <row r="1124">
      <c r="A1124" t="s">
        <v>294</v>
      </c>
      <c r="B1124" s="1003">
        <v>42727.0</v>
      </c>
      <c r="C1124" s="1004">
        <f t="shared" si="1"/>
        <v>358</v>
      </c>
      <c r="D1124" s="1005">
        <f t="shared" si="2"/>
        <v>11.73770492</v>
      </c>
      <c r="E1124" s="1006">
        <f t="shared" si="3"/>
        <v>12</v>
      </c>
      <c r="F1124" s="1006" t="s">
        <v>2785</v>
      </c>
      <c r="G1124" s="1007">
        <v>0.018928396467978503</v>
      </c>
      <c r="H1124" s="1012">
        <v>1.0</v>
      </c>
      <c r="I1124" s="1009"/>
    </row>
    <row r="1125">
      <c r="A1125" t="s">
        <v>761</v>
      </c>
      <c r="B1125" s="1003">
        <v>42728.0</v>
      </c>
      <c r="C1125" s="1004">
        <f t="shared" si="1"/>
        <v>359</v>
      </c>
      <c r="D1125" s="1005">
        <f t="shared" si="2"/>
        <v>11.7704918</v>
      </c>
      <c r="E1125" s="1006">
        <f t="shared" si="3"/>
        <v>12</v>
      </c>
      <c r="F1125" s="1006" t="s">
        <v>2785</v>
      </c>
      <c r="G1125" s="1007">
        <v>-0.015603831063995877</v>
      </c>
      <c r="H1125" s="1012">
        <v>-1.0</v>
      </c>
      <c r="I1125" s="1009"/>
    </row>
    <row r="1126">
      <c r="A1126" t="s">
        <v>541</v>
      </c>
      <c r="B1126" s="1003">
        <v>42728.0</v>
      </c>
      <c r="C1126" s="1004">
        <f t="shared" si="1"/>
        <v>359</v>
      </c>
      <c r="D1126" s="1005">
        <f t="shared" si="2"/>
        <v>11.7704918</v>
      </c>
      <c r="E1126" s="1006">
        <f t="shared" si="3"/>
        <v>12</v>
      </c>
      <c r="F1126" s="1006" t="s">
        <v>2785</v>
      </c>
      <c r="G1126" s="1007">
        <v>0.0026413102758953144</v>
      </c>
      <c r="H1126" s="1012">
        <v>0.0</v>
      </c>
      <c r="I1126" s="1009"/>
    </row>
    <row r="1127">
      <c r="A1127" t="s">
        <v>1775</v>
      </c>
      <c r="B1127" s="1003">
        <v>42728.0</v>
      </c>
      <c r="C1127" s="1004">
        <f t="shared" si="1"/>
        <v>359</v>
      </c>
      <c r="D1127" s="1005">
        <f t="shared" si="2"/>
        <v>11.7704918</v>
      </c>
      <c r="E1127" s="1006">
        <f t="shared" si="3"/>
        <v>12</v>
      </c>
      <c r="F1127" s="1006" t="s">
        <v>2785</v>
      </c>
      <c r="G1127" s="1007">
        <v>0.005995124806793095</v>
      </c>
      <c r="H1127" s="1012">
        <v>0.0</v>
      </c>
      <c r="I1127" s="1009"/>
    </row>
    <row r="1128">
      <c r="A1128" t="s">
        <v>541</v>
      </c>
      <c r="B1128" s="1003">
        <v>42728.0</v>
      </c>
      <c r="C1128" s="1004">
        <f t="shared" si="1"/>
        <v>359</v>
      </c>
      <c r="D1128" s="1005">
        <f t="shared" si="2"/>
        <v>11.7704918</v>
      </c>
      <c r="E1128" s="1006">
        <f t="shared" si="3"/>
        <v>12</v>
      </c>
      <c r="F1128" s="1006" t="s">
        <v>2785</v>
      </c>
      <c r="G1128" s="1007">
        <v>0.009736810405781782</v>
      </c>
      <c r="H1128" s="1012">
        <v>0.0</v>
      </c>
      <c r="I1128" s="1009"/>
    </row>
    <row r="1129">
      <c r="A1129" t="s">
        <v>672</v>
      </c>
      <c r="B1129" s="1003">
        <v>42728.0</v>
      </c>
      <c r="C1129" s="1004">
        <f t="shared" si="1"/>
        <v>359</v>
      </c>
      <c r="D1129" s="1005">
        <f t="shared" si="2"/>
        <v>11.7704918</v>
      </c>
      <c r="E1129" s="1006">
        <f t="shared" si="3"/>
        <v>12</v>
      </c>
      <c r="F1129" s="1006" t="s">
        <v>2785</v>
      </c>
      <c r="G1129" s="1007">
        <v>0.020832559469493583</v>
      </c>
      <c r="H1129" s="1012">
        <v>1.0</v>
      </c>
      <c r="I1129" s="1009"/>
    </row>
    <row r="1130">
      <c r="A1130" t="s">
        <v>623</v>
      </c>
      <c r="B1130" s="1003">
        <v>42363.0</v>
      </c>
      <c r="C1130" s="1004">
        <f t="shared" si="1"/>
        <v>359</v>
      </c>
      <c r="D1130" s="1005">
        <f t="shared" si="2"/>
        <v>11.7704918</v>
      </c>
      <c r="E1130" s="1006">
        <f t="shared" si="3"/>
        <v>12</v>
      </c>
      <c r="F1130" s="1006" t="s">
        <v>2785</v>
      </c>
      <c r="G1130" s="1007">
        <v>-0.007366226240920537</v>
      </c>
      <c r="H1130" s="1012">
        <v>0.0</v>
      </c>
      <c r="I1130" s="1009"/>
    </row>
    <row r="1131">
      <c r="A1131" t="s">
        <v>548</v>
      </c>
      <c r="B1131" s="1003">
        <v>42363.0</v>
      </c>
      <c r="C1131" s="1004">
        <f t="shared" si="1"/>
        <v>359</v>
      </c>
      <c r="D1131" s="1005">
        <f t="shared" si="2"/>
        <v>11.7704918</v>
      </c>
      <c r="E1131" s="1006">
        <f t="shared" si="3"/>
        <v>12</v>
      </c>
      <c r="F1131" s="1006" t="s">
        <v>2785</v>
      </c>
      <c r="G1131" s="1007">
        <v>-0.0028826477780647952</v>
      </c>
      <c r="H1131" s="1012">
        <v>0.0</v>
      </c>
      <c r="I1131" s="1009"/>
    </row>
    <row r="1132">
      <c r="A1132" t="s">
        <v>212</v>
      </c>
      <c r="B1132" s="1003">
        <v>42365.0</v>
      </c>
      <c r="C1132" s="1004">
        <f t="shared" si="1"/>
        <v>361</v>
      </c>
      <c r="D1132" s="1005">
        <f t="shared" si="2"/>
        <v>11.83606557</v>
      </c>
      <c r="E1132" s="1006">
        <f t="shared" si="3"/>
        <v>12</v>
      </c>
      <c r="F1132" s="1006" t="s">
        <v>2785</v>
      </c>
      <c r="G1132" s="1007">
        <v>-0.009733174757643126</v>
      </c>
      <c r="H1132" s="1012">
        <v>0.0</v>
      </c>
      <c r="I1132" s="1009"/>
    </row>
    <row r="1133">
      <c r="A1133" t="s">
        <v>640</v>
      </c>
      <c r="B1133" s="1003">
        <v>42365.0</v>
      </c>
      <c r="C1133" s="1004">
        <f t="shared" si="1"/>
        <v>361</v>
      </c>
      <c r="D1133" s="1005">
        <f t="shared" si="2"/>
        <v>11.83606557</v>
      </c>
      <c r="E1133" s="1006">
        <f t="shared" si="3"/>
        <v>12</v>
      </c>
      <c r="F1133" s="1006" t="s">
        <v>2785</v>
      </c>
      <c r="G1133" s="1007">
        <v>-0.002112101060583016</v>
      </c>
      <c r="H1133" s="1012">
        <v>0.0</v>
      </c>
      <c r="I1133" s="1009"/>
    </row>
    <row r="1134">
      <c r="A1134" t="s">
        <v>454</v>
      </c>
      <c r="B1134" s="1003">
        <v>42365.0</v>
      </c>
      <c r="C1134" s="1004">
        <f t="shared" si="1"/>
        <v>361</v>
      </c>
      <c r="D1134" s="1005">
        <f t="shared" si="2"/>
        <v>11.83606557</v>
      </c>
      <c r="E1134" s="1006">
        <f t="shared" si="3"/>
        <v>12</v>
      </c>
      <c r="F1134" s="1006" t="s">
        <v>2785</v>
      </c>
      <c r="G1134" s="1007">
        <v>-0.04427174932367994</v>
      </c>
      <c r="H1134" s="1012">
        <v>-1.0</v>
      </c>
      <c r="I1134" s="1009"/>
    </row>
    <row r="1135">
      <c r="A1135" t="s">
        <v>1741</v>
      </c>
      <c r="B1135" s="1003">
        <v>42731.0</v>
      </c>
      <c r="C1135" s="1004">
        <f t="shared" si="1"/>
        <v>362</v>
      </c>
      <c r="D1135" s="1005">
        <f t="shared" si="2"/>
        <v>11.86885246</v>
      </c>
      <c r="E1135" s="1006">
        <f t="shared" si="3"/>
        <v>12</v>
      </c>
      <c r="F1135" s="1006" t="s">
        <v>2785</v>
      </c>
      <c r="G1135" s="1007">
        <v>0.02298344320539414</v>
      </c>
      <c r="H1135" s="1012">
        <v>1.0</v>
      </c>
      <c r="I1135" s="1009"/>
    </row>
    <row r="1136">
      <c r="A1136" t="s">
        <v>1741</v>
      </c>
      <c r="B1136" s="1003">
        <v>42731.0</v>
      </c>
      <c r="C1136" s="1004">
        <f t="shared" si="1"/>
        <v>362</v>
      </c>
      <c r="D1136" s="1005">
        <f t="shared" si="2"/>
        <v>11.86885246</v>
      </c>
      <c r="E1136" s="1006">
        <f t="shared" si="3"/>
        <v>12</v>
      </c>
      <c r="F1136" s="1006" t="s">
        <v>2785</v>
      </c>
      <c r="G1136" s="1007">
        <v>0.03246118278397947</v>
      </c>
      <c r="H1136" s="1012">
        <v>1.0</v>
      </c>
      <c r="I1136" s="1009"/>
    </row>
    <row r="1137">
      <c r="A1137" t="s">
        <v>1607</v>
      </c>
      <c r="B1137" s="1003">
        <v>42366.0</v>
      </c>
      <c r="C1137" s="1004">
        <f t="shared" si="1"/>
        <v>362</v>
      </c>
      <c r="D1137" s="1005">
        <f t="shared" si="2"/>
        <v>11.86885246</v>
      </c>
      <c r="E1137" s="1006">
        <f t="shared" si="3"/>
        <v>12</v>
      </c>
      <c r="F1137" s="1006" t="s">
        <v>2785</v>
      </c>
      <c r="G1137" s="1007">
        <v>-0.013082647778064893</v>
      </c>
      <c r="H1137" s="1012">
        <v>-1.0</v>
      </c>
      <c r="I1137" s="1009"/>
    </row>
    <row r="1138">
      <c r="A1138" t="s">
        <v>457</v>
      </c>
      <c r="B1138" s="1003">
        <v>42367.0</v>
      </c>
      <c r="C1138" s="1004">
        <f t="shared" si="1"/>
        <v>363</v>
      </c>
      <c r="D1138" s="1005">
        <f t="shared" si="2"/>
        <v>11.90163934</v>
      </c>
      <c r="E1138" s="1006">
        <f t="shared" si="3"/>
        <v>12</v>
      </c>
      <c r="F1138" s="1006" t="s">
        <v>2785</v>
      </c>
      <c r="G1138" s="1007">
        <v>-0.003188149983471722</v>
      </c>
      <c r="H1138" s="1012">
        <v>0.0</v>
      </c>
      <c r="I1138" s="1009"/>
    </row>
    <row r="1139">
      <c r="A1139" t="s">
        <v>1783</v>
      </c>
      <c r="B1139" s="1003">
        <v>42367.0</v>
      </c>
      <c r="C1139" s="1004">
        <f t="shared" si="1"/>
        <v>363</v>
      </c>
      <c r="D1139" s="1005">
        <f t="shared" si="2"/>
        <v>11.90163934</v>
      </c>
      <c r="E1139" s="1006">
        <f t="shared" si="3"/>
        <v>12</v>
      </c>
      <c r="F1139" s="1006" t="s">
        <v>2785</v>
      </c>
      <c r="G1139" s="1007">
        <v>-0.011576070766899704</v>
      </c>
      <c r="H1139" s="1012">
        <v>-1.0</v>
      </c>
      <c r="I1139" s="1009"/>
    </row>
    <row r="1140">
      <c r="A1140" t="s">
        <v>138</v>
      </c>
      <c r="B1140" s="1003">
        <v>42733.0</v>
      </c>
      <c r="C1140" s="1004">
        <f t="shared" si="1"/>
        <v>364</v>
      </c>
      <c r="D1140" s="1005">
        <f t="shared" si="2"/>
        <v>11.93442623</v>
      </c>
      <c r="E1140" s="1006">
        <f t="shared" si="3"/>
        <v>12</v>
      </c>
      <c r="F1140" s="1006" t="s">
        <v>2785</v>
      </c>
      <c r="G1140" s="1007">
        <v>0.03283671546984501</v>
      </c>
      <c r="H1140" s="1012">
        <v>1.0</v>
      </c>
      <c r="I1140" s="1009"/>
    </row>
    <row r="1141">
      <c r="A1141" t="s">
        <v>1727</v>
      </c>
      <c r="B1141" s="1003">
        <v>42734.0</v>
      </c>
      <c r="C1141" s="1004">
        <f t="shared" si="1"/>
        <v>365</v>
      </c>
      <c r="D1141" s="1005">
        <f t="shared" si="2"/>
        <v>11.96721311</v>
      </c>
      <c r="E1141" s="1006">
        <f t="shared" si="3"/>
        <v>12</v>
      </c>
      <c r="F1141" s="1006" t="s">
        <v>2785</v>
      </c>
      <c r="G1141" s="1007">
        <v>-0.014752159886282423</v>
      </c>
      <c r="H1141" s="1012">
        <v>-1.0</v>
      </c>
      <c r="I1141" s="1009"/>
    </row>
    <row r="1142">
      <c r="A1142" t="s">
        <v>207</v>
      </c>
      <c r="B1142" s="1003">
        <v>42369.0</v>
      </c>
      <c r="C1142" s="1004">
        <f t="shared" si="1"/>
        <v>365</v>
      </c>
      <c r="D1142" s="1005">
        <f t="shared" si="2"/>
        <v>11.96721311</v>
      </c>
      <c r="E1142" s="1006">
        <f t="shared" si="3"/>
        <v>12</v>
      </c>
      <c r="F1142" s="1006" t="s">
        <v>2785</v>
      </c>
      <c r="G1142" s="1007">
        <v>0.03053707364776892</v>
      </c>
      <c r="H1142" s="1012">
        <v>1.0</v>
      </c>
      <c r="I1142" s="1009"/>
    </row>
    <row r="1143">
      <c r="A1143" t="s">
        <v>1772</v>
      </c>
      <c r="B1143" s="1003">
        <v>42369.0</v>
      </c>
      <c r="C1143" s="1004">
        <f t="shared" si="1"/>
        <v>365</v>
      </c>
      <c r="D1143" s="1005">
        <f t="shared" si="2"/>
        <v>11.96721311</v>
      </c>
      <c r="E1143" s="1006">
        <f t="shared" si="3"/>
        <v>12</v>
      </c>
      <c r="F1143" s="1006" t="s">
        <v>2785</v>
      </c>
      <c r="G1143" s="1007">
        <v>0.008939166245663932</v>
      </c>
      <c r="H1143" s="1012">
        <v>0.0</v>
      </c>
      <c r="I1143" s="1009"/>
    </row>
    <row r="1144">
      <c r="A1144" t="s">
        <v>1693</v>
      </c>
      <c r="B1144" s="1003">
        <v>42735.0</v>
      </c>
      <c r="C1144" s="1004">
        <f t="shared" si="1"/>
        <v>366</v>
      </c>
      <c r="D1144" s="1005">
        <f t="shared" si="2"/>
        <v>12</v>
      </c>
      <c r="E1144" s="1006">
        <f t="shared" si="3"/>
        <v>12</v>
      </c>
      <c r="F1144" s="1006" t="s">
        <v>2785</v>
      </c>
      <c r="G1144" s="1007">
        <v>0.026396707020863608</v>
      </c>
      <c r="H1144" s="1012">
        <v>1.0</v>
      </c>
      <c r="I1144" s="1009"/>
    </row>
    <row r="1145">
      <c r="A1145" t="s">
        <v>231</v>
      </c>
      <c r="B1145" s="1003">
        <v>42735.0</v>
      </c>
      <c r="C1145" s="1004">
        <f t="shared" si="1"/>
        <v>366</v>
      </c>
      <c r="D1145" s="1005">
        <f t="shared" si="2"/>
        <v>12</v>
      </c>
      <c r="E1145" s="1006">
        <f t="shared" si="3"/>
        <v>12</v>
      </c>
      <c r="F1145" s="1006" t="s">
        <v>2785</v>
      </c>
      <c r="G1145" s="1007">
        <v>-0.016690246662029562</v>
      </c>
      <c r="H1145" s="1012">
        <v>-1.0</v>
      </c>
      <c r="I1145" s="1009"/>
    </row>
    <row r="1146">
      <c r="A1146" t="s">
        <v>1615</v>
      </c>
      <c r="B1146" s="1003">
        <v>42735.0</v>
      </c>
      <c r="C1146" s="1004">
        <f t="shared" si="1"/>
        <v>366</v>
      </c>
      <c r="D1146" s="1005">
        <f t="shared" si="2"/>
        <v>12</v>
      </c>
      <c r="E1146" s="1006">
        <f t="shared" si="3"/>
        <v>12</v>
      </c>
      <c r="F1146" s="1006" t="s">
        <v>2785</v>
      </c>
      <c r="G1146" s="1007">
        <v>0.005654652556364659</v>
      </c>
      <c r="H1146" s="1012">
        <v>0.0</v>
      </c>
      <c r="I1146" s="1009"/>
    </row>
    <row r="1147">
      <c r="B1147" s="1003"/>
      <c r="C1147" s="1004"/>
      <c r="D1147" s="1005"/>
      <c r="E1147" s="1007"/>
      <c r="F1147" s="1007" t="s">
        <v>71</v>
      </c>
      <c r="G1147" s="1007"/>
      <c r="H1147" t="s">
        <v>71</v>
      </c>
      <c r="I1147" s="1009"/>
    </row>
    <row r="1148">
      <c r="B1148" s="1003"/>
      <c r="C1148" s="1004"/>
      <c r="D1148" s="1005"/>
      <c r="E1148" s="1007"/>
      <c r="F1148" s="1007" t="s">
        <v>71</v>
      </c>
      <c r="G1148" s="1007"/>
      <c r="H1148" t="s">
        <v>71</v>
      </c>
      <c r="I1148" s="1009"/>
    </row>
    <row r="1149">
      <c r="B1149" s="1003"/>
      <c r="C1149" s="1004"/>
      <c r="D1149" s="1005"/>
      <c r="E1149" s="1007"/>
      <c r="F1149" s="1007" t="s">
        <v>71</v>
      </c>
      <c r="G1149" s="1007"/>
      <c r="H1149" t="s">
        <v>71</v>
      </c>
      <c r="I1149" s="1009"/>
    </row>
    <row r="1150">
      <c r="B1150" s="1003"/>
      <c r="C1150" s="1004"/>
      <c r="D1150" s="1005"/>
      <c r="E1150" s="1007"/>
      <c r="F1150" s="1007" t="s">
        <v>71</v>
      </c>
      <c r="G1150" s="1007"/>
      <c r="H1150" t="s">
        <v>71</v>
      </c>
      <c r="I1150" s="1009"/>
    </row>
    <row r="1151">
      <c r="B1151" s="1003"/>
      <c r="C1151" s="1004"/>
      <c r="D1151" s="1005"/>
      <c r="E1151" s="1007"/>
      <c r="F1151" s="1007" t="s">
        <v>71</v>
      </c>
      <c r="G1151" s="1007"/>
      <c r="H1151" t="s">
        <v>71</v>
      </c>
      <c r="I1151" s="1009"/>
    </row>
    <row r="1152">
      <c r="B1152" s="1003"/>
      <c r="C1152" s="1004"/>
      <c r="D1152" s="1005"/>
      <c r="E1152" s="1007"/>
      <c r="F1152" s="1007" t="s">
        <v>71</v>
      </c>
      <c r="G1152" s="1007"/>
      <c r="H1152" t="s">
        <v>71</v>
      </c>
      <c r="I1152" s="1009"/>
    </row>
    <row r="1153">
      <c r="B1153" s="1003"/>
      <c r="C1153" s="1004"/>
      <c r="D1153" s="1005"/>
      <c r="E1153" s="1007"/>
      <c r="F1153" s="1007" t="s">
        <v>71</v>
      </c>
      <c r="G1153" s="1007"/>
      <c r="H1153" t="s">
        <v>71</v>
      </c>
      <c r="I1153" s="1009"/>
    </row>
    <row r="1154">
      <c r="B1154" s="1003"/>
      <c r="C1154" s="1004"/>
      <c r="D1154" s="1005"/>
      <c r="E1154" s="1007"/>
      <c r="F1154" s="1007" t="s">
        <v>71</v>
      </c>
      <c r="G1154" s="1007"/>
      <c r="H1154" t="s">
        <v>71</v>
      </c>
      <c r="I1154" s="1009"/>
    </row>
    <row r="1155">
      <c r="B1155" s="1003"/>
      <c r="C1155" s="1004"/>
      <c r="D1155" s="1005"/>
      <c r="E1155" s="1007"/>
      <c r="F1155" s="1007" t="s">
        <v>71</v>
      </c>
      <c r="G1155" s="1007"/>
      <c r="H1155" t="s">
        <v>71</v>
      </c>
      <c r="I1155" s="1009"/>
    </row>
    <row r="1156">
      <c r="B1156" s="1003"/>
      <c r="C1156" s="1004"/>
      <c r="D1156" s="1005"/>
      <c r="E1156" s="1007"/>
      <c r="F1156" s="1007" t="s">
        <v>71</v>
      </c>
      <c r="G1156" s="1007"/>
      <c r="H1156" t="s">
        <v>71</v>
      </c>
      <c r="I1156" s="1009"/>
    </row>
    <row r="1157">
      <c r="B1157" s="1003"/>
      <c r="C1157" s="1004"/>
      <c r="D1157" s="1005"/>
      <c r="E1157" s="1007"/>
      <c r="F1157" s="1007" t="s">
        <v>71</v>
      </c>
      <c r="G1157" s="1007"/>
      <c r="H1157" t="s">
        <v>71</v>
      </c>
      <c r="I1157" s="1009"/>
    </row>
    <row r="1158">
      <c r="B1158" s="1003"/>
      <c r="C1158" s="1004"/>
      <c r="D1158" s="1005"/>
      <c r="E1158" s="1007"/>
      <c r="F1158" s="1007" t="s">
        <v>71</v>
      </c>
      <c r="G1158" s="1007"/>
      <c r="H1158" t="s">
        <v>71</v>
      </c>
      <c r="I1158" s="1009"/>
    </row>
    <row r="1159">
      <c r="B1159" s="1003"/>
      <c r="C1159" s="1004"/>
      <c r="D1159" s="1005"/>
      <c r="E1159" s="1007"/>
      <c r="F1159" s="1007" t="s">
        <v>71</v>
      </c>
      <c r="G1159" s="1007"/>
      <c r="H1159" t="s">
        <v>71</v>
      </c>
      <c r="I1159" s="1009"/>
    </row>
    <row r="1160">
      <c r="B1160" s="1003"/>
      <c r="C1160" s="1004"/>
      <c r="D1160" s="1005"/>
      <c r="E1160" s="1007"/>
      <c r="F1160" s="1007" t="s">
        <v>71</v>
      </c>
      <c r="G1160" s="1007"/>
      <c r="H1160" t="s">
        <v>71</v>
      </c>
      <c r="I1160" s="1009"/>
    </row>
    <row r="1161">
      <c r="B1161" s="1003"/>
      <c r="C1161" s="1004"/>
      <c r="D1161" s="1005"/>
      <c r="E1161" s="1007"/>
      <c r="F1161" s="1007" t="s">
        <v>71</v>
      </c>
      <c r="G1161" s="1007"/>
      <c r="H1161" t="s">
        <v>71</v>
      </c>
      <c r="I1161" s="1009"/>
    </row>
    <row r="1162">
      <c r="B1162" s="1003"/>
      <c r="C1162" s="1004"/>
      <c r="D1162" s="1005"/>
      <c r="E1162" s="1007"/>
      <c r="F1162" s="1007" t="s">
        <v>71</v>
      </c>
      <c r="G1162" s="1007"/>
      <c r="H1162" t="s">
        <v>71</v>
      </c>
      <c r="I1162" s="1009"/>
    </row>
    <row r="1163">
      <c r="B1163" s="1003"/>
      <c r="C1163" s="1004"/>
      <c r="D1163" s="1005"/>
      <c r="E1163" s="1007"/>
      <c r="F1163" s="1007" t="s">
        <v>71</v>
      </c>
      <c r="G1163" s="1007"/>
      <c r="H1163" t="s">
        <v>71</v>
      </c>
      <c r="I1163" s="1009"/>
    </row>
    <row r="1164">
      <c r="B1164" s="1003"/>
      <c r="C1164" s="1004"/>
      <c r="D1164" s="1005"/>
      <c r="E1164" s="1007"/>
      <c r="F1164" s="1007" t="s">
        <v>71</v>
      </c>
      <c r="G1164" s="1007"/>
      <c r="H1164" t="s">
        <v>71</v>
      </c>
      <c r="I1164" s="1009"/>
    </row>
    <row r="1165">
      <c r="B1165" s="1003"/>
      <c r="C1165" s="1004"/>
      <c r="D1165" s="1005"/>
      <c r="E1165" s="1007"/>
      <c r="F1165" s="1007" t="s">
        <v>71</v>
      </c>
      <c r="G1165" s="1007"/>
      <c r="H1165" t="s">
        <v>71</v>
      </c>
      <c r="I1165" s="1009"/>
    </row>
    <row r="1166">
      <c r="B1166" s="1003"/>
      <c r="C1166" s="1004"/>
      <c r="D1166" s="1005"/>
      <c r="E1166" s="1007"/>
      <c r="F1166" s="1007" t="s">
        <v>71</v>
      </c>
      <c r="G1166" s="1007"/>
      <c r="H1166" t="s">
        <v>71</v>
      </c>
      <c r="I1166" s="1009"/>
    </row>
    <row r="1167">
      <c r="B1167" s="1003"/>
      <c r="C1167" s="1004"/>
      <c r="D1167" s="1005"/>
      <c r="E1167" s="1007"/>
      <c r="F1167" s="1007" t="s">
        <v>71</v>
      </c>
      <c r="G1167" s="1007"/>
      <c r="H1167" t="s">
        <v>71</v>
      </c>
      <c r="I1167" s="1009"/>
    </row>
    <row r="1168">
      <c r="B1168" s="1003"/>
      <c r="C1168" s="1004"/>
      <c r="D1168" s="1005"/>
      <c r="E1168" s="1007"/>
      <c r="F1168" s="1007" t="s">
        <v>71</v>
      </c>
      <c r="G1168" s="1007"/>
      <c r="H1168" t="s">
        <v>71</v>
      </c>
      <c r="I1168" s="1009"/>
    </row>
    <row r="1169">
      <c r="B1169" s="1003"/>
      <c r="C1169" s="1004"/>
      <c r="D1169" s="1005"/>
      <c r="E1169" s="1007"/>
      <c r="F1169" s="1007" t="s">
        <v>71</v>
      </c>
      <c r="G1169" s="1007"/>
      <c r="H1169" t="s">
        <v>71</v>
      </c>
      <c r="I1169" s="1009"/>
    </row>
    <row r="1170">
      <c r="B1170" s="1003"/>
      <c r="C1170" s="1004"/>
      <c r="D1170" s="1005"/>
      <c r="E1170" s="1007"/>
      <c r="F1170" s="1007" t="s">
        <v>71</v>
      </c>
      <c r="G1170" s="1007"/>
      <c r="H1170" t="s">
        <v>71</v>
      </c>
      <c r="I1170" s="1009"/>
    </row>
    <row r="1171">
      <c r="B1171" s="1003"/>
      <c r="C1171" s="1004"/>
      <c r="D1171" s="1005"/>
      <c r="E1171" s="1007"/>
      <c r="F1171" s="1007" t="s">
        <v>71</v>
      </c>
      <c r="G1171" s="1007"/>
      <c r="H1171" t="s">
        <v>71</v>
      </c>
      <c r="I1171" s="1009"/>
    </row>
    <row r="1172">
      <c r="B1172" s="1003"/>
      <c r="C1172" s="1004"/>
      <c r="D1172" s="1005"/>
      <c r="E1172" s="1007"/>
      <c r="F1172" s="1007" t="s">
        <v>71</v>
      </c>
      <c r="G1172" s="1007"/>
      <c r="H1172" t="s">
        <v>71</v>
      </c>
      <c r="I1172" s="1009"/>
    </row>
    <row r="1173">
      <c r="B1173" s="1003"/>
      <c r="C1173" s="1004"/>
      <c r="D1173" s="1005"/>
      <c r="E1173" s="1007"/>
      <c r="F1173" s="1007" t="s">
        <v>71</v>
      </c>
      <c r="G1173" s="1007"/>
      <c r="H1173" t="s">
        <v>71</v>
      </c>
      <c r="I1173" s="1009"/>
    </row>
    <row r="1174">
      <c r="B1174" s="1003"/>
      <c r="C1174" s="1004"/>
      <c r="D1174" s="1005"/>
      <c r="E1174" s="1007"/>
      <c r="F1174" s="1007" t="s">
        <v>71</v>
      </c>
      <c r="G1174" s="1007"/>
      <c r="H1174" t="s">
        <v>71</v>
      </c>
      <c r="I1174" s="1009"/>
    </row>
    <row r="1175">
      <c r="B1175" s="1003"/>
      <c r="C1175" s="1004"/>
      <c r="D1175" s="1005"/>
      <c r="E1175" s="1007"/>
      <c r="F1175" s="1007" t="s">
        <v>71</v>
      </c>
      <c r="G1175" s="1007"/>
      <c r="H1175" t="s">
        <v>71</v>
      </c>
      <c r="I1175" s="1009"/>
    </row>
    <row r="1176">
      <c r="B1176" s="1003"/>
      <c r="C1176" s="1004"/>
      <c r="D1176" s="1005"/>
      <c r="E1176" s="1007"/>
      <c r="F1176" s="1007" t="s">
        <v>71</v>
      </c>
      <c r="G1176" s="1007"/>
      <c r="H1176" t="s">
        <v>71</v>
      </c>
      <c r="I1176" s="1009"/>
    </row>
    <row r="1177">
      <c r="B1177" s="1003"/>
      <c r="C1177" s="1004"/>
      <c r="D1177" s="1005"/>
      <c r="E1177" s="1007"/>
      <c r="F1177" s="1007" t="s">
        <v>71</v>
      </c>
      <c r="G1177" s="1007"/>
      <c r="H1177" t="s">
        <v>71</v>
      </c>
      <c r="I1177" s="1009"/>
    </row>
    <row r="1178">
      <c r="B1178" s="1003"/>
      <c r="C1178" s="1004"/>
      <c r="D1178" s="1005"/>
      <c r="E1178" s="1007"/>
      <c r="F1178" s="1007" t="s">
        <v>71</v>
      </c>
      <c r="G1178" s="1007"/>
      <c r="H1178" t="s">
        <v>71</v>
      </c>
      <c r="I1178" s="1009"/>
    </row>
    <row r="1179">
      <c r="B1179" s="1003"/>
      <c r="C1179" s="1004"/>
      <c r="D1179" s="1005"/>
      <c r="E1179" s="1007"/>
      <c r="F1179" s="1007" t="s">
        <v>71</v>
      </c>
      <c r="G1179" s="1007"/>
      <c r="H1179" t="s">
        <v>71</v>
      </c>
      <c r="I1179" s="1009"/>
    </row>
    <row r="1180">
      <c r="B1180" s="1003"/>
      <c r="C1180" s="1004"/>
      <c r="D1180" s="1005"/>
      <c r="E1180" s="1007"/>
      <c r="F1180" s="1007" t="s">
        <v>71</v>
      </c>
      <c r="G1180" s="1007"/>
      <c r="H1180" t="s">
        <v>71</v>
      </c>
      <c r="I1180" s="1009"/>
    </row>
    <row r="1181">
      <c r="B1181" s="1003"/>
      <c r="C1181" s="1004"/>
      <c r="D1181" s="1005"/>
      <c r="E1181" s="1007"/>
      <c r="F1181" s="1007" t="s">
        <v>71</v>
      </c>
      <c r="G1181" s="1007"/>
      <c r="H1181" t="s">
        <v>71</v>
      </c>
      <c r="I1181" s="1009"/>
    </row>
    <row r="1182">
      <c r="B1182" s="1003"/>
      <c r="C1182" s="1004"/>
      <c r="D1182" s="1005"/>
      <c r="E1182" s="1007"/>
      <c r="F1182" s="1007" t="s">
        <v>71</v>
      </c>
      <c r="G1182" s="1007"/>
      <c r="H1182" t="s">
        <v>71</v>
      </c>
      <c r="I1182" s="1009"/>
    </row>
    <row r="1183">
      <c r="B1183" s="1003"/>
      <c r="C1183" s="1004"/>
      <c r="D1183" s="1005"/>
      <c r="E1183" s="1007"/>
      <c r="F1183" s="1007" t="s">
        <v>71</v>
      </c>
      <c r="G1183" s="1007"/>
      <c r="H1183" t="s">
        <v>71</v>
      </c>
      <c r="I1183" s="1009"/>
    </row>
    <row r="1184">
      <c r="B1184" s="1003"/>
      <c r="C1184" s="1004"/>
      <c r="D1184" s="1005"/>
      <c r="E1184" s="1007"/>
      <c r="F1184" s="1007" t="s">
        <v>71</v>
      </c>
      <c r="G1184" s="1007"/>
      <c r="H1184" t="s">
        <v>71</v>
      </c>
      <c r="I1184" s="1009"/>
    </row>
    <row r="1185">
      <c r="B1185" s="1003"/>
      <c r="C1185" s="1004"/>
      <c r="D1185" s="1005"/>
      <c r="E1185" s="1007"/>
      <c r="F1185" s="1007" t="s">
        <v>71</v>
      </c>
      <c r="G1185" s="1007"/>
      <c r="H1185" t="s">
        <v>71</v>
      </c>
      <c r="I1185" s="1009"/>
    </row>
    <row r="1186">
      <c r="B1186" s="1003"/>
      <c r="C1186" s="1004"/>
      <c r="D1186" s="1005"/>
      <c r="E1186" s="1007"/>
      <c r="F1186" s="1007" t="s">
        <v>71</v>
      </c>
      <c r="G1186" s="1007"/>
      <c r="H1186" t="s">
        <v>71</v>
      </c>
      <c r="I1186" s="1009"/>
    </row>
    <row r="1187">
      <c r="B1187" s="1003"/>
      <c r="C1187" s="1004"/>
      <c r="D1187" s="1005"/>
      <c r="E1187" s="1007"/>
      <c r="F1187" s="1007" t="s">
        <v>71</v>
      </c>
      <c r="G1187" s="1007"/>
      <c r="H1187" t="s">
        <v>71</v>
      </c>
      <c r="I1187" s="1009"/>
    </row>
    <row r="1188">
      <c r="B1188" s="1003"/>
      <c r="C1188" s="1004"/>
      <c r="D1188" s="1005"/>
      <c r="E1188" s="1007"/>
      <c r="F1188" s="1007" t="s">
        <v>71</v>
      </c>
      <c r="G1188" s="1007"/>
      <c r="H1188" t="s">
        <v>71</v>
      </c>
      <c r="I1188" s="1009"/>
    </row>
    <row r="1189">
      <c r="B1189" s="1003"/>
      <c r="C1189" s="1004"/>
      <c r="D1189" s="1005"/>
      <c r="E1189" s="1007"/>
      <c r="F1189" s="1007" t="s">
        <v>71</v>
      </c>
      <c r="G1189" s="1007"/>
      <c r="H1189" t="s">
        <v>71</v>
      </c>
      <c r="I1189" s="1009"/>
    </row>
    <row r="1190">
      <c r="B1190" s="1003"/>
      <c r="C1190" s="1004"/>
      <c r="D1190" s="1005"/>
      <c r="E1190" s="1007"/>
      <c r="F1190" s="1007" t="s">
        <v>71</v>
      </c>
      <c r="G1190" s="1007"/>
      <c r="H1190" t="s">
        <v>71</v>
      </c>
      <c r="I1190" s="1009"/>
    </row>
    <row r="1191">
      <c r="B1191" s="1003"/>
      <c r="C1191" s="1004"/>
      <c r="D1191" s="1005"/>
      <c r="E1191" s="1007"/>
      <c r="F1191" s="1007" t="s">
        <v>71</v>
      </c>
      <c r="G1191" s="1007"/>
      <c r="H1191" t="s">
        <v>71</v>
      </c>
      <c r="I1191" s="1009"/>
    </row>
    <row r="1192">
      <c r="B1192" s="1003"/>
      <c r="C1192" s="1004"/>
      <c r="D1192" s="1005"/>
      <c r="E1192" s="1007"/>
      <c r="F1192" s="1007" t="s">
        <v>71</v>
      </c>
      <c r="G1192" s="1007"/>
      <c r="H1192" t="s">
        <v>71</v>
      </c>
      <c r="I1192" s="1009"/>
    </row>
    <row r="1193">
      <c r="B1193" s="1003"/>
      <c r="C1193" s="1004"/>
      <c r="D1193" s="1005"/>
      <c r="E1193" s="1007"/>
      <c r="F1193" s="1007" t="s">
        <v>71</v>
      </c>
      <c r="G1193" s="1007"/>
      <c r="H1193" t="s">
        <v>71</v>
      </c>
      <c r="I1193" s="1009"/>
    </row>
    <row r="1194">
      <c r="B1194" s="1003"/>
      <c r="C1194" s="1004"/>
      <c r="D1194" s="1005"/>
      <c r="E1194" s="1007"/>
      <c r="F1194" s="1007" t="s">
        <v>71</v>
      </c>
      <c r="G1194" s="1007"/>
      <c r="H1194" t="s">
        <v>71</v>
      </c>
      <c r="I1194" s="1009"/>
    </row>
    <row r="1195">
      <c r="B1195" s="1003"/>
      <c r="C1195" s="1004"/>
      <c r="D1195" s="1005"/>
      <c r="E1195" s="1007"/>
      <c r="F1195" s="1007" t="s">
        <v>71</v>
      </c>
      <c r="G1195" s="1007"/>
      <c r="H1195" t="s">
        <v>71</v>
      </c>
      <c r="I1195" s="1009"/>
    </row>
    <row r="1196">
      <c r="B1196" s="1003"/>
      <c r="C1196" s="1004"/>
      <c r="D1196" s="1005"/>
      <c r="E1196" s="1007"/>
      <c r="F1196" s="1007" t="s">
        <v>71</v>
      </c>
      <c r="G1196" s="1007"/>
      <c r="H1196" t="s">
        <v>71</v>
      </c>
      <c r="I1196" s="1009"/>
    </row>
    <row r="1197">
      <c r="B1197" s="1003"/>
      <c r="C1197" s="1004"/>
      <c r="D1197" s="1005"/>
      <c r="E1197" s="1007"/>
      <c r="F1197" s="1007" t="s">
        <v>71</v>
      </c>
      <c r="G1197" s="1007"/>
      <c r="H1197" t="s">
        <v>71</v>
      </c>
      <c r="I1197" s="1009"/>
    </row>
    <row r="1198">
      <c r="B1198" s="1003"/>
      <c r="C1198" s="1004"/>
      <c r="D1198" s="1005"/>
      <c r="E1198" s="1007"/>
      <c r="F1198" s="1007" t="s">
        <v>71</v>
      </c>
      <c r="G1198" s="1007"/>
      <c r="H1198" t="s">
        <v>71</v>
      </c>
      <c r="I1198" s="1009"/>
    </row>
    <row r="1199">
      <c r="B1199" s="1003"/>
      <c r="C1199" s="1004"/>
      <c r="D1199" s="1005"/>
      <c r="E1199" s="1007"/>
      <c r="F1199" s="1007" t="s">
        <v>71</v>
      </c>
      <c r="G1199" s="1007"/>
      <c r="H1199" t="s">
        <v>71</v>
      </c>
      <c r="I1199" s="1009"/>
    </row>
    <row r="1200">
      <c r="B1200" s="1003"/>
      <c r="C1200" s="1004"/>
      <c r="D1200" s="1005"/>
      <c r="E1200" s="1007"/>
      <c r="F1200" s="1007" t="s">
        <v>71</v>
      </c>
      <c r="G1200" s="1007"/>
      <c r="H1200" t="s">
        <v>71</v>
      </c>
      <c r="I1200" s="1009"/>
    </row>
    <row r="1201">
      <c r="B1201" s="1003"/>
      <c r="C1201" s="1004"/>
      <c r="D1201" s="1005"/>
      <c r="E1201" s="1007"/>
      <c r="F1201" s="1007" t="s">
        <v>71</v>
      </c>
      <c r="G1201" s="1007"/>
      <c r="H1201" t="s">
        <v>71</v>
      </c>
      <c r="I1201" s="1009"/>
    </row>
    <row r="1202">
      <c r="B1202" s="1003"/>
      <c r="C1202" s="1004"/>
      <c r="D1202" s="1005"/>
      <c r="E1202" s="1007"/>
      <c r="F1202" s="1007" t="s">
        <v>71</v>
      </c>
      <c r="G1202" s="1007"/>
      <c r="H1202" t="s">
        <v>71</v>
      </c>
      <c r="I1202" s="1009"/>
    </row>
    <row r="1203">
      <c r="B1203" s="1003"/>
      <c r="C1203" s="1004"/>
      <c r="D1203" s="1005"/>
      <c r="E1203" s="1007"/>
      <c r="F1203" s="1007" t="s">
        <v>71</v>
      </c>
      <c r="G1203" s="1007"/>
      <c r="H1203" t="s">
        <v>71</v>
      </c>
      <c r="I1203" s="1009"/>
    </row>
    <row r="1204">
      <c r="B1204" s="1003"/>
      <c r="C1204" s="1004"/>
      <c r="D1204" s="1005"/>
      <c r="E1204" s="1007"/>
      <c r="F1204" s="1007" t="s">
        <v>71</v>
      </c>
      <c r="G1204" s="1007"/>
      <c r="H1204" t="s">
        <v>71</v>
      </c>
      <c r="I1204" s="1009"/>
    </row>
    <row r="1205">
      <c r="B1205" s="1003"/>
      <c r="C1205" s="1004"/>
      <c r="D1205" s="1005"/>
      <c r="E1205" s="1007"/>
      <c r="F1205" s="1007" t="s">
        <v>71</v>
      </c>
      <c r="G1205" s="1007"/>
      <c r="H1205" t="s">
        <v>71</v>
      </c>
      <c r="I1205" s="1009"/>
    </row>
    <row r="1206">
      <c r="B1206" s="1003"/>
      <c r="C1206" s="1004"/>
      <c r="D1206" s="1005"/>
      <c r="E1206" s="1007"/>
      <c r="F1206" s="1007" t="s">
        <v>71</v>
      </c>
      <c r="G1206" s="1007"/>
      <c r="H1206" t="s">
        <v>71</v>
      </c>
      <c r="I1206" s="1009"/>
    </row>
    <row r="1207">
      <c r="B1207" s="1003"/>
      <c r="C1207" s="1004"/>
      <c r="D1207" s="1005"/>
      <c r="E1207" s="1007"/>
      <c r="F1207" s="1007" t="s">
        <v>71</v>
      </c>
      <c r="G1207" s="1007"/>
      <c r="H1207" t="s">
        <v>71</v>
      </c>
      <c r="I1207" s="1009"/>
    </row>
    <row r="1208">
      <c r="B1208" s="1003"/>
      <c r="C1208" s="1004"/>
      <c r="D1208" s="1005"/>
      <c r="E1208" s="1007"/>
      <c r="F1208" s="1007" t="s">
        <v>71</v>
      </c>
      <c r="G1208" s="1007"/>
      <c r="H1208" t="s">
        <v>71</v>
      </c>
      <c r="I1208" s="1009"/>
    </row>
    <row r="1209">
      <c r="B1209" s="1003"/>
      <c r="C1209" s="1004"/>
      <c r="D1209" s="1005"/>
      <c r="E1209" s="1007"/>
      <c r="F1209" s="1007" t="s">
        <v>71</v>
      </c>
      <c r="G1209" s="1007"/>
      <c r="H1209" t="s">
        <v>71</v>
      </c>
      <c r="I1209" s="1009"/>
    </row>
    <row r="1210">
      <c r="B1210" s="1003"/>
      <c r="C1210" s="1004"/>
      <c r="D1210" s="1005"/>
      <c r="E1210" s="1007"/>
      <c r="F1210" s="1007" t="s">
        <v>71</v>
      </c>
      <c r="G1210" s="1007"/>
      <c r="H1210" t="s">
        <v>71</v>
      </c>
      <c r="I1210" s="1009"/>
    </row>
    <row r="1211">
      <c r="B1211" s="1003"/>
      <c r="C1211" s="1004"/>
      <c r="D1211" s="1005"/>
      <c r="E1211" s="1007"/>
      <c r="F1211" s="1007" t="s">
        <v>71</v>
      </c>
      <c r="G1211" s="1007"/>
      <c r="H1211" t="s">
        <v>71</v>
      </c>
      <c r="I1211" s="1009"/>
    </row>
    <row r="1212">
      <c r="B1212" s="1003"/>
      <c r="C1212" s="1004"/>
      <c r="D1212" s="1005"/>
      <c r="E1212" s="1007"/>
      <c r="F1212" s="1007" t="s">
        <v>71</v>
      </c>
      <c r="G1212" s="1007"/>
      <c r="H1212" t="s">
        <v>71</v>
      </c>
      <c r="I1212" s="1009"/>
    </row>
    <row r="1213">
      <c r="B1213" s="1003"/>
      <c r="C1213" s="1004"/>
      <c r="D1213" s="1005"/>
      <c r="E1213" s="1007"/>
      <c r="F1213" s="1007" t="s">
        <v>71</v>
      </c>
      <c r="G1213" s="1007"/>
      <c r="H1213" t="s">
        <v>71</v>
      </c>
      <c r="I1213" s="1009"/>
    </row>
    <row r="1214">
      <c r="B1214" s="1003"/>
      <c r="C1214" s="1004"/>
      <c r="D1214" s="1005"/>
      <c r="E1214" s="1007"/>
      <c r="F1214" s="1007" t="s">
        <v>71</v>
      </c>
      <c r="G1214" s="1007"/>
      <c r="H1214" t="s">
        <v>71</v>
      </c>
      <c r="I1214" s="1009"/>
    </row>
    <row r="1215">
      <c r="B1215" s="1003"/>
      <c r="C1215" s="1004"/>
      <c r="D1215" s="1005"/>
      <c r="E1215" s="1007"/>
      <c r="F1215" s="1007" t="s">
        <v>71</v>
      </c>
      <c r="G1215" s="1007"/>
      <c r="H1215" t="s">
        <v>71</v>
      </c>
      <c r="I1215" s="1009"/>
    </row>
    <row r="1216">
      <c r="B1216" s="1003"/>
      <c r="C1216" s="1004"/>
      <c r="D1216" s="1005"/>
      <c r="E1216" s="1007"/>
      <c r="F1216" s="1007" t="s">
        <v>71</v>
      </c>
      <c r="G1216" s="1007"/>
      <c r="H1216" t="s">
        <v>71</v>
      </c>
      <c r="I1216" s="1009"/>
    </row>
    <row r="1217">
      <c r="B1217" s="1003"/>
      <c r="C1217" s="1004"/>
      <c r="D1217" s="1005"/>
      <c r="E1217" s="1007"/>
      <c r="F1217" s="1007" t="s">
        <v>71</v>
      </c>
      <c r="G1217" s="1007"/>
      <c r="H1217" t="s">
        <v>71</v>
      </c>
      <c r="I1217" s="1009"/>
    </row>
    <row r="1218">
      <c r="B1218" s="1003"/>
      <c r="C1218" s="1004"/>
      <c r="D1218" s="1005"/>
      <c r="E1218" s="1007"/>
      <c r="F1218" s="1007" t="s">
        <v>71</v>
      </c>
      <c r="G1218" s="1007"/>
      <c r="H1218" t="s">
        <v>71</v>
      </c>
      <c r="I1218" s="1009"/>
    </row>
    <row r="1219">
      <c r="B1219" s="1003"/>
      <c r="C1219" s="1004"/>
      <c r="D1219" s="1005"/>
      <c r="E1219" s="1007"/>
      <c r="F1219" s="1007" t="s">
        <v>71</v>
      </c>
      <c r="G1219" s="1007"/>
      <c r="H1219" t="s">
        <v>71</v>
      </c>
      <c r="I1219" s="1009"/>
    </row>
    <row r="1220">
      <c r="B1220" s="1003"/>
      <c r="C1220" s="1004"/>
      <c r="D1220" s="1005"/>
      <c r="E1220" s="1007"/>
      <c r="F1220" s="1007" t="s">
        <v>71</v>
      </c>
      <c r="G1220" s="1007"/>
      <c r="H1220" t="s">
        <v>71</v>
      </c>
      <c r="I1220" s="1009"/>
    </row>
    <row r="1221">
      <c r="B1221" s="1003"/>
      <c r="C1221" s="1004"/>
      <c r="D1221" s="1005"/>
      <c r="E1221" s="1007"/>
      <c r="F1221" s="1007" t="s">
        <v>71</v>
      </c>
      <c r="G1221" s="1007"/>
      <c r="H1221" t="s">
        <v>71</v>
      </c>
      <c r="I1221" s="1009"/>
    </row>
    <row r="1222">
      <c r="B1222" s="1003"/>
      <c r="C1222" s="1004"/>
      <c r="D1222" s="1005"/>
      <c r="E1222" s="1007"/>
      <c r="F1222" s="1007" t="s">
        <v>71</v>
      </c>
      <c r="G1222" s="1007"/>
      <c r="H1222" t="s">
        <v>71</v>
      </c>
      <c r="I1222" s="1009"/>
    </row>
    <row r="1223">
      <c r="B1223" s="1003"/>
      <c r="C1223" s="1004"/>
      <c r="D1223" s="1005"/>
      <c r="E1223" s="1007"/>
      <c r="F1223" s="1007" t="s">
        <v>71</v>
      </c>
      <c r="G1223" s="1007"/>
      <c r="H1223" t="s">
        <v>71</v>
      </c>
      <c r="I1223" s="1009"/>
    </row>
    <row r="1224">
      <c r="B1224" s="1003"/>
      <c r="C1224" s="1004"/>
      <c r="D1224" s="1005"/>
      <c r="E1224" s="1007"/>
      <c r="F1224" s="1007" t="s">
        <v>71</v>
      </c>
      <c r="G1224" s="1007"/>
      <c r="H1224" t="s">
        <v>71</v>
      </c>
      <c r="I1224" s="1009"/>
    </row>
    <row r="1225">
      <c r="B1225" s="1003"/>
      <c r="C1225" s="1004"/>
      <c r="D1225" s="1005"/>
      <c r="E1225" s="1007"/>
      <c r="F1225" s="1007" t="s">
        <v>71</v>
      </c>
      <c r="G1225" s="1007"/>
      <c r="H1225" t="s">
        <v>71</v>
      </c>
      <c r="I1225" s="1009"/>
    </row>
    <row r="1226">
      <c r="B1226" s="1003"/>
      <c r="C1226" s="1004"/>
      <c r="D1226" s="1005"/>
      <c r="E1226" s="1007"/>
      <c r="F1226" s="1007" t="s">
        <v>71</v>
      </c>
      <c r="G1226" s="1007"/>
      <c r="H1226" t="s">
        <v>71</v>
      </c>
      <c r="I1226" s="1009"/>
    </row>
    <row r="1227">
      <c r="B1227" s="1003"/>
      <c r="C1227" s="1004"/>
      <c r="D1227" s="1005"/>
      <c r="E1227" s="1007"/>
      <c r="F1227" s="1007" t="s">
        <v>71</v>
      </c>
      <c r="G1227" s="1007"/>
      <c r="H1227" t="s">
        <v>71</v>
      </c>
      <c r="I1227" s="1009"/>
    </row>
    <row r="1228">
      <c r="B1228" s="1003"/>
      <c r="C1228" s="1004"/>
      <c r="D1228" s="1005"/>
      <c r="E1228" s="1007"/>
      <c r="F1228" s="1007" t="s">
        <v>71</v>
      </c>
      <c r="G1228" s="1007"/>
      <c r="H1228" t="s">
        <v>71</v>
      </c>
      <c r="I1228" s="1009"/>
    </row>
    <row r="1229">
      <c r="B1229" s="1003"/>
      <c r="C1229" s="1004"/>
      <c r="D1229" s="1005"/>
      <c r="E1229" s="1007"/>
      <c r="F1229" s="1007" t="s">
        <v>71</v>
      </c>
      <c r="G1229" s="1007"/>
      <c r="H1229" t="s">
        <v>71</v>
      </c>
      <c r="I1229" s="1009"/>
    </row>
    <row r="1230">
      <c r="B1230" s="1003"/>
      <c r="C1230" s="1004"/>
      <c r="D1230" s="1005"/>
      <c r="E1230" s="1007"/>
      <c r="F1230" s="1007" t="s">
        <v>71</v>
      </c>
      <c r="G1230" s="1007"/>
      <c r="H1230" t="s">
        <v>71</v>
      </c>
      <c r="I1230" s="1009"/>
    </row>
    <row r="1231">
      <c r="B1231" s="1003"/>
      <c r="C1231" s="1004"/>
      <c r="D1231" s="1005"/>
      <c r="E1231" s="1007"/>
      <c r="F1231" s="1007" t="s">
        <v>71</v>
      </c>
      <c r="G1231" s="1007"/>
      <c r="H1231" t="s">
        <v>71</v>
      </c>
      <c r="I1231" s="1009"/>
    </row>
    <row r="1232">
      <c r="B1232" s="1003"/>
      <c r="C1232" s="1004"/>
      <c r="D1232" s="1005"/>
      <c r="E1232" s="1007"/>
      <c r="F1232" s="1007" t="s">
        <v>71</v>
      </c>
      <c r="G1232" s="1007"/>
      <c r="H1232" t="s">
        <v>71</v>
      </c>
      <c r="I1232" s="1009"/>
    </row>
    <row r="1233">
      <c r="B1233" s="1003"/>
      <c r="C1233" s="1004"/>
      <c r="D1233" s="1005"/>
      <c r="E1233" s="1007"/>
      <c r="F1233" s="1007" t="s">
        <v>71</v>
      </c>
      <c r="G1233" s="1007"/>
      <c r="H1233" t="s">
        <v>71</v>
      </c>
      <c r="I1233" s="1009"/>
    </row>
    <row r="1234">
      <c r="B1234" s="1003"/>
      <c r="C1234" s="1004"/>
      <c r="D1234" s="1005"/>
      <c r="E1234" s="1007"/>
      <c r="F1234" s="1007" t="s">
        <v>71</v>
      </c>
      <c r="G1234" s="1007"/>
      <c r="H1234" t="s">
        <v>71</v>
      </c>
      <c r="I1234" s="1009"/>
    </row>
    <row r="1235">
      <c r="B1235" s="1003"/>
      <c r="C1235" s="1004"/>
      <c r="D1235" s="1005"/>
      <c r="E1235" s="1007"/>
      <c r="F1235" s="1007" t="s">
        <v>71</v>
      </c>
      <c r="G1235" s="1007"/>
      <c r="H1235" t="s">
        <v>71</v>
      </c>
      <c r="I1235" s="1009"/>
    </row>
    <row r="1236">
      <c r="B1236" s="1003"/>
      <c r="C1236" s="1004"/>
      <c r="D1236" s="1005"/>
      <c r="E1236" s="1007"/>
      <c r="F1236" s="1007" t="s">
        <v>71</v>
      </c>
      <c r="G1236" s="1007"/>
      <c r="H1236" t="s">
        <v>71</v>
      </c>
      <c r="I1236" s="1009"/>
    </row>
    <row r="1237">
      <c r="B1237" s="1003"/>
      <c r="C1237" s="1004"/>
      <c r="D1237" s="1005"/>
      <c r="E1237" s="1007"/>
      <c r="F1237" s="1007" t="s">
        <v>71</v>
      </c>
      <c r="G1237" s="1007"/>
      <c r="H1237" t="s">
        <v>71</v>
      </c>
      <c r="I1237" s="1009"/>
    </row>
    <row r="1238">
      <c r="B1238" s="1003"/>
      <c r="C1238" s="1004"/>
      <c r="D1238" s="1005"/>
      <c r="E1238" s="1007"/>
      <c r="F1238" s="1007" t="s">
        <v>71</v>
      </c>
      <c r="G1238" s="1007"/>
      <c r="H1238" t="s">
        <v>71</v>
      </c>
      <c r="I1238" s="1009"/>
    </row>
    <row r="1239">
      <c r="B1239" s="1003"/>
      <c r="C1239" s="1004"/>
      <c r="D1239" s="1005"/>
      <c r="E1239" s="1007"/>
      <c r="F1239" s="1007" t="s">
        <v>71</v>
      </c>
      <c r="G1239" s="1007"/>
      <c r="H1239" t="s">
        <v>71</v>
      </c>
      <c r="I1239" s="1009"/>
    </row>
    <row r="1240">
      <c r="B1240" s="1003"/>
      <c r="C1240" s="1004"/>
      <c r="D1240" s="1005"/>
      <c r="E1240" s="1007"/>
      <c r="F1240" s="1007" t="s">
        <v>71</v>
      </c>
      <c r="G1240" s="1007"/>
      <c r="H1240" t="s">
        <v>71</v>
      </c>
      <c r="I1240" s="1009"/>
    </row>
    <row r="1241">
      <c r="B1241" s="1003"/>
      <c r="C1241" s="1004"/>
      <c r="D1241" s="1005"/>
      <c r="E1241" s="1007"/>
      <c r="F1241" s="1007" t="s">
        <v>71</v>
      </c>
      <c r="G1241" s="1007"/>
      <c r="H1241" t="s">
        <v>71</v>
      </c>
      <c r="I1241" s="1009"/>
    </row>
    <row r="1242">
      <c r="B1242" s="1003"/>
      <c r="C1242" s="1004"/>
      <c r="D1242" s="1005"/>
      <c r="E1242" s="1007"/>
      <c r="F1242" s="1007" t="s">
        <v>71</v>
      </c>
      <c r="G1242" s="1007"/>
      <c r="H1242" t="s">
        <v>71</v>
      </c>
      <c r="I1242" s="1009"/>
    </row>
    <row r="1243">
      <c r="B1243" s="1003"/>
      <c r="C1243" s="1004"/>
      <c r="D1243" s="1005"/>
      <c r="E1243" s="1007"/>
      <c r="F1243" s="1007" t="s">
        <v>71</v>
      </c>
      <c r="G1243" s="1007"/>
      <c r="H1243" t="s">
        <v>71</v>
      </c>
      <c r="I1243" s="1009"/>
    </row>
    <row r="1244">
      <c r="B1244" s="1003"/>
      <c r="C1244" s="1004"/>
      <c r="D1244" s="1005"/>
      <c r="E1244" s="1007"/>
      <c r="F1244" s="1007" t="s">
        <v>71</v>
      </c>
      <c r="G1244" s="1007"/>
      <c r="H1244" t="s">
        <v>71</v>
      </c>
      <c r="I1244" s="1009"/>
    </row>
    <row r="1245">
      <c r="B1245" s="1003"/>
      <c r="C1245" s="1004"/>
      <c r="D1245" s="1005"/>
      <c r="E1245" s="1007"/>
      <c r="F1245" s="1007" t="s">
        <v>71</v>
      </c>
      <c r="G1245" s="1007"/>
      <c r="H1245" t="s">
        <v>71</v>
      </c>
      <c r="I1245" s="1009"/>
    </row>
    <row r="1246">
      <c r="B1246" s="1003"/>
      <c r="C1246" s="1004"/>
      <c r="D1246" s="1005"/>
      <c r="E1246" s="1007"/>
      <c r="F1246" s="1007" t="s">
        <v>71</v>
      </c>
      <c r="G1246" s="1007"/>
      <c r="H1246" t="s">
        <v>71</v>
      </c>
      <c r="I1246" s="1009"/>
    </row>
    <row r="1247">
      <c r="B1247" s="1003"/>
      <c r="C1247" s="1004"/>
      <c r="D1247" s="1005"/>
      <c r="E1247" s="1007"/>
      <c r="F1247" s="1007" t="s">
        <v>71</v>
      </c>
      <c r="G1247" s="1007"/>
      <c r="H1247" t="s">
        <v>71</v>
      </c>
      <c r="I1247" s="1009"/>
    </row>
    <row r="1248">
      <c r="B1248" s="1003"/>
      <c r="C1248" s="1004"/>
      <c r="D1248" s="1005"/>
      <c r="E1248" s="1007"/>
      <c r="F1248" s="1007" t="s">
        <v>71</v>
      </c>
      <c r="G1248" s="1007"/>
      <c r="H1248" t="s">
        <v>71</v>
      </c>
      <c r="I1248" s="1009"/>
    </row>
    <row r="1249">
      <c r="B1249" s="1003"/>
      <c r="C1249" s="1004"/>
      <c r="D1249" s="1005"/>
      <c r="E1249" s="1007"/>
      <c r="F1249" s="1007" t="s">
        <v>71</v>
      </c>
      <c r="G1249" s="1007"/>
      <c r="H1249" t="s">
        <v>71</v>
      </c>
      <c r="I1249" s="1009"/>
    </row>
    <row r="1250">
      <c r="B1250" s="1003"/>
      <c r="C1250" s="1004"/>
      <c r="D1250" s="1005"/>
      <c r="E1250" s="1007"/>
      <c r="F1250" s="1007" t="s">
        <v>71</v>
      </c>
      <c r="G1250" s="1007"/>
      <c r="H1250" t="s">
        <v>71</v>
      </c>
      <c r="I1250" s="1009"/>
    </row>
    <row r="1251">
      <c r="B1251" s="1003"/>
      <c r="C1251" s="1004"/>
      <c r="D1251" s="1005"/>
      <c r="E1251" s="1007"/>
      <c r="F1251" s="1007" t="s">
        <v>71</v>
      </c>
      <c r="G1251" s="1007"/>
      <c r="H1251" t="s">
        <v>71</v>
      </c>
      <c r="I1251" s="1009"/>
    </row>
    <row r="1252">
      <c r="B1252" s="1003"/>
      <c r="C1252" s="1004"/>
      <c r="D1252" s="1005"/>
      <c r="E1252" s="1007"/>
      <c r="F1252" s="1007" t="s">
        <v>71</v>
      </c>
      <c r="G1252" s="1007"/>
      <c r="H1252" t="s">
        <v>71</v>
      </c>
      <c r="I1252" s="1009"/>
    </row>
    <row r="1253">
      <c r="B1253" s="1003"/>
      <c r="C1253" s="1004"/>
      <c r="D1253" s="1005"/>
      <c r="E1253" s="1007"/>
      <c r="F1253" s="1007" t="s">
        <v>71</v>
      </c>
      <c r="G1253" s="1007"/>
      <c r="H1253" t="s">
        <v>71</v>
      </c>
      <c r="I1253" s="1009"/>
    </row>
    <row r="1254">
      <c r="B1254" s="1003"/>
      <c r="C1254" s="1004"/>
      <c r="D1254" s="1005"/>
      <c r="E1254" s="1007"/>
      <c r="F1254" s="1007" t="s">
        <v>71</v>
      </c>
      <c r="G1254" s="1007"/>
      <c r="H1254" t="s">
        <v>71</v>
      </c>
      <c r="I1254" s="1009"/>
    </row>
    <row r="1255">
      <c r="B1255" s="1003"/>
      <c r="C1255" s="1004"/>
      <c r="D1255" s="1005"/>
      <c r="E1255" s="1007"/>
      <c r="F1255" s="1007" t="s">
        <v>71</v>
      </c>
      <c r="G1255" s="1007"/>
      <c r="H1255" t="s">
        <v>71</v>
      </c>
      <c r="I1255" s="1009"/>
    </row>
    <row r="1256">
      <c r="B1256" s="1003"/>
      <c r="C1256" s="1004"/>
      <c r="D1256" s="1005"/>
      <c r="E1256" s="1007"/>
      <c r="F1256" s="1007" t="s">
        <v>71</v>
      </c>
      <c r="G1256" s="1007"/>
      <c r="H1256" t="s">
        <v>71</v>
      </c>
      <c r="I1256" s="1009"/>
    </row>
    <row r="1257">
      <c r="B1257" s="1003"/>
      <c r="C1257" s="1004"/>
      <c r="D1257" s="1005"/>
      <c r="E1257" s="1007"/>
      <c r="F1257" s="1007" t="s">
        <v>71</v>
      </c>
      <c r="G1257" s="1007"/>
      <c r="H1257" t="s">
        <v>71</v>
      </c>
      <c r="I1257" s="1009"/>
    </row>
    <row r="1258">
      <c r="B1258" s="1003"/>
      <c r="C1258" s="1004"/>
      <c r="D1258" s="1005"/>
      <c r="E1258" s="1007"/>
      <c r="F1258" s="1007" t="s">
        <v>71</v>
      </c>
      <c r="G1258" s="1007"/>
      <c r="H1258" t="s">
        <v>71</v>
      </c>
      <c r="I1258" s="1009"/>
    </row>
    <row r="1259">
      <c r="B1259" s="1003"/>
      <c r="C1259" s="1004"/>
      <c r="D1259" s="1005"/>
      <c r="E1259" s="1007"/>
      <c r="F1259" s="1007" t="s">
        <v>71</v>
      </c>
      <c r="G1259" s="1007"/>
      <c r="H1259" t="s">
        <v>71</v>
      </c>
      <c r="I1259" s="1009"/>
    </row>
    <row r="1260">
      <c r="B1260" s="1003"/>
      <c r="C1260" s="1004"/>
      <c r="D1260" s="1005"/>
      <c r="E1260" s="1007"/>
      <c r="F1260" s="1007" t="s">
        <v>71</v>
      </c>
      <c r="G1260" s="1007"/>
      <c r="H1260" t="s">
        <v>71</v>
      </c>
      <c r="I1260" s="1009"/>
    </row>
    <row r="1261">
      <c r="B1261" s="1003"/>
      <c r="C1261" s="1004"/>
      <c r="D1261" s="1005"/>
      <c r="E1261" s="1007"/>
      <c r="F1261" s="1007" t="s">
        <v>71</v>
      </c>
      <c r="G1261" s="1007"/>
      <c r="H1261" t="s">
        <v>71</v>
      </c>
      <c r="I1261" s="1009"/>
    </row>
    <row r="1262">
      <c r="B1262" s="1003"/>
      <c r="C1262" s="1004"/>
      <c r="D1262" s="1005"/>
      <c r="E1262" s="1007"/>
      <c r="F1262" s="1007" t="s">
        <v>71</v>
      </c>
      <c r="G1262" s="1007"/>
      <c r="H1262" t="s">
        <v>71</v>
      </c>
      <c r="I1262" s="1009"/>
    </row>
    <row r="1263">
      <c r="B1263" s="1003"/>
      <c r="C1263" s="1004"/>
      <c r="D1263" s="1005"/>
      <c r="E1263" s="1007"/>
      <c r="F1263" s="1007" t="s">
        <v>71</v>
      </c>
      <c r="G1263" s="1007"/>
      <c r="H1263" t="s">
        <v>71</v>
      </c>
      <c r="I1263" s="1009"/>
    </row>
    <row r="1264">
      <c r="B1264" s="1003"/>
      <c r="C1264" s="1004"/>
      <c r="D1264" s="1005"/>
      <c r="E1264" s="1007"/>
      <c r="F1264" s="1007" t="s">
        <v>71</v>
      </c>
      <c r="G1264" s="1007"/>
      <c r="H1264" t="s">
        <v>71</v>
      </c>
      <c r="I1264" s="1009"/>
    </row>
    <row r="1265">
      <c r="B1265" s="1003"/>
      <c r="C1265" s="1004"/>
      <c r="D1265" s="1005"/>
      <c r="E1265" s="1007"/>
      <c r="F1265" s="1007" t="s">
        <v>71</v>
      </c>
      <c r="G1265" s="1007"/>
      <c r="H1265" t="s">
        <v>71</v>
      </c>
      <c r="I1265" s="1009"/>
    </row>
    <row r="1266">
      <c r="B1266" s="1003"/>
      <c r="C1266" s="1004"/>
      <c r="D1266" s="1005"/>
      <c r="E1266" s="1007"/>
      <c r="F1266" s="1007" t="s">
        <v>71</v>
      </c>
      <c r="G1266" s="1007"/>
      <c r="H1266" t="s">
        <v>71</v>
      </c>
      <c r="I1266" s="1009"/>
    </row>
    <row r="1267">
      <c r="B1267" s="1003"/>
      <c r="C1267" s="1004"/>
      <c r="D1267" s="1005"/>
      <c r="E1267" s="1007"/>
      <c r="F1267" s="1007" t="s">
        <v>71</v>
      </c>
      <c r="G1267" s="1007"/>
      <c r="H1267" t="s">
        <v>71</v>
      </c>
      <c r="I1267" s="1009"/>
    </row>
    <row r="1268">
      <c r="B1268" s="1003"/>
      <c r="C1268" s="1004"/>
      <c r="D1268" s="1005"/>
      <c r="E1268" s="1007"/>
      <c r="F1268" s="1007" t="s">
        <v>71</v>
      </c>
      <c r="G1268" s="1007"/>
      <c r="H1268" t="s">
        <v>71</v>
      </c>
      <c r="I1268" s="1009"/>
    </row>
    <row r="1269">
      <c r="B1269" s="1003"/>
      <c r="C1269" s="1004"/>
      <c r="D1269" s="1005"/>
      <c r="E1269" s="1007"/>
      <c r="F1269" s="1007" t="s">
        <v>71</v>
      </c>
      <c r="G1269" s="1007"/>
      <c r="H1269" t="s">
        <v>71</v>
      </c>
      <c r="I1269" s="1009"/>
    </row>
    <row r="1270">
      <c r="B1270" s="1003"/>
      <c r="C1270" s="1004"/>
      <c r="D1270" s="1005"/>
      <c r="E1270" s="1007"/>
      <c r="F1270" s="1007" t="s">
        <v>71</v>
      </c>
      <c r="G1270" s="1007"/>
      <c r="H1270" t="s">
        <v>71</v>
      </c>
      <c r="I1270" s="1009"/>
    </row>
    <row r="1271">
      <c r="B1271" s="1003"/>
      <c r="C1271" s="1004"/>
      <c r="D1271" s="1005"/>
      <c r="E1271" s="1007"/>
      <c r="F1271" s="1007" t="s">
        <v>71</v>
      </c>
      <c r="G1271" s="1007"/>
      <c r="H1271" t="s">
        <v>71</v>
      </c>
      <c r="I1271" s="1009"/>
    </row>
    <row r="1272">
      <c r="B1272" s="1003"/>
      <c r="C1272" s="1004"/>
      <c r="D1272" s="1005"/>
      <c r="E1272" s="1007"/>
      <c r="F1272" s="1007" t="s">
        <v>71</v>
      </c>
      <c r="G1272" s="1007"/>
      <c r="H1272" t="s">
        <v>71</v>
      </c>
      <c r="I1272" s="1009"/>
    </row>
    <row r="1273">
      <c r="B1273" s="1003"/>
      <c r="C1273" s="1004"/>
      <c r="D1273" s="1005"/>
      <c r="E1273" s="1007"/>
      <c r="F1273" s="1007" t="s">
        <v>71</v>
      </c>
      <c r="G1273" s="1007"/>
      <c r="H1273" t="s">
        <v>71</v>
      </c>
      <c r="I1273" s="1009"/>
    </row>
    <row r="1274">
      <c r="B1274" s="1003"/>
      <c r="C1274" s="1004"/>
      <c r="D1274" s="1005"/>
      <c r="E1274" s="1007"/>
      <c r="F1274" s="1007" t="s">
        <v>71</v>
      </c>
      <c r="G1274" s="1007"/>
      <c r="H1274" t="s">
        <v>71</v>
      </c>
      <c r="I1274" s="1009"/>
    </row>
    <row r="1275">
      <c r="B1275" s="1003"/>
      <c r="C1275" s="1004"/>
      <c r="D1275" s="1005"/>
      <c r="E1275" s="1007"/>
      <c r="F1275" s="1007" t="s">
        <v>71</v>
      </c>
      <c r="G1275" s="1007"/>
      <c r="H1275" t="s">
        <v>71</v>
      </c>
      <c r="I1275" s="1009"/>
    </row>
    <row r="1276">
      <c r="B1276" s="1003"/>
      <c r="C1276" s="1004"/>
      <c r="D1276" s="1005"/>
      <c r="E1276" s="1007"/>
      <c r="F1276" s="1007" t="s">
        <v>71</v>
      </c>
      <c r="G1276" s="1007"/>
      <c r="H1276" t="s">
        <v>71</v>
      </c>
      <c r="I1276" s="1009"/>
    </row>
    <row r="1277">
      <c r="B1277" s="1003"/>
      <c r="C1277" s="1004"/>
      <c r="D1277" s="1005"/>
      <c r="E1277" s="1007"/>
      <c r="F1277" s="1007" t="s">
        <v>71</v>
      </c>
      <c r="G1277" s="1007"/>
      <c r="H1277" t="s">
        <v>71</v>
      </c>
      <c r="I1277" s="1009"/>
    </row>
    <row r="1278">
      <c r="B1278" s="1003"/>
      <c r="C1278" s="1004"/>
      <c r="D1278" s="1005"/>
      <c r="E1278" s="1007"/>
      <c r="F1278" s="1007" t="s">
        <v>71</v>
      </c>
      <c r="G1278" s="1007"/>
      <c r="H1278" t="s">
        <v>71</v>
      </c>
      <c r="I1278" s="1009"/>
    </row>
    <row r="1279">
      <c r="B1279" s="1003"/>
      <c r="C1279" s="1004"/>
      <c r="D1279" s="1005"/>
      <c r="E1279" s="1007"/>
      <c r="F1279" s="1007" t="s">
        <v>71</v>
      </c>
      <c r="G1279" s="1007"/>
      <c r="H1279" t="s">
        <v>71</v>
      </c>
      <c r="I1279" s="1009"/>
    </row>
    <row r="1280">
      <c r="B1280" s="1003"/>
      <c r="C1280" s="1004"/>
      <c r="D1280" s="1005"/>
      <c r="E1280" s="1007"/>
      <c r="F1280" s="1007" t="s">
        <v>71</v>
      </c>
      <c r="G1280" s="1007"/>
      <c r="H1280" t="s">
        <v>71</v>
      </c>
      <c r="I1280" s="1009"/>
    </row>
    <row r="1281">
      <c r="B1281" s="1003"/>
      <c r="C1281" s="1004"/>
      <c r="D1281" s="1005"/>
      <c r="E1281" s="1007"/>
      <c r="F1281" s="1007" t="s">
        <v>71</v>
      </c>
      <c r="G1281" s="1007"/>
      <c r="H1281" t="s">
        <v>71</v>
      </c>
      <c r="I1281" s="1009"/>
    </row>
    <row r="1282">
      <c r="B1282" s="1046"/>
      <c r="C1282" s="1004"/>
      <c r="D1282" s="1005"/>
      <c r="E1282" s="736"/>
      <c r="F1282" s="736" t="s">
        <v>71</v>
      </c>
      <c r="G1282" s="736"/>
      <c r="H1282" t="s">
        <v>71</v>
      </c>
      <c r="I1282" s="1009"/>
    </row>
    <row r="1283">
      <c r="B1283" s="1046"/>
      <c r="C1283" s="1004"/>
      <c r="D1283" s="1005"/>
      <c r="E1283" s="736"/>
      <c r="F1283" s="736" t="s">
        <v>71</v>
      </c>
      <c r="G1283" s="736"/>
      <c r="H1283" t="s">
        <v>71</v>
      </c>
      <c r="I1283" s="1009"/>
    </row>
    <row r="1284">
      <c r="B1284" s="1046"/>
      <c r="C1284" s="1004"/>
      <c r="D1284" s="1005"/>
      <c r="E1284" s="736"/>
      <c r="F1284" s="736" t="s">
        <v>71</v>
      </c>
      <c r="G1284" s="736"/>
      <c r="H1284" t="s">
        <v>71</v>
      </c>
      <c r="I1284" s="1009"/>
    </row>
    <row r="1285">
      <c r="B1285" s="1046"/>
      <c r="C1285" s="1004"/>
      <c r="D1285" s="1005"/>
      <c r="E1285" s="736"/>
      <c r="F1285" s="736" t="s">
        <v>71</v>
      </c>
      <c r="G1285" s="736"/>
      <c r="H1285" t="s">
        <v>71</v>
      </c>
      <c r="I1285" s="1009"/>
    </row>
    <row r="1286">
      <c r="B1286" s="1046"/>
      <c r="C1286" s="1004"/>
      <c r="D1286" s="1005"/>
      <c r="E1286" s="736"/>
      <c r="F1286" s="736" t="s">
        <v>71</v>
      </c>
      <c r="G1286" s="736"/>
      <c r="H1286" t="s">
        <v>71</v>
      </c>
      <c r="I1286" s="1009"/>
    </row>
    <row r="1287">
      <c r="B1287" s="1046"/>
      <c r="C1287" s="1004"/>
      <c r="D1287" s="1005"/>
      <c r="E1287" s="736"/>
      <c r="F1287" s="736" t="s">
        <v>71</v>
      </c>
      <c r="G1287" s="736"/>
      <c r="H1287" t="s">
        <v>71</v>
      </c>
      <c r="I1287" s="1009"/>
    </row>
    <row r="1288">
      <c r="B1288" s="1046"/>
      <c r="C1288" s="1004"/>
      <c r="D1288" s="1005"/>
      <c r="E1288" s="736"/>
      <c r="F1288" s="736" t="s">
        <v>71</v>
      </c>
      <c r="G1288" s="736"/>
      <c r="H1288" t="s">
        <v>71</v>
      </c>
      <c r="I1288" s="1009"/>
    </row>
    <row r="1289">
      <c r="B1289" s="1046"/>
      <c r="C1289" s="1004"/>
      <c r="D1289" s="1005"/>
      <c r="E1289" s="736"/>
      <c r="F1289" s="736" t="s">
        <v>71</v>
      </c>
      <c r="G1289" s="736"/>
      <c r="H1289" t="s">
        <v>71</v>
      </c>
      <c r="I1289" s="1009"/>
    </row>
    <row r="1290">
      <c r="B1290" s="1046"/>
      <c r="C1290" s="1004"/>
      <c r="D1290" s="1005"/>
      <c r="E1290" s="736"/>
      <c r="F1290" s="736" t="s">
        <v>71</v>
      </c>
      <c r="G1290" s="736"/>
      <c r="H1290" t="s">
        <v>71</v>
      </c>
      <c r="I1290" s="1009"/>
    </row>
    <row r="1291">
      <c r="B1291" s="1046"/>
      <c r="C1291" s="1004"/>
      <c r="D1291" s="1005"/>
      <c r="E1291" s="736"/>
      <c r="F1291" s="736" t="s">
        <v>71</v>
      </c>
      <c r="G1291" s="736"/>
      <c r="H1291" t="s">
        <v>71</v>
      </c>
      <c r="I1291" s="1009"/>
    </row>
    <row r="1292">
      <c r="B1292" s="1046"/>
      <c r="C1292" s="1004"/>
      <c r="D1292" s="1005"/>
      <c r="E1292" s="736"/>
      <c r="F1292" s="736" t="s">
        <v>71</v>
      </c>
      <c r="G1292" s="736"/>
      <c r="H1292" t="s">
        <v>71</v>
      </c>
      <c r="I1292" s="1009"/>
    </row>
    <row r="1293">
      <c r="B1293" s="1046"/>
      <c r="C1293" s="1004"/>
      <c r="D1293" s="1005"/>
      <c r="E1293" s="736"/>
      <c r="F1293" s="736" t="s">
        <v>71</v>
      </c>
      <c r="G1293" s="736"/>
      <c r="H1293" t="s">
        <v>71</v>
      </c>
      <c r="I1293" s="1009"/>
    </row>
    <row r="1294">
      <c r="B1294" s="1046"/>
      <c r="C1294" s="1004"/>
      <c r="D1294" s="1005"/>
      <c r="E1294" s="736"/>
      <c r="F1294" s="736" t="s">
        <v>71</v>
      </c>
      <c r="G1294" s="736"/>
      <c r="H1294" t="s">
        <v>71</v>
      </c>
      <c r="I1294" s="1009"/>
    </row>
    <row r="1295">
      <c r="B1295" s="1046"/>
      <c r="C1295" s="1004"/>
      <c r="D1295" s="1005"/>
      <c r="E1295" s="736"/>
      <c r="F1295" s="736" t="s">
        <v>71</v>
      </c>
      <c r="G1295" s="736"/>
      <c r="H1295" t="s">
        <v>71</v>
      </c>
      <c r="I1295" s="1009"/>
    </row>
    <row r="1296">
      <c r="B1296" s="1046"/>
      <c r="C1296" s="1004"/>
      <c r="D1296" s="1005"/>
      <c r="E1296" s="736"/>
      <c r="F1296" s="736" t="s">
        <v>71</v>
      </c>
      <c r="G1296" s="736"/>
      <c r="H1296" t="s">
        <v>71</v>
      </c>
      <c r="I1296" s="1009"/>
    </row>
    <row r="1297">
      <c r="B1297" s="1046"/>
      <c r="C1297" s="1004"/>
      <c r="D1297" s="1005"/>
      <c r="E1297" s="736"/>
      <c r="F1297" s="736" t="s">
        <v>71</v>
      </c>
      <c r="G1297" s="736"/>
      <c r="H1297" t="s">
        <v>71</v>
      </c>
      <c r="I1297" s="1009"/>
    </row>
    <row r="1298">
      <c r="B1298" s="1046"/>
      <c r="C1298" s="1004"/>
      <c r="D1298" s="1005"/>
      <c r="E1298" s="736"/>
      <c r="F1298" s="736" t="s">
        <v>71</v>
      </c>
      <c r="G1298" s="736"/>
      <c r="H1298" t="s">
        <v>71</v>
      </c>
      <c r="I1298" s="1009"/>
    </row>
    <row r="1299">
      <c r="B1299" s="1046"/>
      <c r="C1299" s="1004"/>
      <c r="D1299" s="1005"/>
      <c r="E1299" s="736"/>
      <c r="F1299" s="736" t="s">
        <v>71</v>
      </c>
      <c r="G1299" s="736"/>
      <c r="H1299" t="s">
        <v>71</v>
      </c>
      <c r="I1299" s="1009"/>
    </row>
    <row r="1300">
      <c r="B1300" s="1046"/>
      <c r="C1300" s="1004"/>
      <c r="D1300" s="1005"/>
      <c r="E1300" s="736"/>
      <c r="F1300" s="736" t="s">
        <v>71</v>
      </c>
      <c r="G1300" s="736"/>
      <c r="H1300" t="s">
        <v>71</v>
      </c>
      <c r="I1300" s="1009"/>
    </row>
    <row r="1301">
      <c r="B1301" s="1046"/>
      <c r="C1301" s="1004"/>
      <c r="D1301" s="1005"/>
      <c r="E1301" s="736"/>
      <c r="F1301" s="736" t="s">
        <v>71</v>
      </c>
      <c r="G1301" s="736"/>
      <c r="H1301" t="s">
        <v>71</v>
      </c>
      <c r="I1301" s="1009"/>
    </row>
    <row r="1302">
      <c r="B1302" s="1046"/>
      <c r="C1302" s="1004"/>
      <c r="D1302" s="1005"/>
      <c r="E1302" s="736"/>
      <c r="F1302" s="736" t="s">
        <v>71</v>
      </c>
      <c r="G1302" s="736"/>
      <c r="H1302" t="s">
        <v>71</v>
      </c>
      <c r="I1302" s="1009"/>
    </row>
    <row r="1303">
      <c r="B1303" s="1046"/>
      <c r="C1303" s="1004"/>
      <c r="D1303" s="1005"/>
      <c r="E1303" s="736"/>
      <c r="F1303" s="736" t="s">
        <v>71</v>
      </c>
      <c r="G1303" s="736"/>
      <c r="H1303" t="s">
        <v>71</v>
      </c>
      <c r="I1303" s="1009"/>
    </row>
    <row r="1304">
      <c r="B1304" s="1046"/>
      <c r="C1304" s="1004"/>
      <c r="D1304" s="1005"/>
      <c r="E1304" s="736"/>
      <c r="F1304" s="736" t="s">
        <v>71</v>
      </c>
      <c r="G1304" s="736"/>
      <c r="H1304" t="s">
        <v>71</v>
      </c>
      <c r="I1304" s="1009"/>
    </row>
    <row r="1305">
      <c r="B1305" s="1046"/>
      <c r="C1305" s="1004"/>
      <c r="D1305" s="1005"/>
      <c r="E1305" s="736"/>
      <c r="F1305" s="736" t="s">
        <v>71</v>
      </c>
      <c r="G1305" s="736"/>
      <c r="H1305" t="s">
        <v>71</v>
      </c>
      <c r="I1305" s="1009"/>
    </row>
    <row r="1306">
      <c r="B1306" s="1046"/>
      <c r="C1306" s="1004"/>
      <c r="D1306" s="1005"/>
      <c r="E1306" s="736"/>
      <c r="F1306" s="736" t="s">
        <v>71</v>
      </c>
      <c r="G1306" s="736"/>
      <c r="H1306" t="s">
        <v>71</v>
      </c>
      <c r="I1306" s="1009"/>
    </row>
    <row r="1307">
      <c r="B1307" s="1046"/>
      <c r="C1307" s="1004"/>
      <c r="D1307" s="1005"/>
      <c r="E1307" s="736"/>
      <c r="F1307" s="736" t="s">
        <v>71</v>
      </c>
      <c r="G1307" s="736"/>
      <c r="H1307" t="s">
        <v>71</v>
      </c>
      <c r="I1307" s="1009"/>
    </row>
    <row r="1308">
      <c r="B1308" s="1046"/>
      <c r="C1308" s="1004"/>
      <c r="D1308" s="1005"/>
      <c r="E1308" s="736"/>
      <c r="F1308" s="736" t="s">
        <v>71</v>
      </c>
      <c r="G1308" s="736"/>
      <c r="H1308" t="s">
        <v>71</v>
      </c>
      <c r="I1308" s="1009"/>
    </row>
    <row r="1309">
      <c r="B1309" s="1046"/>
      <c r="C1309" s="1004"/>
      <c r="D1309" s="1005"/>
      <c r="E1309" s="736"/>
      <c r="F1309" s="736" t="s">
        <v>71</v>
      </c>
      <c r="G1309" s="736"/>
      <c r="H1309" t="s">
        <v>71</v>
      </c>
      <c r="I1309" s="1009"/>
    </row>
    <row r="1310">
      <c r="B1310" s="1046"/>
      <c r="C1310" s="1004"/>
      <c r="D1310" s="1005"/>
      <c r="E1310" s="736"/>
      <c r="F1310" s="736" t="s">
        <v>71</v>
      </c>
      <c r="G1310" s="736"/>
      <c r="H1310" t="s">
        <v>71</v>
      </c>
      <c r="I1310" s="1009"/>
    </row>
    <row r="1311">
      <c r="B1311" s="1046"/>
      <c r="C1311" s="1004"/>
      <c r="D1311" s="1005"/>
      <c r="E1311" s="736"/>
      <c r="F1311" s="736" t="s">
        <v>71</v>
      </c>
      <c r="G1311" s="736"/>
      <c r="H1311" t="s">
        <v>71</v>
      </c>
      <c r="I1311" s="1009"/>
    </row>
    <row r="1312">
      <c r="B1312" s="1046"/>
      <c r="C1312" s="1004"/>
      <c r="D1312" s="1005"/>
      <c r="E1312" s="736"/>
      <c r="F1312" s="736" t="s">
        <v>71</v>
      </c>
      <c r="G1312" s="736"/>
      <c r="H1312" t="s">
        <v>71</v>
      </c>
      <c r="I1312" s="1009"/>
    </row>
    <row r="1313">
      <c r="B1313" s="1046"/>
      <c r="C1313" s="1004"/>
      <c r="D1313" s="1005"/>
      <c r="E1313" s="736"/>
      <c r="F1313" s="736" t="s">
        <v>71</v>
      </c>
      <c r="G1313" s="736"/>
      <c r="H1313" t="s">
        <v>71</v>
      </c>
      <c r="I1313" s="1009"/>
    </row>
    <row r="1314">
      <c r="B1314" s="1046"/>
      <c r="C1314" s="1004"/>
      <c r="D1314" s="1005"/>
      <c r="E1314" s="736"/>
      <c r="F1314" s="736" t="s">
        <v>71</v>
      </c>
      <c r="G1314" s="736"/>
      <c r="H1314" t="s">
        <v>71</v>
      </c>
      <c r="I1314" s="1009"/>
    </row>
    <row r="1315">
      <c r="B1315" s="1046"/>
      <c r="C1315" s="1004"/>
      <c r="D1315" s="1005"/>
      <c r="E1315" s="736"/>
      <c r="F1315" s="736" t="s">
        <v>71</v>
      </c>
      <c r="G1315" s="736"/>
      <c r="H1315" t="s">
        <v>71</v>
      </c>
      <c r="I1315" s="1009"/>
    </row>
    <row r="1316">
      <c r="B1316" s="1046"/>
      <c r="C1316" s="1004"/>
      <c r="D1316" s="1005"/>
      <c r="E1316" s="736"/>
      <c r="F1316" s="736" t="s">
        <v>71</v>
      </c>
      <c r="G1316" s="736"/>
      <c r="H1316" t="s">
        <v>71</v>
      </c>
      <c r="I1316" s="1009"/>
    </row>
    <row r="1317">
      <c r="B1317" s="1046"/>
      <c r="C1317" s="1004"/>
      <c r="D1317" s="1005"/>
      <c r="E1317" s="736"/>
      <c r="F1317" s="736" t="s">
        <v>71</v>
      </c>
      <c r="G1317" s="736"/>
      <c r="H1317" t="s">
        <v>71</v>
      </c>
      <c r="I1317" s="1009"/>
    </row>
    <row r="1318">
      <c r="B1318" s="1046"/>
      <c r="C1318" s="1004"/>
      <c r="D1318" s="1005"/>
      <c r="E1318" s="736"/>
      <c r="F1318" s="736" t="s">
        <v>71</v>
      </c>
      <c r="G1318" s="736"/>
      <c r="H1318" t="s">
        <v>71</v>
      </c>
      <c r="I1318" s="1009"/>
    </row>
    <row r="1319">
      <c r="B1319" s="1046"/>
      <c r="C1319" s="1004"/>
      <c r="D1319" s="1005"/>
      <c r="E1319" s="736"/>
      <c r="F1319" s="736" t="s">
        <v>71</v>
      </c>
      <c r="G1319" s="736"/>
      <c r="H1319" t="s">
        <v>71</v>
      </c>
      <c r="I1319" s="1009"/>
    </row>
    <row r="1320">
      <c r="B1320" s="1046"/>
      <c r="C1320" s="1004"/>
      <c r="D1320" s="1005"/>
      <c r="E1320" s="736"/>
      <c r="F1320" s="736" t="s">
        <v>71</v>
      </c>
      <c r="G1320" s="736"/>
      <c r="H1320" t="s">
        <v>71</v>
      </c>
      <c r="I1320" s="1009"/>
    </row>
    <row r="1321">
      <c r="B1321" s="1046"/>
      <c r="C1321" s="1004"/>
      <c r="D1321" s="1005"/>
      <c r="E1321" s="736"/>
      <c r="F1321" s="736" t="s">
        <v>71</v>
      </c>
      <c r="G1321" s="736"/>
      <c r="H1321" t="s">
        <v>71</v>
      </c>
      <c r="I1321" s="1009"/>
    </row>
    <row r="1322">
      <c r="B1322" s="1046"/>
      <c r="C1322" s="1004"/>
      <c r="D1322" s="1005"/>
      <c r="E1322" s="736"/>
      <c r="F1322" s="736" t="s">
        <v>71</v>
      </c>
      <c r="G1322" s="736"/>
      <c r="H1322" t="s">
        <v>71</v>
      </c>
      <c r="I1322" s="1009"/>
    </row>
    <row r="1323">
      <c r="B1323" s="1046"/>
      <c r="C1323" s="1004"/>
      <c r="D1323" s="1005"/>
      <c r="E1323" s="736"/>
      <c r="F1323" s="736" t="s">
        <v>71</v>
      </c>
      <c r="G1323" s="736"/>
      <c r="H1323" t="s">
        <v>71</v>
      </c>
      <c r="I1323" s="1009"/>
    </row>
    <row r="1324">
      <c r="B1324" s="1046"/>
      <c r="C1324" s="1004"/>
      <c r="D1324" s="1005"/>
      <c r="E1324" s="736"/>
      <c r="F1324" s="736" t="s">
        <v>71</v>
      </c>
      <c r="G1324" s="736"/>
      <c r="H1324" t="s">
        <v>71</v>
      </c>
      <c r="I1324" s="1009"/>
    </row>
    <row r="1325">
      <c r="B1325" s="1046"/>
      <c r="C1325" s="1004"/>
      <c r="D1325" s="1005"/>
      <c r="E1325" s="736"/>
      <c r="F1325" s="736" t="s">
        <v>71</v>
      </c>
      <c r="G1325" s="736"/>
      <c r="H1325" t="s">
        <v>71</v>
      </c>
      <c r="I1325" s="1009"/>
    </row>
    <row r="1326">
      <c r="B1326" s="1046"/>
      <c r="C1326" s="1004"/>
      <c r="D1326" s="1005"/>
      <c r="E1326" s="736"/>
      <c r="F1326" s="736" t="s">
        <v>71</v>
      </c>
      <c r="G1326" s="736"/>
      <c r="H1326" t="s">
        <v>71</v>
      </c>
      <c r="I1326" s="1009"/>
    </row>
    <row r="1327">
      <c r="B1327" s="1046"/>
      <c r="C1327" s="1004"/>
      <c r="D1327" s="1005"/>
      <c r="E1327" s="736"/>
      <c r="F1327" s="736" t="s">
        <v>71</v>
      </c>
      <c r="G1327" s="736"/>
      <c r="H1327" t="s">
        <v>71</v>
      </c>
      <c r="I1327" s="1009"/>
    </row>
    <row r="1328">
      <c r="B1328" s="1046"/>
      <c r="C1328" s="1004"/>
      <c r="D1328" s="1005"/>
      <c r="E1328" s="736"/>
      <c r="F1328" s="736" t="s">
        <v>71</v>
      </c>
      <c r="G1328" s="736"/>
      <c r="H1328" t="s">
        <v>71</v>
      </c>
      <c r="I1328" s="1009"/>
    </row>
    <row r="1329">
      <c r="B1329" s="1046"/>
      <c r="C1329" s="1004"/>
      <c r="D1329" s="1005"/>
      <c r="E1329" s="736"/>
      <c r="F1329" s="736" t="s">
        <v>71</v>
      </c>
      <c r="G1329" s="736"/>
      <c r="H1329" t="s">
        <v>71</v>
      </c>
      <c r="I1329" s="1009"/>
    </row>
    <row r="1330">
      <c r="B1330" s="1046"/>
      <c r="C1330" s="1004"/>
      <c r="D1330" s="1005"/>
      <c r="E1330" s="736"/>
      <c r="F1330" s="736" t="s">
        <v>71</v>
      </c>
      <c r="G1330" s="736"/>
      <c r="H1330" t="s">
        <v>71</v>
      </c>
      <c r="I1330" s="1009"/>
    </row>
    <row r="1331">
      <c r="B1331" s="1046"/>
      <c r="C1331" s="1004"/>
      <c r="D1331" s="1005"/>
      <c r="E1331" s="736"/>
      <c r="F1331" s="736" t="s">
        <v>71</v>
      </c>
      <c r="G1331" s="736"/>
      <c r="H1331" t="s">
        <v>71</v>
      </c>
      <c r="I1331" s="1009"/>
    </row>
    <row r="1332">
      <c r="B1332" s="1046"/>
      <c r="C1332" s="1004"/>
      <c r="D1332" s="1005"/>
      <c r="E1332" s="736"/>
      <c r="F1332" s="736" t="s">
        <v>71</v>
      </c>
      <c r="G1332" s="736"/>
      <c r="H1332" t="s">
        <v>71</v>
      </c>
      <c r="I1332" s="1009"/>
    </row>
    <row r="1333">
      <c r="B1333" s="1046"/>
      <c r="C1333" s="1004"/>
      <c r="D1333" s="1005"/>
      <c r="E1333" s="736"/>
      <c r="F1333" s="736" t="s">
        <v>71</v>
      </c>
      <c r="G1333" s="736"/>
      <c r="H1333" t="s">
        <v>71</v>
      </c>
      <c r="I1333" s="1009"/>
    </row>
    <row r="1334">
      <c r="B1334" s="1046"/>
      <c r="C1334" s="1004"/>
      <c r="D1334" s="1005"/>
      <c r="E1334" s="736"/>
      <c r="F1334" s="736" t="s">
        <v>71</v>
      </c>
      <c r="G1334" s="736"/>
      <c r="H1334" t="s">
        <v>71</v>
      </c>
      <c r="I1334" s="1009"/>
    </row>
    <row r="1335">
      <c r="B1335" s="1046"/>
      <c r="C1335" s="1004"/>
      <c r="D1335" s="1005"/>
      <c r="E1335" s="736"/>
      <c r="F1335" s="736" t="s">
        <v>71</v>
      </c>
      <c r="G1335" s="736"/>
      <c r="H1335" t="s">
        <v>71</v>
      </c>
      <c r="I1335" s="1009"/>
    </row>
    <row r="1336">
      <c r="B1336" s="1046"/>
      <c r="C1336" s="1004"/>
      <c r="D1336" s="1005"/>
      <c r="E1336" s="736"/>
      <c r="F1336" s="736" t="s">
        <v>71</v>
      </c>
      <c r="G1336" s="736"/>
      <c r="H1336" t="s">
        <v>71</v>
      </c>
      <c r="I1336" s="1009"/>
    </row>
    <row r="1337">
      <c r="B1337" s="1046"/>
      <c r="C1337" s="1004"/>
      <c r="D1337" s="1005"/>
      <c r="E1337" s="736"/>
      <c r="F1337" s="736" t="s">
        <v>71</v>
      </c>
      <c r="G1337" s="736"/>
      <c r="H1337" t="s">
        <v>71</v>
      </c>
      <c r="I1337" s="1009"/>
    </row>
    <row r="1338">
      <c r="B1338" s="1046"/>
      <c r="C1338" s="1004"/>
      <c r="D1338" s="1005"/>
      <c r="E1338" s="736"/>
      <c r="F1338" s="736" t="s">
        <v>71</v>
      </c>
      <c r="G1338" s="736"/>
      <c r="H1338" t="s">
        <v>71</v>
      </c>
      <c r="I1338" s="1009"/>
    </row>
    <row r="1339">
      <c r="B1339" s="1046"/>
      <c r="C1339" s="1004"/>
      <c r="D1339" s="1005"/>
      <c r="E1339" s="736"/>
      <c r="F1339" s="736" t="s">
        <v>71</v>
      </c>
      <c r="G1339" s="736"/>
      <c r="H1339" t="s">
        <v>71</v>
      </c>
      <c r="I1339" s="1009"/>
    </row>
    <row r="1340">
      <c r="B1340" s="1046"/>
      <c r="C1340" s="1004"/>
      <c r="D1340" s="1005"/>
      <c r="E1340" s="736"/>
      <c r="F1340" s="736" t="s">
        <v>71</v>
      </c>
      <c r="G1340" s="736"/>
      <c r="H1340" t="s">
        <v>71</v>
      </c>
      <c r="I1340" s="1009"/>
    </row>
    <row r="1341">
      <c r="B1341" s="1046"/>
      <c r="C1341" s="1004"/>
      <c r="D1341" s="1005"/>
      <c r="E1341" s="736"/>
      <c r="F1341" s="736" t="s">
        <v>71</v>
      </c>
      <c r="G1341" s="736"/>
      <c r="H1341" t="s">
        <v>71</v>
      </c>
      <c r="I1341" s="1009"/>
    </row>
    <row r="1342">
      <c r="B1342" s="1046"/>
      <c r="C1342" s="1004"/>
      <c r="D1342" s="1005"/>
      <c r="E1342" s="736"/>
      <c r="F1342" s="736" t="s">
        <v>71</v>
      </c>
      <c r="G1342" s="736"/>
      <c r="H1342" t="s">
        <v>71</v>
      </c>
      <c r="I1342" s="1009"/>
    </row>
    <row r="1343">
      <c r="B1343" s="1046"/>
      <c r="C1343" s="1004"/>
      <c r="D1343" s="1005"/>
      <c r="E1343" s="736"/>
      <c r="F1343" s="736" t="s">
        <v>71</v>
      </c>
      <c r="G1343" s="736"/>
      <c r="H1343" t="s">
        <v>71</v>
      </c>
      <c r="I1343" s="1009"/>
    </row>
    <row r="1344">
      <c r="B1344" s="1046"/>
      <c r="C1344" s="1004"/>
      <c r="D1344" s="1005"/>
      <c r="E1344" s="736"/>
      <c r="F1344" s="736" t="s">
        <v>71</v>
      </c>
      <c r="G1344" s="736"/>
      <c r="H1344" t="s">
        <v>71</v>
      </c>
      <c r="I1344" s="1009"/>
    </row>
    <row r="1345">
      <c r="B1345" s="1046"/>
      <c r="C1345" s="1004"/>
      <c r="D1345" s="1005"/>
      <c r="E1345" s="736"/>
      <c r="F1345" s="736" t="s">
        <v>71</v>
      </c>
      <c r="G1345" s="736"/>
      <c r="H1345" t="s">
        <v>71</v>
      </c>
      <c r="I1345" s="1009"/>
    </row>
    <row r="1346">
      <c r="B1346" s="1046"/>
      <c r="C1346" s="1004"/>
      <c r="D1346" s="1005"/>
      <c r="E1346" s="736"/>
      <c r="F1346" s="736" t="s">
        <v>71</v>
      </c>
      <c r="G1346" s="736"/>
      <c r="H1346" t="s">
        <v>71</v>
      </c>
      <c r="I1346" s="1009"/>
    </row>
    <row r="1347">
      <c r="B1347" s="1046"/>
      <c r="C1347" s="1004"/>
      <c r="D1347" s="1005"/>
      <c r="E1347" s="736"/>
      <c r="F1347" s="736" t="s">
        <v>71</v>
      </c>
      <c r="G1347" s="736"/>
      <c r="H1347" t="s">
        <v>71</v>
      </c>
      <c r="I1347" s="1009"/>
    </row>
    <row r="1348">
      <c r="B1348" s="1046"/>
      <c r="C1348" s="1004"/>
      <c r="D1348" s="1005"/>
      <c r="E1348" s="736"/>
      <c r="F1348" s="736" t="s">
        <v>71</v>
      </c>
      <c r="G1348" s="736"/>
      <c r="H1348" t="s">
        <v>71</v>
      </c>
      <c r="I1348" s="1009"/>
    </row>
    <row r="1349">
      <c r="B1349" s="1046"/>
      <c r="C1349" s="1004"/>
      <c r="D1349" s="1005"/>
      <c r="E1349" s="736"/>
      <c r="F1349" s="736" t="s">
        <v>71</v>
      </c>
      <c r="G1349" s="736"/>
      <c r="H1349" t="s">
        <v>71</v>
      </c>
      <c r="I1349" s="1009"/>
    </row>
    <row r="1350">
      <c r="B1350" s="1046"/>
      <c r="C1350" s="1004"/>
      <c r="D1350" s="1005"/>
      <c r="E1350" s="736"/>
      <c r="F1350" s="736" t="s">
        <v>71</v>
      </c>
      <c r="G1350" s="736"/>
      <c r="H1350" t="s">
        <v>71</v>
      </c>
      <c r="I1350" s="1009"/>
    </row>
    <row r="1351">
      <c r="B1351" s="1046"/>
      <c r="C1351" s="1004"/>
      <c r="D1351" s="1005"/>
      <c r="E1351" s="736"/>
      <c r="F1351" s="736" t="s">
        <v>71</v>
      </c>
      <c r="G1351" s="736"/>
      <c r="H1351" t="s">
        <v>71</v>
      </c>
      <c r="I1351" s="1009"/>
    </row>
    <row r="1352">
      <c r="B1352" s="1046"/>
      <c r="C1352" s="1004"/>
      <c r="D1352" s="1005"/>
      <c r="E1352" s="736"/>
      <c r="F1352" s="736" t="s">
        <v>71</v>
      </c>
      <c r="G1352" s="736"/>
      <c r="H1352" t="s">
        <v>71</v>
      </c>
      <c r="I1352" s="1009"/>
    </row>
    <row r="1353">
      <c r="B1353" s="1046"/>
      <c r="C1353" s="1004"/>
      <c r="D1353" s="1005"/>
      <c r="E1353" s="736"/>
      <c r="F1353" s="736" t="s">
        <v>71</v>
      </c>
      <c r="G1353" s="736"/>
      <c r="H1353" t="s">
        <v>71</v>
      </c>
      <c r="I1353" s="1009"/>
    </row>
    <row r="1354">
      <c r="B1354" s="1046"/>
      <c r="C1354" s="1004"/>
      <c r="D1354" s="1005"/>
      <c r="E1354" s="736"/>
      <c r="F1354" s="736" t="s">
        <v>71</v>
      </c>
      <c r="G1354" s="736"/>
      <c r="H1354" t="s">
        <v>71</v>
      </c>
      <c r="I1354" s="1009"/>
    </row>
    <row r="1355">
      <c r="B1355" s="1046"/>
      <c r="C1355" s="1004"/>
      <c r="D1355" s="1005"/>
      <c r="E1355" s="736"/>
      <c r="F1355" s="736" t="s">
        <v>71</v>
      </c>
      <c r="G1355" s="736"/>
      <c r="H1355" t="s">
        <v>71</v>
      </c>
      <c r="I1355" s="1009"/>
    </row>
    <row r="1356">
      <c r="B1356" s="1046"/>
      <c r="C1356" s="1004"/>
      <c r="D1356" s="1005"/>
      <c r="E1356" s="736"/>
      <c r="F1356" s="736" t="s">
        <v>71</v>
      </c>
      <c r="G1356" s="736"/>
      <c r="H1356" t="s">
        <v>71</v>
      </c>
      <c r="I1356" s="1009"/>
    </row>
    <row r="1357">
      <c r="B1357" s="1046"/>
      <c r="C1357" s="1004"/>
      <c r="D1357" s="1005"/>
      <c r="E1357" s="736"/>
      <c r="F1357" s="736" t="s">
        <v>71</v>
      </c>
      <c r="G1357" s="736"/>
      <c r="H1357" t="s">
        <v>71</v>
      </c>
      <c r="I1357" s="1009"/>
    </row>
    <row r="1358">
      <c r="B1358" s="1046"/>
      <c r="C1358" s="1004"/>
      <c r="D1358" s="1005"/>
      <c r="E1358" s="736"/>
      <c r="F1358" s="736" t="s">
        <v>71</v>
      </c>
      <c r="G1358" s="736"/>
      <c r="H1358" t="s">
        <v>71</v>
      </c>
      <c r="I1358" s="1009"/>
    </row>
    <row r="1359">
      <c r="B1359" s="1046"/>
      <c r="C1359" s="1004"/>
      <c r="D1359" s="1005"/>
      <c r="E1359" s="736"/>
      <c r="F1359" s="736" t="s">
        <v>71</v>
      </c>
      <c r="G1359" s="736"/>
      <c r="H1359" t="s">
        <v>71</v>
      </c>
      <c r="I1359" s="1009"/>
    </row>
    <row r="1360">
      <c r="B1360" s="1046"/>
      <c r="C1360" s="1004"/>
      <c r="D1360" s="1005"/>
      <c r="E1360" s="736"/>
      <c r="F1360" s="736" t="s">
        <v>71</v>
      </c>
      <c r="G1360" s="736"/>
      <c r="H1360" t="s">
        <v>71</v>
      </c>
      <c r="I1360" s="1009"/>
    </row>
    <row r="1361">
      <c r="B1361" s="1046"/>
      <c r="C1361" s="1004"/>
      <c r="D1361" s="1005"/>
      <c r="E1361" s="736"/>
      <c r="F1361" s="736" t="s">
        <v>71</v>
      </c>
      <c r="G1361" s="736"/>
      <c r="H1361" t="s">
        <v>71</v>
      </c>
      <c r="I1361" s="1009"/>
    </row>
    <row r="1362">
      <c r="B1362" s="1046"/>
      <c r="C1362" s="1004"/>
      <c r="D1362" s="1005"/>
      <c r="E1362" s="736"/>
      <c r="F1362" s="736" t="s">
        <v>71</v>
      </c>
      <c r="G1362" s="736"/>
      <c r="H1362" t="s">
        <v>71</v>
      </c>
      <c r="I1362" s="1009"/>
    </row>
    <row r="1363">
      <c r="B1363" s="1046"/>
      <c r="C1363" s="1004"/>
      <c r="D1363" s="1005"/>
      <c r="E1363" s="736"/>
      <c r="F1363" s="736" t="s">
        <v>71</v>
      </c>
      <c r="G1363" s="736"/>
      <c r="H1363" t="s">
        <v>71</v>
      </c>
      <c r="I1363" s="1009"/>
    </row>
    <row r="1364">
      <c r="B1364" s="1046"/>
      <c r="C1364" s="1004"/>
      <c r="D1364" s="1005"/>
      <c r="E1364" s="736"/>
      <c r="F1364" s="736" t="s">
        <v>71</v>
      </c>
      <c r="G1364" s="736"/>
      <c r="H1364" t="s">
        <v>71</v>
      </c>
      <c r="I1364" s="1009"/>
    </row>
    <row r="1365">
      <c r="B1365" s="1046"/>
      <c r="C1365" s="1004"/>
      <c r="D1365" s="1005"/>
      <c r="E1365" s="736"/>
      <c r="F1365" s="736" t="s">
        <v>71</v>
      </c>
      <c r="G1365" s="736"/>
      <c r="H1365" t="s">
        <v>71</v>
      </c>
      <c r="I1365" s="1009"/>
    </row>
    <row r="1366">
      <c r="B1366" s="1046"/>
      <c r="C1366" s="1004"/>
      <c r="D1366" s="1005"/>
      <c r="E1366" s="736"/>
      <c r="F1366" s="736" t="s">
        <v>71</v>
      </c>
      <c r="G1366" s="736"/>
      <c r="H1366" t="s">
        <v>71</v>
      </c>
      <c r="I1366" s="1009"/>
    </row>
    <row r="1367">
      <c r="B1367" s="1046"/>
      <c r="C1367" s="1004"/>
      <c r="D1367" s="1005"/>
      <c r="E1367" s="736"/>
      <c r="F1367" s="736" t="s">
        <v>71</v>
      </c>
      <c r="G1367" s="736"/>
      <c r="H1367" t="s">
        <v>71</v>
      </c>
      <c r="I1367" s="1009"/>
    </row>
    <row r="1368">
      <c r="B1368" s="1046"/>
      <c r="C1368" s="1004"/>
      <c r="D1368" s="1005"/>
      <c r="E1368" s="736"/>
      <c r="F1368" s="736" t="s">
        <v>71</v>
      </c>
      <c r="G1368" s="736"/>
      <c r="H1368" t="s">
        <v>71</v>
      </c>
      <c r="I1368" s="1009"/>
    </row>
    <row r="1369">
      <c r="B1369" s="1046"/>
      <c r="C1369" s="1004"/>
      <c r="D1369" s="1005"/>
      <c r="E1369" s="736"/>
      <c r="F1369" s="736" t="s">
        <v>71</v>
      </c>
      <c r="G1369" s="736"/>
      <c r="H1369" t="s">
        <v>71</v>
      </c>
      <c r="I1369" s="1009"/>
    </row>
    <row r="1370">
      <c r="B1370" s="1046"/>
      <c r="C1370" s="1004"/>
      <c r="D1370" s="1005"/>
      <c r="E1370" s="736"/>
      <c r="F1370" s="736" t="s">
        <v>71</v>
      </c>
      <c r="G1370" s="736"/>
      <c r="H1370" t="s">
        <v>71</v>
      </c>
      <c r="I1370" s="1009"/>
    </row>
    <row r="1371">
      <c r="B1371" s="1046"/>
      <c r="C1371" s="1004"/>
      <c r="D1371" s="1005"/>
      <c r="E1371" s="736"/>
      <c r="F1371" s="736" t="s">
        <v>71</v>
      </c>
      <c r="G1371" s="736"/>
      <c r="H1371" t="s">
        <v>71</v>
      </c>
      <c r="I1371" s="1009"/>
    </row>
    <row r="1372">
      <c r="B1372" s="1046"/>
      <c r="C1372" s="1004"/>
      <c r="D1372" s="1005"/>
      <c r="E1372" s="736"/>
      <c r="F1372" s="736" t="s">
        <v>71</v>
      </c>
      <c r="G1372" s="736"/>
      <c r="H1372" t="s">
        <v>71</v>
      </c>
      <c r="I1372" s="1009"/>
    </row>
    <row r="1373">
      <c r="B1373" s="1046"/>
      <c r="C1373" s="1004"/>
      <c r="D1373" s="1005"/>
      <c r="E1373" s="736"/>
      <c r="F1373" s="736" t="s">
        <v>71</v>
      </c>
      <c r="G1373" s="736"/>
      <c r="H1373" t="s">
        <v>71</v>
      </c>
      <c r="I1373" s="1009"/>
    </row>
    <row r="1374">
      <c r="B1374" s="1046"/>
      <c r="C1374" s="1004"/>
      <c r="D1374" s="1005"/>
      <c r="E1374" s="736"/>
      <c r="F1374" s="736" t="s">
        <v>71</v>
      </c>
      <c r="G1374" s="736"/>
      <c r="H1374" t="s">
        <v>71</v>
      </c>
      <c r="I1374" s="1009"/>
    </row>
    <row r="1375">
      <c r="B1375" s="1046"/>
      <c r="C1375" s="1004"/>
      <c r="D1375" s="1005"/>
      <c r="E1375" s="736"/>
      <c r="F1375" s="736" t="s">
        <v>71</v>
      </c>
      <c r="G1375" s="736"/>
      <c r="H1375" t="s">
        <v>71</v>
      </c>
      <c r="I1375" s="1009"/>
    </row>
    <row r="1376">
      <c r="B1376" s="1046"/>
      <c r="C1376" s="1004"/>
      <c r="D1376" s="1005"/>
      <c r="E1376" s="736"/>
      <c r="F1376" s="736" t="s">
        <v>71</v>
      </c>
      <c r="G1376" s="736"/>
      <c r="H1376" t="s">
        <v>71</v>
      </c>
      <c r="I1376" s="1009"/>
    </row>
    <row r="1377">
      <c r="B1377" s="1046"/>
      <c r="C1377" s="1004"/>
      <c r="D1377" s="1005"/>
      <c r="E1377" s="736"/>
      <c r="F1377" s="736" t="s">
        <v>71</v>
      </c>
      <c r="G1377" s="736"/>
      <c r="H1377" t="s">
        <v>71</v>
      </c>
      <c r="I1377" s="1009"/>
    </row>
    <row r="1378">
      <c r="B1378" s="1046"/>
      <c r="C1378" s="1004"/>
      <c r="D1378" s="1005"/>
      <c r="E1378" s="736"/>
      <c r="F1378" s="736" t="s">
        <v>71</v>
      </c>
      <c r="G1378" s="736"/>
      <c r="H1378" t="s">
        <v>71</v>
      </c>
      <c r="I1378" s="1009"/>
    </row>
    <row r="1379">
      <c r="B1379" s="1046"/>
      <c r="C1379" s="1004"/>
      <c r="D1379" s="1005"/>
      <c r="E1379" s="736"/>
      <c r="F1379" s="736" t="s">
        <v>71</v>
      </c>
      <c r="G1379" s="736"/>
      <c r="H1379" t="s">
        <v>71</v>
      </c>
      <c r="I1379" s="1009"/>
    </row>
    <row r="1380">
      <c r="B1380" s="1046"/>
      <c r="C1380" s="1004"/>
      <c r="D1380" s="1005"/>
      <c r="E1380" s="736"/>
      <c r="F1380" s="736" t="s">
        <v>71</v>
      </c>
      <c r="G1380" s="736"/>
      <c r="H1380" t="s">
        <v>71</v>
      </c>
      <c r="I1380" s="1009"/>
    </row>
    <row r="1381">
      <c r="B1381" s="1046"/>
      <c r="C1381" s="1004"/>
      <c r="D1381" s="1005"/>
      <c r="E1381" s="736"/>
      <c r="F1381" s="736" t="s">
        <v>71</v>
      </c>
      <c r="G1381" s="736"/>
      <c r="H1381" t="s">
        <v>71</v>
      </c>
      <c r="I1381" s="1009"/>
    </row>
    <row r="1382">
      <c r="B1382" s="1046"/>
      <c r="C1382" s="1004"/>
      <c r="D1382" s="1005"/>
      <c r="E1382" s="736"/>
      <c r="F1382" s="736" t="s">
        <v>71</v>
      </c>
      <c r="G1382" s="736"/>
      <c r="H1382" t="s">
        <v>71</v>
      </c>
      <c r="I1382" s="1009"/>
    </row>
    <row r="1383">
      <c r="B1383" s="1046"/>
      <c r="C1383" s="1004"/>
      <c r="D1383" s="1005"/>
      <c r="E1383" s="736"/>
      <c r="F1383" s="736" t="s">
        <v>71</v>
      </c>
      <c r="G1383" s="736"/>
      <c r="H1383" t="s">
        <v>71</v>
      </c>
      <c r="I1383" s="1009"/>
    </row>
    <row r="1384">
      <c r="B1384" s="1046"/>
      <c r="C1384" s="1004"/>
      <c r="D1384" s="1005"/>
      <c r="E1384" s="736"/>
      <c r="F1384" s="736" t="s">
        <v>71</v>
      </c>
      <c r="G1384" s="736"/>
      <c r="H1384" t="s">
        <v>71</v>
      </c>
      <c r="I1384" s="1009"/>
    </row>
    <row r="1385">
      <c r="B1385" s="1046"/>
      <c r="C1385" s="1004"/>
      <c r="D1385" s="1005"/>
      <c r="E1385" s="736"/>
      <c r="F1385" s="736" t="s">
        <v>71</v>
      </c>
      <c r="G1385" s="736"/>
      <c r="H1385" t="s">
        <v>71</v>
      </c>
      <c r="I1385" s="1009"/>
    </row>
    <row r="1386">
      <c r="B1386" s="1046"/>
      <c r="C1386" s="1004"/>
      <c r="D1386" s="1005"/>
      <c r="E1386" s="736"/>
      <c r="F1386" s="736" t="s">
        <v>71</v>
      </c>
      <c r="G1386" s="736"/>
      <c r="H1386" t="s">
        <v>71</v>
      </c>
      <c r="I1386" s="1009"/>
    </row>
    <row r="1387">
      <c r="B1387" s="1046"/>
      <c r="C1387" s="1004"/>
      <c r="D1387" s="1005"/>
      <c r="E1387" s="736"/>
      <c r="F1387" s="736" t="s">
        <v>71</v>
      </c>
      <c r="G1387" s="736"/>
      <c r="H1387" t="s">
        <v>71</v>
      </c>
      <c r="I1387" s="1009"/>
    </row>
    <row r="1388">
      <c r="B1388" s="1046"/>
      <c r="C1388" s="1004"/>
      <c r="D1388" s="1005"/>
      <c r="E1388" s="736"/>
      <c r="F1388" s="736" t="s">
        <v>71</v>
      </c>
      <c r="G1388" s="736"/>
      <c r="H1388" t="s">
        <v>71</v>
      </c>
      <c r="I1388" s="1009"/>
    </row>
    <row r="1389">
      <c r="B1389" s="1046"/>
      <c r="C1389" s="1004"/>
      <c r="D1389" s="1005"/>
      <c r="E1389" s="736"/>
      <c r="F1389" s="736" t="s">
        <v>71</v>
      </c>
      <c r="G1389" s="736"/>
      <c r="H1389" t="s">
        <v>71</v>
      </c>
      <c r="I1389" s="1009"/>
    </row>
    <row r="1390">
      <c r="B1390" s="1046"/>
      <c r="C1390" s="1004"/>
      <c r="D1390" s="1005"/>
      <c r="E1390" s="736"/>
      <c r="F1390" s="736" t="s">
        <v>71</v>
      </c>
      <c r="G1390" s="736"/>
      <c r="H1390" t="s">
        <v>71</v>
      </c>
      <c r="I1390" s="1009"/>
    </row>
    <row r="1391">
      <c r="B1391" s="1046"/>
      <c r="C1391" s="1004"/>
      <c r="D1391" s="1005"/>
      <c r="E1391" s="736"/>
      <c r="F1391" s="736" t="s">
        <v>71</v>
      </c>
      <c r="G1391" s="736"/>
      <c r="H1391" t="s">
        <v>71</v>
      </c>
      <c r="I1391" s="1009"/>
    </row>
    <row r="1392">
      <c r="B1392" s="1046"/>
      <c r="C1392" s="1004"/>
      <c r="D1392" s="1005"/>
      <c r="E1392" s="736"/>
      <c r="F1392" s="736" t="s">
        <v>71</v>
      </c>
      <c r="G1392" s="736"/>
      <c r="H1392" t="s">
        <v>71</v>
      </c>
      <c r="I1392" s="1009"/>
    </row>
    <row r="1393">
      <c r="B1393" s="1046"/>
      <c r="C1393" s="1004"/>
      <c r="D1393" s="1005"/>
      <c r="E1393" s="736"/>
      <c r="F1393" s="736" t="s">
        <v>71</v>
      </c>
      <c r="G1393" s="736"/>
      <c r="H1393" t="s">
        <v>71</v>
      </c>
      <c r="I1393" s="1009"/>
    </row>
    <row r="1394">
      <c r="B1394" s="1046"/>
      <c r="C1394" s="1004"/>
      <c r="D1394" s="1005"/>
      <c r="E1394" s="736"/>
      <c r="F1394" s="736" t="s">
        <v>71</v>
      </c>
      <c r="G1394" s="736"/>
      <c r="H1394" t="s">
        <v>71</v>
      </c>
      <c r="I1394" s="1009"/>
    </row>
    <row r="1395">
      <c r="B1395" s="1046"/>
      <c r="C1395" s="1004"/>
      <c r="D1395" s="1005"/>
      <c r="E1395" s="736"/>
      <c r="F1395" s="736" t="s">
        <v>71</v>
      </c>
      <c r="G1395" s="736"/>
      <c r="H1395" t="s">
        <v>71</v>
      </c>
      <c r="I1395" s="1009"/>
    </row>
    <row r="1396">
      <c r="B1396" s="1046"/>
      <c r="C1396" s="1004"/>
      <c r="D1396" s="1005"/>
      <c r="E1396" s="736"/>
      <c r="F1396" s="736" t="s">
        <v>71</v>
      </c>
      <c r="G1396" s="736"/>
      <c r="H1396" t="s">
        <v>71</v>
      </c>
      <c r="I1396" s="1009"/>
    </row>
    <row r="1397">
      <c r="B1397" s="1046"/>
      <c r="C1397" s="1004"/>
      <c r="D1397" s="1005"/>
      <c r="E1397" s="736"/>
      <c r="F1397" s="736" t="s">
        <v>71</v>
      </c>
      <c r="G1397" s="736"/>
      <c r="H1397" t="s">
        <v>71</v>
      </c>
      <c r="I1397" s="1009"/>
    </row>
    <row r="1398">
      <c r="B1398" s="1046"/>
      <c r="C1398" s="1004"/>
      <c r="D1398" s="1005"/>
      <c r="E1398" s="736"/>
      <c r="F1398" s="736" t="s">
        <v>71</v>
      </c>
      <c r="G1398" s="736"/>
      <c r="H1398" t="s">
        <v>71</v>
      </c>
      <c r="I1398" s="1009"/>
    </row>
    <row r="1399">
      <c r="B1399" s="1046"/>
      <c r="C1399" s="1004"/>
      <c r="D1399" s="1005"/>
      <c r="E1399" s="736"/>
      <c r="F1399" s="736" t="s">
        <v>71</v>
      </c>
      <c r="G1399" s="736"/>
      <c r="H1399" t="s">
        <v>71</v>
      </c>
      <c r="I1399" s="1009"/>
    </row>
    <row r="1400">
      <c r="B1400" s="1046"/>
      <c r="C1400" s="1004"/>
      <c r="D1400" s="1005"/>
      <c r="E1400" s="736"/>
      <c r="F1400" s="736" t="s">
        <v>71</v>
      </c>
      <c r="G1400" s="736"/>
      <c r="H1400" t="s">
        <v>71</v>
      </c>
      <c r="I1400" s="1009"/>
    </row>
    <row r="1401">
      <c r="B1401" s="1046"/>
      <c r="C1401" s="1004"/>
      <c r="D1401" s="1005"/>
      <c r="E1401" s="736"/>
      <c r="F1401" s="736" t="s">
        <v>71</v>
      </c>
      <c r="G1401" s="736"/>
      <c r="H1401" t="s">
        <v>71</v>
      </c>
      <c r="I1401" s="1009"/>
    </row>
    <row r="1402">
      <c r="B1402" s="1046"/>
      <c r="C1402" s="1004"/>
      <c r="D1402" s="1005"/>
      <c r="E1402" s="736"/>
      <c r="F1402" s="736" t="s">
        <v>71</v>
      </c>
      <c r="G1402" s="736"/>
      <c r="H1402" t="s">
        <v>71</v>
      </c>
      <c r="I1402" s="1009"/>
    </row>
    <row r="1403">
      <c r="B1403" s="1046"/>
      <c r="C1403" s="1004"/>
      <c r="D1403" s="1005"/>
      <c r="E1403" s="736"/>
      <c r="F1403" s="736" t="s">
        <v>71</v>
      </c>
      <c r="G1403" s="736"/>
      <c r="H1403" t="s">
        <v>71</v>
      </c>
      <c r="I1403" s="1009"/>
    </row>
    <row r="1404">
      <c r="B1404" s="1046"/>
      <c r="C1404" s="1004"/>
      <c r="D1404" s="1005"/>
      <c r="E1404" s="736"/>
      <c r="F1404" s="736" t="s">
        <v>71</v>
      </c>
      <c r="G1404" s="736"/>
      <c r="H1404" t="s">
        <v>71</v>
      </c>
      <c r="I1404" s="1009"/>
    </row>
    <row r="1405">
      <c r="B1405" s="1046"/>
      <c r="C1405" s="1004"/>
      <c r="D1405" s="1005"/>
      <c r="E1405" s="736"/>
      <c r="F1405" s="736" t="s">
        <v>71</v>
      </c>
      <c r="G1405" s="736"/>
      <c r="H1405" t="s">
        <v>71</v>
      </c>
      <c r="I1405" s="1009"/>
    </row>
    <row r="1406">
      <c r="B1406" s="1046"/>
      <c r="C1406" s="1004"/>
      <c r="D1406" s="1005"/>
      <c r="E1406" s="736"/>
      <c r="F1406" s="736" t="s">
        <v>71</v>
      </c>
      <c r="G1406" s="736"/>
      <c r="H1406" t="s">
        <v>71</v>
      </c>
      <c r="I1406" s="1009"/>
    </row>
    <row r="1407">
      <c r="B1407" s="1046"/>
      <c r="C1407" s="1004"/>
      <c r="D1407" s="1005"/>
      <c r="E1407" s="736"/>
      <c r="F1407" s="736" t="s">
        <v>71</v>
      </c>
      <c r="G1407" s="736"/>
      <c r="H1407" t="s">
        <v>71</v>
      </c>
      <c r="I1407" s="1009"/>
    </row>
    <row r="1408">
      <c r="B1408" s="1046"/>
      <c r="C1408" s="1004"/>
      <c r="D1408" s="1005"/>
      <c r="E1408" s="736"/>
      <c r="F1408" s="736" t="s">
        <v>71</v>
      </c>
      <c r="G1408" s="736"/>
      <c r="H1408" t="s">
        <v>71</v>
      </c>
      <c r="I1408" s="1009"/>
    </row>
    <row r="1409">
      <c r="B1409" s="1046"/>
      <c r="C1409" s="1004"/>
      <c r="D1409" s="1005"/>
      <c r="E1409" s="736"/>
      <c r="F1409" s="736" t="s">
        <v>71</v>
      </c>
      <c r="G1409" s="736"/>
      <c r="H1409" t="s">
        <v>71</v>
      </c>
      <c r="I1409" s="1009"/>
    </row>
    <row r="1410">
      <c r="B1410" s="1046"/>
      <c r="C1410" s="1004"/>
      <c r="D1410" s="1005"/>
      <c r="E1410" s="736"/>
      <c r="F1410" s="736" t="s">
        <v>71</v>
      </c>
      <c r="G1410" s="736"/>
      <c r="H1410" t="s">
        <v>71</v>
      </c>
      <c r="I1410" s="1009"/>
    </row>
    <row r="1411">
      <c r="B1411" s="1046"/>
      <c r="C1411" s="1004"/>
      <c r="D1411" s="1005"/>
      <c r="E1411" s="736"/>
      <c r="F1411" s="736" t="s">
        <v>71</v>
      </c>
      <c r="G1411" s="736"/>
      <c r="H1411" t="s">
        <v>71</v>
      </c>
      <c r="I1411" s="1009"/>
    </row>
    <row r="1412">
      <c r="B1412" s="1046"/>
      <c r="C1412" s="1004"/>
      <c r="D1412" s="1005"/>
      <c r="E1412" s="736"/>
      <c r="F1412" s="736" t="s">
        <v>71</v>
      </c>
      <c r="G1412" s="736"/>
      <c r="H1412" t="s">
        <v>71</v>
      </c>
      <c r="I1412" s="1009"/>
    </row>
    <row r="1413">
      <c r="B1413" s="1046"/>
      <c r="C1413" s="1004"/>
      <c r="D1413" s="1005"/>
      <c r="E1413" s="736"/>
      <c r="F1413" s="736" t="s">
        <v>71</v>
      </c>
      <c r="G1413" s="736"/>
      <c r="H1413" t="s">
        <v>71</v>
      </c>
      <c r="I1413" s="1009"/>
    </row>
    <row r="1414">
      <c r="B1414" s="1046"/>
      <c r="C1414" s="1004"/>
      <c r="D1414" s="1005"/>
      <c r="E1414" s="736"/>
      <c r="F1414" s="736" t="s">
        <v>71</v>
      </c>
      <c r="G1414" s="736"/>
      <c r="H1414" t="s">
        <v>71</v>
      </c>
      <c r="I1414" s="1009"/>
    </row>
    <row r="1415">
      <c r="B1415" s="1046"/>
      <c r="C1415" s="1004"/>
      <c r="D1415" s="1005"/>
      <c r="E1415" s="736"/>
      <c r="F1415" s="736" t="s">
        <v>71</v>
      </c>
      <c r="G1415" s="736"/>
      <c r="H1415" t="s">
        <v>71</v>
      </c>
      <c r="I1415" s="1009"/>
    </row>
    <row r="1416">
      <c r="B1416" s="1046"/>
      <c r="C1416" s="1004"/>
      <c r="D1416" s="1005"/>
      <c r="E1416" s="736"/>
      <c r="F1416" s="736" t="s">
        <v>71</v>
      </c>
      <c r="G1416" s="736"/>
      <c r="H1416" t="s">
        <v>71</v>
      </c>
      <c r="I1416" s="1009"/>
    </row>
    <row r="1417">
      <c r="B1417" s="1046"/>
      <c r="C1417" s="1004"/>
      <c r="D1417" s="1005"/>
      <c r="E1417" s="736"/>
      <c r="F1417" s="736" t="s">
        <v>71</v>
      </c>
      <c r="G1417" s="736"/>
      <c r="H1417" t="s">
        <v>71</v>
      </c>
      <c r="I1417" s="1009"/>
    </row>
    <row r="1418">
      <c r="B1418" s="1046"/>
      <c r="C1418" s="1004"/>
      <c r="D1418" s="1005"/>
      <c r="E1418" s="736"/>
      <c r="F1418" s="736" t="s">
        <v>71</v>
      </c>
      <c r="G1418" s="736"/>
      <c r="H1418" t="s">
        <v>71</v>
      </c>
      <c r="I1418" s="1009"/>
    </row>
    <row r="1419">
      <c r="B1419" s="1046"/>
      <c r="C1419" s="1004"/>
      <c r="D1419" s="1005"/>
      <c r="E1419" s="736"/>
      <c r="F1419" s="736" t="s">
        <v>71</v>
      </c>
      <c r="G1419" s="736"/>
      <c r="H1419" t="s">
        <v>71</v>
      </c>
      <c r="I1419" s="1009"/>
    </row>
    <row r="1420">
      <c r="B1420" s="1046"/>
      <c r="C1420" s="1004"/>
      <c r="D1420" s="1005"/>
      <c r="E1420" s="736"/>
      <c r="F1420" s="736" t="s">
        <v>71</v>
      </c>
      <c r="G1420" s="736"/>
      <c r="H1420" t="s">
        <v>71</v>
      </c>
      <c r="I1420" s="1009"/>
    </row>
    <row r="1421">
      <c r="B1421" s="1046"/>
      <c r="C1421" s="1004"/>
      <c r="D1421" s="1005"/>
      <c r="E1421" s="736"/>
      <c r="F1421" s="736" t="s">
        <v>71</v>
      </c>
      <c r="G1421" s="736"/>
      <c r="H1421" t="s">
        <v>71</v>
      </c>
      <c r="I1421" s="1009"/>
    </row>
    <row r="1422">
      <c r="B1422" s="1046"/>
      <c r="C1422" s="1004"/>
      <c r="D1422" s="1005"/>
      <c r="E1422" s="736"/>
      <c r="F1422" s="736" t="s">
        <v>71</v>
      </c>
      <c r="G1422" s="736"/>
      <c r="H1422" t="s">
        <v>71</v>
      </c>
      <c r="I1422" s="1009"/>
    </row>
    <row r="1423">
      <c r="B1423" s="1046"/>
      <c r="C1423" s="1004"/>
      <c r="D1423" s="1005"/>
      <c r="E1423" s="736"/>
      <c r="F1423" s="736" t="s">
        <v>71</v>
      </c>
      <c r="G1423" s="736"/>
      <c r="H1423" t="s">
        <v>71</v>
      </c>
      <c r="I1423" s="1009"/>
    </row>
    <row r="1424">
      <c r="B1424" s="1046"/>
      <c r="C1424" s="1004"/>
      <c r="D1424" s="1005"/>
      <c r="E1424" s="736"/>
      <c r="F1424" s="736" t="s">
        <v>71</v>
      </c>
      <c r="G1424" s="736"/>
      <c r="H1424" t="s">
        <v>71</v>
      </c>
      <c r="I1424" s="1009"/>
    </row>
    <row r="1425">
      <c r="B1425" s="1046"/>
      <c r="C1425" s="1004"/>
      <c r="D1425" s="1005"/>
      <c r="E1425" s="736"/>
      <c r="F1425" s="736" t="s">
        <v>71</v>
      </c>
      <c r="G1425" s="736"/>
      <c r="H1425" t="s">
        <v>71</v>
      </c>
      <c r="I1425" s="1009"/>
    </row>
    <row r="1426">
      <c r="B1426" s="1046"/>
      <c r="C1426" s="1004"/>
      <c r="D1426" s="1005"/>
      <c r="E1426" s="736"/>
      <c r="F1426" s="736" t="s">
        <v>71</v>
      </c>
      <c r="G1426" s="736"/>
      <c r="H1426" t="s">
        <v>71</v>
      </c>
      <c r="I1426" s="1009"/>
    </row>
    <row r="1427">
      <c r="B1427" s="1046"/>
      <c r="C1427" s="1004"/>
      <c r="D1427" s="1005"/>
      <c r="E1427" s="736"/>
      <c r="F1427" s="736" t="s">
        <v>71</v>
      </c>
      <c r="G1427" s="736"/>
      <c r="H1427" t="s">
        <v>71</v>
      </c>
      <c r="I1427" s="1009"/>
    </row>
    <row r="1428">
      <c r="B1428" s="1046"/>
      <c r="C1428" s="1004"/>
      <c r="D1428" s="1005"/>
      <c r="E1428" s="736"/>
      <c r="F1428" s="736" t="s">
        <v>71</v>
      </c>
      <c r="G1428" s="736"/>
      <c r="H1428" t="s">
        <v>71</v>
      </c>
      <c r="I1428" s="1009"/>
    </row>
    <row r="1429">
      <c r="B1429" s="1046"/>
      <c r="C1429" s="1004"/>
      <c r="D1429" s="1005"/>
      <c r="E1429" s="736"/>
      <c r="F1429" s="736" t="s">
        <v>71</v>
      </c>
      <c r="G1429" s="736"/>
      <c r="H1429" t="s">
        <v>71</v>
      </c>
      <c r="I1429" s="1009"/>
    </row>
    <row r="1430">
      <c r="B1430" s="1046"/>
      <c r="C1430" s="1004"/>
      <c r="D1430" s="1005"/>
      <c r="E1430" s="736"/>
      <c r="F1430" s="736" t="s">
        <v>71</v>
      </c>
      <c r="G1430" s="736"/>
      <c r="H1430" t="s">
        <v>71</v>
      </c>
      <c r="I1430" s="1009"/>
    </row>
    <row r="1431">
      <c r="B1431" s="1046"/>
      <c r="C1431" s="1004"/>
      <c r="D1431" s="1005"/>
      <c r="E1431" s="736"/>
      <c r="F1431" s="736" t="s">
        <v>71</v>
      </c>
      <c r="G1431" s="736"/>
      <c r="H1431" t="s">
        <v>71</v>
      </c>
      <c r="I1431" s="1009"/>
    </row>
    <row r="1432">
      <c r="B1432" s="1046"/>
      <c r="C1432" s="1004"/>
      <c r="D1432" s="1005"/>
      <c r="E1432" s="736"/>
      <c r="F1432" s="736" t="s">
        <v>71</v>
      </c>
      <c r="G1432" s="736"/>
      <c r="H1432" t="s">
        <v>71</v>
      </c>
      <c r="I1432" s="1009"/>
    </row>
    <row r="1433">
      <c r="B1433" s="1046"/>
      <c r="C1433" s="1004"/>
      <c r="D1433" s="1005"/>
      <c r="E1433" s="736"/>
      <c r="F1433" s="736" t="s">
        <v>71</v>
      </c>
      <c r="G1433" s="736"/>
      <c r="H1433" t="s">
        <v>71</v>
      </c>
      <c r="I1433" s="1009"/>
    </row>
    <row r="1434">
      <c r="B1434" s="1046"/>
      <c r="C1434" s="1004"/>
      <c r="D1434" s="1005"/>
      <c r="E1434" s="736"/>
      <c r="F1434" s="736" t="s">
        <v>71</v>
      </c>
      <c r="G1434" s="736"/>
      <c r="H1434" t="s">
        <v>71</v>
      </c>
      <c r="I1434" s="1009"/>
    </row>
    <row r="1435">
      <c r="B1435" s="1046"/>
      <c r="C1435" s="1004"/>
      <c r="D1435" s="1005"/>
      <c r="E1435" s="736"/>
      <c r="F1435" s="736" t="s">
        <v>71</v>
      </c>
      <c r="G1435" s="736"/>
      <c r="H1435" t="s">
        <v>71</v>
      </c>
      <c r="I1435" s="1009"/>
    </row>
    <row r="1436">
      <c r="B1436" s="1046"/>
      <c r="C1436" s="1004"/>
      <c r="D1436" s="1005"/>
      <c r="E1436" s="736"/>
      <c r="F1436" s="736" t="s">
        <v>71</v>
      </c>
      <c r="G1436" s="736"/>
      <c r="H1436" t="s">
        <v>71</v>
      </c>
      <c r="I1436" s="1009"/>
    </row>
    <row r="1437">
      <c r="B1437" s="1046"/>
      <c r="C1437" s="1004"/>
      <c r="D1437" s="1005"/>
      <c r="E1437" s="736"/>
      <c r="F1437" s="736" t="s">
        <v>71</v>
      </c>
      <c r="G1437" s="736"/>
      <c r="H1437" t="s">
        <v>71</v>
      </c>
      <c r="I1437" s="1009"/>
    </row>
    <row r="1438">
      <c r="B1438" s="1046"/>
      <c r="C1438" s="1004"/>
      <c r="D1438" s="1005"/>
      <c r="E1438" s="736"/>
      <c r="F1438" s="736" t="s">
        <v>71</v>
      </c>
      <c r="G1438" s="736"/>
      <c r="H1438" t="s">
        <v>71</v>
      </c>
      <c r="I1438" s="1009"/>
    </row>
    <row r="1439">
      <c r="B1439" s="1046"/>
      <c r="C1439" s="1004"/>
      <c r="D1439" s="1005"/>
      <c r="E1439" s="736"/>
      <c r="F1439" s="736" t="s">
        <v>71</v>
      </c>
      <c r="G1439" s="736"/>
      <c r="H1439" t="s">
        <v>71</v>
      </c>
      <c r="I1439" s="1009"/>
    </row>
    <row r="1440">
      <c r="B1440" s="1046"/>
      <c r="C1440" s="1004"/>
      <c r="D1440" s="1005"/>
      <c r="E1440" s="736"/>
      <c r="F1440" s="736" t="s">
        <v>71</v>
      </c>
      <c r="G1440" s="736"/>
      <c r="H1440" t="s">
        <v>71</v>
      </c>
      <c r="I1440" s="1009"/>
    </row>
    <row r="1441">
      <c r="B1441" s="1046"/>
      <c r="C1441" s="1004"/>
      <c r="D1441" s="1005"/>
      <c r="E1441" s="736"/>
      <c r="F1441" s="736" t="s">
        <v>71</v>
      </c>
      <c r="G1441" s="736"/>
      <c r="H1441" t="s">
        <v>71</v>
      </c>
      <c r="I1441" s="1009"/>
    </row>
    <row r="1442">
      <c r="B1442" s="1046"/>
      <c r="C1442" s="1004"/>
      <c r="D1442" s="1005"/>
      <c r="E1442" s="736"/>
      <c r="F1442" s="736" t="s">
        <v>71</v>
      </c>
      <c r="G1442" s="736"/>
      <c r="H1442" t="s">
        <v>71</v>
      </c>
      <c r="I1442" s="1009"/>
    </row>
    <row r="1443">
      <c r="B1443" s="1046"/>
      <c r="C1443" s="1004"/>
      <c r="D1443" s="1005"/>
      <c r="E1443" s="736"/>
      <c r="F1443" s="736" t="s">
        <v>71</v>
      </c>
      <c r="G1443" s="736"/>
      <c r="H1443" t="s">
        <v>71</v>
      </c>
      <c r="I1443" s="1009"/>
    </row>
    <row r="1444">
      <c r="B1444" s="1046"/>
      <c r="C1444" s="1004"/>
      <c r="D1444" s="1005"/>
      <c r="E1444" s="736"/>
      <c r="F1444" s="736" t="s">
        <v>71</v>
      </c>
      <c r="G1444" s="736"/>
      <c r="H1444" t="s">
        <v>71</v>
      </c>
      <c r="I1444" s="1009"/>
    </row>
    <row r="1445">
      <c r="B1445" s="1046"/>
      <c r="C1445" s="1004"/>
      <c r="D1445" s="1005"/>
      <c r="E1445" s="736"/>
      <c r="F1445" s="736" t="s">
        <v>71</v>
      </c>
      <c r="G1445" s="736"/>
      <c r="H1445" t="s">
        <v>71</v>
      </c>
      <c r="I1445" s="1009"/>
    </row>
    <row r="1446">
      <c r="B1446" s="1046"/>
      <c r="C1446" s="1004"/>
      <c r="D1446" s="1005"/>
      <c r="E1446" s="736"/>
      <c r="F1446" s="736" t="s">
        <v>71</v>
      </c>
      <c r="G1446" s="736"/>
      <c r="H1446" t="s">
        <v>71</v>
      </c>
      <c r="I1446" s="1009"/>
    </row>
    <row r="1447">
      <c r="B1447" s="1046"/>
      <c r="C1447" s="1004"/>
      <c r="D1447" s="1005"/>
      <c r="E1447" s="736"/>
      <c r="F1447" s="736" t="s">
        <v>71</v>
      </c>
      <c r="G1447" s="736"/>
      <c r="H1447" t="s">
        <v>71</v>
      </c>
      <c r="I1447" s="1009"/>
    </row>
    <row r="1448">
      <c r="B1448" s="1046"/>
      <c r="C1448" s="1004"/>
      <c r="D1448" s="1005"/>
      <c r="E1448" s="736"/>
      <c r="F1448" s="736" t="s">
        <v>71</v>
      </c>
      <c r="G1448" s="736"/>
      <c r="H1448" t="s">
        <v>71</v>
      </c>
      <c r="I1448" s="1009"/>
    </row>
    <row r="1449">
      <c r="B1449" s="1046"/>
      <c r="C1449" s="1004"/>
      <c r="D1449" s="1005"/>
      <c r="E1449" s="736"/>
      <c r="F1449" s="736" t="s">
        <v>71</v>
      </c>
      <c r="G1449" s="736"/>
      <c r="H1449" t="s">
        <v>71</v>
      </c>
      <c r="I1449" s="1009"/>
    </row>
    <row r="1450">
      <c r="B1450" s="1046"/>
      <c r="C1450" s="1004"/>
      <c r="D1450" s="1005"/>
      <c r="E1450" s="736"/>
      <c r="F1450" s="736" t="s">
        <v>71</v>
      </c>
      <c r="G1450" s="736"/>
      <c r="H1450" t="s">
        <v>71</v>
      </c>
      <c r="I1450" s="1009"/>
    </row>
    <row r="1451">
      <c r="B1451" s="1046"/>
      <c r="C1451" s="1004"/>
      <c r="D1451" s="1005"/>
      <c r="E1451" s="736"/>
      <c r="F1451" s="736" t="s">
        <v>71</v>
      </c>
      <c r="G1451" s="736"/>
      <c r="H1451" t="s">
        <v>71</v>
      </c>
      <c r="I1451" s="1009"/>
    </row>
    <row r="1452">
      <c r="B1452" s="1046"/>
      <c r="C1452" s="1004"/>
      <c r="D1452" s="1005"/>
      <c r="E1452" s="736"/>
      <c r="F1452" s="736" t="s">
        <v>71</v>
      </c>
      <c r="G1452" s="736"/>
      <c r="H1452" t="s">
        <v>71</v>
      </c>
      <c r="I1452" s="1009"/>
    </row>
    <row r="1453">
      <c r="B1453" s="1046"/>
      <c r="C1453" s="1004"/>
      <c r="D1453" s="1005"/>
      <c r="E1453" s="736"/>
      <c r="F1453" s="736" t="s">
        <v>71</v>
      </c>
      <c r="G1453" s="736"/>
      <c r="H1453" t="s">
        <v>71</v>
      </c>
      <c r="I1453" s="1009"/>
    </row>
    <row r="1454">
      <c r="B1454" s="1046"/>
      <c r="C1454" s="1004"/>
      <c r="D1454" s="1005"/>
      <c r="E1454" s="736"/>
      <c r="F1454" s="736" t="s">
        <v>71</v>
      </c>
      <c r="G1454" s="736"/>
      <c r="H1454" t="s">
        <v>71</v>
      </c>
      <c r="I1454" s="1009"/>
    </row>
    <row r="1455">
      <c r="B1455" s="1046"/>
      <c r="C1455" s="1004"/>
      <c r="D1455" s="1005"/>
      <c r="E1455" s="736"/>
      <c r="F1455" s="736" t="s">
        <v>71</v>
      </c>
      <c r="G1455" s="736"/>
      <c r="H1455" t="s">
        <v>71</v>
      </c>
      <c r="I1455" s="1009"/>
    </row>
    <row r="1456">
      <c r="B1456" s="1046"/>
      <c r="C1456" s="1004"/>
      <c r="D1456" s="1005"/>
      <c r="E1456" s="736"/>
      <c r="F1456" s="736" t="s">
        <v>71</v>
      </c>
      <c r="G1456" s="736"/>
      <c r="H1456" t="s">
        <v>71</v>
      </c>
      <c r="I1456" s="1009"/>
    </row>
    <row r="1457">
      <c r="B1457" s="1046"/>
      <c r="C1457" s="1004"/>
      <c r="D1457" s="1005"/>
      <c r="E1457" s="736"/>
      <c r="F1457" s="736" t="s">
        <v>71</v>
      </c>
      <c r="G1457" s="736"/>
      <c r="H1457" t="s">
        <v>71</v>
      </c>
      <c r="I1457" s="1009"/>
    </row>
    <row r="1458">
      <c r="B1458" s="1046"/>
      <c r="C1458" s="1004"/>
      <c r="D1458" s="1005"/>
      <c r="E1458" s="736"/>
      <c r="F1458" s="736" t="s">
        <v>71</v>
      </c>
      <c r="G1458" s="736"/>
      <c r="H1458" t="s">
        <v>71</v>
      </c>
      <c r="I1458" s="1009"/>
    </row>
    <row r="1459">
      <c r="B1459" s="1046"/>
      <c r="C1459" s="1004"/>
      <c r="D1459" s="1005"/>
      <c r="E1459" s="736"/>
      <c r="F1459" s="736" t="s">
        <v>71</v>
      </c>
      <c r="G1459" s="736"/>
      <c r="H1459" t="s">
        <v>71</v>
      </c>
      <c r="I1459" s="1009"/>
    </row>
    <row r="1460">
      <c r="B1460" s="1046"/>
      <c r="C1460" s="1004"/>
      <c r="D1460" s="1005"/>
      <c r="E1460" s="736"/>
      <c r="F1460" s="736" t="s">
        <v>71</v>
      </c>
      <c r="G1460" s="736"/>
      <c r="H1460" t="s">
        <v>71</v>
      </c>
      <c r="I1460" s="1009"/>
    </row>
    <row r="1461">
      <c r="B1461" s="1046"/>
      <c r="C1461" s="1004"/>
      <c r="D1461" s="1005"/>
      <c r="E1461" s="736"/>
      <c r="F1461" s="736" t="s">
        <v>71</v>
      </c>
      <c r="G1461" s="736"/>
      <c r="H1461" t="s">
        <v>71</v>
      </c>
      <c r="I1461" s="1009"/>
    </row>
    <row r="1462">
      <c r="B1462" s="1046"/>
      <c r="C1462" s="1004"/>
      <c r="D1462" s="1005"/>
      <c r="E1462" s="736"/>
      <c r="F1462" s="736" t="s">
        <v>71</v>
      </c>
      <c r="G1462" s="736"/>
      <c r="H1462" t="s">
        <v>71</v>
      </c>
      <c r="I1462" s="1009"/>
    </row>
    <row r="1463">
      <c r="B1463" s="1046"/>
      <c r="C1463" s="1004"/>
      <c r="D1463" s="1005"/>
      <c r="E1463" s="736"/>
      <c r="F1463" s="736" t="s">
        <v>71</v>
      </c>
      <c r="G1463" s="736"/>
      <c r="H1463" t="s">
        <v>71</v>
      </c>
      <c r="I1463" s="1009"/>
    </row>
    <row r="1464">
      <c r="B1464" s="1046"/>
      <c r="C1464" s="1004"/>
      <c r="D1464" s="1005"/>
      <c r="E1464" s="736"/>
      <c r="F1464" s="736" t="s">
        <v>71</v>
      </c>
      <c r="G1464" s="736"/>
      <c r="H1464" t="s">
        <v>71</v>
      </c>
      <c r="I1464" s="1009"/>
    </row>
    <row r="1465">
      <c r="B1465" s="1046"/>
      <c r="C1465" s="1004"/>
      <c r="D1465" s="1005"/>
      <c r="E1465" s="736"/>
      <c r="F1465" s="736" t="s">
        <v>71</v>
      </c>
      <c r="G1465" s="736"/>
      <c r="H1465" t="s">
        <v>71</v>
      </c>
      <c r="I1465" s="1009"/>
    </row>
    <row r="1466">
      <c r="B1466" s="1046"/>
      <c r="C1466" s="1004"/>
      <c r="D1466" s="1005"/>
      <c r="E1466" s="736"/>
      <c r="F1466" s="736" t="s">
        <v>71</v>
      </c>
      <c r="G1466" s="736"/>
      <c r="H1466" t="s">
        <v>71</v>
      </c>
      <c r="I1466" s="1009"/>
    </row>
    <row r="1467">
      <c r="B1467" s="1046"/>
      <c r="C1467" s="1004"/>
      <c r="D1467" s="1005"/>
      <c r="E1467" s="736"/>
      <c r="F1467" s="736" t="s">
        <v>71</v>
      </c>
      <c r="G1467" s="736"/>
      <c r="H1467" t="s">
        <v>71</v>
      </c>
      <c r="I1467" s="1009"/>
    </row>
    <row r="1468">
      <c r="B1468" s="1046"/>
      <c r="C1468" s="1004"/>
      <c r="D1468" s="1005"/>
      <c r="E1468" s="736"/>
      <c r="F1468" s="736" t="s">
        <v>71</v>
      </c>
      <c r="G1468" s="736"/>
      <c r="H1468" t="s">
        <v>71</v>
      </c>
      <c r="I1468" s="1009"/>
    </row>
    <row r="1469">
      <c r="B1469" s="1046"/>
      <c r="C1469" s="1004"/>
      <c r="D1469" s="1005"/>
      <c r="E1469" s="736"/>
      <c r="F1469" s="736" t="s">
        <v>71</v>
      </c>
      <c r="G1469" s="736"/>
      <c r="H1469" t="s">
        <v>71</v>
      </c>
      <c r="I1469" s="1009"/>
    </row>
    <row r="1470">
      <c r="B1470" s="1046"/>
      <c r="C1470" s="1004"/>
      <c r="D1470" s="1005"/>
      <c r="E1470" s="736"/>
      <c r="F1470" s="736" t="s">
        <v>71</v>
      </c>
      <c r="G1470" s="736"/>
      <c r="H1470" t="s">
        <v>71</v>
      </c>
      <c r="I1470" s="1009"/>
    </row>
    <row r="1471">
      <c r="B1471" s="1046"/>
      <c r="C1471" s="1004"/>
      <c r="D1471" s="1005"/>
      <c r="E1471" s="736"/>
      <c r="F1471" s="736" t="s">
        <v>71</v>
      </c>
      <c r="G1471" s="736"/>
      <c r="H1471" t="s">
        <v>71</v>
      </c>
      <c r="I1471" s="1009"/>
    </row>
    <row r="1472">
      <c r="B1472" s="1046"/>
      <c r="C1472" s="1004"/>
      <c r="D1472" s="1005"/>
      <c r="E1472" s="736"/>
      <c r="F1472" s="736" t="s">
        <v>71</v>
      </c>
      <c r="G1472" s="736"/>
      <c r="H1472" t="s">
        <v>71</v>
      </c>
      <c r="I1472" s="1009"/>
    </row>
    <row r="1473">
      <c r="B1473" s="1046"/>
      <c r="C1473" s="1004"/>
      <c r="D1473" s="1005"/>
      <c r="E1473" s="736"/>
      <c r="F1473" s="736" t="s">
        <v>71</v>
      </c>
      <c r="G1473" s="736"/>
      <c r="H1473" t="s">
        <v>71</v>
      </c>
      <c r="I1473" s="1009"/>
    </row>
    <row r="1474">
      <c r="B1474" s="1046"/>
      <c r="C1474" s="1004"/>
      <c r="D1474" s="1005"/>
      <c r="E1474" s="736"/>
      <c r="F1474" s="736" t="s">
        <v>71</v>
      </c>
      <c r="G1474" s="736"/>
      <c r="H1474" t="s">
        <v>71</v>
      </c>
      <c r="I1474" s="1009"/>
    </row>
    <row r="1475">
      <c r="B1475" s="1046"/>
      <c r="C1475" s="1004"/>
      <c r="D1475" s="1005"/>
      <c r="E1475" s="736"/>
      <c r="F1475" s="736" t="s">
        <v>71</v>
      </c>
      <c r="G1475" s="736"/>
      <c r="H1475" t="s">
        <v>71</v>
      </c>
      <c r="I1475" s="1009"/>
    </row>
    <row r="1476">
      <c r="B1476" s="1046"/>
      <c r="C1476" s="1004"/>
      <c r="D1476" s="1005"/>
      <c r="E1476" s="736"/>
      <c r="F1476" s="736" t="s">
        <v>71</v>
      </c>
      <c r="G1476" s="736"/>
      <c r="H1476" t="s">
        <v>71</v>
      </c>
      <c r="I1476" s="1009"/>
    </row>
    <row r="1477">
      <c r="B1477" s="1046"/>
      <c r="C1477" s="1004"/>
      <c r="D1477" s="1005"/>
      <c r="E1477" s="736"/>
      <c r="F1477" s="736" t="s">
        <v>71</v>
      </c>
      <c r="G1477" s="736"/>
      <c r="H1477" t="s">
        <v>71</v>
      </c>
      <c r="I1477" s="1009"/>
    </row>
    <row r="1478">
      <c r="B1478" s="1046"/>
      <c r="C1478" s="1004"/>
      <c r="D1478" s="1005"/>
      <c r="E1478" s="736"/>
      <c r="F1478" s="736" t="s">
        <v>71</v>
      </c>
      <c r="G1478" s="736"/>
      <c r="H1478" t="s">
        <v>71</v>
      </c>
      <c r="I1478" s="1009"/>
    </row>
    <row r="1479">
      <c r="B1479" s="1046"/>
      <c r="C1479" s="1004"/>
      <c r="D1479" s="1005"/>
      <c r="E1479" s="736"/>
      <c r="F1479" s="736" t="s">
        <v>71</v>
      </c>
      <c r="G1479" s="736"/>
      <c r="H1479" t="s">
        <v>71</v>
      </c>
      <c r="I1479" s="1009"/>
    </row>
    <row r="1480">
      <c r="B1480" s="1046"/>
      <c r="C1480" s="1004"/>
      <c r="D1480" s="1005"/>
      <c r="E1480" s="736"/>
      <c r="F1480" s="736" t="s">
        <v>71</v>
      </c>
      <c r="G1480" s="736"/>
      <c r="H1480" t="s">
        <v>71</v>
      </c>
      <c r="I1480" s="1009"/>
    </row>
    <row r="1481">
      <c r="B1481" s="1046"/>
      <c r="C1481" s="1004"/>
      <c r="D1481" s="1005"/>
      <c r="E1481" s="736"/>
      <c r="F1481" s="736" t="s">
        <v>71</v>
      </c>
      <c r="G1481" s="736"/>
      <c r="H1481" t="s">
        <v>71</v>
      </c>
      <c r="I1481" s="1009"/>
    </row>
    <row r="1482">
      <c r="B1482" s="1046"/>
      <c r="C1482" s="1004"/>
      <c r="D1482" s="1005"/>
      <c r="E1482" s="736"/>
      <c r="F1482" s="736" t="s">
        <v>71</v>
      </c>
      <c r="G1482" s="736"/>
      <c r="H1482" t="s">
        <v>71</v>
      </c>
      <c r="I1482" s="1009"/>
    </row>
    <row r="1483">
      <c r="B1483" s="1046"/>
      <c r="C1483" s="1004"/>
      <c r="D1483" s="1005"/>
      <c r="E1483" s="736"/>
      <c r="F1483" s="736" t="s">
        <v>71</v>
      </c>
      <c r="G1483" s="736"/>
      <c r="H1483" t="s">
        <v>71</v>
      </c>
      <c r="I1483" s="1009"/>
    </row>
    <row r="1484">
      <c r="B1484" s="1046"/>
      <c r="C1484" s="1004"/>
      <c r="D1484" s="1005"/>
      <c r="E1484" s="736"/>
      <c r="F1484" s="736" t="s">
        <v>71</v>
      </c>
      <c r="G1484" s="736"/>
      <c r="H1484" t="s">
        <v>71</v>
      </c>
      <c r="I1484" s="1009"/>
    </row>
    <row r="1485">
      <c r="B1485" s="1046"/>
      <c r="C1485" s="1004"/>
      <c r="D1485" s="1005"/>
      <c r="E1485" s="736"/>
      <c r="F1485" s="736" t="s">
        <v>71</v>
      </c>
      <c r="G1485" s="736"/>
      <c r="H1485" t="s">
        <v>71</v>
      </c>
      <c r="I1485" s="1009"/>
    </row>
    <row r="1486">
      <c r="B1486" s="1046"/>
      <c r="C1486" s="1004"/>
      <c r="D1486" s="1005"/>
      <c r="E1486" s="736"/>
      <c r="F1486" s="736" t="s">
        <v>71</v>
      </c>
      <c r="G1486" s="736"/>
      <c r="H1486" t="s">
        <v>71</v>
      </c>
      <c r="I1486" s="1009"/>
    </row>
    <row r="1487">
      <c r="B1487" s="1046"/>
      <c r="C1487" s="1004"/>
      <c r="D1487" s="1005"/>
      <c r="E1487" s="736"/>
      <c r="F1487" s="736" t="s">
        <v>71</v>
      </c>
      <c r="G1487" s="736"/>
      <c r="H1487" t="s">
        <v>71</v>
      </c>
      <c r="I1487" s="1009"/>
    </row>
    <row r="1488">
      <c r="B1488" s="1046"/>
      <c r="C1488" s="1004"/>
      <c r="D1488" s="1005"/>
      <c r="E1488" s="736"/>
      <c r="F1488" s="736" t="s">
        <v>71</v>
      </c>
      <c r="G1488" s="736"/>
      <c r="H1488" t="s">
        <v>71</v>
      </c>
      <c r="I1488" s="1009"/>
    </row>
    <row r="1489">
      <c r="B1489" s="1046"/>
      <c r="C1489" s="1004"/>
      <c r="D1489" s="1005"/>
      <c r="E1489" s="736"/>
      <c r="F1489" s="736" t="s">
        <v>71</v>
      </c>
      <c r="G1489" s="736"/>
      <c r="H1489" t="s">
        <v>71</v>
      </c>
      <c r="I1489" s="1009"/>
    </row>
    <row r="1490">
      <c r="B1490" s="1046"/>
      <c r="C1490" s="1004"/>
      <c r="D1490" s="1005"/>
      <c r="E1490" s="736"/>
      <c r="F1490" s="736" t="s">
        <v>71</v>
      </c>
      <c r="G1490" s="736"/>
      <c r="H1490" t="s">
        <v>71</v>
      </c>
      <c r="I1490" s="1009"/>
    </row>
    <row r="1491">
      <c r="B1491" s="1046"/>
      <c r="C1491" s="1004"/>
      <c r="D1491" s="1005"/>
      <c r="E1491" s="736"/>
      <c r="F1491" s="736" t="s">
        <v>71</v>
      </c>
      <c r="G1491" s="736"/>
      <c r="H1491" t="s">
        <v>71</v>
      </c>
      <c r="I1491" s="1009"/>
    </row>
    <row r="1492">
      <c r="B1492" s="1046"/>
      <c r="C1492" s="1004"/>
      <c r="D1492" s="1005"/>
      <c r="E1492" s="736"/>
      <c r="F1492" s="736" t="s">
        <v>71</v>
      </c>
      <c r="G1492" s="736"/>
      <c r="H1492" t="s">
        <v>71</v>
      </c>
      <c r="I1492" s="1009"/>
    </row>
    <row r="1493">
      <c r="B1493" s="1046"/>
      <c r="C1493" s="1004"/>
      <c r="D1493" s="1005"/>
      <c r="E1493" s="736"/>
      <c r="F1493" s="736" t="s">
        <v>71</v>
      </c>
      <c r="G1493" s="736"/>
      <c r="H1493" t="s">
        <v>71</v>
      </c>
      <c r="I1493" s="1009"/>
    </row>
    <row r="1494">
      <c r="B1494" s="1046"/>
      <c r="C1494" s="1004"/>
      <c r="D1494" s="1005"/>
      <c r="E1494" s="736"/>
      <c r="F1494" s="736" t="s">
        <v>71</v>
      </c>
      <c r="G1494" s="736"/>
      <c r="H1494" t="s">
        <v>71</v>
      </c>
      <c r="I1494" s="1009"/>
    </row>
    <row r="1495">
      <c r="B1495" s="1046"/>
      <c r="C1495" s="1004"/>
      <c r="D1495" s="1005"/>
      <c r="E1495" s="736"/>
      <c r="F1495" s="736" t="s">
        <v>71</v>
      </c>
      <c r="G1495" s="736"/>
      <c r="H1495" t="s">
        <v>71</v>
      </c>
      <c r="I1495" s="1009"/>
    </row>
    <row r="1496">
      <c r="B1496" s="1046"/>
      <c r="C1496" s="1004"/>
      <c r="D1496" s="1005"/>
      <c r="E1496" s="736"/>
      <c r="F1496" s="736" t="s">
        <v>71</v>
      </c>
      <c r="G1496" s="736"/>
      <c r="H1496" t="s">
        <v>71</v>
      </c>
      <c r="I1496" s="1009"/>
    </row>
    <row r="1497">
      <c r="B1497" s="1046"/>
      <c r="C1497" s="1004"/>
      <c r="D1497" s="1005"/>
      <c r="E1497" s="736"/>
      <c r="F1497" s="736" t="s">
        <v>71</v>
      </c>
      <c r="G1497" s="736"/>
      <c r="H1497" t="s">
        <v>71</v>
      </c>
      <c r="I1497" s="1009"/>
    </row>
    <row r="1498">
      <c r="B1498" s="1046"/>
      <c r="C1498" s="1004"/>
      <c r="D1498" s="1005"/>
      <c r="E1498" s="736"/>
      <c r="F1498" s="736" t="s">
        <v>71</v>
      </c>
      <c r="G1498" s="736"/>
      <c r="H1498" t="s">
        <v>71</v>
      </c>
      <c r="I1498" s="1009"/>
    </row>
    <row r="1499">
      <c r="B1499" s="1046"/>
      <c r="C1499" s="1004"/>
      <c r="D1499" s="1005"/>
      <c r="E1499" s="736"/>
      <c r="F1499" s="736" t="s">
        <v>71</v>
      </c>
      <c r="G1499" s="736"/>
      <c r="H1499" t="s">
        <v>71</v>
      </c>
      <c r="I1499" s="1009"/>
    </row>
    <row r="1500">
      <c r="B1500" s="1046"/>
      <c r="C1500" s="1004"/>
      <c r="D1500" s="1005"/>
      <c r="E1500" s="736"/>
      <c r="F1500" s="736" t="s">
        <v>71</v>
      </c>
      <c r="G1500" s="736"/>
      <c r="H1500" t="s">
        <v>71</v>
      </c>
      <c r="I1500" s="1009"/>
    </row>
    <row r="1501">
      <c r="B1501" s="1046"/>
      <c r="C1501" s="1004"/>
      <c r="D1501" s="1005"/>
      <c r="E1501" s="736"/>
      <c r="F1501" s="736" t="s">
        <v>71</v>
      </c>
      <c r="G1501" s="736"/>
      <c r="H1501" t="s">
        <v>71</v>
      </c>
      <c r="I1501" s="1009"/>
    </row>
    <row r="1502">
      <c r="B1502" s="1046"/>
      <c r="C1502" s="1004"/>
      <c r="D1502" s="1005"/>
      <c r="E1502" s="736"/>
      <c r="F1502" s="736" t="s">
        <v>71</v>
      </c>
      <c r="G1502" s="736"/>
      <c r="H1502" t="s">
        <v>71</v>
      </c>
      <c r="I1502" s="1009"/>
    </row>
    <row r="1503">
      <c r="B1503" s="1046"/>
      <c r="C1503" s="1004"/>
      <c r="D1503" s="1005"/>
      <c r="E1503" s="736"/>
      <c r="F1503" s="736" t="s">
        <v>71</v>
      </c>
      <c r="G1503" s="736"/>
      <c r="H1503" t="s">
        <v>71</v>
      </c>
      <c r="I1503" s="1009"/>
    </row>
    <row r="1504">
      <c r="B1504" s="1046"/>
      <c r="C1504" s="1004"/>
      <c r="D1504" s="1005"/>
      <c r="E1504" s="736"/>
      <c r="F1504" s="736" t="s">
        <v>71</v>
      </c>
      <c r="G1504" s="736"/>
      <c r="H1504" t="s">
        <v>71</v>
      </c>
      <c r="I1504" s="1009"/>
    </row>
    <row r="1505">
      <c r="B1505" s="1046"/>
      <c r="C1505" s="1004"/>
      <c r="D1505" s="1005"/>
      <c r="E1505" s="736"/>
      <c r="F1505" s="736" t="s">
        <v>71</v>
      </c>
      <c r="G1505" s="736"/>
      <c r="H1505" t="s">
        <v>71</v>
      </c>
      <c r="I1505" s="1009"/>
    </row>
    <row r="1506">
      <c r="B1506" s="1046"/>
      <c r="C1506" s="1004"/>
      <c r="D1506" s="1005"/>
      <c r="E1506" s="736"/>
      <c r="F1506" s="736" t="s">
        <v>71</v>
      </c>
      <c r="G1506" s="736"/>
      <c r="H1506" t="s">
        <v>71</v>
      </c>
      <c r="I1506" s="1009"/>
    </row>
    <row r="1507">
      <c r="B1507" s="1046"/>
      <c r="C1507" s="1004"/>
      <c r="D1507" s="1005"/>
      <c r="E1507" s="736"/>
      <c r="F1507" s="736" t="s">
        <v>71</v>
      </c>
      <c r="G1507" s="736"/>
      <c r="H1507" t="s">
        <v>71</v>
      </c>
      <c r="I1507" s="1009"/>
    </row>
    <row r="1508">
      <c r="B1508" s="1046"/>
      <c r="C1508" s="1004"/>
      <c r="D1508" s="1005"/>
      <c r="E1508" s="736"/>
      <c r="F1508" s="736" t="s">
        <v>71</v>
      </c>
      <c r="G1508" s="736"/>
      <c r="H1508" t="s">
        <v>71</v>
      </c>
      <c r="I1508" s="1009"/>
    </row>
    <row r="1509">
      <c r="B1509" s="1046"/>
      <c r="C1509" s="1004"/>
      <c r="D1509" s="1005"/>
      <c r="E1509" s="736"/>
      <c r="F1509" s="736" t="s">
        <v>71</v>
      </c>
      <c r="G1509" s="736"/>
      <c r="H1509" t="s">
        <v>71</v>
      </c>
      <c r="I1509" s="1009"/>
    </row>
    <row r="1510">
      <c r="B1510" s="1046"/>
      <c r="C1510" s="1004"/>
      <c r="D1510" s="1005"/>
      <c r="E1510" s="736"/>
      <c r="F1510" s="736" t="s">
        <v>71</v>
      </c>
      <c r="G1510" s="736"/>
      <c r="H1510" t="s">
        <v>71</v>
      </c>
      <c r="I1510" s="1009"/>
    </row>
    <row r="1511">
      <c r="B1511" s="1046"/>
      <c r="C1511" s="1004"/>
      <c r="D1511" s="1005"/>
      <c r="E1511" s="736"/>
      <c r="F1511" s="736" t="s">
        <v>71</v>
      </c>
      <c r="G1511" s="736"/>
      <c r="H1511" t="s">
        <v>71</v>
      </c>
      <c r="I1511" s="1009"/>
    </row>
    <row r="1512">
      <c r="B1512" s="1046"/>
      <c r="C1512" s="1004"/>
      <c r="D1512" s="1005"/>
      <c r="E1512" s="736"/>
      <c r="F1512" s="736" t="s">
        <v>71</v>
      </c>
      <c r="G1512" s="736"/>
      <c r="H1512" t="s">
        <v>71</v>
      </c>
      <c r="I1512" s="1009"/>
    </row>
    <row r="1513">
      <c r="B1513" s="1046"/>
      <c r="C1513" s="1004"/>
      <c r="D1513" s="1005"/>
      <c r="E1513" s="736"/>
      <c r="F1513" s="736" t="s">
        <v>71</v>
      </c>
      <c r="G1513" s="736"/>
      <c r="H1513" t="s">
        <v>71</v>
      </c>
      <c r="I1513" s="1009"/>
    </row>
    <row r="1514">
      <c r="B1514" s="1046"/>
      <c r="C1514" s="1004"/>
      <c r="D1514" s="1005"/>
      <c r="E1514" s="736"/>
      <c r="F1514" s="736" t="s">
        <v>71</v>
      </c>
      <c r="G1514" s="736"/>
      <c r="H1514" t="s">
        <v>71</v>
      </c>
      <c r="I1514" s="1009"/>
    </row>
    <row r="1515">
      <c r="B1515" s="1046"/>
      <c r="C1515" s="1004"/>
      <c r="D1515" s="1005"/>
      <c r="E1515" s="736"/>
      <c r="F1515" s="736" t="s">
        <v>71</v>
      </c>
      <c r="G1515" s="736"/>
      <c r="H1515" t="s">
        <v>71</v>
      </c>
      <c r="I1515" s="1009"/>
    </row>
    <row r="1516">
      <c r="B1516" s="1046"/>
      <c r="C1516" s="1004"/>
      <c r="D1516" s="1005"/>
      <c r="E1516" s="736"/>
      <c r="F1516" s="736" t="s">
        <v>71</v>
      </c>
      <c r="G1516" s="736"/>
      <c r="H1516" t="s">
        <v>71</v>
      </c>
      <c r="I1516" s="1009"/>
    </row>
    <row r="1517">
      <c r="B1517" s="1046"/>
      <c r="C1517" s="1004"/>
      <c r="D1517" s="1005"/>
      <c r="E1517" s="736"/>
      <c r="F1517" s="736" t="s">
        <v>71</v>
      </c>
      <c r="G1517" s="736"/>
      <c r="H1517" t="s">
        <v>71</v>
      </c>
      <c r="I1517" s="1009"/>
    </row>
    <row r="1518">
      <c r="B1518" s="1046"/>
      <c r="C1518" s="1004"/>
      <c r="D1518" s="1005"/>
      <c r="E1518" s="736"/>
      <c r="F1518" s="736" t="s">
        <v>71</v>
      </c>
      <c r="G1518" s="736"/>
      <c r="H1518" t="s">
        <v>71</v>
      </c>
      <c r="I1518" s="1009"/>
    </row>
    <row r="1519">
      <c r="B1519" s="1046"/>
      <c r="C1519" s="1004"/>
      <c r="D1519" s="1005"/>
      <c r="E1519" s="736"/>
      <c r="F1519" s="736" t="s">
        <v>71</v>
      </c>
      <c r="G1519" s="736"/>
      <c r="H1519" t="s">
        <v>71</v>
      </c>
      <c r="I1519" s="1009"/>
    </row>
    <row r="1520">
      <c r="B1520" s="1046"/>
      <c r="C1520" s="1004"/>
      <c r="D1520" s="1005"/>
      <c r="E1520" s="736"/>
      <c r="F1520" s="736" t="s">
        <v>71</v>
      </c>
      <c r="G1520" s="736"/>
      <c r="H1520" t="s">
        <v>71</v>
      </c>
      <c r="I1520" s="1009"/>
    </row>
    <row r="1521">
      <c r="B1521" s="1046"/>
      <c r="C1521" s="1004"/>
      <c r="D1521" s="1005"/>
      <c r="E1521" s="736"/>
      <c r="F1521" s="736" t="s">
        <v>71</v>
      </c>
      <c r="G1521" s="736"/>
      <c r="H1521" t="s">
        <v>71</v>
      </c>
      <c r="I1521" s="1009"/>
    </row>
    <row r="1522">
      <c r="B1522" s="1046"/>
      <c r="C1522" s="1004"/>
      <c r="D1522" s="1005"/>
      <c r="E1522" s="736"/>
      <c r="F1522" s="736" t="s">
        <v>71</v>
      </c>
      <c r="G1522" s="736"/>
      <c r="H1522" t="s">
        <v>71</v>
      </c>
      <c r="I1522" s="1009"/>
    </row>
    <row r="1523">
      <c r="B1523" s="1046"/>
      <c r="C1523" s="1004"/>
      <c r="D1523" s="1005"/>
      <c r="E1523" s="736"/>
      <c r="F1523" s="736" t="s">
        <v>71</v>
      </c>
      <c r="G1523" s="736"/>
      <c r="H1523" t="s">
        <v>71</v>
      </c>
      <c r="I1523" s="1009"/>
    </row>
    <row r="1524">
      <c r="B1524" s="1046"/>
      <c r="C1524" s="1004"/>
      <c r="D1524" s="1005"/>
      <c r="E1524" s="736"/>
      <c r="F1524" s="736" t="s">
        <v>71</v>
      </c>
      <c r="G1524" s="736"/>
      <c r="H1524" t="s">
        <v>71</v>
      </c>
      <c r="I1524" s="1009"/>
    </row>
    <row r="1525">
      <c r="B1525" s="1046"/>
      <c r="C1525" s="1004"/>
      <c r="D1525" s="1005"/>
      <c r="E1525" s="736"/>
      <c r="F1525" s="736" t="s">
        <v>71</v>
      </c>
      <c r="G1525" s="736"/>
      <c r="H1525" t="s">
        <v>71</v>
      </c>
      <c r="I1525" s="1009"/>
    </row>
    <row r="1526">
      <c r="B1526" s="1046"/>
      <c r="C1526" s="1004"/>
      <c r="D1526" s="1005"/>
      <c r="E1526" s="736"/>
      <c r="F1526" s="736" t="s">
        <v>71</v>
      </c>
      <c r="G1526" s="736"/>
      <c r="H1526" t="s">
        <v>71</v>
      </c>
      <c r="I1526" s="1009"/>
    </row>
    <row r="1527">
      <c r="B1527" s="1046"/>
      <c r="C1527" s="1004"/>
      <c r="D1527" s="1005"/>
      <c r="E1527" s="736"/>
      <c r="F1527" s="736" t="s">
        <v>71</v>
      </c>
      <c r="G1527" s="736"/>
      <c r="H1527" t="s">
        <v>71</v>
      </c>
      <c r="I1527" s="1009"/>
    </row>
  </sheetData>
  <drawing r:id="rId1"/>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4ac="http://schemas.microsoft.com/office/spreadsheetml/2009/9/ac" xmlns:xm="http://schemas.microsoft.com/office/excel/2006/main">
  <sheetViews>
    <sheetView workbookViewId="0"/>
  </sheetViews>
  <sheetFormatPr customHeight="1" defaultColWidth="14.43" defaultRowHeight="15.75"/>
  <sheetData>
    <row r="1">
      <c r="A1" s="1024" t="s">
        <v>2786</v>
      </c>
      <c r="E1" s="1025"/>
      <c r="F1" s="1025"/>
      <c r="G1" s="1025"/>
      <c r="H1" s="1025"/>
      <c r="I1" s="1025"/>
      <c r="J1" s="1026"/>
      <c r="K1" s="1026"/>
      <c r="L1" s="1026"/>
      <c r="M1" s="1026"/>
      <c r="N1" s="1026"/>
      <c r="O1" s="1026"/>
      <c r="P1" s="1026"/>
      <c r="Q1" s="1026"/>
      <c r="R1" s="1026"/>
      <c r="S1" s="1026"/>
      <c r="T1" s="1026"/>
      <c r="U1" s="1026"/>
      <c r="V1" s="1026"/>
      <c r="W1" s="1026"/>
      <c r="X1" s="1026"/>
      <c r="Y1" s="1026"/>
      <c r="Z1" s="1026"/>
      <c r="AA1" s="1026"/>
      <c r="AB1" s="1026"/>
      <c r="AC1" s="1026"/>
      <c r="AD1" s="1026"/>
      <c r="AE1" s="1026"/>
      <c r="AF1" s="1026"/>
      <c r="AG1" s="1026"/>
      <c r="AH1" s="1026"/>
      <c r="AI1" s="1026"/>
      <c r="AJ1" s="1026"/>
      <c r="AK1" s="1026"/>
      <c r="AL1" s="1026"/>
      <c r="AM1" s="1026"/>
      <c r="AN1" s="1026"/>
      <c r="AO1" s="1026"/>
      <c r="AP1" s="1026"/>
      <c r="AQ1" s="1026"/>
      <c r="AR1" s="1026"/>
      <c r="AS1" s="1026"/>
      <c r="AT1" s="1026"/>
      <c r="AU1" s="1026"/>
      <c r="AV1" s="1026"/>
      <c r="AW1" s="1026"/>
      <c r="AX1" s="1026"/>
      <c r="AY1" s="1026"/>
      <c r="AZ1" s="1026"/>
      <c r="BA1" s="1026"/>
    </row>
    <row r="2">
      <c r="A2" s="1027" t="str">
        <f t="array" ref="A2:AZ4">'Asia Pacific &amp; Europe (excl UK)'!A1:AZ3</f>
        <v>For</v>
      </c>
      <c r="B2" s="1028" t="s">
        <v>60</v>
      </c>
      <c r="C2" s="28"/>
      <c r="D2" s="28"/>
      <c r="E2" s="24"/>
      <c r="F2" s="1027" t="s">
        <v>71</v>
      </c>
      <c r="G2" s="1030"/>
      <c r="H2" s="1027" t="s">
        <v>1</v>
      </c>
      <c r="I2" s="1030"/>
      <c r="J2" s="1030"/>
      <c r="K2" s="1030"/>
      <c r="L2" s="1027"/>
      <c r="M2" s="1027"/>
      <c r="N2" s="1032"/>
      <c r="O2" s="1032"/>
      <c r="P2" s="1032"/>
      <c r="Q2" s="1027" t="s">
        <v>2787</v>
      </c>
      <c r="R2" s="1027"/>
      <c r="S2" s="1027"/>
      <c r="T2" s="1030"/>
      <c r="U2" s="1027"/>
      <c r="V2" s="1027"/>
      <c r="W2" s="1027"/>
      <c r="X2" s="1027"/>
      <c r="Y2" s="1033"/>
      <c r="Z2" s="28"/>
      <c r="AA2" s="28"/>
      <c r="AB2" s="24"/>
      <c r="AC2" s="1027" t="s">
        <v>2788</v>
      </c>
      <c r="AD2" s="1033"/>
      <c r="AE2" s="28"/>
      <c r="AF2" s="28"/>
      <c r="AG2" s="28"/>
      <c r="AH2" s="24"/>
      <c r="AI2" s="1034" t="s">
        <v>3</v>
      </c>
      <c r="AJ2" s="1034" t="s">
        <v>3</v>
      </c>
      <c r="AK2" s="1034" t="s">
        <v>3</v>
      </c>
      <c r="AL2" s="1034" t="s">
        <v>3</v>
      </c>
      <c r="AM2" s="1027"/>
      <c r="AN2" s="1027"/>
      <c r="AO2" s="1027" t="s">
        <v>4</v>
      </c>
      <c r="AP2" s="1027" t="s">
        <v>5</v>
      </c>
      <c r="AQ2" s="1027"/>
      <c r="AR2" s="1027" t="s">
        <v>6</v>
      </c>
      <c r="AS2" s="1027"/>
      <c r="AT2" s="1027" t="s">
        <v>7</v>
      </c>
      <c r="AU2" s="1027" t="s">
        <v>8</v>
      </c>
      <c r="AV2" s="1027"/>
      <c r="AW2" s="1027"/>
      <c r="AX2" s="1027"/>
      <c r="AY2" s="1027"/>
      <c r="AZ2" s="1027"/>
      <c r="BA2" s="1027"/>
    </row>
    <row r="3">
      <c r="A3" s="1030" t="s">
        <v>9</v>
      </c>
      <c r="B3" s="1035" t="s">
        <v>10</v>
      </c>
      <c r="C3" s="1027" t="s">
        <v>10</v>
      </c>
      <c r="D3" s="1036" t="s">
        <v>10</v>
      </c>
      <c r="E3" s="1036" t="s">
        <v>10</v>
      </c>
      <c r="F3" s="1027" t="s">
        <v>10</v>
      </c>
      <c r="G3" s="1030" t="s">
        <v>10</v>
      </c>
      <c r="H3" s="1032" t="s">
        <v>9</v>
      </c>
      <c r="I3" s="1030" t="s">
        <v>10</v>
      </c>
      <c r="J3" s="1027" t="s">
        <v>10</v>
      </c>
      <c r="K3" s="1032" t="s">
        <v>9</v>
      </c>
      <c r="L3" s="1027" t="s">
        <v>10</v>
      </c>
      <c r="M3" s="1027" t="s">
        <v>11</v>
      </c>
      <c r="N3" s="1027" t="s">
        <v>11</v>
      </c>
      <c r="O3" s="1032" t="s">
        <v>9</v>
      </c>
      <c r="P3" s="1032" t="s">
        <v>9</v>
      </c>
      <c r="Q3" s="1027" t="s">
        <v>10</v>
      </c>
      <c r="R3" s="1027" t="s">
        <v>9</v>
      </c>
      <c r="S3" s="1027" t="s">
        <v>9</v>
      </c>
      <c r="T3" s="1027" t="s">
        <v>9</v>
      </c>
      <c r="U3" s="1027" t="s">
        <v>9</v>
      </c>
      <c r="V3" s="1027" t="s">
        <v>12</v>
      </c>
      <c r="W3" s="1027" t="s">
        <v>12</v>
      </c>
      <c r="X3" s="1027" t="s">
        <v>12</v>
      </c>
      <c r="Y3" s="1027" t="s">
        <v>12</v>
      </c>
      <c r="Z3" s="1037" t="s">
        <v>12</v>
      </c>
      <c r="AA3" s="1027" t="s">
        <v>12</v>
      </c>
      <c r="AB3" s="1027" t="s">
        <v>12</v>
      </c>
      <c r="AC3" s="1027" t="s">
        <v>12</v>
      </c>
      <c r="AD3" s="1027" t="s">
        <v>12</v>
      </c>
      <c r="AE3" s="1027" t="s">
        <v>12</v>
      </c>
      <c r="AF3" s="1027" t="s">
        <v>12</v>
      </c>
      <c r="AG3" s="1027" t="s">
        <v>12</v>
      </c>
      <c r="AH3" s="1034" t="s">
        <v>9</v>
      </c>
      <c r="AI3" s="1032" t="s">
        <v>9</v>
      </c>
      <c r="AJ3" s="1038" t="s">
        <v>9</v>
      </c>
      <c r="AK3" s="1032" t="s">
        <v>9</v>
      </c>
      <c r="AL3" s="1032" t="s">
        <v>9</v>
      </c>
      <c r="AM3" s="1032" t="s">
        <v>9</v>
      </c>
      <c r="AN3" s="1027" t="s">
        <v>9</v>
      </c>
      <c r="AO3" s="1032" t="s">
        <v>9</v>
      </c>
      <c r="AP3" s="1032" t="s">
        <v>9</v>
      </c>
      <c r="AQ3" s="1032" t="s">
        <v>9</v>
      </c>
      <c r="AR3" s="1032" t="s">
        <v>9</v>
      </c>
      <c r="AS3" s="1032" t="s">
        <v>9</v>
      </c>
      <c r="AT3" s="1039" t="s">
        <v>9</v>
      </c>
      <c r="AU3" s="1039" t="s">
        <v>9</v>
      </c>
      <c r="AV3" s="1039" t="s">
        <v>9</v>
      </c>
      <c r="AW3" s="1039" t="s">
        <v>9</v>
      </c>
      <c r="AX3" s="1039" t="s">
        <v>9</v>
      </c>
      <c r="AY3" s="1039" t="s">
        <v>9</v>
      </c>
      <c r="AZ3" s="1039" t="s">
        <v>9</v>
      </c>
      <c r="BA3" s="1027"/>
    </row>
    <row r="4">
      <c r="A4" s="1027" t="s">
        <v>13</v>
      </c>
      <c r="B4" s="1035" t="s">
        <v>14</v>
      </c>
      <c r="C4" s="1027" t="s">
        <v>15</v>
      </c>
      <c r="D4" s="1036" t="s">
        <v>16</v>
      </c>
      <c r="E4" s="1036" t="s">
        <v>17</v>
      </c>
      <c r="F4" s="1027" t="s">
        <v>18</v>
      </c>
      <c r="G4" s="1030" t="s">
        <v>19</v>
      </c>
      <c r="H4" s="1027" t="s">
        <v>2789</v>
      </c>
      <c r="I4" s="1030" t="s">
        <v>25</v>
      </c>
      <c r="J4" s="1027" t="s">
        <v>23</v>
      </c>
      <c r="K4" s="1032" t="s">
        <v>2790</v>
      </c>
      <c r="L4" s="1027" t="s">
        <v>26</v>
      </c>
      <c r="M4" s="1027" t="s">
        <v>29</v>
      </c>
      <c r="N4" s="1027" t="s">
        <v>28</v>
      </c>
      <c r="O4" s="1027" t="s">
        <v>2791</v>
      </c>
      <c r="P4" s="1030" t="s">
        <v>2792</v>
      </c>
      <c r="Q4" s="1027" t="s">
        <v>31</v>
      </c>
      <c r="R4" s="1027" t="s">
        <v>2793</v>
      </c>
      <c r="S4" s="1027" t="s">
        <v>2794</v>
      </c>
      <c r="T4" s="1027" t="s">
        <v>2795</v>
      </c>
      <c r="U4" s="1027" t="s">
        <v>33</v>
      </c>
      <c r="V4" s="1027" t="s">
        <v>34</v>
      </c>
      <c r="W4" s="1027" t="s">
        <v>35</v>
      </c>
      <c r="X4" s="1027" t="s">
        <v>36</v>
      </c>
      <c r="Y4" s="1027" t="s">
        <v>37</v>
      </c>
      <c r="Z4" s="1027" t="s">
        <v>38</v>
      </c>
      <c r="AA4" s="1027" t="s">
        <v>47</v>
      </c>
      <c r="AB4" s="1027" t="s">
        <v>40</v>
      </c>
      <c r="AC4" s="1027" t="s">
        <v>48</v>
      </c>
      <c r="AD4" s="1027" t="s">
        <v>49</v>
      </c>
      <c r="AE4" s="1027" t="s">
        <v>43</v>
      </c>
      <c r="AF4" s="1027" t="s">
        <v>44</v>
      </c>
      <c r="AG4" s="1027" t="s">
        <v>45</v>
      </c>
      <c r="AH4" s="1034" t="s">
        <v>2796</v>
      </c>
      <c r="AI4" s="1027" t="s">
        <v>2790</v>
      </c>
      <c r="AJ4" s="1038" t="s">
        <v>2797</v>
      </c>
      <c r="AK4" s="1027" t="s">
        <v>2222</v>
      </c>
      <c r="AL4" s="1027" t="s">
        <v>2798</v>
      </c>
      <c r="AM4" s="1027" t="s">
        <v>2799</v>
      </c>
      <c r="AN4" s="1027" t="s">
        <v>2800</v>
      </c>
      <c r="AO4" s="1040" t="s">
        <v>2801</v>
      </c>
      <c r="AP4" s="1027" t="s">
        <v>19</v>
      </c>
      <c r="AQ4" s="1027" t="s">
        <v>2802</v>
      </c>
      <c r="AR4" s="1032"/>
      <c r="AS4" s="1039" t="s">
        <v>2803</v>
      </c>
      <c r="AT4" s="1039" t="s">
        <v>2770</v>
      </c>
      <c r="AU4" s="1027" t="s">
        <v>2804</v>
      </c>
      <c r="AV4" s="1027" t="s">
        <v>50</v>
      </c>
      <c r="AW4" s="1027" t="s">
        <v>2805</v>
      </c>
      <c r="AX4" s="1027" t="s">
        <v>2806</v>
      </c>
      <c r="AY4" s="1027" t="s">
        <v>51</v>
      </c>
      <c r="AZ4" s="1027" t="s">
        <v>2807</v>
      </c>
      <c r="BA4" s="1027"/>
    </row>
    <row r="5">
      <c r="A5" s="1027" t="str">
        <f t="array" ref="A5:AZ7">Canada!A1:AZ3</f>
        <v>For</v>
      </c>
      <c r="B5" s="1028" t="s">
        <v>55</v>
      </c>
      <c r="C5" s="28"/>
      <c r="D5" s="28"/>
      <c r="E5" s="24"/>
      <c r="F5" s="1027"/>
      <c r="G5" s="1030"/>
      <c r="H5" s="1027" t="s">
        <v>1</v>
      </c>
      <c r="I5" s="1030"/>
      <c r="J5" s="1030"/>
      <c r="K5" s="1030"/>
      <c r="L5" s="1027"/>
      <c r="M5" s="1027"/>
      <c r="N5" s="1027"/>
      <c r="O5" s="1032"/>
      <c r="P5" s="1032"/>
      <c r="Q5" s="1027" t="s">
        <v>2808</v>
      </c>
      <c r="R5" s="1032"/>
      <c r="S5" s="1032"/>
      <c r="T5" s="1030"/>
      <c r="U5" s="1027"/>
      <c r="V5" s="1027"/>
      <c r="W5" s="1027"/>
      <c r="X5" s="1027"/>
      <c r="Y5" s="1033"/>
      <c r="Z5" s="28"/>
      <c r="AA5" s="28"/>
      <c r="AB5" s="24"/>
      <c r="AC5" s="1027" t="s">
        <v>2788</v>
      </c>
      <c r="AD5" s="1027"/>
      <c r="AE5" s="1027"/>
      <c r="AF5" s="1027"/>
      <c r="AG5" s="1027"/>
      <c r="AH5" s="1027" t="s">
        <v>3</v>
      </c>
      <c r="AI5" s="1027"/>
      <c r="AJ5" s="1027"/>
      <c r="AK5" s="1027"/>
      <c r="AL5" s="1027"/>
      <c r="AM5" s="1030"/>
      <c r="AN5" s="1030"/>
      <c r="AO5" s="1027" t="s">
        <v>4</v>
      </c>
      <c r="AP5" s="1027" t="s">
        <v>5</v>
      </c>
      <c r="AQ5" s="1027"/>
      <c r="AR5" s="1027" t="s">
        <v>6</v>
      </c>
      <c r="AS5" s="1027"/>
      <c r="AT5" s="1027" t="s">
        <v>7</v>
      </c>
      <c r="AU5" s="1027" t="s">
        <v>8</v>
      </c>
      <c r="AV5" s="1027"/>
      <c r="AW5" s="1027"/>
      <c r="AX5" s="1027"/>
      <c r="AY5" s="1027"/>
      <c r="AZ5" s="1027"/>
      <c r="BA5" s="1027"/>
    </row>
    <row r="6">
      <c r="A6" s="1032" t="s">
        <v>9</v>
      </c>
      <c r="B6" s="1035" t="s">
        <v>10</v>
      </c>
      <c r="C6" s="1027" t="s">
        <v>10</v>
      </c>
      <c r="D6" s="1036" t="s">
        <v>10</v>
      </c>
      <c r="E6" s="1036" t="s">
        <v>10</v>
      </c>
      <c r="F6" s="1027" t="s">
        <v>10</v>
      </c>
      <c r="G6" s="1030" t="s">
        <v>10</v>
      </c>
      <c r="H6" s="1032" t="s">
        <v>9</v>
      </c>
      <c r="I6" s="1030" t="s">
        <v>10</v>
      </c>
      <c r="J6" s="1027" t="s">
        <v>10</v>
      </c>
      <c r="K6" s="1041" t="s">
        <v>9</v>
      </c>
      <c r="L6" s="1027" t="s">
        <v>10</v>
      </c>
      <c r="M6" s="1027" t="s">
        <v>11</v>
      </c>
      <c r="N6" s="1027" t="s">
        <v>11</v>
      </c>
      <c r="O6" s="1032" t="s">
        <v>9</v>
      </c>
      <c r="P6" s="1032" t="s">
        <v>9</v>
      </c>
      <c r="Q6" s="1027" t="s">
        <v>10</v>
      </c>
      <c r="R6" s="1027" t="s">
        <v>9</v>
      </c>
      <c r="S6" s="1027" t="s">
        <v>9</v>
      </c>
      <c r="T6" s="1027" t="s">
        <v>9</v>
      </c>
      <c r="U6" s="1027" t="s">
        <v>9</v>
      </c>
      <c r="V6" s="1027" t="s">
        <v>12</v>
      </c>
      <c r="W6" s="1027" t="s">
        <v>12</v>
      </c>
      <c r="X6" s="1027" t="s">
        <v>12</v>
      </c>
      <c r="Y6" s="1027" t="s">
        <v>12</v>
      </c>
      <c r="Z6" s="1042" t="s">
        <v>12</v>
      </c>
      <c r="AA6" s="1027" t="s">
        <v>12</v>
      </c>
      <c r="AB6" s="1027" t="s">
        <v>12</v>
      </c>
      <c r="AC6" s="1027" t="s">
        <v>12</v>
      </c>
      <c r="AD6" s="1027" t="s">
        <v>12</v>
      </c>
      <c r="AE6" s="1027" t="s">
        <v>12</v>
      </c>
      <c r="AF6" s="1027" t="s">
        <v>12</v>
      </c>
      <c r="AG6" s="1027" t="s">
        <v>12</v>
      </c>
      <c r="AH6" s="1032" t="s">
        <v>9</v>
      </c>
      <c r="AI6" s="1040" t="s">
        <v>9</v>
      </c>
      <c r="AJ6" s="1043" t="s">
        <v>9</v>
      </c>
      <c r="AK6" s="1032" t="s">
        <v>9</v>
      </c>
      <c r="AL6" s="1032" t="s">
        <v>9</v>
      </c>
      <c r="AM6" s="1032" t="s">
        <v>9</v>
      </c>
      <c r="AN6" s="1030" t="s">
        <v>9</v>
      </c>
      <c r="AO6" s="1032" t="s">
        <v>9</v>
      </c>
      <c r="AP6" s="1032" t="s">
        <v>9</v>
      </c>
      <c r="AQ6" s="1032" t="s">
        <v>9</v>
      </c>
      <c r="AR6" s="1032" t="s">
        <v>9</v>
      </c>
      <c r="AS6" s="1032" t="s">
        <v>9</v>
      </c>
      <c r="AT6" s="1032" t="s">
        <v>9</v>
      </c>
      <c r="AU6" s="1039" t="s">
        <v>9</v>
      </c>
      <c r="AV6" s="1039" t="s">
        <v>9</v>
      </c>
      <c r="AW6" s="1039" t="s">
        <v>9</v>
      </c>
      <c r="AX6" s="1039" t="s">
        <v>9</v>
      </c>
      <c r="AY6" s="1039" t="s">
        <v>9</v>
      </c>
      <c r="AZ6" s="1039" t="s">
        <v>9</v>
      </c>
      <c r="BA6" s="1027"/>
    </row>
    <row r="7">
      <c r="A7" s="1027" t="s">
        <v>13</v>
      </c>
      <c r="B7" s="1035" t="s">
        <v>14</v>
      </c>
      <c r="C7" s="1027" t="s">
        <v>15</v>
      </c>
      <c r="D7" s="1036" t="s">
        <v>16</v>
      </c>
      <c r="E7" s="1036" t="s">
        <v>17</v>
      </c>
      <c r="F7" s="1027" t="s">
        <v>18</v>
      </c>
      <c r="G7" s="1030" t="s">
        <v>19</v>
      </c>
      <c r="H7" s="1027" t="s">
        <v>2789</v>
      </c>
      <c r="I7" s="1030" t="s">
        <v>22</v>
      </c>
      <c r="J7" s="1027" t="s">
        <v>23</v>
      </c>
      <c r="K7" s="1041" t="s">
        <v>2809</v>
      </c>
      <c r="L7" s="1027" t="s">
        <v>26</v>
      </c>
      <c r="M7" s="1027" t="s">
        <v>27</v>
      </c>
      <c r="N7" s="1027" t="s">
        <v>28</v>
      </c>
      <c r="O7" s="1027" t="s">
        <v>2791</v>
      </c>
      <c r="P7" s="1030" t="s">
        <v>2792</v>
      </c>
      <c r="Q7" s="1027" t="s">
        <v>31</v>
      </c>
      <c r="R7" s="1027" t="s">
        <v>2810</v>
      </c>
      <c r="S7" s="1027" t="s">
        <v>2794</v>
      </c>
      <c r="T7" s="1027" t="s">
        <v>2795</v>
      </c>
      <c r="U7" s="1027" t="s">
        <v>33</v>
      </c>
      <c r="V7" s="1027" t="s">
        <v>34</v>
      </c>
      <c r="W7" s="1027" t="s">
        <v>35</v>
      </c>
      <c r="X7" s="1027" t="s">
        <v>36</v>
      </c>
      <c r="Y7" s="1027" t="s">
        <v>37</v>
      </c>
      <c r="Z7" s="1042" t="s">
        <v>38</v>
      </c>
      <c r="AA7" s="1027" t="s">
        <v>39</v>
      </c>
      <c r="AB7" s="1027" t="s">
        <v>40</v>
      </c>
      <c r="AC7" s="1027" t="s">
        <v>41</v>
      </c>
      <c r="AD7" s="1027" t="s">
        <v>42</v>
      </c>
      <c r="AE7" s="1027" t="s">
        <v>43</v>
      </c>
      <c r="AF7" s="1027" t="s">
        <v>44</v>
      </c>
      <c r="AG7" s="1027" t="s">
        <v>45</v>
      </c>
      <c r="AH7" s="1034" t="s">
        <v>2796</v>
      </c>
      <c r="AI7" s="1027" t="s">
        <v>2790</v>
      </c>
      <c r="AJ7" s="1038" t="s">
        <v>2797</v>
      </c>
      <c r="AK7" s="1027" t="s">
        <v>2222</v>
      </c>
      <c r="AL7" s="1027" t="s">
        <v>2798</v>
      </c>
      <c r="AM7" s="1027" t="s">
        <v>2799</v>
      </c>
      <c r="AN7" s="1027" t="s">
        <v>2800</v>
      </c>
      <c r="AO7" s="1040" t="s">
        <v>2801</v>
      </c>
      <c r="AP7" s="1027" t="s">
        <v>19</v>
      </c>
      <c r="AQ7" s="1027" t="s">
        <v>2802</v>
      </c>
      <c r="AR7" s="1032"/>
      <c r="AS7" s="1039" t="s">
        <v>2803</v>
      </c>
      <c r="AT7" s="1039" t="s">
        <v>2770</v>
      </c>
      <c r="AU7" s="1027" t="s">
        <v>2804</v>
      </c>
      <c r="AV7" s="1027" t="s">
        <v>50</v>
      </c>
      <c r="AW7" s="1027" t="s">
        <v>2805</v>
      </c>
      <c r="AX7" s="1027" t="s">
        <v>2806</v>
      </c>
      <c r="AY7" s="1027" t="s">
        <v>51</v>
      </c>
      <c r="AZ7" s="1027" t="s">
        <v>2807</v>
      </c>
      <c r="BA7" s="1027"/>
    </row>
    <row r="8">
      <c r="A8" s="1027" t="str">
        <f t="array" ref="A8:AZ10">UK!A1:AZ3</f>
        <v>For</v>
      </c>
      <c r="B8" s="1028" t="s">
        <v>638</v>
      </c>
      <c r="C8" s="28"/>
      <c r="D8" s="28"/>
      <c r="E8" s="24"/>
      <c r="F8" s="1027"/>
      <c r="G8" s="1030"/>
      <c r="H8" s="1027" t="s">
        <v>1</v>
      </c>
      <c r="I8" s="1030"/>
      <c r="J8" s="1030"/>
      <c r="K8" s="1030"/>
      <c r="L8" s="1027"/>
      <c r="M8" s="1027"/>
      <c r="N8" s="1027"/>
      <c r="O8" s="1032"/>
      <c r="P8" s="1032"/>
      <c r="Q8" s="1027" t="s">
        <v>2811</v>
      </c>
      <c r="R8" s="1032"/>
      <c r="S8" s="1032"/>
      <c r="T8" s="1030"/>
      <c r="U8" s="1027"/>
      <c r="V8" s="1027"/>
      <c r="W8" s="1027"/>
      <c r="X8" s="1027"/>
      <c r="Y8" s="1033"/>
      <c r="Z8" s="28"/>
      <c r="AA8" s="28"/>
      <c r="AB8" s="24"/>
      <c r="AC8" s="1027" t="s">
        <v>2788</v>
      </c>
      <c r="AD8" s="1027"/>
      <c r="AE8" s="1027"/>
      <c r="AF8" s="1027"/>
      <c r="AG8" s="1027"/>
      <c r="AH8" s="1027" t="s">
        <v>3</v>
      </c>
      <c r="AI8" s="1027"/>
      <c r="AJ8" s="1027"/>
      <c r="AK8" s="1027"/>
      <c r="AL8" s="1027"/>
      <c r="AM8" s="1030"/>
      <c r="AN8" s="1030"/>
      <c r="AO8" s="1027" t="s">
        <v>4</v>
      </c>
      <c r="AP8" s="1027"/>
      <c r="AQ8" s="1030"/>
      <c r="AR8" s="1027" t="s">
        <v>6</v>
      </c>
      <c r="AS8" s="1027"/>
      <c r="AT8" s="1027" t="s">
        <v>7</v>
      </c>
      <c r="AU8" s="1027" t="s">
        <v>8</v>
      </c>
      <c r="AV8" s="1027"/>
      <c r="AW8" s="1027"/>
      <c r="AX8" s="1027"/>
      <c r="AY8" s="1027"/>
      <c r="AZ8" s="1027"/>
      <c r="BA8" s="1027"/>
    </row>
    <row r="9">
      <c r="A9" s="1040" t="s">
        <v>9</v>
      </c>
      <c r="B9" s="1035" t="s">
        <v>10</v>
      </c>
      <c r="C9" s="1027" t="s">
        <v>10</v>
      </c>
      <c r="D9" s="1036" t="s">
        <v>10</v>
      </c>
      <c r="E9" s="1036" t="s">
        <v>10</v>
      </c>
      <c r="F9" s="1027" t="s">
        <v>10</v>
      </c>
      <c r="G9" s="1030" t="s">
        <v>10</v>
      </c>
      <c r="H9" s="1032" t="s">
        <v>9</v>
      </c>
      <c r="I9" s="1030" t="s">
        <v>10</v>
      </c>
      <c r="J9" s="1027" t="s">
        <v>10</v>
      </c>
      <c r="K9" s="1032" t="s">
        <v>9</v>
      </c>
      <c r="L9" s="1027" t="s">
        <v>10</v>
      </c>
      <c r="M9" s="1027" t="s">
        <v>11</v>
      </c>
      <c r="N9" s="1027" t="s">
        <v>11</v>
      </c>
      <c r="O9" s="1032" t="s">
        <v>9</v>
      </c>
      <c r="P9" s="1032" t="s">
        <v>9</v>
      </c>
      <c r="Q9" s="1027" t="s">
        <v>10</v>
      </c>
      <c r="R9" s="1027" t="s">
        <v>9</v>
      </c>
      <c r="S9" s="1027" t="s">
        <v>9</v>
      </c>
      <c r="T9" s="1027" t="s">
        <v>9</v>
      </c>
      <c r="U9" s="1027" t="s">
        <v>9</v>
      </c>
      <c r="V9" s="1027" t="s">
        <v>12</v>
      </c>
      <c r="W9" s="1027" t="s">
        <v>12</v>
      </c>
      <c r="X9" s="1027" t="s">
        <v>12</v>
      </c>
      <c r="Y9" s="1027" t="s">
        <v>12</v>
      </c>
      <c r="Z9" s="1042" t="s">
        <v>12</v>
      </c>
      <c r="AA9" s="1027" t="s">
        <v>12</v>
      </c>
      <c r="AB9" s="1027" t="s">
        <v>12</v>
      </c>
      <c r="AC9" s="1027" t="s">
        <v>12</v>
      </c>
      <c r="AD9" s="1027" t="s">
        <v>12</v>
      </c>
      <c r="AE9" s="1027" t="s">
        <v>12</v>
      </c>
      <c r="AF9" s="1027" t="s">
        <v>12</v>
      </c>
      <c r="AG9" s="1027" t="s">
        <v>12</v>
      </c>
      <c r="AH9" s="1032" t="s">
        <v>9</v>
      </c>
      <c r="AI9" s="1032" t="s">
        <v>9</v>
      </c>
      <c r="AJ9" s="1043" t="s">
        <v>9</v>
      </c>
      <c r="AK9" s="1032" t="s">
        <v>9</v>
      </c>
      <c r="AL9" s="1032" t="s">
        <v>9</v>
      </c>
      <c r="AM9" s="1032" t="s">
        <v>9</v>
      </c>
      <c r="AN9" s="1030" t="s">
        <v>9</v>
      </c>
      <c r="AO9" s="1032" t="s">
        <v>9</v>
      </c>
      <c r="AP9" s="1032" t="s">
        <v>9</v>
      </c>
      <c r="AQ9" s="1030" t="s">
        <v>9</v>
      </c>
      <c r="AR9" s="1032" t="s">
        <v>9</v>
      </c>
      <c r="AS9" s="1032" t="s">
        <v>9</v>
      </c>
      <c r="AT9" s="1032" t="s">
        <v>9</v>
      </c>
      <c r="AU9" s="1039" t="s">
        <v>9</v>
      </c>
      <c r="AV9" s="1039" t="s">
        <v>9</v>
      </c>
      <c r="AW9" s="1039" t="s">
        <v>9</v>
      </c>
      <c r="AX9" s="1039" t="s">
        <v>9</v>
      </c>
      <c r="AY9" s="1039" t="s">
        <v>9</v>
      </c>
      <c r="AZ9" s="1039" t="s">
        <v>9</v>
      </c>
      <c r="BA9" s="1027"/>
    </row>
    <row r="10">
      <c r="A10" s="1027" t="s">
        <v>13</v>
      </c>
      <c r="B10" s="1035" t="s">
        <v>14</v>
      </c>
      <c r="C10" s="1027" t="s">
        <v>15</v>
      </c>
      <c r="D10" s="1036" t="s">
        <v>16</v>
      </c>
      <c r="E10" s="1036" t="s">
        <v>17</v>
      </c>
      <c r="F10" s="1027" t="s">
        <v>18</v>
      </c>
      <c r="G10" s="1030" t="s">
        <v>21</v>
      </c>
      <c r="H10" s="1027" t="s">
        <v>2789</v>
      </c>
      <c r="I10" s="1030" t="s">
        <v>474</v>
      </c>
      <c r="J10" s="1027" t="s">
        <v>23</v>
      </c>
      <c r="K10" s="1032" t="s">
        <v>2790</v>
      </c>
      <c r="L10" s="1027" t="s">
        <v>26</v>
      </c>
      <c r="M10" s="1027" t="s">
        <v>29</v>
      </c>
      <c r="N10" s="1027" t="s">
        <v>30</v>
      </c>
      <c r="O10" s="1027" t="s">
        <v>2812</v>
      </c>
      <c r="P10" s="1030" t="s">
        <v>2792</v>
      </c>
      <c r="Q10" s="1027" t="s">
        <v>32</v>
      </c>
      <c r="R10" s="1027" t="s">
        <v>2793</v>
      </c>
      <c r="S10" s="1027" t="s">
        <v>2794</v>
      </c>
      <c r="T10" s="1027" t="s">
        <v>2795</v>
      </c>
      <c r="U10" s="1027" t="s">
        <v>33</v>
      </c>
      <c r="V10" s="1027" t="s">
        <v>34</v>
      </c>
      <c r="W10" s="1027" t="s">
        <v>35</v>
      </c>
      <c r="X10" s="1027" t="s">
        <v>46</v>
      </c>
      <c r="Y10" s="1027" t="s">
        <v>37</v>
      </c>
      <c r="Z10" s="1042" t="s">
        <v>38</v>
      </c>
      <c r="AA10" s="1027" t="s">
        <v>47</v>
      </c>
      <c r="AB10" s="1027" t="s">
        <v>40</v>
      </c>
      <c r="AC10" s="1027" t="s">
        <v>48</v>
      </c>
      <c r="AD10" s="1027" t="s">
        <v>49</v>
      </c>
      <c r="AE10" s="1027" t="s">
        <v>43</v>
      </c>
      <c r="AF10" s="1027" t="s">
        <v>44</v>
      </c>
      <c r="AG10" s="1027" t="s">
        <v>45</v>
      </c>
      <c r="AH10" s="1034" t="s">
        <v>2796</v>
      </c>
      <c r="AI10" s="1027" t="s">
        <v>2790</v>
      </c>
      <c r="AJ10" s="1038" t="s">
        <v>2797</v>
      </c>
      <c r="AK10" s="1027" t="s">
        <v>2222</v>
      </c>
      <c r="AL10" s="1027" t="s">
        <v>2798</v>
      </c>
      <c r="AM10" s="1027" t="s">
        <v>2799</v>
      </c>
      <c r="AN10" s="1027" t="s">
        <v>2800</v>
      </c>
      <c r="AO10" s="1040" t="s">
        <v>2801</v>
      </c>
      <c r="AP10" s="1027" t="s">
        <v>19</v>
      </c>
      <c r="AQ10" s="1030" t="s">
        <v>2813</v>
      </c>
      <c r="AR10" s="1032"/>
      <c r="AS10" s="1039" t="s">
        <v>2803</v>
      </c>
      <c r="AT10" s="1039" t="s">
        <v>2770</v>
      </c>
      <c r="AU10" s="1027" t="s">
        <v>2804</v>
      </c>
      <c r="AV10" s="1027" t="s">
        <v>50</v>
      </c>
      <c r="AW10" s="1027" t="s">
        <v>2805</v>
      </c>
      <c r="AX10" s="1027" t="s">
        <v>2806</v>
      </c>
      <c r="AY10" s="1027" t="s">
        <v>51</v>
      </c>
      <c r="AZ10" s="1027" t="s">
        <v>2807</v>
      </c>
      <c r="BA10" s="1027"/>
    </row>
    <row r="11">
      <c r="A11" s="1027" t="str">
        <f t="array" ref="A11:AZ13">USA!A1:AZ3</f>
        <v>For</v>
      </c>
      <c r="B11" s="1028" t="s">
        <v>56</v>
      </c>
      <c r="C11" s="28"/>
      <c r="D11" s="28"/>
      <c r="E11" s="24"/>
      <c r="F11" s="1027"/>
      <c r="G11" s="1030"/>
      <c r="H11" s="1027" t="s">
        <v>1</v>
      </c>
      <c r="I11" s="1030"/>
      <c r="J11" s="1030"/>
      <c r="K11" s="1030"/>
      <c r="L11" s="1027"/>
      <c r="M11" s="1027"/>
      <c r="N11" s="1027"/>
      <c r="O11" s="1032"/>
      <c r="P11" s="1032"/>
      <c r="Q11" s="1027" t="s">
        <v>2814</v>
      </c>
      <c r="R11" s="1030"/>
      <c r="S11" s="1032"/>
      <c r="T11" s="1030"/>
      <c r="U11" s="1027"/>
      <c r="V11" s="1027"/>
      <c r="W11" s="1027"/>
      <c r="X11" s="1027"/>
      <c r="Y11" s="1033"/>
      <c r="Z11" s="28"/>
      <c r="AA11" s="28"/>
      <c r="AB11" s="24"/>
      <c r="AC11" s="1027" t="s">
        <v>2788</v>
      </c>
      <c r="AD11" s="1027"/>
      <c r="AE11" s="1027"/>
      <c r="AF11" s="1027"/>
      <c r="AG11" s="1027"/>
      <c r="AH11" s="1027" t="s">
        <v>3</v>
      </c>
      <c r="AI11" s="1027"/>
      <c r="AJ11" s="1027"/>
      <c r="AK11" s="1027"/>
      <c r="AL11" s="1027"/>
      <c r="AM11" s="1030"/>
      <c r="AN11" s="1030"/>
      <c r="AO11" s="1027" t="s">
        <v>4</v>
      </c>
      <c r="AP11" s="1027"/>
      <c r="AQ11" s="1030"/>
      <c r="AR11" s="1027" t="s">
        <v>6</v>
      </c>
      <c r="AS11" s="1027"/>
      <c r="AT11" s="1027" t="s">
        <v>7</v>
      </c>
      <c r="AU11" s="1027" t="s">
        <v>8</v>
      </c>
      <c r="AV11" s="1027"/>
      <c r="AW11" s="1027"/>
      <c r="AX11" s="1027"/>
      <c r="AY11" s="1027"/>
      <c r="AZ11" s="1027"/>
      <c r="BA11" s="1027"/>
    </row>
    <row r="12">
      <c r="A12" s="1040" t="s">
        <v>9</v>
      </c>
      <c r="B12" s="1035" t="s">
        <v>10</v>
      </c>
      <c r="C12" s="1027" t="s">
        <v>10</v>
      </c>
      <c r="D12" s="1036" t="s">
        <v>10</v>
      </c>
      <c r="E12" s="1036" t="s">
        <v>10</v>
      </c>
      <c r="F12" s="1027" t="s">
        <v>10</v>
      </c>
      <c r="G12" s="1030" t="s">
        <v>10</v>
      </c>
      <c r="H12" s="1032" t="s">
        <v>9</v>
      </c>
      <c r="I12" s="1030" t="s">
        <v>10</v>
      </c>
      <c r="J12" s="1027" t="s">
        <v>10</v>
      </c>
      <c r="K12" s="1032" t="s">
        <v>9</v>
      </c>
      <c r="L12" s="1027" t="s">
        <v>10</v>
      </c>
      <c r="M12" s="1027" t="s">
        <v>11</v>
      </c>
      <c r="N12" s="1027" t="s">
        <v>11</v>
      </c>
      <c r="O12" s="1032" t="s">
        <v>9</v>
      </c>
      <c r="P12" s="1032" t="s">
        <v>9</v>
      </c>
      <c r="Q12" s="1027" t="s">
        <v>10</v>
      </c>
      <c r="R12" s="1030" t="s">
        <v>9</v>
      </c>
      <c r="S12" s="1027" t="s">
        <v>9</v>
      </c>
      <c r="T12" s="1027" t="s">
        <v>9</v>
      </c>
      <c r="U12" s="1027" t="s">
        <v>9</v>
      </c>
      <c r="V12" s="1027" t="s">
        <v>12</v>
      </c>
      <c r="W12" s="1027" t="s">
        <v>12</v>
      </c>
      <c r="X12" s="1027" t="s">
        <v>12</v>
      </c>
      <c r="Y12" s="1027" t="s">
        <v>12</v>
      </c>
      <c r="Z12" s="1042" t="s">
        <v>12</v>
      </c>
      <c r="AA12" s="1027" t="s">
        <v>12</v>
      </c>
      <c r="AB12" s="1027" t="s">
        <v>12</v>
      </c>
      <c r="AC12" s="1027" t="s">
        <v>12</v>
      </c>
      <c r="AD12" s="1027" t="s">
        <v>12</v>
      </c>
      <c r="AE12" s="1027" t="s">
        <v>12</v>
      </c>
      <c r="AF12" s="1027" t="s">
        <v>12</v>
      </c>
      <c r="AG12" s="1027" t="s">
        <v>12</v>
      </c>
      <c r="AH12" s="1032" t="s">
        <v>9</v>
      </c>
      <c r="AI12" s="1032" t="s">
        <v>9</v>
      </c>
      <c r="AJ12" s="1043" t="s">
        <v>9</v>
      </c>
      <c r="AK12" s="1032" t="s">
        <v>9</v>
      </c>
      <c r="AL12" s="1032" t="s">
        <v>9</v>
      </c>
      <c r="AM12" s="1032" t="s">
        <v>9</v>
      </c>
      <c r="AN12" s="1030" t="s">
        <v>9</v>
      </c>
      <c r="AO12" s="1032" t="s">
        <v>9</v>
      </c>
      <c r="AP12" s="1032" t="s">
        <v>9</v>
      </c>
      <c r="AQ12" s="1030" t="s">
        <v>9</v>
      </c>
      <c r="AR12" s="1032" t="s">
        <v>9</v>
      </c>
      <c r="AS12" s="1032" t="s">
        <v>9</v>
      </c>
      <c r="AT12" s="1039" t="s">
        <v>9</v>
      </c>
      <c r="AU12" s="1039" t="s">
        <v>9</v>
      </c>
      <c r="AV12" s="1039" t="s">
        <v>9</v>
      </c>
      <c r="AW12" s="1039" t="s">
        <v>9</v>
      </c>
      <c r="AX12" s="1039" t="s">
        <v>9</v>
      </c>
      <c r="AY12" s="1039" t="s">
        <v>9</v>
      </c>
      <c r="AZ12" s="1039" t="s">
        <v>9</v>
      </c>
      <c r="BA12" s="1027"/>
    </row>
    <row r="13">
      <c r="A13" s="1027" t="s">
        <v>13</v>
      </c>
      <c r="B13" s="1035" t="s">
        <v>14</v>
      </c>
      <c r="C13" s="1027" t="s">
        <v>15</v>
      </c>
      <c r="D13" s="1036" t="s">
        <v>16</v>
      </c>
      <c r="E13" s="1036" t="s">
        <v>20</v>
      </c>
      <c r="F13" s="1027" t="s">
        <v>18</v>
      </c>
      <c r="G13" s="1030" t="s">
        <v>21</v>
      </c>
      <c r="H13" s="1027" t="s">
        <v>2789</v>
      </c>
      <c r="I13" s="1030" t="s">
        <v>24</v>
      </c>
      <c r="J13" s="1027" t="s">
        <v>23</v>
      </c>
      <c r="K13" s="1032" t="s">
        <v>2809</v>
      </c>
      <c r="L13" s="1027" t="s">
        <v>26</v>
      </c>
      <c r="M13" s="1027" t="s">
        <v>27</v>
      </c>
      <c r="N13" s="1027" t="s">
        <v>30</v>
      </c>
      <c r="O13" s="1027" t="s">
        <v>2812</v>
      </c>
      <c r="P13" s="1030" t="s">
        <v>2792</v>
      </c>
      <c r="Q13" s="1027" t="s">
        <v>32</v>
      </c>
      <c r="R13" s="1027" t="s">
        <v>2810</v>
      </c>
      <c r="S13" s="1027" t="s">
        <v>2794</v>
      </c>
      <c r="T13" s="1027" t="s">
        <v>2795</v>
      </c>
      <c r="U13" s="1027" t="s">
        <v>33</v>
      </c>
      <c r="V13" s="1027" t="s">
        <v>34</v>
      </c>
      <c r="W13" s="1027" t="s">
        <v>35</v>
      </c>
      <c r="X13" s="1027" t="s">
        <v>46</v>
      </c>
      <c r="Y13" s="1027" t="s">
        <v>37</v>
      </c>
      <c r="Z13" s="1042" t="s">
        <v>38</v>
      </c>
      <c r="AA13" s="1027" t="s">
        <v>39</v>
      </c>
      <c r="AB13" s="1027" t="s">
        <v>40</v>
      </c>
      <c r="AC13" s="1027" t="s">
        <v>41</v>
      </c>
      <c r="AD13" s="1027" t="s">
        <v>42</v>
      </c>
      <c r="AE13" s="1027" t="s">
        <v>43</v>
      </c>
      <c r="AF13" s="1027" t="s">
        <v>44</v>
      </c>
      <c r="AG13" s="1027" t="s">
        <v>45</v>
      </c>
      <c r="AH13" s="1034" t="s">
        <v>2796</v>
      </c>
      <c r="AI13" s="1027" t="s">
        <v>2790</v>
      </c>
      <c r="AJ13" s="1038" t="s">
        <v>2797</v>
      </c>
      <c r="AK13" s="1027" t="s">
        <v>2222</v>
      </c>
      <c r="AL13" s="1027" t="s">
        <v>2798</v>
      </c>
      <c r="AM13" s="1027" t="s">
        <v>2799</v>
      </c>
      <c r="AN13" s="1027" t="s">
        <v>2800</v>
      </c>
      <c r="AO13" s="1040" t="s">
        <v>2801</v>
      </c>
      <c r="AP13" s="1027" t="s">
        <v>19</v>
      </c>
      <c r="AQ13" s="1030" t="s">
        <v>2813</v>
      </c>
      <c r="AR13" s="1032"/>
      <c r="AS13" s="1039" t="s">
        <v>2803</v>
      </c>
      <c r="AT13" s="1039" t="s">
        <v>2770</v>
      </c>
      <c r="AU13" s="1027" t="s">
        <v>2804</v>
      </c>
      <c r="AV13" s="1027" t="s">
        <v>50</v>
      </c>
      <c r="AW13" s="1027" t="s">
        <v>2805</v>
      </c>
      <c r="AX13" s="1027" t="s">
        <v>2806</v>
      </c>
      <c r="AY13" s="1027" t="s">
        <v>51</v>
      </c>
      <c r="AZ13" s="1027" t="s">
        <v>2807</v>
      </c>
      <c r="BA13" s="1027"/>
    </row>
    <row r="16">
      <c r="G16" s="338" t="s">
        <v>2815</v>
      </c>
      <c r="I16" s="338" t="s">
        <v>2816</v>
      </c>
      <c r="M16" s="338" t="s">
        <v>2815</v>
      </c>
      <c r="N16" s="338" t="s">
        <v>2815</v>
      </c>
      <c r="AA16" s="338" t="s">
        <v>2817</v>
      </c>
    </row>
    <row r="17">
      <c r="M17" s="338"/>
    </row>
  </sheetData>
  <mergeCells count="10">
    <mergeCell ref="B2:E2"/>
    <mergeCell ref="A1:D1"/>
    <mergeCell ref="Y11:AB11"/>
    <mergeCell ref="Y8:AB8"/>
    <mergeCell ref="Y2:AB2"/>
    <mergeCell ref="AD2:AH2"/>
    <mergeCell ref="Y5:AB5"/>
    <mergeCell ref="B11:E11"/>
    <mergeCell ref="B5:E5"/>
    <mergeCell ref="B8:E8"/>
  </mergeCells>
  <conditionalFormatting sqref="A2:BA13">
    <cfRule type="containsText" dxfId="9" priority="1" operator="containsText" text="Firmware">
      <formula>NOT(ISERROR(SEARCH(("Firmware"),(A2))))</formula>
    </cfRule>
  </conditionalFormatting>
  <conditionalFormatting sqref="A2:BA13">
    <cfRule type="containsText" dxfId="10" priority="2" operator="containsText" text="Battery">
      <formula>NOT(ISERROR(SEARCH(("Battery"),(A2))))</formula>
    </cfRule>
  </conditionalFormatting>
  <conditionalFormatting sqref="A2:BA13">
    <cfRule type="containsText" dxfId="11" priority="3" operator="containsText" text="frequency">
      <formula>NOT(ISERROR(SEARCH(("frequency"),(A2))))</formula>
    </cfRule>
  </conditionalFormatting>
  <conditionalFormatting sqref="A2:BA13">
    <cfRule type="containsText" dxfId="12" priority="4" operator="containsText" text="Remaining">
      <formula>NOT(ISERROR(SEARCH(("Remaining"),(A2))))</formula>
    </cfRule>
  </conditionalFormatting>
  <conditionalFormatting sqref="A2:BA13">
    <cfRule type="containsText" dxfId="13" priority="5" operator="containsText" text="Days">
      <formula>NOT(ISERROR(SEARCH(("Days"),(A2))))</formula>
    </cfRule>
  </conditionalFormatting>
  <conditionalFormatting sqref="A2:BA13">
    <cfRule type="containsText" dxfId="11" priority="6" operator="containsText" text="100% charge">
      <formula>NOT(ISERROR(SEARCH(("100% charge"),(A2))))</formula>
    </cfRule>
  </conditionalFormatting>
  <conditionalFormatting sqref="A2:BA13">
    <cfRule type="containsText" dxfId="14" priority="7" operator="containsText" text="Range mode">
      <formula>NOT(ISERROR(SEARCH(("Range mode"),(A2))))</formula>
    </cfRule>
  </conditionalFormatting>
  <conditionalFormatting sqref="A2:BA13">
    <cfRule type="containsText" dxfId="15" priority="8" operator="containsText" text="would have been">
      <formula>NOT(ISERROR(SEARCH(("would have been"),(A2))))</formula>
    </cfRule>
  </conditionalFormatting>
  <conditionalFormatting sqref="A2:BA13">
    <cfRule type="containsText" dxfId="16" priority="9" operator="containsText" text="when new">
      <formula>NOT(ISERROR(SEARCH(("when new"),(A2))))</formula>
    </cfRule>
  </conditionalFormatting>
  <conditionalFormatting sqref="A2:BA13">
    <cfRule type="containsText" dxfId="17" priority="10" operator="containsText" text="if no pack replacement">
      <formula>NOT(ISERROR(SEARCH(("if no pack replacement"),(A2))))</formula>
    </cfRule>
  </conditionalFormatting>
  <conditionalFormatting sqref="A2:BA13">
    <cfRule type="containsText" dxfId="18" priority="11" operator="containsText" text="Model">
      <formula>NOT(ISERROR(SEARCH(("Model"),(A2))))</formula>
    </cfRule>
  </conditionalFormatting>
  <conditionalFormatting sqref="A2:BA13">
    <cfRule type="containsText" dxfId="19" priority="12" operator="containsText" text="original">
      <formula>NOT(ISERROR(SEARCH(("original"),(A2))))</formula>
    </cfRule>
  </conditionalFormatting>
  <conditionalFormatting sqref="A2:BA13">
    <cfRule type="containsText" dxfId="0" priority="13" operator="containsText" text="daily">
      <formula>NOT(ISERROR(SEARCH(("daily"),(A2))))</formula>
    </cfRule>
  </conditionalFormatting>
  <conditionalFormatting sqref="A2:BA13">
    <cfRule type="containsText" dxfId="6" priority="14" operator="containsText" text="Username">
      <formula>NOT(ISERROR(SEARCH(("Username"),(A2))))</formula>
    </cfRule>
  </conditionalFormatting>
  <conditionalFormatting sqref="A2:BA13">
    <cfRule type="containsText" dxfId="20" priority="15" operator="containsText" text="required">
      <formula>NOT(ISERROR(SEARCH(("required"),(A2))))</formula>
    </cfRule>
  </conditionalFormatting>
  <conditionalFormatting sqref="A2:BA13">
    <cfRule type="containsText" dxfId="6" priority="16" operator="containsText" text="optional">
      <formula>NOT(ISERROR(SEARCH(("optional"),(A2))))</formula>
    </cfRule>
  </conditionalFormatting>
  <conditionalFormatting sqref="A2:BA13">
    <cfRule type="containsText" dxfId="21" priority="17" operator="containsText" text="no entry needed">
      <formula>NOT(ISERROR(SEARCH(("no entry needed"),(A2))))</formula>
    </cfRule>
  </conditionalFormatting>
  <conditionalFormatting sqref="A2:BA13">
    <cfRule type="containsText" dxfId="22" priority="18" operator="containsText" text="range at the">
      <formula>NOT(ISERROR(SEARCH(("range at the"),(A2))))</formula>
    </cfRule>
  </conditionalFormatting>
  <conditionalFormatting sqref="A2:BA13">
    <cfRule type="containsText" dxfId="14" priority="19" operator="containsText" text="Mileage in">
      <formula>NOT(ISERROR(SEARCH(("Mileage in"),(A2))))</formula>
    </cfRule>
  </conditionalFormatting>
  <conditionalFormatting sqref="A2:BA13">
    <cfRule type="containsText" dxfId="23" priority="20" operator="containsText" text="Your capacity minus">
      <formula>NOT(ISERROR(SEARCH(("Your capacity minus"),(A2))))</formula>
    </cfRule>
  </conditionalFormatting>
  <conditionalFormatting sqref="A2:BA13">
    <cfRule type="containsText" dxfId="24" priority="21" operator="containsText" text="ambient temperature">
      <formula>NOT(ISERROR(SEARCH(("ambient temperature"),(A2))))</formula>
    </cfRule>
  </conditionalFormatting>
  <conditionalFormatting sqref="A2:BA13">
    <cfRule type="containsText" dxfId="24" priority="22" operator="containsText" text="Location">
      <formula>NOT(ISERROR(SEARCH(("Location"),(A2))))</formula>
    </cfRule>
  </conditionalFormatting>
  <conditionalFormatting sqref="A2:BA13">
    <cfRule type="containsText" dxfId="25" priority="23" operator="containsText" text="date">
      <formula>NOT(ISERROR(SEARCH(("date"),(A2))))</formula>
    </cfRule>
  </conditionalFormatting>
  <conditionalFormatting sqref="A2:BA13">
    <cfRule type="containsText" dxfId="14" priority="24" operator="containsText" text="Lifetime">
      <formula>NOT(ISERROR(SEARCH(("Lifetime"),(A2))))</formula>
    </cfRule>
  </conditionalFormatting>
  <drawing r:id="rId1"/>
</worksheet>
</file>